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Leidy Mesa\Desktop\Buritica\2025\señalizacion\Señalizacion\FINAL\20-06-2025\"/>
    </mc:Choice>
  </mc:AlternateContent>
  <xr:revisionPtr revIDLastSave="0" documentId="13_ncr:1_{EE5465CF-0646-4372-93A5-30203BEF7707}" xr6:coauthVersionLast="47" xr6:coauthVersionMax="47" xr10:uidLastSave="{00000000-0000-0000-0000-000000000000}"/>
  <bookViews>
    <workbookView xWindow="-120" yWindow="-120" windowWidth="20730" windowHeight="11040" xr2:uid="{579687F7-A632-49AD-A5FF-7442BF44F92B}"/>
  </bookViews>
  <sheets>
    <sheet name="PRESUPUESTO GENERAL" sheetId="1" r:id="rId1"/>
    <sheet name="AU" sheetId="2" r:id="rId2"/>
    <sheet name="PMA" sheetId="3" r:id="rId3"/>
    <sheet name="APU 1" sheetId="14" r:id="rId4"/>
    <sheet name="APU 2" sheetId="15" r:id="rId5"/>
    <sheet name="APU 3" sheetId="16" r:id="rId6"/>
    <sheet name="APU 4" sheetId="17" r:id="rId7"/>
    <sheet name="APU 5" sheetId="18" r:id="rId8"/>
    <sheet name="APU 6" sheetId="4" r:id="rId9"/>
    <sheet name="APU 7" sheetId="7" r:id="rId10"/>
    <sheet name="APU 8" sheetId="6" r:id="rId11"/>
    <sheet name="APU 9" sheetId="8" r:id="rId12"/>
    <sheet name="APU 10" sheetId="9" r:id="rId13"/>
    <sheet name="APU 11" sheetId="11" r:id="rId14"/>
    <sheet name="APU 12" sheetId="12" r:id="rId15"/>
    <sheet name="APU 13" sheetId="13" r:id="rId16"/>
    <sheet name="APU 14" sheetId="10" r:id="rId17"/>
    <sheet name="APU 15" sheetId="19" r:id="rId18"/>
    <sheet name="APU 16" sheetId="5" r:id="rId19"/>
  </sheets>
  <externalReferences>
    <externalReference r:id="rId20"/>
    <externalReference r:id="rId21"/>
  </externalReferences>
  <definedNames>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localSheetId="0" hidden="1">#REF!</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localSheetId="0"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CERO">[1]MEMORIAS!#REF!</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UA">[1]MATERIALES!$D$10</definedName>
    <definedName name="anscount" hidden="1">1</definedName>
    <definedName name="aqaq" hidden="1">{"TAB1",#N/A,TRUE,"GENERAL";"TAB2",#N/A,TRUE,"GENERAL";"TAB3",#N/A,TRUE,"GENERAL";"TAB4",#N/A,TRUE,"GENERAL";"TAB5",#N/A,TRUE,"GENERAL"}</definedName>
    <definedName name="_xlnm.Print_Area" localSheetId="0">'PRESUPUESTO GENERAL'!$A$1:$H$39</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SEGRANULAR">[1]MATERIALES!$D$18</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LLDOZERCAT">[1]EQUIPOS!#REF!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NT.BASE">[1]MEMORIAS!#REF!</definedName>
    <definedName name="CANT.BORDILLO">[1]MEMORIAS!#REF!</definedName>
    <definedName name="CANT.CALZADA">[1]MEMORIAS!#REF!</definedName>
    <definedName name="CANT.DEMOLICION">[1]MEMORIAS!$AT$85</definedName>
    <definedName name="CANT.EXCAVACIÓN">[1]MEMORIAS!$AT$139</definedName>
    <definedName name="CANT.TRANS.EXCAVACION">[1]MEMORIAS!$AT$233</definedName>
    <definedName name="CANT.TRATAJUNTAS">[1]MEMORIAS!#REF!</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ORTADORAPAVIMENTO">[1]EQUIPOS!$D$26</definedName>
    <definedName name="CORTEPAVIMENTO">[1]MEMORIAS!#REF!</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localSheetId="0"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 localSheetId="0" hidden="1">#REF!</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RGUEROMADERACOMUN">[1]MATERIALES!$D$30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VEL">[1]EQUIPOS!$D$30</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UEVO" hidden="1">#REF!</definedName>
    <definedName name="NUEVO2" hidden="1">#REF!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ERO">'[1]MANO DE OBRA'!$D$11</definedName>
    <definedName name="OFICIAL">'[1]MANO DE OBRA'!$D$9</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AVIMENTORIGIDO">[1]MEMORIAS!$AT$193</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ROLLANTAS">#REF!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'PRESUPUESTO GENERAL'!#REF!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GENERAL'!#REF!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GENERAL'!#REF!</definedName>
    <definedName name="solver_pre" localSheetId="0" hidden="1">0.000001</definedName>
    <definedName name="solver_rel1" localSheetId="0" hidden="1">2</definedName>
    <definedName name="solver_rhs1" localSheetId="0" hidden="1">'PRESUPUESTO GENERAL'!#REF!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_xlnm.Print_Titles" localSheetId="0">'PRESUPUESTO GENERAL'!$1:$5</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rsion4OK" hidden="1">{"Datos de las Curvas",#N/A,TRUE,"TABLA-CALCULOS"}</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6M3">[1]EQUIPOS!$D$17</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Impresion._.Datos._.de._.las._.Curvas." hidden="1">{"Datos de las Curvas",#N/A,TRUE,"TABLA-CALCULOS"}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0" i="1" l="1"/>
  <c r="I30" i="2"/>
  <c r="F19" i="19"/>
  <c r="G19" i="19"/>
  <c r="L20" i="19"/>
  <c r="G26" i="19"/>
  <c r="K36" i="19"/>
  <c r="J33" i="19"/>
  <c r="D33" i="19"/>
  <c r="C33" i="19"/>
  <c r="D32" i="19"/>
  <c r="E32" i="19" s="1"/>
  <c r="D31" i="19"/>
  <c r="E31" i="19" s="1"/>
  <c r="G27" i="19"/>
  <c r="G22" i="19"/>
  <c r="G21" i="19"/>
  <c r="G20" i="19"/>
  <c r="G12" i="19"/>
  <c r="K36" i="18"/>
  <c r="F26" i="18"/>
  <c r="G26" i="18" s="1"/>
  <c r="H28" i="18" s="1"/>
  <c r="G22" i="18"/>
  <c r="G21" i="18"/>
  <c r="G20" i="18"/>
  <c r="H23" i="18"/>
  <c r="H16" i="18"/>
  <c r="G26" i="17"/>
  <c r="H28" i="17" s="1"/>
  <c r="F26" i="17"/>
  <c r="D33" i="17"/>
  <c r="E33" i="17"/>
  <c r="K36" i="17"/>
  <c r="F32" i="17"/>
  <c r="F33" i="17" s="1"/>
  <c r="D32" i="17"/>
  <c r="C32" i="17"/>
  <c r="D31" i="17"/>
  <c r="E31" i="17" s="1"/>
  <c r="G31" i="17" s="1"/>
  <c r="G22" i="17"/>
  <c r="G21" i="17"/>
  <c r="G20" i="17"/>
  <c r="G19" i="17"/>
  <c r="G12" i="17"/>
  <c r="H16" i="17" s="1"/>
  <c r="G13" i="15"/>
  <c r="G13" i="16"/>
  <c r="K36" i="16"/>
  <c r="J33" i="16"/>
  <c r="F32" i="16"/>
  <c r="D32" i="16"/>
  <c r="C32" i="16"/>
  <c r="E32" i="16" s="1"/>
  <c r="D31" i="16"/>
  <c r="E31" i="16" s="1"/>
  <c r="G31" i="16" s="1"/>
  <c r="G26" i="16"/>
  <c r="H28" i="16" s="1"/>
  <c r="G22" i="16"/>
  <c r="G21" i="16"/>
  <c r="G20" i="16"/>
  <c r="G19" i="16"/>
  <c r="G12" i="16"/>
  <c r="H23" i="17" l="1"/>
  <c r="H23" i="16"/>
  <c r="E32" i="17"/>
  <c r="G32" i="17" s="1"/>
  <c r="E33" i="19"/>
  <c r="H28" i="19"/>
  <c r="H23" i="19"/>
  <c r="F32" i="19"/>
  <c r="F33" i="19" s="1"/>
  <c r="G31" i="19"/>
  <c r="H16" i="19"/>
  <c r="H35" i="18"/>
  <c r="H37" i="18" s="1"/>
  <c r="G33" i="17"/>
  <c r="H35" i="17"/>
  <c r="H37" i="17" s="1"/>
  <c r="H16" i="16"/>
  <c r="G32" i="16"/>
  <c r="H35" i="16" s="1"/>
  <c r="G33" i="19" l="1"/>
  <c r="G32" i="19"/>
  <c r="H35" i="19" s="1"/>
  <c r="H37" i="19" s="1"/>
  <c r="H37" i="16"/>
  <c r="G12" i="15" l="1"/>
  <c r="K36" i="15"/>
  <c r="J33" i="15"/>
  <c r="D32" i="15"/>
  <c r="C32" i="15"/>
  <c r="D31" i="15"/>
  <c r="E31" i="15" s="1"/>
  <c r="H28" i="15"/>
  <c r="G22" i="15"/>
  <c r="G21" i="15"/>
  <c r="G20" i="15"/>
  <c r="G19" i="15"/>
  <c r="G20" i="14"/>
  <c r="G21" i="14"/>
  <c r="G19" i="14"/>
  <c r="K36" i="14"/>
  <c r="J33" i="14"/>
  <c r="D32" i="14"/>
  <c r="E32" i="14" s="1"/>
  <c r="F32" i="14"/>
  <c r="D31" i="14"/>
  <c r="E31" i="14" s="1"/>
  <c r="G31" i="14" s="1"/>
  <c r="G26" i="14"/>
  <c r="H28" i="14" s="1"/>
  <c r="G13" i="14"/>
  <c r="G12" i="14"/>
  <c r="G15" i="12"/>
  <c r="G15" i="11"/>
  <c r="K36" i="13"/>
  <c r="D34" i="13"/>
  <c r="E34" i="13" s="1"/>
  <c r="J33" i="13"/>
  <c r="D33" i="13"/>
  <c r="C33" i="13"/>
  <c r="D32" i="13"/>
  <c r="C32" i="13"/>
  <c r="E32" i="13" s="1"/>
  <c r="D31" i="13"/>
  <c r="E31" i="13" s="1"/>
  <c r="E27" i="13"/>
  <c r="G27" i="13" s="1"/>
  <c r="G26" i="13"/>
  <c r="G22" i="13"/>
  <c r="G21" i="13"/>
  <c r="G20" i="13"/>
  <c r="G19" i="13"/>
  <c r="G15" i="13"/>
  <c r="F13" i="13"/>
  <c r="F14" i="13" s="1"/>
  <c r="G12" i="13"/>
  <c r="F13" i="11"/>
  <c r="F14" i="11" s="1"/>
  <c r="K36" i="12"/>
  <c r="D34" i="12"/>
  <c r="E34" i="12" s="1"/>
  <c r="J33" i="12"/>
  <c r="D33" i="12"/>
  <c r="C33" i="12"/>
  <c r="E33" i="12" s="1"/>
  <c r="D32" i="12"/>
  <c r="E32" i="12" s="1"/>
  <c r="C32" i="12"/>
  <c r="D31" i="12"/>
  <c r="E31" i="12" s="1"/>
  <c r="E27" i="12"/>
  <c r="G27" i="12" s="1"/>
  <c r="G26" i="12"/>
  <c r="H28" i="12" s="1"/>
  <c r="G22" i="12"/>
  <c r="G21" i="12"/>
  <c r="G20" i="12"/>
  <c r="G19" i="12"/>
  <c r="F13" i="12"/>
  <c r="F14" i="12" s="1"/>
  <c r="G12" i="12"/>
  <c r="E27" i="11"/>
  <c r="G27" i="11" s="1"/>
  <c r="K36" i="11"/>
  <c r="D34" i="11"/>
  <c r="E34" i="11" s="1"/>
  <c r="J33" i="11"/>
  <c r="D33" i="11"/>
  <c r="C33" i="11"/>
  <c r="D32" i="11"/>
  <c r="C32" i="11"/>
  <c r="E32" i="11" s="1"/>
  <c r="D31" i="11"/>
  <c r="E31" i="11" s="1"/>
  <c r="G26" i="11"/>
  <c r="G22" i="11"/>
  <c r="G21" i="11"/>
  <c r="G20" i="11"/>
  <c r="G19" i="11"/>
  <c r="G12" i="11"/>
  <c r="E16" i="10"/>
  <c r="G16" i="10" s="1"/>
  <c r="G19" i="10" s="1"/>
  <c r="D31" i="10"/>
  <c r="E31" i="10" s="1"/>
  <c r="F30" i="10"/>
  <c r="D30" i="10"/>
  <c r="C30" i="10"/>
  <c r="D29" i="10"/>
  <c r="E29" i="10" s="1"/>
  <c r="G29" i="10" s="1"/>
  <c r="E24" i="10"/>
  <c r="G24" i="10" s="1"/>
  <c r="G23" i="10"/>
  <c r="G18" i="10"/>
  <c r="G17" i="10"/>
  <c r="F16" i="10"/>
  <c r="K36" i="9"/>
  <c r="J33" i="9"/>
  <c r="D33" i="9"/>
  <c r="E33" i="9" s="1"/>
  <c r="D32" i="9"/>
  <c r="C32" i="9"/>
  <c r="D31" i="9"/>
  <c r="C31" i="9"/>
  <c r="E31" i="9" s="1"/>
  <c r="G31" i="9" s="1"/>
  <c r="D30" i="9"/>
  <c r="E30" i="9" s="1"/>
  <c r="G26" i="9"/>
  <c r="G25" i="9"/>
  <c r="H27" i="9" s="1"/>
  <c r="A25" i="9"/>
  <c r="G21" i="9"/>
  <c r="G20" i="9"/>
  <c r="G19" i="9"/>
  <c r="G18" i="9"/>
  <c r="G14" i="9"/>
  <c r="F13" i="9"/>
  <c r="F30" i="9" s="1"/>
  <c r="F31" i="9" s="1"/>
  <c r="F32" i="9" s="1"/>
  <c r="F33" i="9" s="1"/>
  <c r="G12" i="9"/>
  <c r="F13" i="6"/>
  <c r="F14" i="6" s="1"/>
  <c r="G14" i="6" s="1"/>
  <c r="F13" i="8"/>
  <c r="G13" i="8" s="1"/>
  <c r="G21" i="8"/>
  <c r="K37" i="8"/>
  <c r="D35" i="8"/>
  <c r="E35" i="8" s="1"/>
  <c r="J34" i="8"/>
  <c r="D34" i="8"/>
  <c r="C34" i="8"/>
  <c r="E34" i="8" s="1"/>
  <c r="D33" i="8"/>
  <c r="C33" i="8"/>
  <c r="D32" i="8"/>
  <c r="E32" i="8" s="1"/>
  <c r="G28" i="8"/>
  <c r="A28" i="8"/>
  <c r="G27" i="8"/>
  <c r="G23" i="8"/>
  <c r="G22" i="8"/>
  <c r="G20" i="8"/>
  <c r="G19" i="8"/>
  <c r="G12" i="8"/>
  <c r="G14" i="7"/>
  <c r="D33" i="7"/>
  <c r="E33" i="7" s="1"/>
  <c r="D32" i="7"/>
  <c r="C32" i="7"/>
  <c r="D31" i="7"/>
  <c r="C31" i="7"/>
  <c r="E31" i="7" s="1"/>
  <c r="D30" i="7"/>
  <c r="E30" i="7" s="1"/>
  <c r="G26" i="7"/>
  <c r="G25" i="7"/>
  <c r="H27" i="7" s="1"/>
  <c r="A25" i="7"/>
  <c r="G21" i="7"/>
  <c r="G20" i="7"/>
  <c r="G19" i="7"/>
  <c r="G18" i="7"/>
  <c r="F13" i="7"/>
  <c r="G13" i="7" s="1"/>
  <c r="G12" i="7"/>
  <c r="K36" i="7"/>
  <c r="J33" i="7"/>
  <c r="D34" i="6"/>
  <c r="E34" i="6" s="1"/>
  <c r="D33" i="6"/>
  <c r="C33" i="6"/>
  <c r="E33" i="6" s="1"/>
  <c r="D32" i="6"/>
  <c r="C32" i="6"/>
  <c r="E32" i="6" s="1"/>
  <c r="D31" i="6"/>
  <c r="E31" i="6" s="1"/>
  <c r="G27" i="6"/>
  <c r="A27" i="6"/>
  <c r="G26" i="6"/>
  <c r="G22" i="6"/>
  <c r="G21" i="6"/>
  <c r="G20" i="6"/>
  <c r="G19" i="6"/>
  <c r="G12" i="6"/>
  <c r="K36" i="6"/>
  <c r="J33" i="6"/>
  <c r="K36" i="5"/>
  <c r="D34" i="5"/>
  <c r="E34" i="5" s="1"/>
  <c r="J33" i="5"/>
  <c r="D33" i="5"/>
  <c r="C33" i="5"/>
  <c r="E33" i="5" s="1"/>
  <c r="D32" i="5"/>
  <c r="C32" i="5"/>
  <c r="E32" i="5" s="1"/>
  <c r="D31" i="5"/>
  <c r="E31" i="5" s="1"/>
  <c r="G27" i="5"/>
  <c r="G26" i="5"/>
  <c r="H28" i="5" s="1"/>
  <c r="G22" i="5"/>
  <c r="G21" i="5"/>
  <c r="G20" i="5"/>
  <c r="G19" i="5"/>
  <c r="F13" i="5"/>
  <c r="F14" i="5" s="1"/>
  <c r="G12" i="5"/>
  <c r="D34" i="4"/>
  <c r="E34" i="4" s="1"/>
  <c r="D33" i="4"/>
  <c r="C33" i="4"/>
  <c r="D32" i="4"/>
  <c r="C32" i="4"/>
  <c r="E32" i="4" s="1"/>
  <c r="D31" i="4"/>
  <c r="E31" i="4" s="1"/>
  <c r="G27" i="4"/>
  <c r="G26" i="4"/>
  <c r="H28" i="4" s="1"/>
  <c r="G22" i="4"/>
  <c r="G21" i="4"/>
  <c r="G20" i="4"/>
  <c r="G19" i="4"/>
  <c r="F13" i="4"/>
  <c r="F14" i="4" s="1"/>
  <c r="G12" i="4"/>
  <c r="K36" i="4"/>
  <c r="J33" i="4"/>
  <c r="H15" i="7" l="1"/>
  <c r="E32" i="9"/>
  <c r="G32" i="9" s="1"/>
  <c r="G25" i="10"/>
  <c r="E33" i="13"/>
  <c r="H23" i="14"/>
  <c r="H22" i="9"/>
  <c r="E32" i="15"/>
  <c r="E33" i="4"/>
  <c r="H28" i="13"/>
  <c r="E30" i="10"/>
  <c r="E33" i="11"/>
  <c r="H23" i="5"/>
  <c r="H23" i="13"/>
  <c r="H28" i="6"/>
  <c r="H29" i="8"/>
  <c r="G30" i="9"/>
  <c r="H23" i="12"/>
  <c r="H23" i="15"/>
  <c r="F32" i="15"/>
  <c r="H16" i="15"/>
  <c r="H16" i="14"/>
  <c r="G32" i="14"/>
  <c r="H35" i="14" s="1"/>
  <c r="G32" i="13"/>
  <c r="G33" i="13"/>
  <c r="F31" i="13"/>
  <c r="F32" i="13" s="1"/>
  <c r="F33" i="13" s="1"/>
  <c r="F34" i="13" s="1"/>
  <c r="G14" i="13"/>
  <c r="G34" i="13"/>
  <c r="G13" i="13"/>
  <c r="H16" i="13" s="1"/>
  <c r="F31" i="12"/>
  <c r="F32" i="12" s="1"/>
  <c r="F33" i="12" s="1"/>
  <c r="F34" i="12" s="1"/>
  <c r="G34" i="12" s="1"/>
  <c r="G14" i="12"/>
  <c r="G13" i="12"/>
  <c r="H28" i="11"/>
  <c r="G14" i="11"/>
  <c r="F31" i="11"/>
  <c r="F32" i="11" s="1"/>
  <c r="F33" i="11" s="1"/>
  <c r="F34" i="11" s="1"/>
  <c r="G34" i="11"/>
  <c r="G13" i="11"/>
  <c r="H23" i="11"/>
  <c r="G30" i="10"/>
  <c r="F31" i="10"/>
  <c r="G31" i="10" s="1"/>
  <c r="G33" i="9"/>
  <c r="G13" i="9"/>
  <c r="H15" i="9" s="1"/>
  <c r="F14" i="8"/>
  <c r="G14" i="8" s="1"/>
  <c r="H16" i="8" s="1"/>
  <c r="H24" i="8"/>
  <c r="E33" i="8"/>
  <c r="H22" i="7"/>
  <c r="E32" i="7"/>
  <c r="F30" i="7"/>
  <c r="F31" i="7" s="1"/>
  <c r="F32" i="7" s="1"/>
  <c r="F33" i="7" s="1"/>
  <c r="G33" i="7" s="1"/>
  <c r="H23" i="6"/>
  <c r="F31" i="6"/>
  <c r="F32" i="6" s="1"/>
  <c r="F33" i="6" s="1"/>
  <c r="F34" i="6" s="1"/>
  <c r="G34" i="6" s="1"/>
  <c r="G13" i="6"/>
  <c r="H16" i="6" s="1"/>
  <c r="G14" i="5"/>
  <c r="F31" i="5"/>
  <c r="F32" i="5" s="1"/>
  <c r="F33" i="5" s="1"/>
  <c r="F34" i="5" s="1"/>
  <c r="G34" i="5" s="1"/>
  <c r="G13" i="5"/>
  <c r="H23" i="4"/>
  <c r="G14" i="4"/>
  <c r="F31" i="4"/>
  <c r="F32" i="4" s="1"/>
  <c r="F33" i="4" s="1"/>
  <c r="F34" i="4" s="1"/>
  <c r="G34" i="4" s="1"/>
  <c r="G13" i="4"/>
  <c r="H16" i="5" l="1"/>
  <c r="H34" i="9"/>
  <c r="H36" i="9" s="1"/>
  <c r="G31" i="13"/>
  <c r="H35" i="13" s="1"/>
  <c r="H37" i="13" s="1"/>
  <c r="G32" i="15"/>
  <c r="G31" i="15"/>
  <c r="H35" i="15" s="1"/>
  <c r="H37" i="15" s="1"/>
  <c r="H37" i="14"/>
  <c r="G33" i="12"/>
  <c r="G32" i="12"/>
  <c r="G31" i="12"/>
  <c r="H16" i="12"/>
  <c r="H16" i="11"/>
  <c r="G33" i="11"/>
  <c r="G32" i="11"/>
  <c r="G31" i="11"/>
  <c r="G32" i="10"/>
  <c r="F32" i="8"/>
  <c r="F33" i="8" s="1"/>
  <c r="F34" i="8" s="1"/>
  <c r="F35" i="8" s="1"/>
  <c r="G35" i="8" s="1"/>
  <c r="G32" i="7"/>
  <c r="G31" i="7"/>
  <c r="G30" i="7"/>
  <c r="H34" i="7" s="1"/>
  <c r="H36" i="7" s="1"/>
  <c r="G33" i="6"/>
  <c r="G32" i="6"/>
  <c r="G31" i="6"/>
  <c r="G32" i="5"/>
  <c r="G31" i="5"/>
  <c r="G33" i="5"/>
  <c r="G33" i="4"/>
  <c r="G32" i="4"/>
  <c r="H16" i="4"/>
  <c r="G31" i="4"/>
  <c r="G11" i="10" l="1"/>
  <c r="G12" i="10" s="1"/>
  <c r="G34" i="10" s="1"/>
  <c r="H35" i="4"/>
  <c r="H35" i="12"/>
  <c r="H37" i="12" s="1"/>
  <c r="H35" i="5"/>
  <c r="H37" i="5" s="1"/>
  <c r="H35" i="11"/>
  <c r="H37" i="11" s="1"/>
  <c r="G33" i="8"/>
  <c r="G34" i="8"/>
  <c r="G32" i="8"/>
  <c r="H35" i="6"/>
  <c r="H37" i="6" s="1"/>
  <c r="H37" i="4"/>
  <c r="H36" i="8" l="1"/>
  <c r="H38" i="8" s="1"/>
  <c r="E20" i="2" l="1"/>
  <c r="I20" i="2" s="1"/>
  <c r="I10" i="2"/>
  <c r="H12" i="2"/>
  <c r="H15" i="2" s="1"/>
  <c r="H16" i="2" s="1"/>
  <c r="I16" i="2" s="1"/>
  <c r="H9" i="2"/>
  <c r="I9" i="2" s="1"/>
  <c r="A1" i="3"/>
  <c r="F40" i="3"/>
  <c r="F39" i="3"/>
  <c r="F38" i="3"/>
  <c r="F34" i="3"/>
  <c r="F33" i="3"/>
  <c r="F31" i="3"/>
  <c r="F30" i="3"/>
  <c r="F29" i="3"/>
  <c r="F28" i="3"/>
  <c r="F24" i="3"/>
  <c r="F22" i="3"/>
  <c r="F21" i="3"/>
  <c r="F20" i="3"/>
  <c r="F18" i="3"/>
  <c r="F17" i="3"/>
  <c r="F16" i="3"/>
  <c r="F14" i="3"/>
  <c r="F13" i="3"/>
  <c r="F12" i="3"/>
  <c r="F11" i="3"/>
  <c r="F10" i="3"/>
  <c r="F8" i="3"/>
  <c r="E13" i="2"/>
  <c r="I29" i="2"/>
  <c r="I28" i="2"/>
  <c r="I27" i="2"/>
  <c r="I26" i="2"/>
  <c r="I25" i="2"/>
  <c r="E12" i="2"/>
  <c r="I8" i="2"/>
  <c r="F35" i="3" l="1"/>
  <c r="H13" i="2"/>
  <c r="I13" i="2" s="1"/>
  <c r="I12" i="2"/>
  <c r="F41" i="3"/>
  <c r="F25" i="3"/>
  <c r="H22" i="2"/>
  <c r="H23" i="2" s="1"/>
  <c r="I23" i="2" s="1"/>
  <c r="I15" i="2"/>
  <c r="F42" i="3" l="1"/>
  <c r="E18" i="2" s="1"/>
  <c r="I18" i="2" s="1"/>
  <c r="I22" i="2"/>
  <c r="I31" i="2" s="1"/>
  <c r="F26" i="1" l="1"/>
  <c r="H26" i="1" s="1"/>
  <c r="H25" i="1"/>
  <c r="H24" i="1"/>
  <c r="H22" i="1"/>
  <c r="H21" i="1"/>
  <c r="H20" i="1"/>
  <c r="G19" i="1"/>
  <c r="H19" i="1" s="1"/>
  <c r="H18" i="1"/>
  <c r="H16" i="1"/>
  <c r="H15" i="1"/>
  <c r="H14" i="1"/>
  <c r="F12" i="1"/>
  <c r="H12" i="1" s="1"/>
  <c r="F11" i="1"/>
  <c r="H11" i="1" s="1"/>
  <c r="F10" i="1"/>
  <c r="H10" i="1" s="1"/>
  <c r="F9" i="1"/>
  <c r="H9" i="1" s="1"/>
  <c r="H8" i="1"/>
  <c r="H27" i="1" l="1"/>
  <c r="H29" i="1" s="1"/>
  <c r="I34" i="2" l="1"/>
  <c r="I32" i="2" l="1"/>
  <c r="H31" i="2"/>
  <c r="H33" i="2" s="1"/>
  <c r="G28" i="1" s="1"/>
  <c r="H28" i="1" s="1"/>
  <c r="H33" i="1" s="1"/>
  <c r="I35" i="2"/>
  <c r="I33" i="2"/>
  <c r="I36" i="2" l="1"/>
  <c r="H34" i="1"/>
  <c r="H35" i="1" s="1"/>
</calcChain>
</file>

<file path=xl/sharedStrings.xml><?xml version="1.0" encoding="utf-8"?>
<sst xmlns="http://schemas.openxmlformats.org/spreadsheetml/2006/main" count="1116" uniqueCount="273">
  <si>
    <t>PRESUPUESTO GENERAL</t>
  </si>
  <si>
    <t>SECCIÓN 1 - ITEMS DE OBRA - ACTIVIDADES DE MEJORAMIENTO</t>
  </si>
  <si>
    <t>I. PAVIMENTO RÍGIDO</t>
  </si>
  <si>
    <t>REF APU</t>
  </si>
  <si>
    <t xml:space="preserve">ITEM </t>
  </si>
  <si>
    <t>DESCRIPCIÓN</t>
  </si>
  <si>
    <t>UNIDADES</t>
  </si>
  <si>
    <t xml:space="preserve">CANTIDAD </t>
  </si>
  <si>
    <t>VALOR UNITARIO</t>
  </si>
  <si>
    <t xml:space="preserve">VALOR TOTAL </t>
  </si>
  <si>
    <t>APU1</t>
  </si>
  <si>
    <t xml:space="preserve">Localización, trazado y replanteo </t>
  </si>
  <si>
    <t>APU2</t>
  </si>
  <si>
    <t>Demolicion de Pavimento Existente, espesor de 15-20 cm</t>
  </si>
  <si>
    <t>APU3</t>
  </si>
  <si>
    <t>Suministro, colocación, conformación y compactación de Base de reposición, no incluye transporte. Compactación hasta obtener una densidad mínima del 98%, de la obtenida en el ensayo del Proctor modificado.</t>
  </si>
  <si>
    <t>APU4</t>
  </si>
  <si>
    <t>Pavimento en concreto hidráulico para pavimento, resistencia de 280 Mpa. ( incluye malla electrosoldada de refuerzo D84), incluye acelerante de fraguado</t>
  </si>
  <si>
    <t>APU5</t>
  </si>
  <si>
    <t>Transporte de materiales proveniente de la demolición  (Incluye 30% de expansión)</t>
  </si>
  <si>
    <t>APU6</t>
  </si>
  <si>
    <r>
      <t>Suministro, transporte y aplicacion de pintura trafico</t>
    </r>
    <r>
      <rPr>
        <sz val="11"/>
        <color theme="1"/>
        <rFont val="Arial"/>
        <family val="2"/>
      </rPr>
      <t xml:space="preserve"> ACRILICA BASE SOLVENTE para demarcación de marcas viales  en pisos (flechas direccionales, flechas de fin de carril, textos, pares, triángulos ceda el paso, diamantes ceda el paso, textos de zona escolar, símbolos y pictogramas, entre otros, en pavimentos en zona urbana) .Incluye transporte e instalacion, todolo necesario par la correcta instalacion y funcionamiento.</t>
    </r>
  </si>
  <si>
    <t>m2</t>
  </si>
  <si>
    <t>APU7</t>
  </si>
  <si>
    <r>
      <t xml:space="preserve">Suministro, transporte y aplicacion de pintura trafico </t>
    </r>
    <r>
      <rPr>
        <sz val="11"/>
        <color theme="1"/>
        <rFont val="Arial"/>
        <family val="2"/>
      </rPr>
      <t>ACRILICA BASE SOLVENTE para LINEA DE 0,40 mts para crucero, cebras, pasos peatonales, líneas logarítmicas, línea de pare entre otros, en pavimentos en zona urbana. .Incluye transporte e instalacion, todolo necesario par la correcta instalacion y funcionamiento.</t>
    </r>
  </si>
  <si>
    <r>
      <t xml:space="preserve">Suministro, transporte y aplicacion de pintura trafico </t>
    </r>
    <r>
      <rPr>
        <sz val="8"/>
        <color theme="1"/>
        <rFont val="Arial"/>
        <family val="2"/>
      </rPr>
      <t>ACRILICA BASE SOLVENTE para LINEA DE 0,40 mts para crucero, cebras, pasos peatonales, líneas logarítmicas, línea de pare entre otros, en pavimentos en zona urbana. INCLUYE TRANSPORTE E INSTALACIÓN, TODO LO NECESARIO PARA LA CORRECTA INSTALACIÓN Y FUNCIONAMIENTO.</t>
    </r>
  </si>
  <si>
    <t>ml</t>
  </si>
  <si>
    <t>APU8</t>
  </si>
  <si>
    <r>
      <t xml:space="preserve">Suministro, transporte y aplicacion de pintura trafico </t>
    </r>
    <r>
      <rPr>
        <sz val="11"/>
        <color theme="1"/>
        <rFont val="Arial"/>
        <family val="2"/>
      </rPr>
      <t>ACRILICA BASE SOLVENTE para LINEA DE 0,12 mts para canalizacion central, bermas y celdas de estacionamiento, en pavimentos en zona urbana. .Incluye transporte e instalacion, todolo necesario par la correcta instalacion y funcionamiento.</t>
    </r>
  </si>
  <si>
    <r>
      <t xml:space="preserve">Suministro, transporte y aplicacion de pintura trafico </t>
    </r>
    <r>
      <rPr>
        <sz val="8"/>
        <color theme="1"/>
        <rFont val="Arial"/>
        <family val="2"/>
      </rPr>
      <t>ACRILICA BASE SOLVENTE para LINEA DE 0,12 mts para canalizacion central, bermas y celdas de estacionamiento, en pavimentos en zona urbana. INCLUYE TRANSPORTE E INSTALACIÓN, TODO LO NECESARIO PARA LA CORRECTA INSTALACIÓN Y FUNCIONAMIENTO.</t>
    </r>
  </si>
  <si>
    <t>APU9</t>
  </si>
  <si>
    <r>
      <t xml:space="preserve">Suministro, transporte y aplicacion de pintura </t>
    </r>
    <r>
      <rPr>
        <sz val="11"/>
        <color theme="1"/>
        <rFont val="Arial"/>
        <family val="2"/>
      </rPr>
      <t>ACRILICA BASE SOLVENTE para LINEA DE 0,12 mts para canalizacion central, bermas y celdas de estacionamiento, en pavimentos en zona rural. Incluye transporte e instalacion, todolo necesario par la correcta instalacion y funcionamiento. Con Microesfera reflectiva.</t>
    </r>
  </si>
  <si>
    <t>APU10</t>
  </si>
  <si>
    <r>
      <t xml:space="preserve">Suministro, transporte y aplicación de pintura horizontal trafico </t>
    </r>
    <r>
      <rPr>
        <sz val="11"/>
        <color theme="1"/>
        <rFont val="Arial"/>
        <family val="2"/>
      </rPr>
      <t>ACRILICA BASE SOLVENTE para demarcacion de LINEA DE 0.4m para (4) unidades de  PASOS PEATONALES ( 4m x 7 lineas)  en via proximidad de ZONA ESCOLAR, color blanco.Incluye transporte e instalacion, todolo necesario par la correcta instalacion y funcionamiento.</t>
    </r>
  </si>
  <si>
    <r>
      <t xml:space="preserve">Suministro, transporte y aplicación de pintura horizontal trafico </t>
    </r>
    <r>
      <rPr>
        <sz val="8"/>
        <color theme="1"/>
        <rFont val="Arial"/>
        <family val="2"/>
      </rPr>
      <t>ACRILICA BASE SOLVENTE para demarcacion de LINEA DE 0.4m para (4) unidades de  PASOS PEATONALES ( 4m x 7 lineas)  en via proximidad de ZONA ESCOLAR, color blanco.INCLUYE TRANSPORTE E INSTALACIÓN, TODO LO NECESARIO PARA LA CORRECTA INSTALACIÓN Y FUNCIONAMIENTO.</t>
    </r>
  </si>
  <si>
    <t>APU11</t>
  </si>
  <si>
    <r>
      <t xml:space="preserve">Suministro, transporte y aplicación de pintura horizontal trafico </t>
    </r>
    <r>
      <rPr>
        <sz val="11"/>
        <color theme="1"/>
        <rFont val="Arial"/>
        <family val="2"/>
      </rPr>
      <t>ACRILICA BASE SOLVENTE para demarcacion de PICTOGRAMA DE ZONA ESCOLAR en via proximidad de zonas escolares, incluye  todo lo necesario para su correcta instalación, color amarillo.IIncluye transporte e instalacion, todolo necesario par la correcta instalacion y funcionamiento.</t>
    </r>
  </si>
  <si>
    <r>
      <t xml:space="preserve">Suministro, transporte y aplicación de pintura horizontal trafico </t>
    </r>
    <r>
      <rPr>
        <sz val="8"/>
        <color theme="1"/>
        <rFont val="Arial"/>
        <family val="2"/>
      </rPr>
      <t>ACRILICA BASE SOLVENTE para demarcacion de PICTOGRAMA DE ZONA ESCOLAR en via proximidad de zonas escolares, incluye  todo lo necesario para su correcta instalación, color amarillo.INCLUYE TRANSPORTE E INSTALACIÓN, TODO LO NECESARIO PARA LA CORRECTA INSTALACIÓN Y FUNCIONAMIENTO.</t>
    </r>
  </si>
  <si>
    <t>und</t>
  </si>
  <si>
    <t>APU12</t>
  </si>
  <si>
    <r>
      <t xml:space="preserve">Suministro, transporte y aplicación de pintura trafico </t>
    </r>
    <r>
      <rPr>
        <sz val="11"/>
        <color theme="1"/>
        <rFont val="Arial"/>
        <family val="2"/>
      </rPr>
      <t>ACRILICA BASE SOLVENTE para demarcacion de TEXTO DE ZONA ESCOLAR en via proximidad de zonas escolares. Incluye transporte e instalacion, todolo necesario par la correcta instalacion y funcionamiento.</t>
    </r>
  </si>
  <si>
    <r>
      <t xml:space="preserve">Suministro, transporte y aplicación de pintura trafico </t>
    </r>
    <r>
      <rPr>
        <sz val="8"/>
        <color theme="1"/>
        <rFont val="Arial"/>
        <family val="2"/>
      </rPr>
      <t xml:space="preserve">ACRILICA BASE SOLVENTE para demarcacion de TEXTO DE ZONA ESCOLAR en via proximidad de zonas escolares. INCLUYE TODO LO NECESARIO PARA LA CORRECTA INSTALACIÓN Y FUNCIONAMIENTO. </t>
    </r>
  </si>
  <si>
    <t>APU13</t>
  </si>
  <si>
    <r>
      <t xml:space="preserve">Suministro, transporte y aplicación de pintura trafico </t>
    </r>
    <r>
      <rPr>
        <sz val="11"/>
        <color theme="1"/>
        <rFont val="Arial"/>
        <family val="2"/>
      </rPr>
      <t>ACRILICA BASE SOLVENTE para demarcacion de VELOCIDAD MAXIMA en via proximidad de zonas escolares, incluye  todo lo necesario para su correcta instalación, color blanco. Incluye transporte e instalacion, todolo necesario par la correcta instalacion y funcionamiento.</t>
    </r>
  </si>
  <si>
    <r>
      <t xml:space="preserve">Suministro, transporte y aplicación de pintura trafico </t>
    </r>
    <r>
      <rPr>
        <sz val="8"/>
        <color theme="1"/>
        <rFont val="Arial"/>
        <family val="2"/>
      </rPr>
      <t xml:space="preserve">ACRILICA BASE SOLVENTE para demarcacion de VELOCIDAD MAXIMA en via proximidad de zonas escolares, incluye  todo lo necesario para su correcta instalación, color blanco. INCLUYE TODO LO NECESARIO PARA LA CORRECTA INSTALACIÓN Y FUNCIONAMIENTO. </t>
    </r>
  </si>
  <si>
    <t>APU14</t>
  </si>
  <si>
    <r>
      <t>Suministro transporte   e instalación de</t>
    </r>
    <r>
      <rPr>
        <sz val="11"/>
        <color theme="1"/>
        <rFont val="Arial"/>
        <family val="2"/>
      </rPr>
      <t xml:space="preserve"> SEÑAL VERTICAL DE RESALTO de 60cms x 60cms acorde con las especificaciones del Manual de Señalización Nacional, en los sitios indicados, incluye material reflectivo grado diamante, orlas y letras en diamante, estructura metálica en acero galvanizado en tubería de 2 pulgadas, con la señalización y  mensajes indicados por la Secretaría de Movilidad. Incluye transporte e instalacion, todolo necesario par la correcta instalacion y funcionamiento.</t>
    </r>
  </si>
  <si>
    <t>APU15</t>
  </si>
  <si>
    <t>APU16</t>
  </si>
  <si>
    <t>AU</t>
  </si>
  <si>
    <t>VALOR TOTAL DEL PROYECTO</t>
  </si>
  <si>
    <t>_____________________________________</t>
  </si>
  <si>
    <t>FIRMA PROFESIONAL ENCARGADO</t>
  </si>
  <si>
    <t>II. SEÑALIZACION HORIZONTAL URBANA</t>
  </si>
  <si>
    <t>III. SEÑALIZACION HORIZONTAL RURAL</t>
  </si>
  <si>
    <t>IV. CONTROL DE TRAFICO URBANO</t>
  </si>
  <si>
    <t>CONVENIO INTERADMINISTRATIVO</t>
  </si>
  <si>
    <t>TOTAL COSTO PROYECTO</t>
  </si>
  <si>
    <t>MEJORAMIENTO DE VIAS URBANAS Y RURALES DEL MUNICIPIO DE BURITICÁ ANTIOQUIA</t>
  </si>
  <si>
    <t>Dia</t>
  </si>
  <si>
    <t>M3</t>
  </si>
  <si>
    <t>M3/km</t>
  </si>
  <si>
    <t>Suministro, transporte y aplicacion de pintura trafico ACRILICA BASE SOLVENTE para demarcación de marcas viales  en pisos (flechas direccionales, flechas de fin de carril, textos, pares, triángulos ceda el paso, diamantes ceda el paso, textos de zona escolar, símbolos y pictogramas, entre otros, en pavimentos en zona urbana) .Incluye transporte e instalacion, todolo necesario par la correcta instalacion y funcionamiento.</t>
  </si>
  <si>
    <t>SUBTOTAL COSTO DIRECTO</t>
  </si>
  <si>
    <r>
      <t xml:space="preserve">Suministro, transporte y colocación de mezcla asfáltica MDC-19 para </t>
    </r>
    <r>
      <rPr>
        <sz val="11"/>
        <color theme="1"/>
        <rFont val="Arial"/>
        <family val="2"/>
      </rPr>
      <t>CONSTRUCCION DE RESALTOS (Ancho variable entre 2m y 2,50m  X 10 cm de Alto) .Compactada con medios mecánicos según normas para la construcción de pavimentos del INVIAS. I Incluye transporte e instalacion, todolo necesario par la correcta instalacion y funcionamiento., Incluye riego de liga.</t>
    </r>
  </si>
  <si>
    <t>TOTAL COSTO DIRECTO PROYECTO DE MEJORAMIENTO MALLA VIAL</t>
  </si>
  <si>
    <t xml:space="preserve">“FORMULARIO DE ANALISIS DETALLADO DE ADMINISTRACION Y UTILIDAD (A.U.) Y VALOR TOTAL DE LA OFERTA" </t>
  </si>
  <si>
    <t>VALOR DEL CONTRATO</t>
  </si>
  <si>
    <t>Item</t>
  </si>
  <si>
    <t>Descripción</t>
  </si>
  <si>
    <t>Unidad</t>
  </si>
  <si>
    <t>Cantidad</t>
  </si>
  <si>
    <t>Valor/Mes Base</t>
  </si>
  <si>
    <t>Factor Prestacional</t>
  </si>
  <si>
    <t>Dedicación</t>
  </si>
  <si>
    <t>Meses</t>
  </si>
  <si>
    <t>V/Parcial</t>
  </si>
  <si>
    <t>Personal Profesional y técnico</t>
  </si>
  <si>
    <t>Residente Tecnologo en costrucciones civiles</t>
  </si>
  <si>
    <t>MES</t>
  </si>
  <si>
    <t xml:space="preserve">Personal Operativo </t>
  </si>
  <si>
    <t xml:space="preserve">Secretaria </t>
  </si>
  <si>
    <t>Papelería</t>
  </si>
  <si>
    <t>Equipo o alquiler de equipo de oficina, (incluye escritorios, sillas, computador, impresora)</t>
  </si>
  <si>
    <t>Impacto Comunitario</t>
  </si>
  <si>
    <t>UN</t>
  </si>
  <si>
    <t>Polizas</t>
  </si>
  <si>
    <t>GLOBAL</t>
  </si>
  <si>
    <t>Instalaciones provisionales</t>
  </si>
  <si>
    <t>Campamento (oficina y bodega)</t>
  </si>
  <si>
    <t>Servicio públicos  Servicios  públicos,  incluye servicios  de comunicaciones  (teléfono, fax, internet), y otros.</t>
  </si>
  <si>
    <t>Administración</t>
  </si>
  <si>
    <t>A</t>
  </si>
  <si>
    <t>%</t>
  </si>
  <si>
    <t>Utilidad</t>
  </si>
  <si>
    <t>U</t>
  </si>
  <si>
    <t>COSTO DIRECTO</t>
  </si>
  <si>
    <t>Impuestos (estampillas y deducciones)</t>
  </si>
  <si>
    <t>Director de Obra (Ingeniero civil o de Vias y Transportes)</t>
  </si>
  <si>
    <t>Tecnológo SST</t>
  </si>
  <si>
    <t>Mensajero</t>
  </si>
  <si>
    <t>Implementacion de PMA</t>
  </si>
  <si>
    <t>PLAN DE MANEJO AMBIENTAL - PMA</t>
  </si>
  <si>
    <t>PROGRAMA / PROYECTO GESTIÓN AMBIENTAL</t>
  </si>
  <si>
    <t>UNIDAD</t>
  </si>
  <si>
    <t>CANTIDAD</t>
  </si>
  <si>
    <t>VR.UNITARIO</t>
  </si>
  <si>
    <t>VALOR TOTAL</t>
  </si>
  <si>
    <t>ACTIVIDADES DE CAPACITACIÓN</t>
  </si>
  <si>
    <t xml:space="preserve">MANEJO Y DISPOSICION FINAL DE RESIDUOS SOLIDOS CONVENCIONALES Y ESPECIALES  </t>
  </si>
  <si>
    <t/>
  </si>
  <si>
    <t xml:space="preserve">SEÑALIZACIÓN FRENTES DE OBRASY SITIOS TEMPORALES (DEMARCACIÓN DE ÁREAS DE TRABAJO Y CENTROS DE ACOPIO) </t>
  </si>
  <si>
    <t>M</t>
  </si>
  <si>
    <t>ROLLO</t>
  </si>
  <si>
    <t xml:space="preserve">PROYECTO DE MANEJO INTEGRAL DE MATERIALES DE CONSTRUCCION Y MANEJO DE FUENTES DE EMISIONES ATMOSFÉRICAS </t>
  </si>
  <si>
    <t>DÍA</t>
  </si>
  <si>
    <t>MANEJO DE RESIDUOS LÍQUIDOS DOMÉSTICOS E INDUSTRIALES</t>
  </si>
  <si>
    <t xml:space="preserve">KIT DE EMERGENCIA PARA DERRAMES </t>
  </si>
  <si>
    <t>SUBTOTAL GESTIÓN AMBIENTAL</t>
  </si>
  <si>
    <t xml:space="preserve">PROGRAMA DE SEGURIDAD Y SALUD EN EL TRABAJO </t>
  </si>
  <si>
    <t>DOTACIÓN DE CAMPAMENTOS  /INSTALACIONES PROVISIONALES</t>
  </si>
  <si>
    <t>IMAGEN INSTITUCIONAL</t>
  </si>
  <si>
    <t>SUBTOTAL GESTIÓN SEGURIDAD Y SALUD EN EL TRABAJO</t>
  </si>
  <si>
    <t>GESTIÓN SOCIAL</t>
  </si>
  <si>
    <t xml:space="preserve">INFORMACIÓN Y DIVULGACIÓN </t>
  </si>
  <si>
    <t>SUBTOTAL GESTIÓN SOCIAL</t>
  </si>
  <si>
    <t>TOTAL PLAN DE MANEJO AMBIENTAL - PMA</t>
  </si>
  <si>
    <t>Papelería, tinta, fotocopias y otros</t>
  </si>
  <si>
    <t>Pólizas</t>
  </si>
  <si>
    <r>
      <rPr>
        <b/>
        <sz val="11"/>
        <rFont val="Arial"/>
        <family val="2"/>
      </rPr>
      <t xml:space="preserve">TOTAL AU </t>
    </r>
    <r>
      <rPr>
        <sz val="11"/>
        <rFont val="Arial"/>
        <family val="2"/>
      </rPr>
      <t>(Suma de A + U)</t>
    </r>
  </si>
  <si>
    <r>
      <rPr>
        <b/>
        <sz val="11"/>
        <rFont val="Arial"/>
        <family val="2"/>
      </rPr>
      <t xml:space="preserve">COSTO TOTAL  </t>
    </r>
    <r>
      <rPr>
        <sz val="11"/>
        <rFont val="Arial"/>
        <family val="2"/>
      </rPr>
      <t>(Costo Directo + Total AU)</t>
    </r>
  </si>
  <si>
    <t>Procultura Obra pública</t>
  </si>
  <si>
    <t>Pro-centro Día del anciano</t>
  </si>
  <si>
    <t>Pro-Hospitales público</t>
  </si>
  <si>
    <t>Tasa pro-deporte y recreación</t>
  </si>
  <si>
    <t>Fondo de seguridad</t>
  </si>
  <si>
    <t>Actividades De Capacitación</t>
  </si>
  <si>
    <t>Juego De Tres Recipientes O Canecas De 55 Galones Incluye Iva</t>
  </si>
  <si>
    <t>Juego De Tres Canecas O Recipientes De 5 Galones (Para Campamento Y Frente De Obra) Incluye Iva</t>
  </si>
  <si>
    <t>Bolsas Polietileno Alta Densidad (Paquete 100 Unidades De  100 X 100). Incluye Iva</t>
  </si>
  <si>
    <t>Bolsas Polietileno Alta Densidad (Paquete 100 Unidades De  24X24) Incluye Iva</t>
  </si>
  <si>
    <t xml:space="preserve">Disposición De Residuos Peligrosos Y Especiales Con Empresas Certificadas </t>
  </si>
  <si>
    <t>Tela Verde Zarán De H=2,50 Y Estacones Redondos A Cada 1,50 M</t>
  </si>
  <si>
    <t>Balizas Con Bandas Reflectivas. (Incluye Iva)</t>
  </si>
  <si>
    <t>Cinta Señalización Calibre 4, 12 Cm De Alto, Color Naranja - Blanco O Amarillo- Negro, De 500 M. (Incluye Iva)</t>
  </si>
  <si>
    <t>Humectación De Vía/Áreas De Trabajo Para Control De Material Particulado (Incluye Iva)</t>
  </si>
  <si>
    <t xml:space="preserve">Teleras 1,35M X 0,90 M </t>
  </si>
  <si>
    <t xml:space="preserve">Plástico Negro Polietileno De Grueso Calibre,  (150 M, Calibre 3.5 Ancho De 3 M). </t>
  </si>
  <si>
    <t>Señales De Campamento - Avisos En Polietileno De 30 X 50 Cm    (Incluye Iva)</t>
  </si>
  <si>
    <t>Camilla Emergencia Polietileno 185X45Cm (Incluye Iva)</t>
  </si>
  <si>
    <t>Extintor Abc 20 Lb (Incluye Iva)</t>
  </si>
  <si>
    <t xml:space="preserve">Botiquín Cruz Roja De Primeros Auxilios Ref. 115 En Lona </t>
  </si>
  <si>
    <t>Lona Para Vehículo (Volqueta O Camión) De 1,50 X 0,80 M, Impresión Injekt Resistente A La Intemperie</t>
  </si>
  <si>
    <t xml:space="preserve">Carné Personal. </t>
  </si>
  <si>
    <t xml:space="preserve">Productos De Litografia: Afiches, Volantes, Plegables, Formatos.   </t>
  </si>
  <si>
    <t>Buzón Pqrs En Acrílico Según Diseño Suministrado Por La Entidad (0,35M*0,45M)</t>
  </si>
  <si>
    <t xml:space="preserve">Reuniones, Talleres Informativos Y De Socialización Con La Comunidad Afectada Por El Proyecto. Inicio, Avance Y Fin De Obra. Incluye Logística Y Refrigerios. </t>
  </si>
  <si>
    <t>ANÁLISIS DE PRECIOS UNITARIOS</t>
  </si>
  <si>
    <t>UNIDAD:</t>
  </si>
  <si>
    <t>M2</t>
  </si>
  <si>
    <t>I. EQUIPO</t>
  </si>
  <si>
    <t>Tipo</t>
  </si>
  <si>
    <t>Tarifa/Hora</t>
  </si>
  <si>
    <t>Rendimiento</t>
  </si>
  <si>
    <t>Valor Unit.</t>
  </si>
  <si>
    <t>Valor Parcial</t>
  </si>
  <si>
    <t>Equipo de limpieza (soplador )</t>
  </si>
  <si>
    <t>Gasolina</t>
  </si>
  <si>
    <t>Herramienta menor 5% M.O.</t>
  </si>
  <si>
    <t>Global</t>
  </si>
  <si>
    <t>Sub-Total</t>
  </si>
  <si>
    <t>II. MATERIALES EN OBRA</t>
  </si>
  <si>
    <t>Precio Unit.</t>
  </si>
  <si>
    <t>Galón</t>
  </si>
  <si>
    <t>Cinta de enmascarar (40 m por pulgada)</t>
  </si>
  <si>
    <t>unidad</t>
  </si>
  <si>
    <t>Disolvente de limpieza</t>
  </si>
  <si>
    <t>III. TRANSPORTES</t>
  </si>
  <si>
    <t>Material</t>
  </si>
  <si>
    <t>Vol., peso o cant.</t>
  </si>
  <si>
    <t>Distancia</t>
  </si>
  <si>
    <r>
      <t>m</t>
    </r>
    <r>
      <rPr>
        <vertAlign val="superscript"/>
        <sz val="12"/>
        <rFont val="Arial"/>
        <family val="2"/>
      </rPr>
      <t>3</t>
    </r>
    <r>
      <rPr>
        <sz val="12"/>
        <rFont val="Arial"/>
        <family val="2"/>
      </rPr>
      <t>-km</t>
    </r>
  </si>
  <si>
    <t>Tarifa</t>
  </si>
  <si>
    <t>Vehículos para transporte de personal, equipos y PMT</t>
  </si>
  <si>
    <t>Vehículos para transporte de materiales</t>
  </si>
  <si>
    <t>IV. MANO DE OBRA</t>
  </si>
  <si>
    <t>Trabajador</t>
  </si>
  <si>
    <t>hora</t>
  </si>
  <si>
    <t>Prestaciones</t>
  </si>
  <si>
    <t>Jornal Total</t>
  </si>
  <si>
    <t>Encargado de Cuadrilla</t>
  </si>
  <si>
    <t>Punteadores</t>
  </si>
  <si>
    <t>Auxiliares de obra</t>
  </si>
  <si>
    <t>Obreros</t>
  </si>
  <si>
    <t>Total Costo Directo</t>
  </si>
  <si>
    <t>ML</t>
  </si>
  <si>
    <t>Airless</t>
  </si>
  <si>
    <t>Aplicador de alúmina antideslizante y/o microesfera,  presurizado</t>
  </si>
  <si>
    <t>ITEM: 6</t>
  </si>
  <si>
    <t>Equipo aplicador de pintura acrílica base solvente</t>
  </si>
  <si>
    <t>Pintura acrílica base solvente</t>
  </si>
  <si>
    <t>Ajustador Xilol</t>
  </si>
  <si>
    <t xml:space="preserve">Vehículos para transporte de Materiales </t>
  </si>
  <si>
    <t>ITEM: 16</t>
  </si>
  <si>
    <t>Pintura Acrílica base solvente</t>
  </si>
  <si>
    <t>Suministro, transporte y aplicacion de pintura trafico ACRILICA BASE SOLVENTE para LINEA DE 0,12 mts para canalizacion central, bermas y celdas de estacionamiento, en pavimentos en zona urbana. .Incluye transporte e instalacion, todolo necesario par la correcta instalacion y funcionamiento.</t>
  </si>
  <si>
    <t>ITEM: 7</t>
  </si>
  <si>
    <t>Suministro, transporte y aplicacion de pintura trafico ACRILICA BASE SOLVENTE para LINEA DE 0,40 mts para crucero, cebras, pasos peatonales, líneas logarítmicas, línea de pare entre otros, en pavimentos en zona urbana. .Incluye transporte e instalacion, todolo necesario par la correcta instalacion y funcionamiento.</t>
  </si>
  <si>
    <t>Suministro, transporte y aplicacion de pintura ACRILICA BASE SOLVENTE para LINEA DE 0,12 mts para canalizacion central, bermas y celdas de estacionamiento, en pavimentos en zona rural. Incluye transporte e instalacion, todolo necesario par la correcta instalacion y funcionamiento. Con Microesfera reflectiva.</t>
  </si>
  <si>
    <t>Microesfera reflectiva</t>
  </si>
  <si>
    <t>ITEM: 10</t>
  </si>
  <si>
    <t>Herramientas Menores 5% MO</t>
  </si>
  <si>
    <t>Precio-Unit.</t>
  </si>
  <si>
    <t xml:space="preserve">Señal vertical convencional 0.60 x 0.60, reflectivo tipo XI en  ángulo de 2"x2"x1/4" </t>
  </si>
  <si>
    <t>Concreto 210 kg/cm2</t>
  </si>
  <si>
    <t>m3</t>
  </si>
  <si>
    <t>Concreto 210 kg/cm2 grouting</t>
  </si>
  <si>
    <t>Vol-peso ó Cant.</t>
  </si>
  <si>
    <r>
      <t>M</t>
    </r>
    <r>
      <rPr>
        <b/>
        <i/>
        <vertAlign val="superscript"/>
        <sz val="10"/>
        <rFont val="Century Gothic"/>
        <family val="2"/>
      </rPr>
      <t>3</t>
    </r>
    <r>
      <rPr>
        <b/>
        <i/>
        <sz val="10"/>
        <rFont val="Century Gothic"/>
        <family val="2"/>
      </rPr>
      <t>-Km</t>
    </r>
  </si>
  <si>
    <t>Transporte Señal completa</t>
  </si>
  <si>
    <t>Transporte de personal, equipos y PMT</t>
  </si>
  <si>
    <t>Número</t>
  </si>
  <si>
    <t>Jornal</t>
  </si>
  <si>
    <t>Auxiliar</t>
  </si>
  <si>
    <t>Encargado cuadrilla</t>
  </si>
  <si>
    <t>Obrero</t>
  </si>
  <si>
    <t>Suministro transporte   e instalación de SEÑAL VERTICAL DE RESALTO de 60cms x 60cms acorde con las especificaciones del Manual de Señalización Nacional, en los sitios indicados, incluye material reflectivo grado diamante, orlas y letras en diamante, estructura metálica en acero galvanizado en tubería de 2 pulgadas, con la señalización y  mensajes indicados por la Secretaría de Movilidad. Incluye transporte e instalacion, todolo necesario par la correcta instalacion y funcionamiento.</t>
  </si>
  <si>
    <t>ITEM: 11</t>
  </si>
  <si>
    <t>ITEM : 14</t>
  </si>
  <si>
    <t>Suministro, transporte y aplicación de pintura horizontal trafico ACRILICA BASE SOLVENTE para demarcacion de PICTOGRAMA DE ZONA ESCOLAR en via proximidad de zonas escolares, incluye  todo lo necesario para su correcta instalación, color amarillo.IIncluye transporte e instalacion, todolo necesario par la correcta instalacion y funcionamiento.</t>
  </si>
  <si>
    <t>ITEM: 12</t>
  </si>
  <si>
    <t>Suministro, transporte y aplicación de pintura trafico ACRILICA BASE SOLVENTE para demarcacion de TEXTO DE ZONA ESCOLAR en via proximidad de zonas escolares. Incluye transporte e instalacion, todolo necesario par la correcta instalacion y funcionamiento.</t>
  </si>
  <si>
    <t>ITEM: 13</t>
  </si>
  <si>
    <t>Suministro, transporte y aplicación de pintura trafico ACRILICA BASE SOLVENTE para demarcacion de VELOCIDAD MAXIMA en via proximidad de zonas escolares, incluye  todo lo necesario para su correcta instalación, color blanco. Incluye transporte e instalacion, todolo necesario par la correcta instalacion y funcionamiento.</t>
  </si>
  <si>
    <t>ITEM: 1</t>
  </si>
  <si>
    <t>DIA</t>
  </si>
  <si>
    <t>Estacion total</t>
  </si>
  <si>
    <t>Nivl de precision</t>
  </si>
  <si>
    <t>Puntilla 2" sin cabeza</t>
  </si>
  <si>
    <t>Larguero madera común 4x0.08x2.8</t>
  </si>
  <si>
    <t>Esmalte sintetico unicolor Blanco</t>
  </si>
  <si>
    <t>Lb</t>
  </si>
  <si>
    <t>Und</t>
  </si>
  <si>
    <t>Gal</t>
  </si>
  <si>
    <t>Topografo</t>
  </si>
  <si>
    <t>Cadenero</t>
  </si>
  <si>
    <t>Herramienta menor</t>
  </si>
  <si>
    <t>Demoledor</t>
  </si>
  <si>
    <t>ITEM: 2</t>
  </si>
  <si>
    <t>Transporte de sobrantes</t>
  </si>
  <si>
    <t>Ayudante entendido</t>
  </si>
  <si>
    <t>Ayudante raso</t>
  </si>
  <si>
    <r>
      <t>m</t>
    </r>
    <r>
      <rPr>
        <vertAlign val="superscript"/>
        <sz val="11"/>
        <rFont val="Arial"/>
        <family val="2"/>
      </rPr>
      <t>3</t>
    </r>
    <r>
      <rPr>
        <sz val="11"/>
        <rFont val="Arial"/>
        <family val="2"/>
      </rPr>
      <t>-km</t>
    </r>
  </si>
  <si>
    <t>ITEM: 3</t>
  </si>
  <si>
    <t xml:space="preserve">Compactador </t>
  </si>
  <si>
    <t>Tarifa/Dia</t>
  </si>
  <si>
    <t>Base granular</t>
  </si>
  <si>
    <t>ITEM: 4</t>
  </si>
  <si>
    <t>Contreto 28 Mpa</t>
  </si>
  <si>
    <t>Transporte de Materiales</t>
  </si>
  <si>
    <t>Oficial de Construccion</t>
  </si>
  <si>
    <t>Equipos de preparacion</t>
  </si>
  <si>
    <t>ITEM: 5</t>
  </si>
  <si>
    <t>Equipo compactador</t>
  </si>
  <si>
    <t>Mezcla asfaltica</t>
  </si>
  <si>
    <t>Ton</t>
  </si>
  <si>
    <t>Liga</t>
  </si>
  <si>
    <t>Suministro, transporte y colocación de mezcla asfáltica MDC-19 para CONSTRUCCION DE RESALTOS (Ancho variable entre 2m y 2,50m  X 10 cm de Alto) .Compactada con medios mecánicos según normas para la construcción de pavimentos del INVIAS. I Incluye transporte e instalacion, todolo necesario par la correcta instalacion y funcionamiento., Incluye riego de liga.</t>
  </si>
  <si>
    <t>ITEM: 15</t>
  </si>
  <si>
    <t>Rastrilleros</t>
  </si>
  <si>
    <t>INTERVENTORÍA</t>
  </si>
  <si>
    <t>ICA</t>
  </si>
  <si>
    <t>ADMINISTRACION EDEREM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</si>
</sst>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44" formatCode="_-&quot;$&quot;\ * #,##0.00_-;\-&quot;$&quot;\ * #,##0.00_-;_-&quot;$&quot;\ * &quot;-&quot;??_-;_-@_-"/>
    <numFmt numFmtId="164" formatCode="_(&quot;$&quot;\ * #,##0.00_);_(&quot;$&quot;\ * \(#,##0.00\);_(&quot;$&quot;\ * &quot;-&quot;??_);_(@_)"/>
    <numFmt numFmtId="165" formatCode="_ * #,##0.00_ ;_ * \-#,##0.00_ ;_ * &quot;-&quot;??_ ;_ @_ "/>
    <numFmt numFmtId="166" formatCode="&quot;$&quot;\ #,##0.00"/>
    <numFmt numFmtId="167" formatCode="_(* #,##0.00_);_(* \(#,##0.00\);_(* &quot;-&quot;??_);_(@_)"/>
    <numFmt numFmtId="168" formatCode="&quot;$&quot;\ #,##0"/>
    <numFmt numFmtId="169" formatCode="_-&quot;$&quot;* #,##0_-;\-&quot;$&quot;* #,##0_-;_-&quot;$&quot;* &quot;-&quot;??_-;_-@_-"/>
    <numFmt numFmtId="170" formatCode="_-&quot;$&quot;\ * #,##0_-;\-&quot;$&quot;\ * #,##0_-;_-&quot;$&quot;\ * &quot;-&quot;??_-;_-@_-"/>
    <numFmt numFmtId="171" formatCode="0.0"/>
    <numFmt numFmtId="172" formatCode="\$\ #,##0"/>
    <numFmt numFmtId="173" formatCode="0.0%"/>
    <numFmt numFmtId="174" formatCode="_-[$$-240A]\ * #,##0_-;\-[$$-240A]\ * #,##0_-;_-[$$-240A]\ * &quot;-&quot;??_-;_-@_-"/>
    <numFmt numFmtId="175" formatCode="_-* #,##0.00\ _€_-;\-* #,##0.00\ _€_-;_-* &quot;-&quot;??\ _€_-;_-@_-"/>
    <numFmt numFmtId="176" formatCode="_-* #,##0\ _€_-;\-* #,##0\ _€_-;_-* &quot;-&quot;??\ _€_-;_-@_-"/>
    <numFmt numFmtId="177" formatCode="_-* #,##0.000\ _€_-;\-* #,##0.000\ _€_-;_-* &quot;-&quot;??\ _€_-;_-@_-"/>
    <numFmt numFmtId="178" formatCode="_-* #,##0.00_-;\-* #,##0.00_-;_-* &quot;-&quot;_-;_-@_-"/>
    <numFmt numFmtId="179" formatCode="_-* #,##0.0000000_-;\-* #,##0.0000000_-;_-* &quot;-&quot;_-;_-@_-"/>
    <numFmt numFmtId="180" formatCode="_-* #,##0.000_-;\-* #,##0.000_-;_-* &quot;-&quot;_-;_-@_-"/>
  </numFmts>
  <fonts count="36" x14ac:knownFonts="1">
    <font>
      <sz val="11"/>
      <color theme="1"/>
      <name val="Calibri"/>
      <family val="2"/>
      <scheme val="minor"/>
    </font>
    <font>
      <sz val="11"/>
      <color theme="1"/>
      <name val="Calibri"/>
      <family val="2"/>
      <scheme val="minor"/>
    </font>
    <font>
      <sz val="10"/>
      <name val="Arial"/>
      <family val="2"/>
    </font>
    <font>
      <b/>
      <sz val="11"/>
      <name val="Arial"/>
      <family val="2"/>
    </font>
    <font>
      <b/>
      <sz val="16"/>
      <name val="Arial"/>
      <family val="2"/>
    </font>
    <font>
      <sz val="11"/>
      <color rgb="FFFFFF00"/>
      <name val="Tahoma"/>
      <family val="2"/>
    </font>
    <font>
      <sz val="11"/>
      <color rgb="FF000000"/>
      <name val="Calibri"/>
      <family val="2"/>
    </font>
    <font>
      <sz val="11"/>
      <name val="Tahoma"/>
      <family val="2"/>
    </font>
    <font>
      <sz val="11"/>
      <name val="Arial"/>
      <family val="2"/>
    </font>
    <font>
      <sz val="11"/>
      <color theme="1"/>
      <name val="Arial"/>
      <family val="2"/>
    </font>
    <font>
      <sz val="8"/>
      <color theme="1"/>
      <name val="Arial"/>
      <family val="2"/>
    </font>
    <font>
      <b/>
      <sz val="12"/>
      <color theme="1"/>
      <name val="Arial"/>
      <family val="2"/>
    </font>
    <font>
      <b/>
      <sz val="9"/>
      <color theme="1"/>
      <name val="Arial"/>
      <family val="2"/>
    </font>
    <font>
      <b/>
      <sz val="12"/>
      <name val="Arial"/>
      <family val="2"/>
    </font>
    <font>
      <sz val="12"/>
      <name val="Arial Narrow"/>
      <family val="2"/>
    </font>
    <font>
      <b/>
      <sz val="12"/>
      <name val="Arial Narrow"/>
      <family val="2"/>
    </font>
    <font>
      <sz val="12"/>
      <name val="Arial"/>
      <family val="2"/>
    </font>
    <font>
      <sz val="11"/>
      <color rgb="FF000000"/>
      <name val="Arial"/>
      <family val="2"/>
    </font>
    <font>
      <b/>
      <sz val="11"/>
      <color rgb="FF000000"/>
      <name val="Arial"/>
      <family val="2"/>
    </font>
    <font>
      <sz val="11"/>
      <color indexed="8"/>
      <name val="Arial"/>
      <family val="2"/>
    </font>
    <font>
      <b/>
      <sz val="11"/>
      <color indexed="8"/>
      <name val="Arial"/>
      <family val="2"/>
    </font>
    <font>
      <sz val="12"/>
      <color theme="1"/>
      <name val="Arial"/>
      <family val="2"/>
    </font>
    <font>
      <b/>
      <i/>
      <sz val="12"/>
      <name val="Arial"/>
      <family val="2"/>
    </font>
    <font>
      <sz val="9"/>
      <name val="Arial"/>
      <family val="2"/>
    </font>
    <font>
      <vertAlign val="superscript"/>
      <sz val="12"/>
      <name val="Arial"/>
      <family val="2"/>
    </font>
    <font>
      <i/>
      <sz val="12"/>
      <name val="Arial"/>
      <family val="2"/>
    </font>
    <font>
      <b/>
      <sz val="10"/>
      <name val="Century Gothic"/>
      <family val="2"/>
    </font>
    <font>
      <sz val="10"/>
      <name val="Century Gothic"/>
      <family val="2"/>
    </font>
    <font>
      <sz val="10"/>
      <color theme="1"/>
      <name val="Century Gothic"/>
      <family val="2"/>
    </font>
    <font>
      <b/>
      <i/>
      <sz val="10"/>
      <name val="Century Gothic"/>
      <family val="2"/>
    </font>
    <font>
      <b/>
      <i/>
      <vertAlign val="superscript"/>
      <sz val="10"/>
      <name val="Century Gothic"/>
      <family val="2"/>
    </font>
    <font>
      <sz val="11"/>
      <color theme="1"/>
      <name val="Century Gothic"/>
      <family val="2"/>
    </font>
    <font>
      <b/>
      <sz val="12"/>
      <name val="Century Gothic"/>
      <family val="2"/>
    </font>
    <font>
      <b/>
      <i/>
      <sz val="11"/>
      <name val="Arial"/>
      <family val="2"/>
    </font>
    <font>
      <vertAlign val="superscript"/>
      <sz val="11"/>
      <name val="Arial"/>
      <family val="2"/>
    </font>
    <font>
      <sz val="11"/>
      <color rgb="FF000000"/>
      <name val="Arial Narrow"/>
      <family val="2"/>
    </font>
  </fonts>
  <fills count="14">
    <fill>
      <patternFill patternType="none"/>
    </fill>
    <fill>
      <patternFill patternType="gray125"/>
    </fill>
    <fill>
      <patternFill patternType="solid">
        <fgColor indexed="9"/>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B4C5E7"/>
      </patternFill>
    </fill>
    <fill>
      <patternFill patternType="solid">
        <fgColor rgb="FFD9D9D9"/>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39997558519241921"/>
        <bgColor indexed="64"/>
      </patternFill>
    </fill>
  </fills>
  <borders count="84">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top style="thin">
        <color rgb="FF000000"/>
      </top>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top style="thin">
        <color rgb="FF000000"/>
      </top>
      <bottom/>
      <diagonal/>
    </border>
    <border>
      <left/>
      <right style="medium">
        <color indexed="64"/>
      </right>
      <top style="thin">
        <color rgb="FF000000"/>
      </top>
      <bottom/>
      <diagonal/>
    </border>
    <border>
      <left style="thin">
        <color rgb="FF000000"/>
      </left>
      <right/>
      <top style="thin">
        <color rgb="FF000000"/>
      </top>
      <bottom style="thin">
        <color rgb="FF000000"/>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s>
  <cellStyleXfs count="13">
    <xf numFmtId="0" fontId="0" fillId="0" borderId="0"/>
    <xf numFmtId="167" fontId="6" fillId="0" borderId="0" applyFont="0" applyFill="0" applyBorder="0" applyAlignment="0" applyProtection="0"/>
    <xf numFmtId="164" fontId="6" fillId="0" borderId="0" applyFont="0" applyFill="0" applyBorder="0" applyAlignment="0" applyProtection="0"/>
    <xf numFmtId="0" fontId="2" fillId="0" borderId="0"/>
    <xf numFmtId="0" fontId="1" fillId="0" borderId="0"/>
    <xf numFmtId="0" fontId="2" fillId="0" borderId="0"/>
    <xf numFmtId="165" fontId="2" fillId="0" borderId="0" applyFont="0" applyFill="0" applyBorder="0" applyAlignment="0" applyProtection="0"/>
    <xf numFmtId="164" fontId="2" fillId="0" borderId="0" applyFont="0" applyFill="0" applyBorder="0" applyAlignment="0" applyProtection="0"/>
    <xf numFmtId="0" fontId="1" fillId="0" borderId="0"/>
    <xf numFmtId="0" fontId="2" fillId="0" borderId="0"/>
    <xf numFmtId="175"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cellStyleXfs>
  <cellXfs count="659">
    <xf numFmtId="0" fontId="0" fillId="0" borderId="0" xfId="0"/>
    <xf numFmtId="0" fontId="5" fillId="0" borderId="0" xfId="4" applyFont="1"/>
    <xf numFmtId="164" fontId="7" fillId="0" borderId="0" xfId="2" applyFont="1"/>
    <xf numFmtId="0" fontId="7" fillId="0" borderId="0" xfId="4" applyFont="1"/>
    <xf numFmtId="3" fontId="8" fillId="0" borderId="15" xfId="5" applyNumberFormat="1" applyFont="1" applyBorder="1" applyAlignment="1">
      <alignment horizontal="center" vertical="center"/>
    </xf>
    <xf numFmtId="4" fontId="8" fillId="0" borderId="16" xfId="5" applyNumberFormat="1" applyFont="1" applyBorder="1" applyAlignment="1">
      <alignment horizontal="center" vertical="center" wrapText="1"/>
    </xf>
    <xf numFmtId="4" fontId="8" fillId="0" borderId="17" xfId="5" applyNumberFormat="1" applyFont="1" applyBorder="1" applyAlignment="1">
      <alignment horizontal="center" vertical="center" wrapText="1"/>
    </xf>
    <xf numFmtId="4" fontId="8" fillId="0" borderId="17" xfId="6" applyNumberFormat="1" applyFont="1" applyFill="1" applyBorder="1" applyAlignment="1" applyProtection="1">
      <alignment horizontal="center" vertical="center"/>
      <protection hidden="1"/>
    </xf>
    <xf numFmtId="166" fontId="8" fillId="0" borderId="18" xfId="7" applyNumberFormat="1" applyFont="1" applyFill="1" applyBorder="1" applyAlignment="1" applyProtection="1">
      <alignment vertical="center" wrapText="1"/>
    </xf>
    <xf numFmtId="3" fontId="8" fillId="0" borderId="19" xfId="5" applyNumberFormat="1" applyFont="1" applyBorder="1" applyAlignment="1">
      <alignment horizontal="center" vertical="center"/>
    </xf>
    <xf numFmtId="4" fontId="8" fillId="0" borderId="14" xfId="5" applyNumberFormat="1" applyFont="1" applyBorder="1" applyAlignment="1">
      <alignment horizontal="center" vertical="center" wrapText="1"/>
    </xf>
    <xf numFmtId="4" fontId="8" fillId="0" borderId="14" xfId="6" applyNumberFormat="1" applyFont="1" applyFill="1" applyBorder="1" applyAlignment="1" applyProtection="1">
      <alignment horizontal="center" vertical="center"/>
      <protection hidden="1"/>
    </xf>
    <xf numFmtId="166" fontId="8" fillId="0" borderId="20" xfId="7" applyNumberFormat="1" applyFont="1" applyFill="1" applyBorder="1" applyAlignment="1" applyProtection="1">
      <alignment vertical="center" wrapText="1"/>
    </xf>
    <xf numFmtId="3" fontId="8" fillId="0" borderId="21" xfId="5" applyNumberFormat="1" applyFont="1" applyBorder="1" applyAlignment="1">
      <alignment horizontal="center" vertical="center"/>
    </xf>
    <xf numFmtId="4" fontId="8" fillId="0" borderId="22" xfId="5" applyNumberFormat="1" applyFont="1" applyBorder="1" applyAlignment="1">
      <alignment horizontal="center" vertical="center" wrapText="1"/>
    </xf>
    <xf numFmtId="4" fontId="8" fillId="0" borderId="22" xfId="6" applyNumberFormat="1" applyFont="1" applyFill="1" applyBorder="1" applyAlignment="1" applyProtection="1">
      <alignment horizontal="center" vertical="center"/>
      <protection hidden="1"/>
    </xf>
    <xf numFmtId="166" fontId="8" fillId="0" borderId="23" xfId="7" applyNumberFormat="1" applyFont="1" applyFill="1" applyBorder="1" applyAlignment="1" applyProtection="1">
      <alignment vertical="center" wrapText="1"/>
    </xf>
    <xf numFmtId="166" fontId="8" fillId="0" borderId="17" xfId="7" applyNumberFormat="1" applyFont="1" applyFill="1" applyBorder="1" applyAlignment="1" applyProtection="1">
      <alignment vertical="center" wrapText="1"/>
    </xf>
    <xf numFmtId="166" fontId="8" fillId="0" borderId="14" xfId="7" applyNumberFormat="1" applyFont="1" applyFill="1" applyBorder="1" applyAlignment="1" applyProtection="1">
      <alignment vertical="center" wrapText="1"/>
    </xf>
    <xf numFmtId="166" fontId="8" fillId="0" borderId="22" xfId="7" applyNumberFormat="1" applyFont="1" applyFill="1" applyBorder="1" applyAlignment="1" applyProtection="1">
      <alignment vertical="center" wrapText="1"/>
    </xf>
    <xf numFmtId="166" fontId="5" fillId="0" borderId="0" xfId="4" applyNumberFormat="1" applyFont="1"/>
    <xf numFmtId="167" fontId="7" fillId="0" borderId="0" xfId="1" applyFont="1" applyAlignment="1">
      <alignment horizontal="center" vertical="center"/>
    </xf>
    <xf numFmtId="0" fontId="8" fillId="0" borderId="0" xfId="4" applyFont="1"/>
    <xf numFmtId="0" fontId="8" fillId="0" borderId="0" xfId="4" applyFont="1" applyAlignment="1">
      <alignment horizontal="justify"/>
    </xf>
    <xf numFmtId="168" fontId="8" fillId="0" borderId="0" xfId="4" applyNumberFormat="1" applyFont="1"/>
    <xf numFmtId="0" fontId="3" fillId="4" borderId="12" xfId="3" applyFont="1" applyFill="1" applyBorder="1" applyAlignment="1">
      <alignment horizontal="center" vertical="center" wrapText="1"/>
    </xf>
    <xf numFmtId="0" fontId="3" fillId="4" borderId="13" xfId="3" applyFont="1" applyFill="1" applyBorder="1" applyAlignment="1">
      <alignment horizontal="center" vertical="center" wrapText="1"/>
    </xf>
    <xf numFmtId="0" fontId="3" fillId="4" borderId="14" xfId="3" applyFont="1" applyFill="1" applyBorder="1" applyAlignment="1">
      <alignment horizontal="center" vertical="center" wrapText="1"/>
    </xf>
    <xf numFmtId="166" fontId="3" fillId="5" borderId="0" xfId="7" applyNumberFormat="1" applyFont="1" applyFill="1" applyBorder="1" applyAlignment="1" applyProtection="1">
      <alignment vertical="center" wrapText="1"/>
    </xf>
    <xf numFmtId="169" fontId="12" fillId="8" borderId="20" xfId="2" applyNumberFormat="1" applyFont="1" applyFill="1" applyBorder="1" applyAlignment="1">
      <alignment horizontal="justify" vertical="center"/>
    </xf>
    <xf numFmtId="3" fontId="3" fillId="5" borderId="0" xfId="5" applyNumberFormat="1" applyFont="1" applyFill="1" applyAlignment="1">
      <alignment horizontal="right" vertical="center"/>
    </xf>
    <xf numFmtId="169" fontId="12" fillId="7" borderId="18" xfId="2" applyNumberFormat="1" applyFont="1" applyFill="1" applyBorder="1" applyAlignment="1">
      <alignment horizontal="justify" vertical="center"/>
    </xf>
    <xf numFmtId="169" fontId="12" fillId="7" borderId="31" xfId="2" applyNumberFormat="1" applyFont="1" applyFill="1" applyBorder="1" applyAlignment="1">
      <alignment horizontal="justify" vertical="center"/>
    </xf>
    <xf numFmtId="3" fontId="8" fillId="0" borderId="22" xfId="5" applyNumberFormat="1" applyFont="1" applyBorder="1" applyAlignment="1">
      <alignment horizontal="center" vertical="center"/>
    </xf>
    <xf numFmtId="10" fontId="3" fillId="5" borderId="14" xfId="7" applyNumberFormat="1" applyFont="1" applyFill="1" applyBorder="1" applyAlignment="1" applyProtection="1">
      <alignment horizontal="right" vertical="center" wrapText="1"/>
    </xf>
    <xf numFmtId="4" fontId="8" fillId="0" borderId="27" xfId="5" applyNumberFormat="1" applyFont="1" applyBorder="1" applyAlignment="1">
      <alignment horizontal="center" vertical="center" wrapText="1"/>
    </xf>
    <xf numFmtId="3" fontId="8" fillId="0" borderId="33" xfId="5" applyNumberFormat="1" applyFont="1" applyBorder="1" applyAlignment="1">
      <alignment horizontal="center" vertical="center"/>
    </xf>
    <xf numFmtId="168" fontId="3" fillId="5" borderId="32" xfId="7" applyNumberFormat="1" applyFont="1" applyFill="1" applyBorder="1" applyAlignment="1" applyProtection="1">
      <alignment vertical="center"/>
    </xf>
    <xf numFmtId="168" fontId="3" fillId="5" borderId="20" xfId="4" applyNumberFormat="1" applyFont="1" applyFill="1" applyBorder="1" applyAlignment="1">
      <alignment vertical="center"/>
    </xf>
    <xf numFmtId="168" fontId="3" fillId="5" borderId="29" xfId="7" applyNumberFormat="1" applyFont="1" applyFill="1" applyBorder="1" applyAlignment="1" applyProtection="1">
      <alignment vertical="center" wrapText="1"/>
    </xf>
    <xf numFmtId="0" fontId="17" fillId="0" borderId="0" xfId="0" applyFont="1" applyAlignment="1">
      <alignment horizontal="left" vertical="top"/>
    </xf>
    <xf numFmtId="167" fontId="17" fillId="0" borderId="0" xfId="1" applyFont="1" applyAlignment="1">
      <alignment horizontal="left" vertical="top"/>
    </xf>
    <xf numFmtId="0" fontId="3" fillId="9" borderId="39" xfId="0" applyFont="1" applyFill="1" applyBorder="1" applyAlignment="1">
      <alignment horizontal="center" vertical="center" wrapText="1"/>
    </xf>
    <xf numFmtId="0" fontId="3" fillId="9" borderId="40" xfId="0" applyFont="1" applyFill="1" applyBorder="1" applyAlignment="1">
      <alignment horizontal="center" vertical="center" wrapText="1"/>
    </xf>
    <xf numFmtId="0" fontId="3" fillId="9" borderId="41" xfId="0" applyFont="1" applyFill="1" applyBorder="1" applyAlignment="1">
      <alignment horizontal="center" vertical="center" wrapText="1"/>
    </xf>
    <xf numFmtId="0" fontId="3" fillId="9" borderId="43" xfId="0" applyFont="1" applyFill="1" applyBorder="1" applyAlignment="1">
      <alignment horizontal="center" vertical="center" wrapText="1"/>
    </xf>
    <xf numFmtId="0" fontId="3" fillId="9" borderId="44" xfId="0" applyFont="1" applyFill="1" applyBorder="1" applyAlignment="1">
      <alignment horizontal="center" vertical="center" wrapText="1"/>
    </xf>
    <xf numFmtId="0" fontId="3" fillId="9" borderId="45" xfId="0" applyFont="1" applyFill="1" applyBorder="1" applyAlignment="1">
      <alignment horizontal="center" vertical="center" wrapText="1"/>
    </xf>
    <xf numFmtId="0" fontId="3" fillId="9" borderId="46" xfId="0" applyFont="1" applyFill="1" applyBorder="1" applyAlignment="1">
      <alignment horizontal="center" vertical="center" wrapText="1"/>
    </xf>
    <xf numFmtId="0" fontId="17" fillId="0" borderId="0" xfId="0" applyFont="1" applyAlignment="1">
      <alignment horizontal="left" vertical="center"/>
    </xf>
    <xf numFmtId="167" fontId="17" fillId="0" borderId="0" xfId="1" applyFont="1" applyAlignment="1">
      <alignment horizontal="left" vertical="center"/>
    </xf>
    <xf numFmtId="1" fontId="18" fillId="10" borderId="43" xfId="0" applyNumberFormat="1" applyFont="1" applyFill="1" applyBorder="1" applyAlignment="1">
      <alignment horizontal="center" vertical="center" shrinkToFit="1"/>
    </xf>
    <xf numFmtId="0" fontId="3" fillId="10" borderId="44" xfId="0" applyFont="1" applyFill="1" applyBorder="1" applyAlignment="1">
      <alignment horizontal="left" vertical="center" wrapText="1"/>
    </xf>
    <xf numFmtId="171" fontId="17" fillId="0" borderId="43" xfId="0" applyNumberFormat="1" applyFont="1" applyBorder="1" applyAlignment="1">
      <alignment horizontal="center" vertical="center" shrinkToFit="1"/>
    </xf>
    <xf numFmtId="0" fontId="8" fillId="0" borderId="49" xfId="0" applyFont="1" applyBorder="1" applyAlignment="1">
      <alignment horizontal="justify" vertical="center" wrapText="1"/>
    </xf>
    <xf numFmtId="0" fontId="8" fillId="0" borderId="14" xfId="0" applyFont="1" applyBorder="1" applyAlignment="1">
      <alignment horizontal="center" vertical="center" wrapText="1"/>
    </xf>
    <xf numFmtId="1" fontId="17" fillId="0" borderId="14" xfId="0" applyNumberFormat="1" applyFont="1" applyBorder="1" applyAlignment="1">
      <alignment horizontal="center" vertical="center" shrinkToFit="1"/>
    </xf>
    <xf numFmtId="172" fontId="17" fillId="0" borderId="14" xfId="0" applyNumberFormat="1" applyFont="1" applyBorder="1" applyAlignment="1">
      <alignment horizontal="right" vertical="center" shrinkToFit="1"/>
    </xf>
    <xf numFmtId="2" fontId="17" fillId="0" borderId="14" xfId="0" applyNumberFormat="1" applyFont="1" applyBorder="1" applyAlignment="1">
      <alignment horizontal="center" vertical="center" shrinkToFit="1"/>
    </xf>
    <xf numFmtId="172" fontId="17" fillId="0" borderId="20" xfId="0" applyNumberFormat="1" applyFont="1" applyBorder="1" applyAlignment="1">
      <alignment horizontal="right" vertical="center" shrinkToFit="1"/>
    </xf>
    <xf numFmtId="1" fontId="18" fillId="10" borderId="43" xfId="0" applyNumberFormat="1" applyFont="1" applyFill="1" applyBorder="1" applyAlignment="1">
      <alignment horizontal="center" vertical="top" shrinkToFit="1"/>
    </xf>
    <xf numFmtId="0" fontId="3" fillId="10" borderId="49" xfId="0" applyFont="1" applyFill="1" applyBorder="1" applyAlignment="1">
      <alignment horizontal="justify" vertical="center" wrapText="1"/>
    </xf>
    <xf numFmtId="0" fontId="19" fillId="0" borderId="0" xfId="8" applyFont="1" applyAlignment="1">
      <alignment horizontal="center" vertical="center"/>
    </xf>
    <xf numFmtId="0" fontId="3" fillId="10" borderId="47" xfId="0" applyFont="1" applyFill="1" applyBorder="1" applyAlignment="1">
      <alignment horizontal="justify" vertical="center" wrapText="1"/>
    </xf>
    <xf numFmtId="171" fontId="17" fillId="0" borderId="39" xfId="0" applyNumberFormat="1" applyFont="1" applyBorder="1" applyAlignment="1">
      <alignment horizontal="center" vertical="center" shrinkToFit="1"/>
    </xf>
    <xf numFmtId="0" fontId="8" fillId="0" borderId="24" xfId="0" applyFont="1" applyBorder="1" applyAlignment="1">
      <alignment horizontal="justify" vertical="center" wrapText="1"/>
    </xf>
    <xf numFmtId="170" fontId="17" fillId="0" borderId="0" xfId="0" applyNumberFormat="1" applyFont="1" applyAlignment="1">
      <alignment horizontal="left" vertical="top"/>
    </xf>
    <xf numFmtId="44" fontId="17" fillId="0" borderId="0" xfId="0" applyNumberFormat="1" applyFont="1" applyAlignment="1">
      <alignment horizontal="left" vertical="top"/>
    </xf>
    <xf numFmtId="172" fontId="17" fillId="0" borderId="0" xfId="0" applyNumberFormat="1" applyFont="1" applyAlignment="1">
      <alignment horizontal="left" vertical="top"/>
    </xf>
    <xf numFmtId="0" fontId="8" fillId="0" borderId="0" xfId="0" applyFont="1" applyAlignment="1">
      <alignment horizontal="center"/>
    </xf>
    <xf numFmtId="0" fontId="20" fillId="12" borderId="19" xfId="8" applyFont="1" applyFill="1" applyBorder="1" applyAlignment="1">
      <alignment horizontal="center" vertical="center"/>
    </xf>
    <xf numFmtId="4" fontId="3" fillId="12" borderId="14" xfId="8" applyNumberFormat="1" applyFont="1" applyFill="1" applyBorder="1" applyAlignment="1">
      <alignment horizontal="center" vertical="center" wrapText="1"/>
    </xf>
    <xf numFmtId="174" fontId="3" fillId="12" borderId="14" xfId="2" applyNumberFormat="1" applyFont="1" applyFill="1" applyBorder="1" applyAlignment="1">
      <alignment horizontal="center" vertical="center"/>
    </xf>
    <xf numFmtId="174" fontId="3" fillId="12" borderId="20" xfId="2" applyNumberFormat="1" applyFont="1" applyFill="1" applyBorder="1" applyAlignment="1">
      <alignment horizontal="center" vertical="center"/>
    </xf>
    <xf numFmtId="0" fontId="20" fillId="7" borderId="19" xfId="8" applyFont="1" applyFill="1" applyBorder="1" applyAlignment="1">
      <alignment horizontal="center" vertical="center"/>
    </xf>
    <xf numFmtId="4" fontId="3" fillId="7" borderId="14" xfId="8" applyNumberFormat="1" applyFont="1" applyFill="1" applyBorder="1" applyAlignment="1">
      <alignment horizontal="center" vertical="center" wrapText="1"/>
    </xf>
    <xf numFmtId="174" fontId="3" fillId="7" borderId="14" xfId="2" applyNumberFormat="1" applyFont="1" applyFill="1" applyBorder="1" applyAlignment="1">
      <alignment horizontal="center" vertical="center"/>
    </xf>
    <xf numFmtId="174" fontId="3" fillId="7" borderId="20" xfId="2" applyNumberFormat="1" applyFont="1" applyFill="1" applyBorder="1" applyAlignment="1">
      <alignment horizontal="center" vertical="center"/>
    </xf>
    <xf numFmtId="0" fontId="19" fillId="0" borderId="19" xfId="8" applyFont="1" applyBorder="1" applyAlignment="1">
      <alignment horizontal="center" vertical="center"/>
    </xf>
    <xf numFmtId="4" fontId="8" fillId="0" borderId="14" xfId="8" applyNumberFormat="1" applyFont="1" applyBorder="1" applyAlignment="1">
      <alignment horizontal="center" vertical="center"/>
    </xf>
    <xf numFmtId="0" fontId="8" fillId="0" borderId="14" xfId="0" applyFont="1" applyBorder="1" applyAlignment="1">
      <alignment horizontal="center" vertical="center"/>
    </xf>
    <xf numFmtId="174" fontId="8" fillId="0" borderId="14" xfId="2" applyNumberFormat="1" applyFont="1" applyBorder="1" applyAlignment="1">
      <alignment horizontal="center" vertical="center"/>
    </xf>
    <xf numFmtId="174" fontId="8" fillId="0" borderId="20" xfId="2" applyNumberFormat="1" applyFont="1" applyBorder="1" applyAlignment="1">
      <alignment horizontal="center" vertical="center"/>
    </xf>
    <xf numFmtId="4" fontId="3" fillId="7" borderId="14" xfId="8" applyNumberFormat="1" applyFont="1" applyFill="1" applyBorder="1" applyAlignment="1">
      <alignment horizontal="center" vertical="center"/>
    </xf>
    <xf numFmtId="0" fontId="8" fillId="0" borderId="19" xfId="0" applyFont="1" applyBorder="1" applyAlignment="1">
      <alignment horizontal="center"/>
    </xf>
    <xf numFmtId="0" fontId="3" fillId="7" borderId="19" xfId="8" applyFont="1" applyFill="1" applyBorder="1" applyAlignment="1">
      <alignment horizontal="center" vertical="center"/>
    </xf>
    <xf numFmtId="4" fontId="3" fillId="0" borderId="14" xfId="8" applyNumberFormat="1" applyFont="1" applyBorder="1" applyAlignment="1">
      <alignment horizontal="center" vertical="center"/>
    </xf>
    <xf numFmtId="174" fontId="3" fillId="0" borderId="20" xfId="2" applyNumberFormat="1" applyFont="1" applyBorder="1" applyAlignment="1">
      <alignment horizontal="center" vertical="center"/>
    </xf>
    <xf numFmtId="4" fontId="3" fillId="12" borderId="14" xfId="8" applyNumberFormat="1" applyFont="1" applyFill="1" applyBorder="1" applyAlignment="1">
      <alignment horizontal="center" vertical="center"/>
    </xf>
    <xf numFmtId="0" fontId="3" fillId="0" borderId="14" xfId="0" applyFont="1" applyBorder="1" applyAlignment="1">
      <alignment horizontal="center" vertical="center"/>
    </xf>
    <xf numFmtId="174" fontId="3" fillId="0" borderId="14" xfId="2" applyNumberFormat="1" applyFont="1" applyBorder="1" applyAlignment="1">
      <alignment horizontal="center" vertical="center"/>
    </xf>
    <xf numFmtId="174" fontId="3" fillId="0" borderId="55" xfId="2" applyNumberFormat="1" applyFont="1" applyBorder="1" applyAlignment="1">
      <alignment horizontal="center" vertical="center"/>
    </xf>
    <xf numFmtId="0" fontId="20" fillId="0" borderId="4" xfId="8" applyFont="1" applyBorder="1" applyAlignment="1">
      <alignment horizontal="center" vertical="center"/>
    </xf>
    <xf numFmtId="0" fontId="20" fillId="0" borderId="0" xfId="8" applyFont="1" applyAlignment="1">
      <alignment horizontal="center" vertical="center"/>
    </xf>
    <xf numFmtId="174" fontId="3" fillId="0" borderId="56" xfId="2" applyNumberFormat="1" applyFont="1" applyBorder="1" applyAlignment="1">
      <alignment horizontal="center" vertical="center"/>
    </xf>
    <xf numFmtId="0" fontId="8" fillId="0" borderId="4" xfId="0" applyFont="1" applyBorder="1" applyAlignment="1">
      <alignment horizontal="center"/>
    </xf>
    <xf numFmtId="0" fontId="8" fillId="0" borderId="0" xfId="0" applyFont="1" applyAlignment="1">
      <alignment horizontal="center" vertical="center"/>
    </xf>
    <xf numFmtId="174" fontId="8" fillId="0" borderId="0" xfId="2" applyNumberFormat="1" applyFont="1" applyAlignment="1">
      <alignment horizontal="center" vertical="center"/>
    </xf>
    <xf numFmtId="174" fontId="8" fillId="0" borderId="56" xfId="2" applyNumberFormat="1" applyFont="1" applyBorder="1" applyAlignment="1">
      <alignment horizontal="center" vertical="center"/>
    </xf>
    <xf numFmtId="0" fontId="8" fillId="0" borderId="6" xfId="0" applyFont="1" applyBorder="1" applyAlignment="1">
      <alignment horizontal="center"/>
    </xf>
    <xf numFmtId="0" fontId="3" fillId="0" borderId="7" xfId="0" applyFont="1" applyBorder="1" applyAlignment="1">
      <alignment horizontal="center"/>
    </xf>
    <xf numFmtId="0" fontId="8" fillId="0" borderId="7" xfId="0" applyFont="1" applyBorder="1" applyAlignment="1">
      <alignment horizontal="center"/>
    </xf>
    <xf numFmtId="0" fontId="8" fillId="0" borderId="7" xfId="0" applyFont="1" applyBorder="1" applyAlignment="1">
      <alignment horizontal="center" vertical="center"/>
    </xf>
    <xf numFmtId="174" fontId="8" fillId="0" borderId="7" xfId="2" applyNumberFormat="1" applyFont="1" applyBorder="1" applyAlignment="1">
      <alignment horizontal="center" vertical="center"/>
    </xf>
    <xf numFmtId="174" fontId="8" fillId="0" borderId="57" xfId="2" applyNumberFormat="1" applyFont="1" applyBorder="1" applyAlignment="1">
      <alignment horizontal="center" vertical="center"/>
    </xf>
    <xf numFmtId="10" fontId="14" fillId="0" borderId="14" xfId="8" applyNumberFormat="1" applyFont="1" applyBorder="1" applyAlignment="1">
      <alignment horizontal="center" vertical="center"/>
    </xf>
    <xf numFmtId="1" fontId="18" fillId="10" borderId="59" xfId="0" applyNumberFormat="1" applyFont="1" applyFill="1" applyBorder="1" applyAlignment="1">
      <alignment horizontal="center" vertical="top" shrinkToFit="1"/>
    </xf>
    <xf numFmtId="0" fontId="3" fillId="10" borderId="60" xfId="0" applyFont="1" applyFill="1" applyBorder="1" applyAlignment="1">
      <alignment horizontal="left" vertical="top" wrapText="1"/>
    </xf>
    <xf numFmtId="4" fontId="8" fillId="0" borderId="14" xfId="8" applyNumberFormat="1" applyFont="1" applyBorder="1" applyAlignment="1">
      <alignment horizontal="left" vertical="center" wrapText="1"/>
    </xf>
    <xf numFmtId="4" fontId="15" fillId="0" borderId="14" xfId="8" applyNumberFormat="1" applyFont="1" applyBorder="1" applyAlignment="1">
      <alignment horizontal="left" vertical="center" wrapText="1" indent="2"/>
    </xf>
    <xf numFmtId="10" fontId="17" fillId="0" borderId="14" xfId="0" applyNumberFormat="1" applyFont="1" applyBorder="1" applyAlignment="1">
      <alignment horizontal="center" vertical="center" shrinkToFit="1"/>
    </xf>
    <xf numFmtId="0" fontId="3" fillId="0" borderId="14" xfId="0" applyFont="1" applyBorder="1" applyAlignment="1">
      <alignment horizontal="center" vertical="center" wrapText="1"/>
    </xf>
    <xf numFmtId="10" fontId="18" fillId="0" borderId="14" xfId="0" applyNumberFormat="1" applyFont="1" applyBorder="1" applyAlignment="1">
      <alignment horizontal="center" vertical="center" shrinkToFit="1"/>
    </xf>
    <xf numFmtId="0" fontId="17" fillId="7" borderId="14" xfId="0" applyFont="1" applyFill="1" applyBorder="1" applyAlignment="1">
      <alignment horizontal="left" vertical="center" wrapText="1"/>
    </xf>
    <xf numFmtId="171" fontId="17" fillId="0" borderId="19" xfId="0" applyNumberFormat="1" applyFont="1" applyBorder="1" applyAlignment="1">
      <alignment horizontal="center" vertical="center" shrinkToFit="1"/>
    </xf>
    <xf numFmtId="0" fontId="17" fillId="0" borderId="19" xfId="0" applyFont="1" applyBorder="1" applyAlignment="1">
      <alignment horizontal="left" vertical="center" wrapText="1"/>
    </xf>
    <xf numFmtId="172" fontId="18" fillId="0" borderId="20" xfId="0" applyNumberFormat="1" applyFont="1" applyBorder="1" applyAlignment="1">
      <alignment horizontal="right" vertical="center" shrinkToFit="1"/>
    </xf>
    <xf numFmtId="0" fontId="17" fillId="7" borderId="19" xfId="0" applyFont="1" applyFill="1" applyBorder="1" applyAlignment="1">
      <alignment horizontal="left" vertical="center" wrapText="1"/>
    </xf>
    <xf numFmtId="172" fontId="18" fillId="7" borderId="20" xfId="0" applyNumberFormat="1" applyFont="1" applyFill="1" applyBorder="1" applyAlignment="1">
      <alignment horizontal="right" vertical="center" shrinkToFit="1"/>
    </xf>
    <xf numFmtId="0" fontId="17" fillId="7" borderId="62" xfId="0" applyFont="1" applyFill="1" applyBorder="1" applyAlignment="1">
      <alignment horizontal="left" vertical="center" wrapText="1"/>
    </xf>
    <xf numFmtId="172" fontId="18" fillId="7" borderId="29" xfId="0" applyNumberFormat="1" applyFont="1" applyFill="1" applyBorder="1" applyAlignment="1">
      <alignment horizontal="right" vertical="center" shrinkToFit="1"/>
    </xf>
    <xf numFmtId="0" fontId="17" fillId="0" borderId="21" xfId="0" applyFont="1" applyBorder="1" applyAlignment="1">
      <alignment horizontal="left" vertical="center" wrapText="1"/>
    </xf>
    <xf numFmtId="0" fontId="3" fillId="0" borderId="22" xfId="0" applyFont="1" applyBorder="1" applyAlignment="1">
      <alignment horizontal="center" vertical="center" wrapText="1"/>
    </xf>
    <xf numFmtId="173" fontId="18" fillId="0" borderId="22" xfId="0" applyNumberFormat="1" applyFont="1" applyBorder="1" applyAlignment="1">
      <alignment horizontal="center" vertical="center" shrinkToFit="1"/>
    </xf>
    <xf numFmtId="172" fontId="18" fillId="0" borderId="23" xfId="0" applyNumberFormat="1" applyFont="1" applyBorder="1" applyAlignment="1">
      <alignment horizontal="right" vertical="center" shrinkToFit="1"/>
    </xf>
    <xf numFmtId="0" fontId="17" fillId="7" borderId="15" xfId="0" applyFont="1" applyFill="1" applyBorder="1" applyAlignment="1">
      <alignment horizontal="left" vertical="center" wrapText="1"/>
    </xf>
    <xf numFmtId="10" fontId="18" fillId="7" borderId="16" xfId="0" applyNumberFormat="1" applyFont="1" applyFill="1" applyBorder="1" applyAlignment="1">
      <alignment horizontal="center" vertical="center" shrinkToFit="1"/>
    </xf>
    <xf numFmtId="172" fontId="18" fillId="7" borderId="32" xfId="0" applyNumberFormat="1" applyFont="1" applyFill="1" applyBorder="1" applyAlignment="1">
      <alignment horizontal="right" vertical="center" shrinkToFit="1"/>
    </xf>
    <xf numFmtId="4" fontId="3" fillId="7" borderId="14" xfId="8" applyNumberFormat="1" applyFont="1" applyFill="1" applyBorder="1" applyAlignment="1">
      <alignment horizontal="justify" vertical="justify" wrapText="1"/>
    </xf>
    <xf numFmtId="4" fontId="8" fillId="0" borderId="14" xfId="8" applyNumberFormat="1" applyFont="1" applyBorder="1" applyAlignment="1">
      <alignment horizontal="justify" vertical="justify" wrapText="1"/>
    </xf>
    <xf numFmtId="4" fontId="3" fillId="0" borderId="14" xfId="8" applyNumberFormat="1" applyFont="1" applyBorder="1" applyAlignment="1">
      <alignment horizontal="justify" vertical="justify" wrapText="1"/>
    </xf>
    <xf numFmtId="4" fontId="3" fillId="12" borderId="14" xfId="8" applyNumberFormat="1" applyFont="1" applyFill="1" applyBorder="1" applyAlignment="1">
      <alignment horizontal="justify" vertical="justify" wrapText="1"/>
    </xf>
    <xf numFmtId="175" fontId="13" fillId="0" borderId="2" xfId="10" applyFont="1" applyFill="1" applyBorder="1" applyAlignment="1">
      <alignment horizontal="center" vertical="center"/>
    </xf>
    <xf numFmtId="175" fontId="16" fillId="0" borderId="0" xfId="10" applyFont="1"/>
    <xf numFmtId="175" fontId="13" fillId="0" borderId="0" xfId="10" applyFont="1" applyFill="1" applyBorder="1" applyAlignment="1">
      <alignment horizontal="center" vertical="center"/>
    </xf>
    <xf numFmtId="175" fontId="16" fillId="0" borderId="0" xfId="10" applyFont="1" applyAlignment="1">
      <alignment vertical="center"/>
    </xf>
    <xf numFmtId="175" fontId="16" fillId="0" borderId="2" xfId="10" applyFont="1" applyFill="1" applyBorder="1" applyAlignment="1"/>
    <xf numFmtId="175" fontId="16" fillId="0" borderId="58" xfId="10" applyFont="1" applyFill="1" applyBorder="1" applyAlignment="1"/>
    <xf numFmtId="175" fontId="16" fillId="0" borderId="7" xfId="10" applyFont="1" applyFill="1" applyBorder="1" applyAlignment="1">
      <alignment horizontal="center"/>
    </xf>
    <xf numFmtId="175" fontId="16" fillId="0" borderId="57" xfId="10" applyFont="1" applyFill="1" applyBorder="1" applyAlignment="1">
      <alignment horizontal="center"/>
    </xf>
    <xf numFmtId="0" fontId="13" fillId="0" borderId="55" xfId="10" applyNumberFormat="1" applyFont="1" applyFill="1" applyBorder="1" applyAlignment="1">
      <alignment horizontal="center" vertical="center" wrapText="1"/>
    </xf>
    <xf numFmtId="175" fontId="16" fillId="0" borderId="2" xfId="10" applyFont="1" applyFill="1" applyBorder="1"/>
    <xf numFmtId="175" fontId="13" fillId="0" borderId="2" xfId="10" applyFont="1" applyFill="1" applyBorder="1" applyAlignment="1">
      <alignment horizontal="right"/>
    </xf>
    <xf numFmtId="175" fontId="16" fillId="0" borderId="55" xfId="10" applyFont="1" applyFill="1" applyBorder="1" applyAlignment="1">
      <alignment horizontal="center"/>
    </xf>
    <xf numFmtId="175" fontId="13" fillId="0" borderId="6" xfId="10" applyFont="1" applyFill="1" applyBorder="1" applyAlignment="1">
      <alignment vertical="center"/>
    </xf>
    <xf numFmtId="175" fontId="13" fillId="0" borderId="7" xfId="10" applyFont="1" applyFill="1" applyBorder="1" applyAlignment="1">
      <alignment vertical="center"/>
    </xf>
    <xf numFmtId="175" fontId="16" fillId="0" borderId="7" xfId="10" applyFont="1" applyFill="1" applyBorder="1" applyAlignment="1">
      <alignment vertical="center"/>
    </xf>
    <xf numFmtId="175" fontId="16" fillId="0" borderId="57" xfId="10" applyFont="1" applyFill="1" applyBorder="1" applyAlignment="1">
      <alignment vertical="center"/>
    </xf>
    <xf numFmtId="175" fontId="22" fillId="0" borderId="53" xfId="10" applyFont="1" applyFill="1" applyBorder="1" applyAlignment="1">
      <alignment horizontal="center" vertical="center"/>
    </xf>
    <xf numFmtId="175" fontId="22" fillId="0" borderId="31" xfId="10" applyFont="1" applyFill="1" applyBorder="1" applyAlignment="1">
      <alignment horizontal="center" vertical="center"/>
    </xf>
    <xf numFmtId="175" fontId="22" fillId="0" borderId="64" xfId="10" applyFont="1" applyFill="1" applyBorder="1" applyAlignment="1">
      <alignment horizontal="center" vertical="center"/>
    </xf>
    <xf numFmtId="175" fontId="16" fillId="0" borderId="16" xfId="10" applyFont="1" applyFill="1" applyBorder="1" applyAlignment="1">
      <alignment horizontal="center" vertical="center"/>
    </xf>
    <xf numFmtId="175" fontId="16" fillId="0" borderId="16" xfId="10" applyFont="1" applyFill="1" applyBorder="1" applyAlignment="1">
      <alignment vertical="center"/>
    </xf>
    <xf numFmtId="175" fontId="16" fillId="0" borderId="32" xfId="10" applyFont="1" applyFill="1" applyBorder="1" applyAlignment="1">
      <alignment vertical="center"/>
    </xf>
    <xf numFmtId="175" fontId="16" fillId="0" borderId="14" xfId="10" applyFont="1" applyFill="1" applyBorder="1" applyAlignment="1">
      <alignment horizontal="center" vertical="center"/>
    </xf>
    <xf numFmtId="175" fontId="16" fillId="0" borderId="14" xfId="10" applyFont="1" applyFill="1" applyBorder="1" applyAlignment="1">
      <alignment vertical="center"/>
    </xf>
    <xf numFmtId="175" fontId="16" fillId="0" borderId="20" xfId="10" applyFont="1" applyFill="1" applyBorder="1" applyAlignment="1">
      <alignment vertical="center"/>
    </xf>
    <xf numFmtId="175" fontId="16" fillId="0" borderId="63" xfId="10" applyFont="1" applyFill="1" applyBorder="1" applyAlignment="1">
      <alignment horizontal="center" vertical="center"/>
    </xf>
    <xf numFmtId="175" fontId="16" fillId="0" borderId="63" xfId="10" applyFont="1" applyFill="1" applyBorder="1" applyAlignment="1">
      <alignment vertical="center"/>
    </xf>
    <xf numFmtId="175" fontId="16" fillId="0" borderId="29" xfId="10" applyFont="1" applyFill="1" applyBorder="1" applyAlignment="1">
      <alignment vertical="center"/>
    </xf>
    <xf numFmtId="175" fontId="16" fillId="0" borderId="2" xfId="10" applyFont="1" applyFill="1" applyBorder="1" applyAlignment="1">
      <alignment vertical="center"/>
    </xf>
    <xf numFmtId="176" fontId="16" fillId="0" borderId="55" xfId="10" applyNumberFormat="1" applyFont="1" applyFill="1" applyBorder="1" applyAlignment="1">
      <alignment vertical="center"/>
    </xf>
    <xf numFmtId="176" fontId="16" fillId="0" borderId="57" xfId="10" applyNumberFormat="1" applyFont="1" applyFill="1" applyBorder="1" applyAlignment="1">
      <alignment vertical="center"/>
    </xf>
    <xf numFmtId="175" fontId="22" fillId="0" borderId="13" xfId="10" applyFont="1" applyFill="1" applyBorder="1" applyAlignment="1">
      <alignment horizontal="center" vertical="center"/>
    </xf>
    <xf numFmtId="175" fontId="22" fillId="0" borderId="68" xfId="10" applyFont="1" applyFill="1" applyBorder="1" applyAlignment="1">
      <alignment horizontal="center" vertical="center"/>
    </xf>
    <xf numFmtId="177" fontId="16" fillId="0" borderId="14" xfId="10" applyNumberFormat="1" applyFont="1" applyFill="1" applyBorder="1" applyAlignment="1">
      <alignment vertical="center"/>
    </xf>
    <xf numFmtId="177" fontId="16" fillId="0" borderId="63" xfId="10" applyNumberFormat="1" applyFont="1" applyFill="1" applyBorder="1" applyAlignment="1">
      <alignment vertical="center"/>
    </xf>
    <xf numFmtId="175" fontId="16" fillId="0" borderId="0" xfId="10" applyFont="1" applyFill="1" applyBorder="1" applyAlignment="1">
      <alignment vertical="center"/>
    </xf>
    <xf numFmtId="176" fontId="16" fillId="0" borderId="64" xfId="10" applyNumberFormat="1" applyFont="1" applyFill="1" applyBorder="1" applyAlignment="1">
      <alignment vertical="center"/>
    </xf>
    <xf numFmtId="176" fontId="22" fillId="0" borderId="55" xfId="10" applyNumberFormat="1" applyFont="1" applyFill="1" applyBorder="1" applyAlignment="1">
      <alignment horizontal="center" vertical="center"/>
    </xf>
    <xf numFmtId="175" fontId="16" fillId="0" borderId="17" xfId="10" applyFont="1" applyFill="1" applyBorder="1" applyAlignment="1">
      <alignment vertical="center"/>
    </xf>
    <xf numFmtId="177" fontId="16" fillId="0" borderId="17" xfId="10" applyNumberFormat="1" applyFont="1" applyFill="1" applyBorder="1" applyAlignment="1">
      <alignment horizontal="center" vertical="center"/>
    </xf>
    <xf numFmtId="176" fontId="16" fillId="0" borderId="17" xfId="10" applyNumberFormat="1" applyFont="1" applyFill="1" applyBorder="1" applyAlignment="1">
      <alignment vertical="center"/>
    </xf>
    <xf numFmtId="175" fontId="16" fillId="0" borderId="18" xfId="10" applyFont="1" applyFill="1" applyBorder="1" applyAlignment="1">
      <alignment vertical="center"/>
    </xf>
    <xf numFmtId="176" fontId="16" fillId="0" borderId="63" xfId="10" applyNumberFormat="1" applyFont="1" applyFill="1" applyBorder="1" applyAlignment="1">
      <alignment vertical="center"/>
    </xf>
    <xf numFmtId="175" fontId="22" fillId="0" borderId="27" xfId="10" applyFont="1" applyFill="1" applyBorder="1" applyAlignment="1">
      <alignment horizontal="center" vertical="center"/>
    </xf>
    <xf numFmtId="176" fontId="22" fillId="0" borderId="67" xfId="10" applyNumberFormat="1" applyFont="1" applyFill="1" applyBorder="1" applyAlignment="1">
      <alignment horizontal="center" vertical="center"/>
    </xf>
    <xf numFmtId="176" fontId="16" fillId="0" borderId="15" xfId="10" applyNumberFormat="1" applyFont="1" applyBorder="1" applyAlignment="1">
      <alignment horizontal="center" vertical="center"/>
    </xf>
    <xf numFmtId="175" fontId="16" fillId="0" borderId="50" xfId="10" applyFont="1" applyFill="1" applyBorder="1" applyAlignment="1">
      <alignment vertical="center"/>
    </xf>
    <xf numFmtId="10" fontId="16" fillId="0" borderId="16" xfId="11" applyNumberFormat="1" applyFont="1" applyFill="1" applyBorder="1" applyAlignment="1">
      <alignment horizontal="center" vertical="center"/>
    </xf>
    <xf numFmtId="176" fontId="16" fillId="0" borderId="19" xfId="10" applyNumberFormat="1" applyFont="1" applyBorder="1" applyAlignment="1">
      <alignment horizontal="center" vertical="center"/>
    </xf>
    <xf numFmtId="175" fontId="16" fillId="0" borderId="26" xfId="10" applyFont="1" applyFill="1" applyBorder="1" applyAlignment="1">
      <alignment vertical="center"/>
    </xf>
    <xf numFmtId="10" fontId="16" fillId="0" borderId="14" xfId="11" applyNumberFormat="1" applyFont="1" applyFill="1" applyBorder="1" applyAlignment="1">
      <alignment horizontal="center" vertical="center"/>
    </xf>
    <xf numFmtId="175" fontId="16" fillId="0" borderId="72" xfId="10" applyFont="1" applyFill="1" applyBorder="1" applyAlignment="1">
      <alignment vertical="center"/>
    </xf>
    <xf numFmtId="10" fontId="16" fillId="0" borderId="63" xfId="11" applyNumberFormat="1" applyFont="1" applyFill="1" applyBorder="1" applyAlignment="1">
      <alignment horizontal="center" vertical="center"/>
    </xf>
    <xf numFmtId="175" fontId="16" fillId="0" borderId="0" xfId="10" applyFont="1" applyFill="1" applyBorder="1" applyAlignment="1">
      <alignment horizontal="center" vertical="center"/>
    </xf>
    <xf numFmtId="176" fontId="16" fillId="0" borderId="56" xfId="10" applyNumberFormat="1" applyFont="1" applyFill="1" applyBorder="1" applyAlignment="1">
      <alignment vertical="center"/>
    </xf>
    <xf numFmtId="176" fontId="13" fillId="7" borderId="55" xfId="10" applyNumberFormat="1" applyFont="1" applyFill="1" applyBorder="1" applyAlignment="1">
      <alignment vertical="center"/>
    </xf>
    <xf numFmtId="175" fontId="16" fillId="0" borderId="0" xfId="10" applyFont="1" applyAlignment="1">
      <alignment horizontal="centerContinuous" vertical="center"/>
    </xf>
    <xf numFmtId="175" fontId="21" fillId="0" borderId="0" xfId="10" applyFont="1" applyFill="1"/>
    <xf numFmtId="175" fontId="13" fillId="0" borderId="0" xfId="10" applyFont="1" applyFill="1" applyBorder="1" applyAlignment="1">
      <alignment horizontal="centerContinuous" vertical="center"/>
    </xf>
    <xf numFmtId="175" fontId="21" fillId="0" borderId="0" xfId="10" applyFont="1" applyFill="1" applyAlignment="1">
      <alignment horizontal="centerContinuous"/>
    </xf>
    <xf numFmtId="175" fontId="16" fillId="0" borderId="0" xfId="10" applyFont="1" applyFill="1"/>
    <xf numFmtId="175" fontId="16" fillId="0" borderId="0" xfId="10" applyFont="1" applyFill="1" applyAlignment="1">
      <alignment vertical="center"/>
    </xf>
    <xf numFmtId="175" fontId="13" fillId="0" borderId="0" xfId="10" applyFont="1" applyFill="1" applyAlignment="1">
      <alignment vertical="center"/>
    </xf>
    <xf numFmtId="175" fontId="16" fillId="0" borderId="1" xfId="10" applyFont="1" applyFill="1" applyBorder="1" applyAlignment="1">
      <alignment vertical="center"/>
    </xf>
    <xf numFmtId="175" fontId="16" fillId="0" borderId="4" xfId="10" applyFont="1" applyFill="1" applyBorder="1" applyAlignment="1">
      <alignment vertical="center"/>
    </xf>
    <xf numFmtId="175" fontId="16" fillId="0" borderId="0" xfId="10" applyFont="1" applyFill="1" applyBorder="1"/>
    <xf numFmtId="175" fontId="13" fillId="0" borderId="0" xfId="10" applyFont="1" applyFill="1" applyBorder="1" applyAlignment="1">
      <alignment horizontal="right"/>
    </xf>
    <xf numFmtId="175" fontId="16" fillId="0" borderId="56" xfId="10" applyFont="1" applyFill="1" applyBorder="1" applyAlignment="1">
      <alignment horizontal="center"/>
    </xf>
    <xf numFmtId="175" fontId="16" fillId="0" borderId="17" xfId="10" applyFont="1" applyFill="1" applyBorder="1" applyAlignment="1">
      <alignment horizontal="center" vertical="center"/>
    </xf>
    <xf numFmtId="176" fontId="22" fillId="0" borderId="64" xfId="10" applyNumberFormat="1" applyFont="1" applyFill="1" applyBorder="1" applyAlignment="1">
      <alignment horizontal="center" vertical="center"/>
    </xf>
    <xf numFmtId="175" fontId="23" fillId="0" borderId="0" xfId="10" applyFont="1" applyFill="1" applyAlignment="1">
      <alignment vertical="center"/>
    </xf>
    <xf numFmtId="177" fontId="16" fillId="0" borderId="16" xfId="10" applyNumberFormat="1" applyFont="1" applyFill="1" applyBorder="1" applyAlignment="1">
      <alignment vertical="center"/>
    </xf>
    <xf numFmtId="175" fontId="25" fillId="0" borderId="0" xfId="10" applyFont="1" applyFill="1" applyAlignment="1">
      <alignment vertical="center" wrapText="1"/>
    </xf>
    <xf numFmtId="176" fontId="16" fillId="0" borderId="15" xfId="10" applyNumberFormat="1" applyFont="1" applyFill="1" applyBorder="1" applyAlignment="1">
      <alignment horizontal="center" vertical="center"/>
    </xf>
    <xf numFmtId="176" fontId="16" fillId="0" borderId="19" xfId="10" applyNumberFormat="1" applyFont="1" applyFill="1" applyBorder="1" applyAlignment="1">
      <alignment horizontal="center" vertical="center"/>
    </xf>
    <xf numFmtId="175" fontId="13" fillId="0" borderId="0" xfId="10" applyFont="1" applyFill="1" applyBorder="1" applyAlignment="1">
      <alignment vertical="center"/>
    </xf>
    <xf numFmtId="175" fontId="13" fillId="0" borderId="0" xfId="10" applyFont="1" applyFill="1" applyAlignment="1">
      <alignment horizontal="centerContinuous" vertical="center"/>
    </xf>
    <xf numFmtId="175" fontId="16" fillId="0" borderId="0" xfId="10" applyFont="1" applyFill="1" applyAlignment="1">
      <alignment horizontal="centerContinuous" vertical="center"/>
    </xf>
    <xf numFmtId="175" fontId="16" fillId="0" borderId="0" xfId="10" applyFont="1" applyFill="1" applyBorder="1" applyAlignment="1">
      <alignment horizontal="centerContinuous" vertical="center"/>
    </xf>
    <xf numFmtId="10" fontId="16" fillId="0" borderId="0" xfId="11" applyNumberFormat="1" applyFont="1" applyFill="1" applyBorder="1" applyAlignment="1">
      <alignment horizontal="centerContinuous" vertical="center"/>
    </xf>
    <xf numFmtId="176" fontId="16" fillId="0" borderId="0" xfId="10" applyNumberFormat="1" applyFont="1" applyFill="1" applyBorder="1" applyAlignment="1">
      <alignment horizontal="right" vertical="center"/>
    </xf>
    <xf numFmtId="177" fontId="16" fillId="0" borderId="16" xfId="10" applyNumberFormat="1" applyFont="1" applyFill="1" applyBorder="1" applyAlignment="1">
      <alignment horizontal="center" vertical="center"/>
    </xf>
    <xf numFmtId="10" fontId="16" fillId="0" borderId="27" xfId="11" applyNumberFormat="1" applyFont="1" applyFill="1" applyBorder="1" applyAlignment="1">
      <alignment horizontal="center" vertical="center"/>
    </xf>
    <xf numFmtId="175" fontId="16" fillId="0" borderId="13" xfId="10" applyFont="1" applyFill="1" applyBorder="1" applyAlignment="1">
      <alignment vertical="center"/>
    </xf>
    <xf numFmtId="176" fontId="16" fillId="0" borderId="62" xfId="10" applyNumberFormat="1" applyFont="1" applyFill="1" applyBorder="1" applyAlignment="1">
      <alignment horizontal="center" vertical="center"/>
    </xf>
    <xf numFmtId="176" fontId="16" fillId="0" borderId="16" xfId="10" applyNumberFormat="1" applyFont="1" applyFill="1" applyBorder="1" applyAlignment="1">
      <alignment horizontal="center" vertical="center"/>
    </xf>
    <xf numFmtId="176" fontId="16" fillId="0" borderId="17" xfId="10" applyNumberFormat="1" applyFont="1" applyFill="1" applyBorder="1" applyAlignment="1">
      <alignment horizontal="center" vertical="center"/>
    </xf>
    <xf numFmtId="176" fontId="16" fillId="0" borderId="14" xfId="10" applyNumberFormat="1" applyFont="1" applyFill="1" applyBorder="1" applyAlignment="1">
      <alignment horizontal="center" vertical="center"/>
    </xf>
    <xf numFmtId="176" fontId="16" fillId="0" borderId="16" xfId="10" applyNumberFormat="1" applyFont="1" applyFill="1" applyBorder="1" applyAlignment="1">
      <alignment vertical="center"/>
    </xf>
    <xf numFmtId="176" fontId="16" fillId="0" borderId="14" xfId="10" applyNumberFormat="1" applyFont="1" applyFill="1" applyBorder="1" applyAlignment="1">
      <alignment vertical="center"/>
    </xf>
    <xf numFmtId="175" fontId="16" fillId="0" borderId="13" xfId="10" applyFont="1" applyFill="1" applyBorder="1" applyAlignment="1">
      <alignment horizontal="center" vertical="center"/>
    </xf>
    <xf numFmtId="177" fontId="16" fillId="0" borderId="13" xfId="10" applyNumberFormat="1" applyFont="1" applyFill="1" applyBorder="1" applyAlignment="1">
      <alignment vertical="center"/>
    </xf>
    <xf numFmtId="177" fontId="16" fillId="0" borderId="77" xfId="10" applyNumberFormat="1" applyFont="1" applyFill="1" applyBorder="1" applyAlignment="1">
      <alignment horizontal="center" vertical="center"/>
    </xf>
    <xf numFmtId="175" fontId="16" fillId="0" borderId="7" xfId="10" applyFont="1" applyBorder="1" applyAlignment="1">
      <alignment vertical="center"/>
    </xf>
    <xf numFmtId="166" fontId="8" fillId="5" borderId="27" xfId="7" applyNumberFormat="1" applyFont="1" applyFill="1" applyBorder="1" applyAlignment="1">
      <alignment horizontal="right" vertical="center" wrapText="1"/>
    </xf>
    <xf numFmtId="166" fontId="8" fillId="5" borderId="22" xfId="7" applyNumberFormat="1" applyFont="1" applyFill="1" applyBorder="1" applyAlignment="1">
      <alignment horizontal="right" vertical="center" wrapText="1"/>
    </xf>
    <xf numFmtId="178" fontId="26" fillId="0" borderId="4" xfId="12" applyNumberFormat="1" applyFont="1" applyFill="1" applyBorder="1"/>
    <xf numFmtId="178" fontId="27" fillId="0" borderId="0" xfId="12" applyNumberFormat="1" applyFont="1" applyFill="1" applyBorder="1"/>
    <xf numFmtId="178" fontId="28" fillId="0" borderId="0" xfId="12" applyNumberFormat="1" applyFont="1" applyFill="1" applyBorder="1"/>
    <xf numFmtId="178" fontId="28" fillId="0" borderId="56" xfId="12" applyNumberFormat="1" applyFont="1" applyFill="1" applyBorder="1"/>
    <xf numFmtId="178" fontId="29" fillId="0" borderId="13" xfId="12" applyNumberFormat="1" applyFont="1" applyFill="1" applyBorder="1" applyAlignment="1">
      <alignment horizontal="center" vertical="center"/>
    </xf>
    <xf numFmtId="178" fontId="29" fillId="0" borderId="78" xfId="12" applyNumberFormat="1" applyFont="1" applyFill="1" applyBorder="1" applyAlignment="1">
      <alignment horizontal="center" vertical="center"/>
    </xf>
    <xf numFmtId="178" fontId="29" fillId="0" borderId="68" xfId="12" applyNumberFormat="1" applyFont="1" applyFill="1" applyBorder="1" applyAlignment="1">
      <alignment horizontal="center" vertical="center"/>
    </xf>
    <xf numFmtId="178" fontId="27" fillId="0" borderId="13" xfId="12" applyNumberFormat="1" applyFont="1" applyFill="1" applyBorder="1"/>
    <xf numFmtId="179" fontId="27" fillId="0" borderId="78" xfId="12" applyNumberFormat="1" applyFont="1" applyFill="1" applyBorder="1" applyAlignment="1">
      <alignment horizontal="center"/>
    </xf>
    <xf numFmtId="178" fontId="27" fillId="0" borderId="68" xfId="12" applyNumberFormat="1" applyFont="1" applyFill="1" applyBorder="1"/>
    <xf numFmtId="178" fontId="26" fillId="0" borderId="29" xfId="12" applyNumberFormat="1" applyFont="1" applyFill="1" applyBorder="1"/>
    <xf numFmtId="178" fontId="27" fillId="0" borderId="4" xfId="12" applyNumberFormat="1" applyFont="1" applyFill="1" applyBorder="1" applyAlignment="1">
      <alignment horizontal="left"/>
    </xf>
    <xf numFmtId="178" fontId="27" fillId="0" borderId="0" xfId="12" applyNumberFormat="1" applyFont="1" applyFill="1" applyBorder="1" applyAlignment="1">
      <alignment horizontal="left"/>
    </xf>
    <xf numFmtId="178" fontId="27" fillId="0" borderId="0" xfId="12" applyNumberFormat="1" applyFont="1" applyFill="1" applyBorder="1" applyAlignment="1">
      <alignment horizontal="center"/>
    </xf>
    <xf numFmtId="178" fontId="26" fillId="0" borderId="0" xfId="12" applyNumberFormat="1" applyFont="1" applyFill="1" applyBorder="1" applyAlignment="1">
      <alignment horizontal="center"/>
    </xf>
    <xf numFmtId="178" fontId="26" fillId="0" borderId="56" xfId="12" applyNumberFormat="1" applyFont="1" applyFill="1" applyBorder="1"/>
    <xf numFmtId="178" fontId="27" fillId="0" borderId="56" xfId="12" applyNumberFormat="1" applyFont="1" applyFill="1" applyBorder="1"/>
    <xf numFmtId="178" fontId="29" fillId="0" borderId="13" xfId="12" applyNumberFormat="1" applyFont="1" applyFill="1" applyBorder="1" applyAlignment="1">
      <alignment horizontal="center"/>
    </xf>
    <xf numFmtId="178" fontId="29" fillId="0" borderId="78" xfId="12" applyNumberFormat="1" applyFont="1" applyFill="1" applyBorder="1" applyAlignment="1">
      <alignment horizontal="center"/>
    </xf>
    <xf numFmtId="178" fontId="27" fillId="0" borderId="16" xfId="12" applyNumberFormat="1" applyFont="1" applyFill="1" applyBorder="1" applyAlignment="1">
      <alignment horizontal="center" vertical="center"/>
    </xf>
    <xf numFmtId="178" fontId="27" fillId="0" borderId="16" xfId="12" applyNumberFormat="1" applyFont="1" applyFill="1" applyBorder="1" applyAlignment="1">
      <alignment horizontal="center" vertical="center" wrapText="1"/>
    </xf>
    <xf numFmtId="180" fontId="27" fillId="0" borderId="80" xfId="12" applyNumberFormat="1" applyFont="1" applyFill="1" applyBorder="1" applyAlignment="1">
      <alignment horizontal="center" vertical="center" wrapText="1"/>
    </xf>
    <xf numFmtId="178" fontId="27" fillId="0" borderId="32" xfId="12" applyNumberFormat="1" applyFont="1" applyFill="1" applyBorder="1" applyAlignment="1">
      <alignment vertical="center"/>
    </xf>
    <xf numFmtId="178" fontId="27" fillId="0" borderId="22" xfId="12" applyNumberFormat="1" applyFont="1" applyFill="1" applyBorder="1" applyAlignment="1">
      <alignment horizontal="center"/>
    </xf>
    <xf numFmtId="178" fontId="27" fillId="0" borderId="14" xfId="12" applyNumberFormat="1" applyFont="1" applyFill="1" applyBorder="1" applyAlignment="1">
      <alignment horizontal="right" wrapText="1"/>
    </xf>
    <xf numFmtId="180" fontId="27" fillId="0" borderId="81" xfId="12" applyNumberFormat="1" applyFont="1" applyFill="1" applyBorder="1" applyAlignment="1">
      <alignment horizontal="center" vertical="center" wrapText="1"/>
    </xf>
    <xf numFmtId="178" fontId="27" fillId="0" borderId="23" xfId="12" applyNumberFormat="1" applyFont="1" applyFill="1" applyBorder="1" applyAlignment="1">
      <alignment horizontal="right" wrapText="1"/>
    </xf>
    <xf numFmtId="178" fontId="27" fillId="0" borderId="14" xfId="12" applyNumberFormat="1" applyFont="1" applyFill="1" applyBorder="1" applyAlignment="1">
      <alignment horizontal="center" vertical="center" wrapText="1"/>
    </xf>
    <xf numFmtId="178" fontId="26" fillId="0" borderId="29" xfId="12" applyNumberFormat="1" applyFont="1" applyFill="1" applyBorder="1" applyAlignment="1">
      <alignment horizontal="center"/>
    </xf>
    <xf numFmtId="178" fontId="28" fillId="0" borderId="4" xfId="12" applyNumberFormat="1" applyFont="1" applyFill="1" applyBorder="1"/>
    <xf numFmtId="178" fontId="29" fillId="0" borderId="13" xfId="12" applyNumberFormat="1" applyFont="1" applyFill="1" applyBorder="1" applyAlignment="1">
      <alignment horizontal="center" vertical="center" wrapText="1"/>
    </xf>
    <xf numFmtId="178" fontId="29" fillId="0" borderId="78" xfId="12" applyNumberFormat="1" applyFont="1" applyFill="1" applyBorder="1" applyAlignment="1">
      <alignment horizontal="center" vertical="center" wrapText="1"/>
    </xf>
    <xf numFmtId="179" fontId="27" fillId="0" borderId="16" xfId="12" applyNumberFormat="1" applyFont="1" applyFill="1" applyBorder="1" applyAlignment="1">
      <alignment horizontal="center" vertical="center"/>
    </xf>
    <xf numFmtId="180" fontId="27" fillId="0" borderId="16" xfId="12" applyNumberFormat="1" applyFont="1" applyFill="1" applyBorder="1" applyAlignment="1">
      <alignment vertical="center" wrapText="1"/>
    </xf>
    <xf numFmtId="178" fontId="27" fillId="0" borderId="80" xfId="12" applyNumberFormat="1" applyFont="1" applyFill="1" applyBorder="1" applyAlignment="1">
      <alignment horizontal="center" vertical="center" wrapText="1"/>
    </xf>
    <xf numFmtId="179" fontId="27" fillId="0" borderId="22" xfId="12" applyNumberFormat="1" applyFont="1" applyFill="1" applyBorder="1" applyAlignment="1">
      <alignment horizontal="center" vertical="center"/>
    </xf>
    <xf numFmtId="180" fontId="27" fillId="0" borderId="22" xfId="12" applyNumberFormat="1" applyFont="1" applyFill="1" applyBorder="1" applyAlignment="1">
      <alignment vertical="center" wrapText="1"/>
    </xf>
    <xf numFmtId="178" fontId="27" fillId="0" borderId="14" xfId="12" applyNumberFormat="1" applyFont="1" applyFill="1" applyBorder="1" applyAlignment="1">
      <alignment horizontal="center" vertical="top" wrapText="1"/>
    </xf>
    <xf numFmtId="178" fontId="27" fillId="0" borderId="23" xfId="12" applyNumberFormat="1" applyFont="1" applyFill="1" applyBorder="1" applyAlignment="1">
      <alignment vertical="center"/>
    </xf>
    <xf numFmtId="178" fontId="27" fillId="0" borderId="4" xfId="12" applyNumberFormat="1" applyFont="1" applyFill="1" applyBorder="1"/>
    <xf numFmtId="178" fontId="29" fillId="0" borderId="52" xfId="12" applyNumberFormat="1" applyFont="1" applyFill="1" applyBorder="1" applyAlignment="1">
      <alignment horizontal="center"/>
    </xf>
    <xf numFmtId="178" fontId="29" fillId="0" borderId="53" xfId="12" applyNumberFormat="1" applyFont="1" applyFill="1" applyBorder="1" applyAlignment="1">
      <alignment horizontal="center" vertical="center"/>
    </xf>
    <xf numFmtId="178" fontId="29" fillId="0" borderId="53" xfId="12" applyNumberFormat="1" applyFont="1" applyFill="1" applyBorder="1" applyAlignment="1">
      <alignment horizontal="centerContinuous"/>
    </xf>
    <xf numFmtId="178" fontId="29" fillId="0" borderId="53" xfId="12" applyNumberFormat="1" applyFont="1" applyFill="1" applyBorder="1" applyAlignment="1">
      <alignment horizontal="center"/>
    </xf>
    <xf numFmtId="178" fontId="29" fillId="0" borderId="83" xfId="12" applyNumberFormat="1" applyFont="1" applyFill="1" applyBorder="1" applyAlignment="1">
      <alignment horizontal="center"/>
    </xf>
    <xf numFmtId="178" fontId="27" fillId="0" borderId="15" xfId="12" applyNumberFormat="1" applyFont="1" applyFill="1" applyBorder="1" applyAlignment="1">
      <alignment vertical="center" wrapText="1"/>
    </xf>
    <xf numFmtId="0" fontId="28" fillId="0" borderId="16" xfId="12" applyNumberFormat="1" applyFont="1" applyFill="1" applyBorder="1" applyAlignment="1">
      <alignment horizontal="center" vertical="center"/>
    </xf>
    <xf numFmtId="178" fontId="27" fillId="0" borderId="16" xfId="12" applyNumberFormat="1" applyFont="1" applyFill="1" applyBorder="1" applyAlignment="1">
      <alignment horizontal="right" wrapText="1"/>
    </xf>
    <xf numFmtId="10" fontId="27" fillId="0" borderId="16" xfId="11" applyNumberFormat="1" applyFont="1" applyFill="1" applyBorder="1" applyAlignment="1">
      <alignment horizontal="right" vertical="center" wrapText="1"/>
    </xf>
    <xf numFmtId="178" fontId="27" fillId="0" borderId="16" xfId="12" applyNumberFormat="1" applyFont="1" applyFill="1" applyBorder="1" applyAlignment="1">
      <alignment horizontal="right" vertical="center" wrapText="1"/>
    </xf>
    <xf numFmtId="180" fontId="27" fillId="0" borderId="80" xfId="12" applyNumberFormat="1" applyFont="1" applyFill="1" applyBorder="1" applyAlignment="1">
      <alignment vertical="center" wrapText="1"/>
    </xf>
    <xf numFmtId="178" fontId="27" fillId="0" borderId="32" xfId="12" applyNumberFormat="1" applyFont="1" applyFill="1" applyBorder="1" applyAlignment="1" applyProtection="1">
      <alignment horizontal="right" vertical="center"/>
    </xf>
    <xf numFmtId="178" fontId="27" fillId="0" borderId="21" xfId="12" applyNumberFormat="1" applyFont="1" applyFill="1" applyBorder="1" applyAlignment="1">
      <alignment vertical="center" wrapText="1"/>
    </xf>
    <xf numFmtId="0" fontId="28" fillId="0" borderId="14" xfId="12" applyNumberFormat="1" applyFont="1" applyFill="1" applyBorder="1" applyAlignment="1">
      <alignment horizontal="center" vertical="center"/>
    </xf>
    <xf numFmtId="10" fontId="27" fillId="0" borderId="14" xfId="11" applyNumberFormat="1" applyFont="1" applyFill="1" applyBorder="1" applyAlignment="1">
      <alignment horizontal="right" vertical="center" wrapText="1"/>
    </xf>
    <xf numFmtId="178" fontId="27" fillId="0" borderId="14" xfId="12" applyNumberFormat="1" applyFont="1" applyFill="1" applyBorder="1" applyAlignment="1">
      <alignment horizontal="right" vertical="center" wrapText="1"/>
    </xf>
    <xf numFmtId="180" fontId="27" fillId="0" borderId="24" xfId="12" applyNumberFormat="1" applyFont="1" applyFill="1" applyBorder="1" applyAlignment="1">
      <alignment vertical="center" wrapText="1"/>
    </xf>
    <xf numFmtId="178" fontId="27" fillId="0" borderId="20" xfId="12" applyNumberFormat="1" applyFont="1" applyFill="1" applyBorder="1" applyAlignment="1" applyProtection="1">
      <alignment horizontal="right" vertical="center"/>
    </xf>
    <xf numFmtId="0" fontId="28" fillId="0" borderId="22" xfId="12" applyNumberFormat="1" applyFont="1" applyFill="1" applyBorder="1" applyAlignment="1">
      <alignment horizontal="center" vertical="center"/>
    </xf>
    <xf numFmtId="178" fontId="27" fillId="0" borderId="22" xfId="12" applyNumberFormat="1" applyFont="1" applyFill="1" applyBorder="1" applyAlignment="1">
      <alignment horizontal="right" wrapText="1"/>
    </xf>
    <xf numFmtId="10" fontId="27" fillId="0" borderId="22" xfId="11" applyNumberFormat="1" applyFont="1" applyFill="1" applyBorder="1" applyAlignment="1">
      <alignment horizontal="right" vertical="center" wrapText="1"/>
    </xf>
    <xf numFmtId="178" fontId="27" fillId="0" borderId="22" xfId="12" applyNumberFormat="1" applyFont="1" applyFill="1" applyBorder="1" applyAlignment="1">
      <alignment horizontal="right" vertical="center" wrapText="1"/>
    </xf>
    <xf numFmtId="180" fontId="27" fillId="0" borderId="81" xfId="12" applyNumberFormat="1" applyFont="1" applyFill="1" applyBorder="1" applyAlignment="1">
      <alignment vertical="center" wrapText="1"/>
    </xf>
    <xf numFmtId="178" fontId="27" fillId="0" borderId="23" xfId="12" applyNumberFormat="1" applyFont="1" applyFill="1" applyBorder="1" applyAlignment="1" applyProtection="1">
      <alignment horizontal="right" vertical="center"/>
    </xf>
    <xf numFmtId="178" fontId="27" fillId="0" borderId="6" xfId="12" applyNumberFormat="1" applyFont="1" applyFill="1" applyBorder="1"/>
    <xf numFmtId="178" fontId="27" fillId="0" borderId="7" xfId="12" applyNumberFormat="1" applyFont="1" applyFill="1" applyBorder="1"/>
    <xf numFmtId="178" fontId="31" fillId="0" borderId="7" xfId="12" applyNumberFormat="1" applyFont="1" applyFill="1" applyBorder="1"/>
    <xf numFmtId="178" fontId="26" fillId="7" borderId="55" xfId="12" applyNumberFormat="1" applyFont="1" applyFill="1" applyBorder="1"/>
    <xf numFmtId="175" fontId="26" fillId="0" borderId="6" xfId="10" applyFont="1" applyFill="1" applyBorder="1" applyAlignment="1">
      <alignment horizontal="center" vertical="center"/>
    </xf>
    <xf numFmtId="175" fontId="27" fillId="0" borderId="7" xfId="10" applyFont="1" applyFill="1" applyBorder="1" applyAlignment="1">
      <alignment horizontal="center"/>
    </xf>
    <xf numFmtId="175" fontId="26" fillId="0" borderId="57" xfId="10" applyFont="1" applyFill="1" applyBorder="1" applyAlignment="1">
      <alignment vertical="center"/>
    </xf>
    <xf numFmtId="178" fontId="0" fillId="0" borderId="0" xfId="12" applyNumberFormat="1" applyFont="1" applyFill="1"/>
    <xf numFmtId="49" fontId="27" fillId="0" borderId="0" xfId="12" applyNumberFormat="1" applyFont="1" applyFill="1" applyBorder="1"/>
    <xf numFmtId="178" fontId="26" fillId="0" borderId="55" xfId="12" applyNumberFormat="1" applyFont="1" applyFill="1" applyBorder="1" applyAlignment="1">
      <alignment horizontal="center" vertical="center"/>
    </xf>
    <xf numFmtId="178" fontId="26" fillId="0" borderId="57" xfId="12" applyNumberFormat="1" applyFont="1" applyFill="1" applyBorder="1" applyAlignment="1">
      <alignment horizontal="center" vertical="center"/>
    </xf>
    <xf numFmtId="179" fontId="0" fillId="0" borderId="0" xfId="12" applyNumberFormat="1" applyFont="1" applyFill="1"/>
    <xf numFmtId="178" fontId="0" fillId="0" borderId="0" xfId="12" applyNumberFormat="1" applyFont="1" applyFill="1" applyAlignment="1">
      <alignment wrapText="1"/>
    </xf>
    <xf numFmtId="166" fontId="8" fillId="5" borderId="17" xfId="7" applyNumberFormat="1" applyFont="1" applyFill="1" applyBorder="1" applyAlignment="1">
      <alignment horizontal="right" vertical="center" wrapText="1"/>
    </xf>
    <xf numFmtId="175" fontId="22" fillId="0" borderId="83" xfId="10" applyFont="1" applyFill="1" applyBorder="1" applyAlignment="1">
      <alignment horizontal="center" vertical="center"/>
    </xf>
    <xf numFmtId="175" fontId="22" fillId="0" borderId="55" xfId="10" applyFont="1" applyFill="1" applyBorder="1" applyAlignment="1">
      <alignment horizontal="center" vertical="center"/>
    </xf>
    <xf numFmtId="175" fontId="9" fillId="0" borderId="0" xfId="10" applyFont="1" applyFill="1"/>
    <xf numFmtId="175" fontId="3" fillId="0" borderId="0" xfId="10" applyFont="1" applyFill="1" applyBorder="1" applyAlignment="1">
      <alignment horizontal="centerContinuous" vertical="center"/>
    </xf>
    <xf numFmtId="175" fontId="9" fillId="0" borderId="0" xfId="10" applyFont="1" applyFill="1" applyAlignment="1">
      <alignment horizontal="centerContinuous"/>
    </xf>
    <xf numFmtId="175" fontId="3" fillId="0" borderId="2" xfId="10" applyFont="1" applyFill="1" applyBorder="1" applyAlignment="1">
      <alignment horizontal="center" vertical="center"/>
    </xf>
    <xf numFmtId="175" fontId="8" fillId="0" borderId="2" xfId="10" applyFont="1" applyFill="1" applyBorder="1" applyAlignment="1"/>
    <xf numFmtId="175" fontId="8" fillId="0" borderId="58" xfId="10" applyFont="1" applyFill="1" applyBorder="1" applyAlignment="1"/>
    <xf numFmtId="175" fontId="8" fillId="0" borderId="7" xfId="10" applyFont="1" applyFill="1" applyBorder="1" applyAlignment="1">
      <alignment horizontal="center"/>
    </xf>
    <xf numFmtId="175" fontId="8" fillId="0" borderId="57" xfId="10" applyFont="1" applyFill="1" applyBorder="1" applyAlignment="1">
      <alignment horizontal="center"/>
    </xf>
    <xf numFmtId="0" fontId="3" fillId="0" borderId="55" xfId="10" applyNumberFormat="1" applyFont="1" applyFill="1" applyBorder="1" applyAlignment="1">
      <alignment horizontal="center" vertical="center" wrapText="1"/>
    </xf>
    <xf numFmtId="175" fontId="8" fillId="0" borderId="1" xfId="10" applyFont="1" applyFill="1" applyBorder="1" applyAlignment="1">
      <alignment vertical="center"/>
    </xf>
    <xf numFmtId="175" fontId="8" fillId="0" borderId="2" xfId="10" applyFont="1" applyFill="1" applyBorder="1" applyAlignment="1">
      <alignment vertical="center"/>
    </xf>
    <xf numFmtId="175" fontId="8" fillId="0" borderId="2" xfId="10" applyFont="1" applyFill="1" applyBorder="1"/>
    <xf numFmtId="175" fontId="3" fillId="0" borderId="2" xfId="10" applyFont="1" applyFill="1" applyBorder="1" applyAlignment="1">
      <alignment horizontal="right"/>
    </xf>
    <xf numFmtId="175" fontId="8" fillId="0" borderId="55" xfId="10" applyFont="1" applyFill="1" applyBorder="1" applyAlignment="1">
      <alignment horizontal="center"/>
    </xf>
    <xf numFmtId="175" fontId="8" fillId="0" borderId="4" xfId="10" applyFont="1" applyFill="1" applyBorder="1" applyAlignment="1">
      <alignment vertical="center"/>
    </xf>
    <xf numFmtId="175" fontId="8" fillId="0" borderId="0" xfId="10" applyFont="1" applyFill="1" applyBorder="1" applyAlignment="1">
      <alignment vertical="center"/>
    </xf>
    <xf numFmtId="175" fontId="8" fillId="0" borderId="0" xfId="10" applyFont="1" applyFill="1" applyBorder="1"/>
    <xf numFmtId="175" fontId="3" fillId="0" borderId="0" xfId="10" applyFont="1" applyFill="1" applyBorder="1" applyAlignment="1">
      <alignment horizontal="right"/>
    </xf>
    <xf numFmtId="175" fontId="8" fillId="0" borderId="56" xfId="10" applyFont="1" applyFill="1" applyBorder="1" applyAlignment="1">
      <alignment horizontal="center"/>
    </xf>
    <xf numFmtId="175" fontId="3" fillId="0" borderId="6" xfId="10" applyFont="1" applyFill="1" applyBorder="1" applyAlignment="1">
      <alignment vertical="center"/>
    </xf>
    <xf numFmtId="175" fontId="3" fillId="0" borderId="7" xfId="10" applyFont="1" applyFill="1" applyBorder="1" applyAlignment="1">
      <alignment vertical="center"/>
    </xf>
    <xf numFmtId="175" fontId="8" fillId="0" borderId="7" xfId="10" applyFont="1" applyFill="1" applyBorder="1" applyAlignment="1">
      <alignment vertical="center"/>
    </xf>
    <xf numFmtId="175" fontId="8" fillId="0" borderId="57" xfId="10" applyFont="1" applyFill="1" applyBorder="1" applyAlignment="1">
      <alignment vertical="center"/>
    </xf>
    <xf numFmtId="175" fontId="33" fillId="0" borderId="53" xfId="10" applyFont="1" applyFill="1" applyBorder="1" applyAlignment="1">
      <alignment horizontal="center" vertical="center"/>
    </xf>
    <xf numFmtId="175" fontId="33" fillId="0" borderId="31" xfId="10" applyFont="1" applyFill="1" applyBorder="1" applyAlignment="1">
      <alignment horizontal="center" vertical="center"/>
    </xf>
    <xf numFmtId="175" fontId="33" fillId="0" borderId="64" xfId="10" applyFont="1" applyFill="1" applyBorder="1" applyAlignment="1">
      <alignment horizontal="center" vertical="center"/>
    </xf>
    <xf numFmtId="175" fontId="8" fillId="0" borderId="16" xfId="10" applyFont="1" applyFill="1" applyBorder="1" applyAlignment="1">
      <alignment horizontal="center" vertical="center"/>
    </xf>
    <xf numFmtId="175" fontId="8" fillId="0" borderId="16" xfId="10" applyFont="1" applyFill="1" applyBorder="1" applyAlignment="1">
      <alignment vertical="center"/>
    </xf>
    <xf numFmtId="175" fontId="8" fillId="0" borderId="32" xfId="10" applyFont="1" applyFill="1" applyBorder="1" applyAlignment="1">
      <alignment vertical="center"/>
    </xf>
    <xf numFmtId="176" fontId="33" fillId="0" borderId="69" xfId="10" applyNumberFormat="1" applyFont="1" applyFill="1" applyBorder="1" applyAlignment="1">
      <alignment horizontal="center" vertical="center"/>
    </xf>
    <xf numFmtId="175" fontId="8" fillId="0" borderId="17" xfId="10" applyFont="1" applyFill="1" applyBorder="1" applyAlignment="1">
      <alignment horizontal="center" vertical="center"/>
    </xf>
    <xf numFmtId="175" fontId="8" fillId="0" borderId="14" xfId="10" applyFont="1" applyFill="1" applyBorder="1" applyAlignment="1">
      <alignment vertical="center"/>
    </xf>
    <xf numFmtId="175" fontId="8" fillId="0" borderId="18" xfId="10" applyFont="1" applyFill="1" applyBorder="1" applyAlignment="1">
      <alignment vertical="center"/>
    </xf>
    <xf numFmtId="175" fontId="8" fillId="0" borderId="14" xfId="10" applyFont="1" applyFill="1" applyBorder="1" applyAlignment="1">
      <alignment horizontal="center" vertical="center"/>
    </xf>
    <xf numFmtId="175" fontId="8" fillId="0" borderId="20" xfId="10" applyFont="1" applyFill="1" applyBorder="1" applyAlignment="1">
      <alignment vertical="center"/>
    </xf>
    <xf numFmtId="175" fontId="8" fillId="0" borderId="63" xfId="10" applyFont="1" applyFill="1" applyBorder="1" applyAlignment="1">
      <alignment horizontal="center" vertical="center"/>
    </xf>
    <xf numFmtId="175" fontId="8" fillId="0" borderId="63" xfId="10" applyFont="1" applyFill="1" applyBorder="1" applyAlignment="1">
      <alignment vertical="center"/>
    </xf>
    <xf numFmtId="175" fontId="8" fillId="0" borderId="29" xfId="10" applyFont="1" applyFill="1" applyBorder="1" applyAlignment="1">
      <alignment vertical="center"/>
    </xf>
    <xf numFmtId="176" fontId="33" fillId="0" borderId="64" xfId="10" applyNumberFormat="1" applyFont="1" applyFill="1" applyBorder="1" applyAlignment="1">
      <alignment horizontal="center" vertical="center"/>
    </xf>
    <xf numFmtId="176" fontId="8" fillId="0" borderId="55" xfId="10" applyNumberFormat="1" applyFont="1" applyFill="1" applyBorder="1" applyAlignment="1">
      <alignment vertical="center"/>
    </xf>
    <xf numFmtId="176" fontId="8" fillId="0" borderId="57" xfId="10" applyNumberFormat="1" applyFont="1" applyFill="1" applyBorder="1" applyAlignment="1">
      <alignment vertical="center"/>
    </xf>
    <xf numFmtId="177" fontId="8" fillId="0" borderId="16" xfId="10" applyNumberFormat="1" applyFont="1" applyFill="1" applyBorder="1" applyAlignment="1">
      <alignment vertical="center"/>
    </xf>
    <xf numFmtId="175" fontId="8" fillId="0" borderId="17" xfId="10" applyFont="1" applyFill="1" applyBorder="1" applyAlignment="1">
      <alignment vertical="center"/>
    </xf>
    <xf numFmtId="177" fontId="8" fillId="0" borderId="14" xfId="10" applyNumberFormat="1" applyFont="1" applyFill="1" applyBorder="1" applyAlignment="1">
      <alignment vertical="center"/>
    </xf>
    <xf numFmtId="177" fontId="8" fillId="0" borderId="63" xfId="10" applyNumberFormat="1" applyFont="1" applyFill="1" applyBorder="1" applyAlignment="1">
      <alignment vertical="center"/>
    </xf>
    <xf numFmtId="177" fontId="8" fillId="0" borderId="16" xfId="10" applyNumberFormat="1" applyFont="1" applyFill="1" applyBorder="1" applyAlignment="1">
      <alignment horizontal="center" vertical="center"/>
    </xf>
    <xf numFmtId="176" fontId="8" fillId="0" borderId="17" xfId="10" applyNumberFormat="1" applyFont="1" applyFill="1" applyBorder="1" applyAlignment="1">
      <alignment vertical="center"/>
    </xf>
    <xf numFmtId="177" fontId="8" fillId="0" borderId="17" xfId="10" applyNumberFormat="1" applyFont="1" applyFill="1" applyBorder="1" applyAlignment="1">
      <alignment horizontal="center" vertical="center"/>
    </xf>
    <xf numFmtId="176" fontId="8" fillId="0" borderId="63" xfId="10" applyNumberFormat="1" applyFont="1" applyFill="1" applyBorder="1" applyAlignment="1">
      <alignment vertical="center"/>
    </xf>
    <xf numFmtId="10" fontId="8" fillId="0" borderId="16" xfId="11" applyNumberFormat="1" applyFont="1" applyFill="1" applyBorder="1" applyAlignment="1">
      <alignment horizontal="center" vertical="center"/>
    </xf>
    <xf numFmtId="176" fontId="8" fillId="0" borderId="19" xfId="10" applyNumberFormat="1" applyFont="1" applyFill="1" applyBorder="1" applyAlignment="1">
      <alignment horizontal="center" vertical="center"/>
    </xf>
    <xf numFmtId="10" fontId="8" fillId="0" borderId="27" xfId="11" applyNumberFormat="1" applyFont="1" applyFill="1" applyBorder="1" applyAlignment="1">
      <alignment horizontal="center" vertical="center"/>
    </xf>
    <xf numFmtId="175" fontId="8" fillId="0" borderId="26" xfId="10" applyFont="1" applyFill="1" applyBorder="1" applyAlignment="1">
      <alignment vertical="center"/>
    </xf>
    <xf numFmtId="10" fontId="8" fillId="0" borderId="14" xfId="11" applyNumberFormat="1" applyFont="1" applyFill="1" applyBorder="1" applyAlignment="1">
      <alignment horizontal="center" vertical="center"/>
    </xf>
    <xf numFmtId="175" fontId="8" fillId="0" borderId="0" xfId="10" applyFont="1" applyFill="1" applyBorder="1" applyAlignment="1">
      <alignment horizontal="center" vertical="center"/>
    </xf>
    <xf numFmtId="176" fontId="8" fillId="0" borderId="56" xfId="10" applyNumberFormat="1" applyFont="1" applyFill="1" applyBorder="1" applyAlignment="1">
      <alignment vertical="center"/>
    </xf>
    <xf numFmtId="176" fontId="3" fillId="7" borderId="55" xfId="10" applyNumberFormat="1" applyFont="1" applyFill="1" applyBorder="1" applyAlignment="1">
      <alignment vertical="center"/>
    </xf>
    <xf numFmtId="175" fontId="33" fillId="0" borderId="13" xfId="10" applyFont="1" applyFill="1" applyBorder="1" applyAlignment="1">
      <alignment horizontal="center" vertical="center"/>
    </xf>
    <xf numFmtId="176" fontId="8" fillId="0" borderId="62" xfId="10" applyNumberFormat="1" applyFont="1" applyFill="1" applyBorder="1" applyAlignment="1">
      <alignment horizontal="center" vertical="center"/>
    </xf>
    <xf numFmtId="175" fontId="8" fillId="0" borderId="72" xfId="10" applyFont="1" applyFill="1" applyBorder="1" applyAlignment="1">
      <alignment vertical="center"/>
    </xf>
    <xf numFmtId="10" fontId="8" fillId="0" borderId="63" xfId="11" applyNumberFormat="1" applyFont="1" applyFill="1" applyBorder="1" applyAlignment="1">
      <alignment horizontal="center" vertical="center"/>
    </xf>
    <xf numFmtId="0" fontId="35" fillId="0" borderId="14" xfId="0" applyFont="1" applyBorder="1" applyAlignment="1">
      <alignment horizontal="left" vertical="center" readingOrder="1"/>
    </xf>
    <xf numFmtId="175" fontId="33" fillId="0" borderId="3" xfId="10" applyFont="1" applyFill="1" applyBorder="1" applyAlignment="1">
      <alignment horizontal="center" vertical="center"/>
    </xf>
    <xf numFmtId="176" fontId="8" fillId="0" borderId="54" xfId="10" applyNumberFormat="1" applyFont="1" applyFill="1" applyBorder="1" applyAlignment="1">
      <alignment horizontal="center" vertical="center"/>
    </xf>
    <xf numFmtId="0" fontId="35" fillId="0" borderId="17" xfId="0" applyFont="1" applyBorder="1" applyAlignment="1">
      <alignment horizontal="left" vertical="center" readingOrder="1"/>
    </xf>
    <xf numFmtId="166" fontId="8" fillId="5" borderId="14" xfId="7" applyNumberFormat="1" applyFont="1" applyFill="1" applyBorder="1" applyAlignment="1">
      <alignment horizontal="right" vertical="center" wrapText="1"/>
    </xf>
    <xf numFmtId="0" fontId="17" fillId="0" borderId="17" xfId="0" applyFont="1" applyBorder="1" applyAlignment="1">
      <alignment horizontal="left" vertical="center" readingOrder="1"/>
    </xf>
    <xf numFmtId="0" fontId="17" fillId="0" borderId="14" xfId="0" applyFont="1" applyBorder="1" applyAlignment="1">
      <alignment horizontal="left" vertical="center" readingOrder="1"/>
    </xf>
    <xf numFmtId="3" fontId="3" fillId="5" borderId="4" xfId="5" applyNumberFormat="1" applyFont="1" applyFill="1" applyBorder="1" applyAlignment="1">
      <alignment horizontal="right" vertical="center"/>
    </xf>
    <xf numFmtId="0" fontId="17" fillId="7" borderId="21" xfId="0" applyFont="1" applyFill="1" applyBorder="1" applyAlignment="1">
      <alignment horizontal="left" vertical="center" wrapText="1"/>
    </xf>
    <xf numFmtId="172" fontId="18" fillId="7" borderId="23" xfId="0" applyNumberFormat="1" applyFont="1" applyFill="1" applyBorder="1" applyAlignment="1">
      <alignment horizontal="right" vertical="center" shrinkToFit="1"/>
    </xf>
    <xf numFmtId="9" fontId="18" fillId="7" borderId="22" xfId="0" applyNumberFormat="1" applyFont="1" applyFill="1" applyBorder="1" applyAlignment="1">
      <alignment horizontal="center" vertical="center" wrapText="1"/>
    </xf>
    <xf numFmtId="169" fontId="0" fillId="0" borderId="0" xfId="0" applyNumberFormat="1"/>
    <xf numFmtId="4" fontId="8" fillId="0" borderId="22" xfId="5" applyNumberFormat="1" applyFont="1" applyBorder="1" applyAlignment="1">
      <alignment horizontal="justify" vertical="center" wrapText="1"/>
    </xf>
    <xf numFmtId="0" fontId="3" fillId="2" borderId="1" xfId="3" applyFont="1" applyFill="1" applyBorder="1" applyAlignment="1">
      <alignment horizontal="center" vertical="center"/>
    </xf>
    <xf numFmtId="0" fontId="3" fillId="2" borderId="4" xfId="3" applyFont="1" applyFill="1" applyBorder="1" applyAlignment="1">
      <alignment horizontal="center" vertical="center"/>
    </xf>
    <xf numFmtId="0" fontId="3" fillId="2" borderId="6" xfId="3" applyFont="1" applyFill="1" applyBorder="1" applyAlignment="1">
      <alignment horizontal="center" vertical="center"/>
    </xf>
    <xf numFmtId="0" fontId="4" fillId="0" borderId="2" xfId="3" applyFont="1" applyBorder="1" applyAlignment="1">
      <alignment horizontal="center" vertical="center"/>
    </xf>
    <xf numFmtId="0" fontId="4" fillId="0" borderId="3" xfId="3" applyFont="1" applyBorder="1" applyAlignment="1">
      <alignment horizontal="center" vertical="center"/>
    </xf>
    <xf numFmtId="0" fontId="4" fillId="0" borderId="0" xfId="3" applyFont="1" applyAlignment="1">
      <alignment horizontal="center" vertical="center"/>
    </xf>
    <xf numFmtId="0" fontId="4" fillId="0" borderId="5" xfId="3" applyFont="1" applyBorder="1" applyAlignment="1">
      <alignment horizontal="center" vertical="center"/>
    </xf>
    <xf numFmtId="0" fontId="4" fillId="0" borderId="7" xfId="3" applyFont="1" applyBorder="1" applyAlignment="1">
      <alignment horizontal="center" vertical="center"/>
    </xf>
    <xf numFmtId="0" fontId="4" fillId="0" borderId="8" xfId="3" applyFont="1" applyBorder="1" applyAlignment="1">
      <alignment horizontal="center" vertical="center"/>
    </xf>
    <xf numFmtId="0" fontId="3" fillId="2" borderId="9" xfId="3" applyFont="1" applyFill="1" applyBorder="1" applyAlignment="1">
      <alignment horizontal="center" vertical="center"/>
    </xf>
    <xf numFmtId="0" fontId="3" fillId="2" borderId="10" xfId="3" applyFont="1" applyFill="1" applyBorder="1" applyAlignment="1">
      <alignment horizontal="center" vertical="center"/>
    </xf>
    <xf numFmtId="0" fontId="3" fillId="2" borderId="11" xfId="3" applyFont="1" applyFill="1" applyBorder="1" applyAlignment="1">
      <alignment horizontal="center" vertical="center"/>
    </xf>
    <xf numFmtId="0" fontId="8" fillId="3" borderId="9" xfId="3" applyFont="1" applyFill="1" applyBorder="1" applyAlignment="1">
      <alignment horizontal="center" vertical="center" wrapText="1" shrinkToFit="1"/>
    </xf>
    <xf numFmtId="0" fontId="8" fillId="3" borderId="10" xfId="3" applyFont="1" applyFill="1" applyBorder="1" applyAlignment="1">
      <alignment horizontal="center" vertical="center" wrapText="1" shrinkToFit="1"/>
    </xf>
    <xf numFmtId="0" fontId="3" fillId="4" borderId="9" xfId="3" applyFont="1" applyFill="1" applyBorder="1" applyAlignment="1">
      <alignment horizontal="center" vertical="center" wrapText="1"/>
    </xf>
    <xf numFmtId="0" fontId="3" fillId="4" borderId="10" xfId="3" applyFont="1" applyFill="1" applyBorder="1" applyAlignment="1">
      <alignment horizontal="center" vertical="center" wrapText="1"/>
    </xf>
    <xf numFmtId="0" fontId="3" fillId="4" borderId="14" xfId="3" applyFont="1" applyFill="1" applyBorder="1" applyAlignment="1">
      <alignment horizontal="center" vertical="center" wrapText="1"/>
    </xf>
    <xf numFmtId="4" fontId="8" fillId="0" borderId="17" xfId="5" applyNumberFormat="1" applyFont="1" applyBorder="1" applyAlignment="1">
      <alignment horizontal="left" vertical="center" wrapText="1"/>
    </xf>
    <xf numFmtId="4" fontId="8" fillId="0" borderId="14" xfId="5" applyNumberFormat="1" applyFont="1" applyBorder="1" applyAlignment="1">
      <alignment horizontal="left" vertical="center" wrapText="1"/>
    </xf>
    <xf numFmtId="4" fontId="8" fillId="0" borderId="14" xfId="5" applyNumberFormat="1" applyFont="1" applyBorder="1" applyAlignment="1">
      <alignment horizontal="justify" vertical="center" wrapText="1"/>
    </xf>
    <xf numFmtId="4" fontId="8" fillId="0" borderId="17" xfId="5" applyNumberFormat="1" applyFont="1" applyBorder="1" applyAlignment="1">
      <alignment horizontal="justify" vertical="center" wrapText="1"/>
    </xf>
    <xf numFmtId="0" fontId="3" fillId="4" borderId="24" xfId="3" applyFont="1" applyFill="1" applyBorder="1" applyAlignment="1">
      <alignment horizontal="center" vertical="center" wrapText="1"/>
    </xf>
    <xf numFmtId="0" fontId="3" fillId="4" borderId="25" xfId="3" applyFont="1" applyFill="1" applyBorder="1" applyAlignment="1">
      <alignment horizontal="center" vertical="center" wrapText="1"/>
    </xf>
    <xf numFmtId="0" fontId="3" fillId="4" borderId="26" xfId="3" applyFont="1" applyFill="1" applyBorder="1" applyAlignment="1">
      <alignment horizontal="center" vertical="center" wrapText="1"/>
    </xf>
    <xf numFmtId="0" fontId="3" fillId="4" borderId="30" xfId="3" applyFont="1" applyFill="1" applyBorder="1" applyAlignment="1">
      <alignment horizontal="center" vertical="center" wrapText="1"/>
    </xf>
    <xf numFmtId="0" fontId="8" fillId="0" borderId="2" xfId="4" applyFont="1" applyBorder="1" applyAlignment="1">
      <alignment horizontal="center"/>
    </xf>
    <xf numFmtId="0" fontId="3" fillId="0" borderId="0" xfId="4" applyFont="1" applyAlignment="1">
      <alignment horizontal="center"/>
    </xf>
    <xf numFmtId="3" fontId="3" fillId="5" borderId="15" xfId="5" applyNumberFormat="1" applyFont="1" applyFill="1" applyBorder="1" applyAlignment="1">
      <alignment horizontal="right" vertical="center"/>
    </xf>
    <xf numFmtId="3" fontId="3" fillId="5" borderId="16" xfId="5" applyNumberFormat="1" applyFont="1" applyFill="1" applyBorder="1" applyAlignment="1">
      <alignment horizontal="right" vertical="center"/>
    </xf>
    <xf numFmtId="3" fontId="3" fillId="5" borderId="19" xfId="5" applyNumberFormat="1" applyFont="1" applyFill="1" applyBorder="1" applyAlignment="1">
      <alignment horizontal="right" vertical="center"/>
    </xf>
    <xf numFmtId="3" fontId="3" fillId="5" borderId="14" xfId="5" applyNumberFormat="1" applyFont="1" applyFill="1" applyBorder="1" applyAlignment="1">
      <alignment horizontal="right" vertical="center"/>
    </xf>
    <xf numFmtId="0" fontId="11" fillId="6" borderId="9"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30" xfId="0" applyFont="1" applyFill="1" applyBorder="1" applyAlignment="1">
      <alignment horizontal="center" vertical="center" wrapText="1"/>
    </xf>
    <xf numFmtId="0" fontId="12" fillId="7" borderId="1" xfId="0" applyFont="1" applyFill="1" applyBorder="1" applyAlignment="1">
      <alignment horizontal="center" vertical="center"/>
    </xf>
    <xf numFmtId="0" fontId="12" fillId="7" borderId="2"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0" xfId="0" applyFont="1" applyFill="1" applyAlignment="1">
      <alignment horizontal="center" vertical="center"/>
    </xf>
    <xf numFmtId="0" fontId="12" fillId="8" borderId="5" xfId="0" applyFont="1" applyFill="1" applyBorder="1" applyAlignment="1">
      <alignment horizontal="center" vertical="center"/>
    </xf>
    <xf numFmtId="0" fontId="12" fillId="7" borderId="9" xfId="0" applyFont="1" applyFill="1" applyBorder="1" applyAlignment="1">
      <alignment horizontal="center" vertical="center"/>
    </xf>
    <xf numFmtId="0" fontId="12" fillId="7" borderId="10" xfId="0" applyFont="1" applyFill="1" applyBorder="1" applyAlignment="1">
      <alignment horizontal="center" vertical="center"/>
    </xf>
    <xf numFmtId="0" fontId="12" fillId="7" borderId="11" xfId="0" applyFont="1" applyFill="1" applyBorder="1" applyAlignment="1">
      <alignment horizontal="center" vertical="center"/>
    </xf>
    <xf numFmtId="3" fontId="3" fillId="5" borderId="62" xfId="5" applyNumberFormat="1" applyFont="1" applyFill="1" applyBorder="1" applyAlignment="1">
      <alignment horizontal="right" vertical="center"/>
    </xf>
    <xf numFmtId="3" fontId="3" fillId="5" borderId="63" xfId="5" applyNumberFormat="1" applyFont="1" applyFill="1" applyBorder="1" applyAlignment="1">
      <alignment horizontal="right" vertical="center"/>
    </xf>
    <xf numFmtId="0" fontId="17" fillId="7" borderId="63" xfId="0" applyFont="1" applyFill="1" applyBorder="1" applyAlignment="1">
      <alignment horizontal="left" vertical="center" wrapText="1"/>
    </xf>
    <xf numFmtId="0" fontId="3" fillId="0" borderId="14" xfId="0" applyFont="1" applyBorder="1" applyAlignment="1">
      <alignment horizontal="left" vertical="center" wrapText="1"/>
    </xf>
    <xf numFmtId="0" fontId="3" fillId="0" borderId="22" xfId="0" applyFont="1" applyBorder="1" applyAlignment="1">
      <alignment horizontal="left" vertical="center" wrapText="1"/>
    </xf>
    <xf numFmtId="0" fontId="17" fillId="7" borderId="16" xfId="0" applyFont="1" applyFill="1" applyBorder="1" applyAlignment="1">
      <alignment horizontal="left" vertical="center" wrapText="1"/>
    </xf>
    <xf numFmtId="0" fontId="3" fillId="7" borderId="14" xfId="0" applyFont="1" applyFill="1" applyBorder="1" applyAlignment="1">
      <alignment horizontal="left" vertical="center" wrapText="1"/>
    </xf>
    <xf numFmtId="0" fontId="3" fillId="9" borderId="14" xfId="0" applyFont="1" applyFill="1" applyBorder="1" applyAlignment="1">
      <alignment horizontal="center" vertical="center" wrapText="1"/>
    </xf>
    <xf numFmtId="170" fontId="3" fillId="9" borderId="14" xfId="2" applyNumberFormat="1" applyFont="1" applyFill="1" applyBorder="1" applyAlignment="1">
      <alignment horizontal="center" vertical="center" wrapText="1"/>
    </xf>
    <xf numFmtId="0" fontId="3" fillId="7" borderId="24" xfId="0" applyFont="1" applyFill="1" applyBorder="1" applyAlignment="1">
      <alignment horizontal="left" vertical="center" wrapText="1"/>
    </xf>
    <xf numFmtId="0" fontId="3" fillId="7" borderId="25" xfId="0" applyFont="1" applyFill="1" applyBorder="1" applyAlignment="1">
      <alignment horizontal="left" vertical="center" wrapText="1"/>
    </xf>
    <xf numFmtId="0" fontId="3" fillId="7" borderId="26" xfId="0" applyFont="1" applyFill="1" applyBorder="1" applyAlignment="1">
      <alignment horizontal="left" vertical="center" wrapText="1"/>
    </xf>
    <xf numFmtId="0" fontId="17" fillId="9" borderId="34" xfId="0" applyFont="1" applyFill="1" applyBorder="1" applyAlignment="1">
      <alignment horizontal="center" vertical="center" wrapText="1"/>
    </xf>
    <xf numFmtId="0" fontId="17" fillId="9" borderId="35" xfId="0" applyFont="1" applyFill="1" applyBorder="1" applyAlignment="1">
      <alignment horizontal="center" vertical="center" wrapText="1"/>
    </xf>
    <xf numFmtId="0" fontId="17" fillId="9" borderId="36" xfId="0" applyFont="1" applyFill="1" applyBorder="1" applyAlignment="1">
      <alignment horizontal="center" vertical="center" wrapText="1"/>
    </xf>
    <xf numFmtId="0" fontId="17" fillId="9" borderId="37" xfId="0" applyFont="1" applyFill="1" applyBorder="1" applyAlignment="1">
      <alignment horizontal="center" vertical="center" wrapText="1"/>
    </xf>
    <xf numFmtId="0" fontId="17" fillId="9" borderId="38" xfId="0" applyFont="1" applyFill="1" applyBorder="1" applyAlignment="1">
      <alignment horizontal="center" vertical="center" wrapText="1"/>
    </xf>
    <xf numFmtId="0" fontId="3" fillId="9" borderId="39" xfId="0" applyFont="1" applyFill="1" applyBorder="1" applyAlignment="1">
      <alignment horizontal="center" vertical="center" wrapText="1"/>
    </xf>
    <xf numFmtId="0" fontId="17" fillId="9" borderId="40" xfId="0" applyFont="1" applyFill="1" applyBorder="1" applyAlignment="1">
      <alignment horizontal="center" vertical="center" wrapText="1"/>
    </xf>
    <xf numFmtId="0" fontId="17" fillId="9" borderId="41" xfId="0" applyFont="1" applyFill="1" applyBorder="1" applyAlignment="1">
      <alignment horizontal="center" vertical="center" wrapText="1"/>
    </xf>
    <xf numFmtId="0" fontId="3" fillId="9" borderId="40" xfId="0" applyFont="1" applyFill="1" applyBorder="1" applyAlignment="1">
      <alignment horizontal="center" vertical="center" wrapText="1"/>
    </xf>
    <xf numFmtId="0" fontId="3" fillId="9" borderId="41" xfId="0" applyFont="1" applyFill="1" applyBorder="1" applyAlignment="1">
      <alignment horizontal="center" vertical="center" wrapText="1"/>
    </xf>
    <xf numFmtId="0" fontId="3" fillId="9" borderId="42" xfId="0" applyFont="1" applyFill="1" applyBorder="1" applyAlignment="1">
      <alignment horizontal="center" vertical="center" wrapText="1"/>
    </xf>
    <xf numFmtId="0" fontId="17" fillId="10" borderId="61" xfId="0" applyFont="1" applyFill="1" applyBorder="1" applyAlignment="1">
      <alignment horizontal="left" wrapText="1"/>
    </xf>
    <xf numFmtId="0" fontId="17" fillId="10" borderId="0" xfId="0" applyFont="1" applyFill="1" applyAlignment="1">
      <alignment horizontal="left" wrapText="1"/>
    </xf>
    <xf numFmtId="0" fontId="17" fillId="10" borderId="56" xfId="0" applyFont="1" applyFill="1" applyBorder="1" applyAlignment="1">
      <alignment horizontal="left" wrapText="1"/>
    </xf>
    <xf numFmtId="0" fontId="17" fillId="10" borderId="47" xfId="0" applyFont="1" applyFill="1" applyBorder="1" applyAlignment="1">
      <alignment horizontal="left" vertical="center" wrapText="1"/>
    </xf>
    <xf numFmtId="0" fontId="17" fillId="10" borderId="42" xfId="0" applyFont="1" applyFill="1" applyBorder="1" applyAlignment="1">
      <alignment horizontal="left" vertical="center" wrapText="1"/>
    </xf>
    <xf numFmtId="0" fontId="17" fillId="10" borderId="48" xfId="0" applyFont="1" applyFill="1" applyBorder="1" applyAlignment="1">
      <alignment horizontal="left" vertical="center" wrapText="1"/>
    </xf>
    <xf numFmtId="0" fontId="17" fillId="10" borderId="14" xfId="0" applyFont="1" applyFill="1" applyBorder="1" applyAlignment="1">
      <alignment horizontal="left" wrapText="1"/>
    </xf>
    <xf numFmtId="0" fontId="17" fillId="10" borderId="20" xfId="0" applyFont="1" applyFill="1" applyBorder="1" applyAlignment="1">
      <alignment horizontal="left" wrapText="1"/>
    </xf>
    <xf numFmtId="0" fontId="17" fillId="10" borderId="14" xfId="0" applyFont="1" applyFill="1" applyBorder="1" applyAlignment="1">
      <alignment horizontal="left" vertical="center" wrapText="1"/>
    </xf>
    <xf numFmtId="0" fontId="17" fillId="10" borderId="20" xfId="0" applyFont="1" applyFill="1" applyBorder="1" applyAlignment="1">
      <alignment horizontal="left" vertical="center" wrapText="1"/>
    </xf>
    <xf numFmtId="0" fontId="20" fillId="13" borderId="52" xfId="8" applyFont="1" applyFill="1" applyBorder="1" applyAlignment="1">
      <alignment horizontal="center" vertical="center"/>
    </xf>
    <xf numFmtId="0" fontId="20" fillId="13" borderId="53" xfId="8" applyFont="1" applyFill="1" applyBorder="1" applyAlignment="1">
      <alignment horizontal="center" vertical="center"/>
    </xf>
    <xf numFmtId="0" fontId="20" fillId="13" borderId="31" xfId="8" applyFont="1" applyFill="1" applyBorder="1" applyAlignment="1">
      <alignment horizontal="center" vertical="center"/>
    </xf>
    <xf numFmtId="0" fontId="8" fillId="0" borderId="54" xfId="0" applyFont="1" applyBorder="1" applyAlignment="1">
      <alignment horizontal="center"/>
    </xf>
    <xf numFmtId="0" fontId="8" fillId="0" borderId="17" xfId="0" applyFont="1" applyBorder="1" applyAlignment="1">
      <alignment horizontal="center"/>
    </xf>
    <xf numFmtId="0" fontId="8" fillId="0" borderId="18" xfId="0" applyFont="1" applyBorder="1" applyAlignment="1">
      <alignment horizontal="center"/>
    </xf>
    <xf numFmtId="0" fontId="20" fillId="0" borderId="9" xfId="8" applyFont="1" applyBorder="1" applyAlignment="1">
      <alignment horizontal="center" vertical="center"/>
    </xf>
    <xf numFmtId="0" fontId="20" fillId="0" borderId="10" xfId="8" applyFont="1" applyBorder="1" applyAlignment="1">
      <alignment horizontal="center" vertical="center"/>
    </xf>
    <xf numFmtId="0" fontId="20" fillId="0" borderId="30" xfId="8" applyFont="1" applyBorder="1" applyAlignment="1">
      <alignment horizontal="center" vertical="center"/>
    </xf>
    <xf numFmtId="0" fontId="3" fillId="11" borderId="1" xfId="0" applyFont="1" applyFill="1" applyBorder="1" applyAlignment="1">
      <alignment horizontal="center" vertical="center" wrapText="1"/>
    </xf>
    <xf numFmtId="0" fontId="3" fillId="11" borderId="2" xfId="0" applyFont="1" applyFill="1" applyBorder="1" applyAlignment="1">
      <alignment horizontal="center" vertical="center" wrapText="1"/>
    </xf>
    <xf numFmtId="0" fontId="3" fillId="11" borderId="58" xfId="0" applyFont="1" applyFill="1" applyBorder="1" applyAlignment="1">
      <alignment horizontal="center" vertical="center" wrapText="1"/>
    </xf>
    <xf numFmtId="0" fontId="3" fillId="11" borderId="4" xfId="0" applyFont="1" applyFill="1" applyBorder="1" applyAlignment="1">
      <alignment horizontal="center" vertical="center" wrapText="1"/>
    </xf>
    <xf numFmtId="0" fontId="3" fillId="11" borderId="0" xfId="0" applyFont="1" applyFill="1" applyAlignment="1">
      <alignment horizontal="center" vertical="center" wrapText="1"/>
    </xf>
    <xf numFmtId="0" fontId="3" fillId="11" borderId="56" xfId="0" applyFont="1" applyFill="1" applyBorder="1" applyAlignment="1">
      <alignment horizontal="center" vertical="center" wrapText="1"/>
    </xf>
    <xf numFmtId="175" fontId="16" fillId="0" borderId="6" xfId="10" applyFont="1" applyFill="1" applyBorder="1" applyAlignment="1">
      <alignment horizontal="center" vertical="center"/>
    </xf>
    <xf numFmtId="175" fontId="16" fillId="0" borderId="7" xfId="10" applyFont="1" applyFill="1" applyBorder="1" applyAlignment="1">
      <alignment horizontal="center" vertical="center"/>
    </xf>
    <xf numFmtId="175" fontId="13" fillId="7" borderId="9" xfId="10" applyFont="1" applyFill="1" applyBorder="1" applyAlignment="1">
      <alignment horizontal="center" vertical="center"/>
    </xf>
    <xf numFmtId="175" fontId="13" fillId="7" borderId="30" xfId="10" applyFont="1" applyFill="1" applyBorder="1" applyAlignment="1">
      <alignment horizontal="center" vertical="center"/>
    </xf>
    <xf numFmtId="175" fontId="16" fillId="0" borderId="1" xfId="10" applyFont="1" applyFill="1" applyBorder="1" applyAlignment="1">
      <alignment horizontal="center" vertical="center"/>
    </xf>
    <xf numFmtId="175" fontId="16" fillId="0" borderId="2" xfId="10" applyFont="1" applyFill="1" applyBorder="1" applyAlignment="1">
      <alignment horizontal="center" vertical="center"/>
    </xf>
    <xf numFmtId="175" fontId="13" fillId="0" borderId="6" xfId="10" applyFont="1" applyFill="1" applyBorder="1" applyAlignment="1">
      <alignment horizontal="left" vertical="center"/>
    </xf>
    <xf numFmtId="175" fontId="13" fillId="0" borderId="7" xfId="10" applyFont="1" applyFill="1" applyBorder="1" applyAlignment="1">
      <alignment horizontal="left" vertical="center"/>
    </xf>
    <xf numFmtId="175" fontId="22" fillId="0" borderId="1" xfId="10" applyFont="1" applyFill="1" applyBorder="1" applyAlignment="1">
      <alignment horizontal="center" vertical="center"/>
    </xf>
    <xf numFmtId="175" fontId="22" fillId="0" borderId="3" xfId="10" applyFont="1" applyFill="1" applyBorder="1" applyAlignment="1">
      <alignment horizontal="center" vertical="center"/>
    </xf>
    <xf numFmtId="176" fontId="16" fillId="0" borderId="70" xfId="10" applyNumberFormat="1" applyFont="1" applyFill="1" applyBorder="1" applyAlignment="1">
      <alignment horizontal="center" vertical="center"/>
    </xf>
    <xf numFmtId="176" fontId="16" fillId="0" borderId="71" xfId="10" applyNumberFormat="1" applyFont="1" applyFill="1" applyBorder="1" applyAlignment="1">
      <alignment horizontal="center" vertical="center"/>
    </xf>
    <xf numFmtId="175" fontId="16" fillId="0" borderId="4" xfId="10" applyFont="1" applyFill="1" applyBorder="1" applyAlignment="1">
      <alignment horizontal="center" vertical="center"/>
    </xf>
    <xf numFmtId="175" fontId="16" fillId="0" borderId="0" xfId="10" applyFont="1" applyFill="1" applyBorder="1" applyAlignment="1">
      <alignment horizontal="center" vertical="center"/>
    </xf>
    <xf numFmtId="175" fontId="22" fillId="0" borderId="9" xfId="10" applyFont="1" applyFill="1" applyBorder="1" applyAlignment="1">
      <alignment horizontal="center" vertical="center"/>
    </xf>
    <xf numFmtId="175" fontId="22" fillId="0" borderId="11" xfId="10" applyFont="1" applyFill="1" applyBorder="1" applyAlignment="1">
      <alignment horizontal="center" vertical="center"/>
    </xf>
    <xf numFmtId="175" fontId="16" fillId="0" borderId="65" xfId="10" applyFont="1" applyFill="1" applyBorder="1" applyAlignment="1">
      <alignment horizontal="left" vertical="center"/>
    </xf>
    <xf numFmtId="175" fontId="16" fillId="0" borderId="50" xfId="10" applyFont="1" applyFill="1" applyBorder="1" applyAlignment="1">
      <alignment horizontal="left" vertical="center"/>
    </xf>
    <xf numFmtId="176" fontId="16" fillId="0" borderId="69" xfId="10" applyNumberFormat="1" applyFont="1" applyFill="1" applyBorder="1" applyAlignment="1">
      <alignment horizontal="center" vertical="center"/>
    </xf>
    <xf numFmtId="176" fontId="16" fillId="0" borderId="64" xfId="10" applyNumberFormat="1" applyFont="1" applyFill="1" applyBorder="1" applyAlignment="1">
      <alignment horizontal="center" vertical="center"/>
    </xf>
    <xf numFmtId="175" fontId="22" fillId="0" borderId="10" xfId="10" applyFont="1" applyFill="1" applyBorder="1" applyAlignment="1">
      <alignment horizontal="center" vertical="center"/>
    </xf>
    <xf numFmtId="4" fontId="14" fillId="0" borderId="80" xfId="8" applyNumberFormat="1" applyFont="1" applyBorder="1" applyAlignment="1">
      <alignment horizontal="left" vertical="center" wrapText="1"/>
    </xf>
    <xf numFmtId="4" fontId="14" fillId="0" borderId="66" xfId="8" applyNumberFormat="1" applyFont="1" applyBorder="1" applyAlignment="1">
      <alignment horizontal="left" vertical="center" wrapText="1"/>
    </xf>
    <xf numFmtId="4" fontId="14" fillId="0" borderId="50" xfId="8" applyNumberFormat="1" applyFont="1" applyBorder="1" applyAlignment="1">
      <alignment horizontal="left" vertical="center" wrapText="1"/>
    </xf>
    <xf numFmtId="176" fontId="16" fillId="0" borderId="58" xfId="10" applyNumberFormat="1" applyFont="1" applyFill="1" applyBorder="1" applyAlignment="1">
      <alignment horizontal="center" vertical="center"/>
    </xf>
    <xf numFmtId="176" fontId="16" fillId="0" borderId="56" xfId="10" applyNumberFormat="1" applyFont="1" applyFill="1" applyBorder="1" applyAlignment="1">
      <alignment horizontal="center" vertical="center"/>
    </xf>
    <xf numFmtId="4" fontId="14" fillId="0" borderId="24" xfId="8" applyNumberFormat="1" applyFont="1" applyBorder="1" applyAlignment="1">
      <alignment horizontal="left" vertical="center" wrapText="1"/>
    </xf>
    <xf numFmtId="4" fontId="14" fillId="0" borderId="25" xfId="8" applyNumberFormat="1" applyFont="1" applyBorder="1" applyAlignment="1">
      <alignment horizontal="left" vertical="center" wrapText="1"/>
    </xf>
    <xf numFmtId="4" fontId="14" fillId="0" borderId="26" xfId="8" applyNumberFormat="1" applyFont="1" applyBorder="1" applyAlignment="1">
      <alignment horizontal="left" vertical="center" wrapText="1"/>
    </xf>
    <xf numFmtId="175" fontId="16" fillId="0" borderId="6" xfId="10" applyFont="1" applyFill="1" applyBorder="1" applyAlignment="1">
      <alignment horizontal="left" vertical="center"/>
    </xf>
    <xf numFmtId="175" fontId="16" fillId="0" borderId="7" xfId="10" applyFont="1" applyFill="1" applyBorder="1" applyAlignment="1">
      <alignment horizontal="left" vertical="center"/>
    </xf>
    <xf numFmtId="175" fontId="16" fillId="0" borderId="8" xfId="10" applyFont="1" applyFill="1" applyBorder="1" applyAlignment="1">
      <alignment horizontal="left" vertical="center"/>
    </xf>
    <xf numFmtId="175" fontId="13" fillId="0" borderId="1" xfId="10" applyFont="1" applyFill="1" applyBorder="1" applyAlignment="1">
      <alignment horizontal="center" vertical="center" wrapText="1"/>
    </xf>
    <xf numFmtId="175" fontId="13" fillId="0" borderId="2" xfId="10" applyFont="1" applyFill="1" applyBorder="1" applyAlignment="1">
      <alignment horizontal="center" vertical="center" wrapText="1"/>
    </xf>
    <xf numFmtId="175" fontId="13" fillId="0" borderId="58" xfId="10" applyFont="1" applyFill="1" applyBorder="1" applyAlignment="1">
      <alignment horizontal="center" vertical="center" wrapText="1"/>
    </xf>
    <xf numFmtId="175" fontId="13" fillId="0" borderId="4" xfId="10" applyFont="1" applyFill="1" applyBorder="1" applyAlignment="1">
      <alignment horizontal="center" vertical="center" wrapText="1"/>
    </xf>
    <xf numFmtId="175" fontId="13" fillId="0" borderId="0" xfId="10" applyFont="1" applyFill="1" applyBorder="1" applyAlignment="1">
      <alignment horizontal="center" vertical="center" wrapText="1"/>
    </xf>
    <xf numFmtId="175" fontId="13" fillId="0" borderId="56" xfId="10" applyFont="1" applyFill="1" applyBorder="1" applyAlignment="1">
      <alignment horizontal="center" vertical="center" wrapText="1"/>
    </xf>
    <xf numFmtId="175" fontId="13" fillId="0" borderId="6" xfId="10" applyFont="1" applyFill="1" applyBorder="1" applyAlignment="1">
      <alignment horizontal="center" vertical="center" wrapText="1"/>
    </xf>
    <xf numFmtId="175" fontId="13" fillId="0" borderId="7" xfId="10" applyFont="1" applyFill="1" applyBorder="1" applyAlignment="1">
      <alignment horizontal="center" vertical="center" wrapText="1"/>
    </xf>
    <xf numFmtId="175" fontId="13" fillId="0" borderId="57" xfId="10" applyFont="1" applyFill="1" applyBorder="1" applyAlignment="1">
      <alignment horizontal="center" vertical="center" wrapText="1"/>
    </xf>
    <xf numFmtId="175" fontId="13" fillId="0" borderId="1" xfId="10" applyFont="1" applyFill="1" applyBorder="1" applyAlignment="1">
      <alignment horizontal="center" vertical="center"/>
    </xf>
    <xf numFmtId="175" fontId="13" fillId="0" borderId="2" xfId="10" applyFont="1" applyFill="1" applyBorder="1" applyAlignment="1">
      <alignment horizontal="center" vertical="center"/>
    </xf>
    <xf numFmtId="175" fontId="13" fillId="0" borderId="58" xfId="10" applyFont="1" applyFill="1" applyBorder="1" applyAlignment="1">
      <alignment horizontal="center" vertical="center"/>
    </xf>
    <xf numFmtId="175" fontId="13" fillId="0" borderId="4" xfId="10" applyFont="1" applyFill="1" applyBorder="1" applyAlignment="1">
      <alignment horizontal="center" vertical="center"/>
    </xf>
    <xf numFmtId="175" fontId="13" fillId="0" borderId="0" xfId="10" applyFont="1" applyFill="1" applyBorder="1" applyAlignment="1">
      <alignment horizontal="center" vertical="center"/>
    </xf>
    <xf numFmtId="175" fontId="13" fillId="0" borderId="56" xfId="10" applyFont="1" applyFill="1" applyBorder="1" applyAlignment="1">
      <alignment horizontal="center" vertical="center"/>
    </xf>
    <xf numFmtId="175" fontId="13" fillId="0" borderId="6" xfId="10" applyFont="1" applyFill="1" applyBorder="1" applyAlignment="1">
      <alignment horizontal="center" vertical="center"/>
    </xf>
    <xf numFmtId="175" fontId="13" fillId="0" borderId="7" xfId="10" applyFont="1" applyFill="1" applyBorder="1" applyAlignment="1">
      <alignment horizontal="center" vertical="center"/>
    </xf>
    <xf numFmtId="175" fontId="13" fillId="0" borderId="57" xfId="10" applyFont="1" applyFill="1" applyBorder="1" applyAlignment="1">
      <alignment horizontal="center" vertical="center"/>
    </xf>
    <xf numFmtId="175" fontId="13" fillId="0" borderId="1" xfId="10" applyFont="1" applyFill="1" applyBorder="1" applyAlignment="1">
      <alignment horizontal="center"/>
    </xf>
    <xf numFmtId="175" fontId="13" fillId="0" borderId="2" xfId="10" applyFont="1" applyFill="1" applyBorder="1" applyAlignment="1">
      <alignment horizontal="center"/>
    </xf>
    <xf numFmtId="4" fontId="13" fillId="0" borderId="10" xfId="10" applyNumberFormat="1" applyFont="1" applyFill="1" applyBorder="1" applyAlignment="1">
      <alignment horizontal="center" vertical="center" wrapText="1"/>
    </xf>
    <xf numFmtId="0" fontId="13" fillId="0" borderId="10" xfId="10" applyNumberFormat="1" applyFont="1" applyFill="1" applyBorder="1" applyAlignment="1">
      <alignment horizontal="center" vertical="center" wrapText="1"/>
    </xf>
    <xf numFmtId="0" fontId="13" fillId="0" borderId="30" xfId="10" applyNumberFormat="1" applyFont="1" applyFill="1" applyBorder="1" applyAlignment="1">
      <alignment horizontal="center" vertical="center" wrapText="1"/>
    </xf>
    <xf numFmtId="175" fontId="16" fillId="0" borderId="66" xfId="10" applyFont="1" applyFill="1" applyBorder="1" applyAlignment="1">
      <alignment horizontal="left" vertical="center"/>
    </xf>
    <xf numFmtId="176" fontId="22" fillId="0" borderId="69" xfId="10" applyNumberFormat="1" applyFont="1" applyFill="1" applyBorder="1" applyAlignment="1">
      <alignment horizontal="center" vertical="center"/>
    </xf>
    <xf numFmtId="176" fontId="22" fillId="0" borderId="67" xfId="10" applyNumberFormat="1" applyFont="1" applyFill="1" applyBorder="1" applyAlignment="1">
      <alignment horizontal="center" vertical="center"/>
    </xf>
    <xf numFmtId="176" fontId="22" fillId="0" borderId="64" xfId="10" applyNumberFormat="1" applyFont="1" applyFill="1" applyBorder="1" applyAlignment="1">
      <alignment horizontal="center" vertical="center"/>
    </xf>
    <xf numFmtId="175" fontId="16" fillId="0" borderId="74" xfId="10" applyFont="1" applyFill="1" applyBorder="1" applyAlignment="1">
      <alignment horizontal="left" vertical="center"/>
    </xf>
    <xf numFmtId="175" fontId="16" fillId="0" borderId="75" xfId="10" applyFont="1" applyFill="1" applyBorder="1" applyAlignment="1">
      <alignment horizontal="left" vertical="center"/>
    </xf>
    <xf numFmtId="175" fontId="16" fillId="0" borderId="76" xfId="10" applyFont="1" applyFill="1" applyBorder="1" applyAlignment="1">
      <alignment horizontal="left" vertical="center"/>
    </xf>
    <xf numFmtId="175" fontId="16" fillId="0" borderId="28" xfId="10" applyFont="1" applyFill="1" applyBorder="1" applyAlignment="1">
      <alignment horizontal="left" vertical="center"/>
    </xf>
    <xf numFmtId="175" fontId="16" fillId="0" borderId="25" xfId="10" applyFont="1" applyFill="1" applyBorder="1" applyAlignment="1">
      <alignment horizontal="left" vertical="center"/>
    </xf>
    <xf numFmtId="175" fontId="16" fillId="0" borderId="26" xfId="10" applyFont="1" applyFill="1" applyBorder="1" applyAlignment="1">
      <alignment horizontal="left" vertical="center"/>
    </xf>
    <xf numFmtId="175" fontId="8" fillId="0" borderId="6" xfId="10" applyFont="1" applyFill="1" applyBorder="1" applyAlignment="1">
      <alignment horizontal="center" vertical="center"/>
    </xf>
    <xf numFmtId="175" fontId="8" fillId="0" borderId="7" xfId="10" applyFont="1" applyFill="1" applyBorder="1" applyAlignment="1">
      <alignment horizontal="center" vertical="center"/>
    </xf>
    <xf numFmtId="175" fontId="3" fillId="7" borderId="9" xfId="10" applyFont="1" applyFill="1" applyBorder="1" applyAlignment="1">
      <alignment horizontal="center" vertical="center"/>
    </xf>
    <xf numFmtId="175" fontId="3" fillId="7" borderId="30" xfId="10" applyFont="1" applyFill="1" applyBorder="1" applyAlignment="1">
      <alignment horizontal="center" vertical="center"/>
    </xf>
    <xf numFmtId="175" fontId="8" fillId="0" borderId="1" xfId="10" applyFont="1" applyFill="1" applyBorder="1" applyAlignment="1">
      <alignment horizontal="center" vertical="center"/>
    </xf>
    <xf numFmtId="175" fontId="8" fillId="0" borderId="2" xfId="10" applyFont="1" applyFill="1" applyBorder="1" applyAlignment="1">
      <alignment horizontal="center" vertical="center"/>
    </xf>
    <xf numFmtId="175" fontId="3" fillId="0" borderId="6" xfId="10" applyFont="1" applyFill="1" applyBorder="1" applyAlignment="1">
      <alignment horizontal="left" vertical="center"/>
    </xf>
    <xf numFmtId="175" fontId="3" fillId="0" borderId="7" xfId="10" applyFont="1" applyFill="1" applyBorder="1" applyAlignment="1">
      <alignment horizontal="left" vertical="center"/>
    </xf>
    <xf numFmtId="175" fontId="33" fillId="0" borderId="9" xfId="10" applyFont="1" applyFill="1" applyBorder="1" applyAlignment="1">
      <alignment horizontal="center" vertical="center"/>
    </xf>
    <xf numFmtId="175" fontId="33" fillId="0" borderId="30" xfId="10" applyFont="1" applyFill="1" applyBorder="1" applyAlignment="1">
      <alignment horizontal="center" vertical="center"/>
    </xf>
    <xf numFmtId="176" fontId="8" fillId="0" borderId="70" xfId="10" applyNumberFormat="1" applyFont="1" applyFill="1" applyBorder="1" applyAlignment="1">
      <alignment horizontal="center" vertical="center"/>
    </xf>
    <xf numFmtId="176" fontId="8" fillId="0" borderId="71" xfId="10" applyNumberFormat="1" applyFont="1" applyFill="1" applyBorder="1" applyAlignment="1">
      <alignment horizontal="center" vertical="center"/>
    </xf>
    <xf numFmtId="176" fontId="8" fillId="0" borderId="73" xfId="10" applyNumberFormat="1" applyFont="1" applyFill="1" applyBorder="1" applyAlignment="1">
      <alignment horizontal="center" vertical="center"/>
    </xf>
    <xf numFmtId="175" fontId="8" fillId="0" borderId="4" xfId="10" applyFont="1" applyFill="1" applyBorder="1" applyAlignment="1">
      <alignment horizontal="center" vertical="center"/>
    </xf>
    <xf numFmtId="175" fontId="8" fillId="0" borderId="0" xfId="10" applyFont="1" applyFill="1" applyBorder="1" applyAlignment="1">
      <alignment horizontal="center" vertical="center"/>
    </xf>
    <xf numFmtId="175" fontId="33" fillId="0" borderId="11" xfId="10" applyFont="1" applyFill="1" applyBorder="1" applyAlignment="1">
      <alignment horizontal="center" vertical="center"/>
    </xf>
    <xf numFmtId="175" fontId="8" fillId="0" borderId="65" xfId="10" applyFont="1" applyFill="1" applyBorder="1" applyAlignment="1">
      <alignment horizontal="left" vertical="center"/>
    </xf>
    <xf numFmtId="175" fontId="8" fillId="0" borderId="50" xfId="10" applyFont="1" applyFill="1" applyBorder="1" applyAlignment="1">
      <alignment horizontal="left" vertical="center"/>
    </xf>
    <xf numFmtId="176" fontId="8" fillId="0" borderId="69" xfId="10" applyNumberFormat="1" applyFont="1" applyFill="1" applyBorder="1" applyAlignment="1">
      <alignment horizontal="center" vertical="center"/>
    </xf>
    <xf numFmtId="176" fontId="8" fillId="0" borderId="64" xfId="10" applyNumberFormat="1" applyFont="1" applyFill="1" applyBorder="1" applyAlignment="1">
      <alignment horizontal="center" vertical="center"/>
    </xf>
    <xf numFmtId="175" fontId="33" fillId="0" borderId="10" xfId="10" applyFont="1" applyFill="1" applyBorder="1" applyAlignment="1">
      <alignment horizontal="center" vertical="center"/>
    </xf>
    <xf numFmtId="175" fontId="8" fillId="0" borderId="66" xfId="10" applyFont="1" applyFill="1" applyBorder="1" applyAlignment="1">
      <alignment horizontal="left" vertical="center"/>
    </xf>
    <xf numFmtId="176" fontId="8" fillId="0" borderId="67" xfId="10" applyNumberFormat="1" applyFont="1" applyFill="1" applyBorder="1" applyAlignment="1">
      <alignment horizontal="center" vertical="center"/>
    </xf>
    <xf numFmtId="175" fontId="8" fillId="0" borderId="28" xfId="10" applyFont="1" applyFill="1" applyBorder="1" applyAlignment="1">
      <alignment horizontal="left" vertical="center"/>
    </xf>
    <xf numFmtId="175" fontId="8" fillId="0" borderId="25" xfId="10" applyFont="1" applyFill="1" applyBorder="1" applyAlignment="1">
      <alignment horizontal="left" vertical="center"/>
    </xf>
    <xf numFmtId="175" fontId="8" fillId="0" borderId="26" xfId="10" applyFont="1" applyFill="1" applyBorder="1" applyAlignment="1">
      <alignment horizontal="left" vertical="center"/>
    </xf>
    <xf numFmtId="175" fontId="8" fillId="0" borderId="6" xfId="10" applyFont="1" applyFill="1" applyBorder="1" applyAlignment="1">
      <alignment horizontal="left" vertical="center"/>
    </xf>
    <xf numFmtId="175" fontId="8" fillId="0" borderId="7" xfId="10" applyFont="1" applyFill="1" applyBorder="1" applyAlignment="1">
      <alignment horizontal="left" vertical="center"/>
    </xf>
    <xf numFmtId="175" fontId="8" fillId="0" borderId="8" xfId="10" applyFont="1" applyFill="1" applyBorder="1" applyAlignment="1">
      <alignment horizontal="left" vertical="center"/>
    </xf>
    <xf numFmtId="175" fontId="3" fillId="0" borderId="1" xfId="10" applyFont="1" applyFill="1" applyBorder="1" applyAlignment="1">
      <alignment horizontal="center" vertical="center" wrapText="1"/>
    </xf>
    <xf numFmtId="175" fontId="3" fillId="0" borderId="2" xfId="10" applyFont="1" applyFill="1" applyBorder="1" applyAlignment="1">
      <alignment horizontal="center" vertical="center" wrapText="1"/>
    </xf>
    <xf numFmtId="175" fontId="3" fillId="0" borderId="58" xfId="10" applyFont="1" applyFill="1" applyBorder="1" applyAlignment="1">
      <alignment horizontal="center" vertical="center" wrapText="1"/>
    </xf>
    <xf numFmtId="175" fontId="3" fillId="0" borderId="4" xfId="10" applyFont="1" applyFill="1" applyBorder="1" applyAlignment="1">
      <alignment horizontal="center" vertical="center" wrapText="1"/>
    </xf>
    <xf numFmtId="175" fontId="3" fillId="0" borderId="0" xfId="10" applyFont="1" applyFill="1" applyBorder="1" applyAlignment="1">
      <alignment horizontal="center" vertical="center" wrapText="1"/>
    </xf>
    <xf numFmtId="175" fontId="3" fillId="0" borderId="56" xfId="10" applyFont="1" applyFill="1" applyBorder="1" applyAlignment="1">
      <alignment horizontal="center" vertical="center" wrapText="1"/>
    </xf>
    <xf numFmtId="175" fontId="3" fillId="0" borderId="6" xfId="10" applyFont="1" applyFill="1" applyBorder="1" applyAlignment="1">
      <alignment horizontal="center" vertical="center" wrapText="1"/>
    </xf>
    <xf numFmtId="175" fontId="3" fillId="0" borderId="7" xfId="10" applyFont="1" applyFill="1" applyBorder="1" applyAlignment="1">
      <alignment horizontal="center" vertical="center" wrapText="1"/>
    </xf>
    <xf numFmtId="175" fontId="3" fillId="0" borderId="57" xfId="10" applyFont="1" applyFill="1" applyBorder="1" applyAlignment="1">
      <alignment horizontal="center" vertical="center" wrapText="1"/>
    </xf>
    <xf numFmtId="175" fontId="3" fillId="0" borderId="1" xfId="10" applyFont="1" applyFill="1" applyBorder="1" applyAlignment="1">
      <alignment horizontal="center" vertical="center"/>
    </xf>
    <xf numFmtId="175" fontId="3" fillId="0" borderId="2" xfId="10" applyFont="1" applyFill="1" applyBorder="1" applyAlignment="1">
      <alignment horizontal="center" vertical="center"/>
    </xf>
    <xf numFmtId="175" fontId="3" fillId="0" borderId="58" xfId="10" applyFont="1" applyFill="1" applyBorder="1" applyAlignment="1">
      <alignment horizontal="center" vertical="center"/>
    </xf>
    <xf numFmtId="175" fontId="3" fillId="0" borderId="4" xfId="10" applyFont="1" applyFill="1" applyBorder="1" applyAlignment="1">
      <alignment horizontal="center" vertical="center"/>
    </xf>
    <xf numFmtId="175" fontId="3" fillId="0" borderId="0" xfId="10" applyFont="1" applyFill="1" applyBorder="1" applyAlignment="1">
      <alignment horizontal="center" vertical="center"/>
    </xf>
    <xf numFmtId="175" fontId="3" fillId="0" borderId="56" xfId="10" applyFont="1" applyFill="1" applyBorder="1" applyAlignment="1">
      <alignment horizontal="center" vertical="center"/>
    </xf>
    <xf numFmtId="175" fontId="3" fillId="0" borderId="6" xfId="10" applyFont="1" applyFill="1" applyBorder="1" applyAlignment="1">
      <alignment horizontal="center" vertical="center"/>
    </xf>
    <xf numFmtId="175" fontId="3" fillId="0" borderId="7" xfId="10" applyFont="1" applyFill="1" applyBorder="1" applyAlignment="1">
      <alignment horizontal="center" vertical="center"/>
    </xf>
    <xf numFmtId="175" fontId="3" fillId="0" borderId="57" xfId="10" applyFont="1" applyFill="1" applyBorder="1" applyAlignment="1">
      <alignment horizontal="center" vertical="center"/>
    </xf>
    <xf numFmtId="175" fontId="3" fillId="0" borderId="1" xfId="10" applyFont="1" applyFill="1" applyBorder="1" applyAlignment="1">
      <alignment horizontal="center"/>
    </xf>
    <xf numFmtId="175" fontId="3" fillId="0" borderId="2" xfId="10" applyFont="1" applyFill="1" applyBorder="1" applyAlignment="1">
      <alignment horizontal="center"/>
    </xf>
    <xf numFmtId="4" fontId="3" fillId="0" borderId="10" xfId="10" applyNumberFormat="1" applyFont="1" applyFill="1" applyBorder="1" applyAlignment="1">
      <alignment horizontal="center" vertical="center" wrapText="1"/>
    </xf>
    <xf numFmtId="0" fontId="3" fillId="0" borderId="10" xfId="10" applyNumberFormat="1" applyFont="1" applyFill="1" applyBorder="1" applyAlignment="1">
      <alignment horizontal="center" vertical="center" wrapText="1"/>
    </xf>
    <xf numFmtId="0" fontId="3" fillId="0" borderId="30" xfId="10" applyNumberFormat="1" applyFont="1" applyFill="1" applyBorder="1" applyAlignment="1">
      <alignment horizontal="center" vertical="center" wrapText="1"/>
    </xf>
    <xf numFmtId="176" fontId="33" fillId="0" borderId="69" xfId="10" applyNumberFormat="1" applyFont="1" applyFill="1" applyBorder="1" applyAlignment="1">
      <alignment horizontal="center" vertical="center"/>
    </xf>
    <xf numFmtId="176" fontId="33" fillId="0" borderId="67" xfId="10" applyNumberFormat="1" applyFont="1" applyFill="1" applyBorder="1" applyAlignment="1">
      <alignment horizontal="center" vertical="center"/>
    </xf>
    <xf numFmtId="176" fontId="33" fillId="0" borderId="64" xfId="10" applyNumberFormat="1" applyFont="1" applyFill="1" applyBorder="1" applyAlignment="1">
      <alignment horizontal="center" vertical="center"/>
    </xf>
    <xf numFmtId="175" fontId="8" fillId="0" borderId="74" xfId="10" applyFont="1" applyFill="1" applyBorder="1" applyAlignment="1">
      <alignment horizontal="left" vertical="center"/>
    </xf>
    <xf numFmtId="175" fontId="8" fillId="0" borderId="75" xfId="10" applyFont="1" applyFill="1" applyBorder="1" applyAlignment="1">
      <alignment horizontal="left" vertical="center"/>
    </xf>
    <xf numFmtId="175" fontId="8" fillId="0" borderId="76" xfId="10" applyFont="1" applyFill="1" applyBorder="1" applyAlignment="1">
      <alignment horizontal="left" vertical="center"/>
    </xf>
    <xf numFmtId="176" fontId="16" fillId="0" borderId="67" xfId="10" applyNumberFormat="1" applyFont="1" applyFill="1" applyBorder="1" applyAlignment="1">
      <alignment horizontal="center" vertical="center"/>
    </xf>
    <xf numFmtId="175" fontId="16" fillId="0" borderId="1" xfId="10" applyFont="1" applyBorder="1" applyAlignment="1">
      <alignment horizontal="center" vertical="center"/>
    </xf>
    <xf numFmtId="175" fontId="16" fillId="0" borderId="2" xfId="10" applyFont="1" applyBorder="1" applyAlignment="1">
      <alignment horizontal="center" vertical="center"/>
    </xf>
    <xf numFmtId="175" fontId="16" fillId="0" borderId="1" xfId="10" applyFont="1" applyFill="1" applyBorder="1" applyAlignment="1">
      <alignment horizontal="left" vertical="center"/>
    </xf>
    <xf numFmtId="175" fontId="16" fillId="0" borderId="2" xfId="10" applyFont="1" applyFill="1" applyBorder="1" applyAlignment="1">
      <alignment horizontal="left" vertical="center"/>
    </xf>
    <xf numFmtId="175" fontId="16" fillId="0" borderId="3" xfId="10" applyFont="1" applyFill="1" applyBorder="1" applyAlignment="1">
      <alignment horizontal="left" vertical="center"/>
    </xf>
    <xf numFmtId="175" fontId="16" fillId="0" borderId="4" xfId="10" applyFont="1" applyBorder="1" applyAlignment="1">
      <alignment horizontal="center" vertical="center"/>
    </xf>
    <xf numFmtId="175" fontId="16" fillId="0" borderId="0" xfId="10" applyFont="1" applyBorder="1" applyAlignment="1">
      <alignment horizontal="center" vertical="center"/>
    </xf>
    <xf numFmtId="175" fontId="16" fillId="0" borderId="6" xfId="10" applyFont="1" applyBorder="1" applyAlignment="1">
      <alignment horizontal="center" vertical="center"/>
    </xf>
    <xf numFmtId="175" fontId="16" fillId="0" borderId="7" xfId="10" applyFont="1" applyBorder="1" applyAlignment="1">
      <alignment horizontal="center" vertical="center"/>
    </xf>
    <xf numFmtId="176" fontId="16" fillId="0" borderId="73" xfId="10" applyNumberFormat="1" applyFont="1" applyFill="1" applyBorder="1" applyAlignment="1">
      <alignment horizontal="center" vertical="center"/>
    </xf>
    <xf numFmtId="178" fontId="27" fillId="0" borderId="65" xfId="12" applyNumberFormat="1" applyFont="1" applyFill="1" applyBorder="1" applyAlignment="1">
      <alignment horizontal="left" vertical="center" wrapText="1"/>
    </xf>
    <xf numFmtId="178" fontId="27" fillId="0" borderId="66" xfId="12" applyNumberFormat="1" applyFont="1" applyFill="1" applyBorder="1" applyAlignment="1">
      <alignment horizontal="left" vertical="center" wrapText="1"/>
    </xf>
    <xf numFmtId="178" fontId="27" fillId="0" borderId="50" xfId="12" applyNumberFormat="1" applyFont="1" applyFill="1" applyBorder="1" applyAlignment="1">
      <alignment horizontal="left" vertical="center" wrapText="1"/>
    </xf>
    <xf numFmtId="178" fontId="27" fillId="0" borderId="21" xfId="12" applyNumberFormat="1" applyFont="1" applyFill="1" applyBorder="1" applyAlignment="1">
      <alignment horizontal="left" wrapText="1"/>
    </xf>
    <xf numFmtId="178" fontId="27" fillId="0" borderId="22" xfId="12" applyNumberFormat="1" applyFont="1" applyFill="1" applyBorder="1" applyAlignment="1">
      <alignment horizontal="left" wrapText="1"/>
    </xf>
    <xf numFmtId="178" fontId="26" fillId="0" borderId="62" xfId="12" applyNumberFormat="1" applyFont="1" applyFill="1" applyBorder="1" applyAlignment="1">
      <alignment horizontal="right"/>
    </xf>
    <xf numFmtId="178" fontId="26" fillId="0" borderId="63" xfId="12" applyNumberFormat="1" applyFont="1" applyFill="1" applyBorder="1" applyAlignment="1">
      <alignment horizontal="right"/>
    </xf>
    <xf numFmtId="178" fontId="26" fillId="0" borderId="79" xfId="12" applyNumberFormat="1" applyFont="1" applyFill="1" applyBorder="1" applyAlignment="1">
      <alignment horizontal="right"/>
    </xf>
    <xf numFmtId="178" fontId="26" fillId="7" borderId="9" xfId="12" applyNumberFormat="1" applyFont="1" applyFill="1" applyBorder="1" applyAlignment="1">
      <alignment horizontal="center"/>
    </xf>
    <xf numFmtId="178" fontId="26" fillId="7" borderId="30" xfId="12" applyNumberFormat="1" applyFont="1" applyFill="1" applyBorder="1" applyAlignment="1">
      <alignment horizontal="center"/>
    </xf>
    <xf numFmtId="178" fontId="27" fillId="0" borderId="82" xfId="12" applyNumberFormat="1" applyFont="1" applyFill="1" applyBorder="1" applyAlignment="1">
      <alignment horizontal="left" vertical="center" wrapText="1"/>
    </xf>
    <xf numFmtId="178" fontId="27" fillId="0" borderId="51" xfId="12" applyNumberFormat="1" applyFont="1" applyFill="1" applyBorder="1" applyAlignment="1">
      <alignment horizontal="left" vertical="center" wrapText="1"/>
    </xf>
    <xf numFmtId="178" fontId="29" fillId="0" borderId="9" xfId="12" applyNumberFormat="1" applyFont="1" applyFill="1" applyBorder="1" applyAlignment="1">
      <alignment horizontal="center" vertical="center" wrapText="1"/>
    </xf>
    <xf numFmtId="178" fontId="29" fillId="0" borderId="11" xfId="12" applyNumberFormat="1" applyFont="1" applyFill="1" applyBorder="1" applyAlignment="1">
      <alignment horizontal="center" vertical="center" wrapText="1"/>
    </xf>
    <xf numFmtId="178" fontId="29" fillId="0" borderId="12" xfId="12" applyNumberFormat="1" applyFont="1" applyFill="1" applyBorder="1" applyAlignment="1">
      <alignment horizontal="center"/>
    </xf>
    <xf numFmtId="178" fontId="29" fillId="0" borderId="13" xfId="12" applyNumberFormat="1" applyFont="1" applyFill="1" applyBorder="1" applyAlignment="1">
      <alignment horizontal="center"/>
    </xf>
    <xf numFmtId="178" fontId="27" fillId="0" borderId="12" xfId="12" applyNumberFormat="1" applyFont="1" applyFill="1" applyBorder="1" applyAlignment="1">
      <alignment horizontal="left"/>
    </xf>
    <xf numFmtId="178" fontId="27" fillId="0" borderId="13" xfId="12" applyNumberFormat="1" applyFont="1" applyFill="1" applyBorder="1" applyAlignment="1">
      <alignment horizontal="left"/>
    </xf>
    <xf numFmtId="175" fontId="32" fillId="0" borderId="1" xfId="10" applyFont="1" applyFill="1" applyBorder="1" applyAlignment="1">
      <alignment horizontal="center" vertical="center" wrapText="1"/>
    </xf>
    <xf numFmtId="175" fontId="32" fillId="0" borderId="2" xfId="10" applyFont="1" applyFill="1" applyBorder="1" applyAlignment="1">
      <alignment horizontal="center" vertical="center" wrapText="1"/>
    </xf>
    <xf numFmtId="175" fontId="32" fillId="0" borderId="58" xfId="10" applyFont="1" applyFill="1" applyBorder="1" applyAlignment="1">
      <alignment horizontal="center" vertical="center" wrapText="1"/>
    </xf>
    <xf numFmtId="175" fontId="32" fillId="0" borderId="4" xfId="10" applyFont="1" applyFill="1" applyBorder="1" applyAlignment="1">
      <alignment horizontal="center" vertical="center" wrapText="1"/>
    </xf>
    <xf numFmtId="175" fontId="32" fillId="0" borderId="0" xfId="10" applyFont="1" applyFill="1" applyBorder="1" applyAlignment="1">
      <alignment horizontal="center" vertical="center" wrapText="1"/>
    </xf>
    <xf numFmtId="175" fontId="32" fillId="0" borderId="56" xfId="10" applyFont="1" applyFill="1" applyBorder="1" applyAlignment="1">
      <alignment horizontal="center" vertical="center" wrapText="1"/>
    </xf>
    <xf numFmtId="175" fontId="32" fillId="0" borderId="6" xfId="10" applyFont="1" applyFill="1" applyBorder="1" applyAlignment="1">
      <alignment horizontal="center" vertical="center" wrapText="1"/>
    </xf>
    <xf numFmtId="175" fontId="32" fillId="0" borderId="7" xfId="10" applyFont="1" applyFill="1" applyBorder="1" applyAlignment="1">
      <alignment horizontal="center" vertical="center" wrapText="1"/>
    </xf>
    <xf numFmtId="175" fontId="32" fillId="0" borderId="57" xfId="10" applyFont="1" applyFill="1" applyBorder="1" applyAlignment="1">
      <alignment horizontal="center" vertical="center" wrapText="1"/>
    </xf>
    <xf numFmtId="175" fontId="32" fillId="0" borderId="1" xfId="10" applyFont="1" applyFill="1" applyBorder="1" applyAlignment="1">
      <alignment horizontal="center" vertical="center"/>
    </xf>
    <xf numFmtId="175" fontId="32" fillId="0" borderId="2" xfId="10" applyFont="1" applyFill="1" applyBorder="1" applyAlignment="1">
      <alignment horizontal="center" vertical="center"/>
    </xf>
    <xf numFmtId="175" fontId="32" fillId="0" borderId="58" xfId="10" applyFont="1" applyFill="1" applyBorder="1" applyAlignment="1">
      <alignment horizontal="center" vertical="center"/>
    </xf>
    <xf numFmtId="175" fontId="32" fillId="0" borderId="4" xfId="10" applyFont="1" applyFill="1" applyBorder="1" applyAlignment="1">
      <alignment horizontal="center" vertical="center"/>
    </xf>
    <xf numFmtId="175" fontId="32" fillId="0" borderId="0" xfId="10" applyFont="1" applyFill="1" applyBorder="1" applyAlignment="1">
      <alignment horizontal="center" vertical="center"/>
    </xf>
    <xf numFmtId="175" fontId="32" fillId="0" borderId="56" xfId="10" applyFont="1" applyFill="1" applyBorder="1" applyAlignment="1">
      <alignment horizontal="center" vertical="center"/>
    </xf>
    <xf numFmtId="175" fontId="32" fillId="0" borderId="6" xfId="10" applyFont="1" applyFill="1" applyBorder="1" applyAlignment="1">
      <alignment horizontal="center" vertical="center"/>
    </xf>
    <xf numFmtId="175" fontId="32" fillId="0" borderId="7" xfId="10" applyFont="1" applyFill="1" applyBorder="1" applyAlignment="1">
      <alignment horizontal="center" vertical="center"/>
    </xf>
    <xf numFmtId="175" fontId="32" fillId="0" borderId="57" xfId="10" applyFont="1" applyFill="1" applyBorder="1" applyAlignment="1">
      <alignment horizontal="center" vertical="center"/>
    </xf>
    <xf numFmtId="49" fontId="26" fillId="0" borderId="9" xfId="12" applyNumberFormat="1" applyFont="1" applyFill="1" applyBorder="1" applyAlignment="1">
      <alignment horizontal="center" vertical="center" wrapText="1"/>
    </xf>
    <xf numFmtId="49" fontId="26" fillId="0" borderId="10" xfId="12" applyNumberFormat="1" applyFont="1" applyFill="1" applyBorder="1" applyAlignment="1">
      <alignment horizontal="center" vertical="center" wrapText="1"/>
    </xf>
    <xf numFmtId="49" fontId="26" fillId="0" borderId="30" xfId="12" applyNumberFormat="1" applyFont="1" applyFill="1" applyBorder="1" applyAlignment="1">
      <alignment horizontal="center" vertical="center" wrapText="1"/>
    </xf>
    <xf numFmtId="178" fontId="29" fillId="0" borderId="1" xfId="12" applyNumberFormat="1" applyFont="1" applyFill="1" applyBorder="1" applyAlignment="1">
      <alignment horizontal="center"/>
    </xf>
    <xf numFmtId="178" fontId="29" fillId="0" borderId="2" xfId="12" applyNumberFormat="1" applyFont="1" applyFill="1" applyBorder="1" applyAlignment="1">
      <alignment horizontal="center"/>
    </xf>
    <xf numFmtId="178" fontId="29" fillId="0" borderId="3" xfId="12" applyNumberFormat="1" applyFont="1" applyFill="1" applyBorder="1" applyAlignment="1">
      <alignment horizontal="center"/>
    </xf>
    <xf numFmtId="175" fontId="22" fillId="0" borderId="2" xfId="10" applyFont="1" applyFill="1" applyBorder="1" applyAlignment="1">
      <alignment horizontal="center" vertical="center"/>
    </xf>
    <xf numFmtId="175" fontId="16" fillId="0" borderId="15" xfId="10" applyFont="1" applyFill="1" applyBorder="1" applyAlignment="1">
      <alignment horizontal="left" vertical="center"/>
    </xf>
    <xf numFmtId="175" fontId="16" fillId="0" borderId="16" xfId="10" applyFont="1" applyFill="1" applyBorder="1" applyAlignment="1">
      <alignment horizontal="left" vertical="center"/>
    </xf>
    <xf numFmtId="176" fontId="22" fillId="0" borderId="58" xfId="10" applyNumberFormat="1" applyFont="1" applyFill="1" applyBorder="1" applyAlignment="1">
      <alignment horizontal="center" vertical="center"/>
    </xf>
    <xf numFmtId="176" fontId="22" fillId="0" borderId="56" xfId="10" applyNumberFormat="1" applyFont="1" applyFill="1" applyBorder="1" applyAlignment="1">
      <alignment horizontal="center" vertical="center"/>
    </xf>
    <xf numFmtId="176" fontId="22" fillId="0" borderId="57" xfId="10" applyNumberFormat="1" applyFont="1" applyFill="1" applyBorder="1" applyAlignment="1">
      <alignment horizontal="center" vertical="center"/>
    </xf>
    <xf numFmtId="175" fontId="16" fillId="0" borderId="19" xfId="10" applyFont="1" applyFill="1" applyBorder="1" applyAlignment="1">
      <alignment horizontal="left" vertical="center"/>
    </xf>
    <xf numFmtId="175" fontId="16" fillId="0" borderId="14" xfId="10" applyFont="1" applyFill="1" applyBorder="1" applyAlignment="1">
      <alignment horizontal="left" vertical="center"/>
    </xf>
    <xf numFmtId="175" fontId="16" fillId="0" borderId="62" xfId="10" applyFont="1" applyFill="1" applyBorder="1" applyAlignment="1">
      <alignment horizontal="left" vertical="center"/>
    </xf>
    <xf numFmtId="175" fontId="16" fillId="0" borderId="63" xfId="10" applyFont="1" applyFill="1" applyBorder="1" applyAlignment="1">
      <alignment horizontal="left" vertical="center"/>
    </xf>
  </cellXfs>
  <cellStyles count="13">
    <cellStyle name="Millares" xfId="1" builtinId="3"/>
    <cellStyle name="Millares [0] 2" xfId="12" xr:uid="{9EFACD3D-A8D0-42A9-AA52-2665CA1FBF76}"/>
    <cellStyle name="Millares 2 2" xfId="10" xr:uid="{8BF8A159-C949-4E51-A37E-E6F97E22A6B4}"/>
    <cellStyle name="Millares_PR13+654 2" xfId="6" xr:uid="{6304DA03-8FBF-47B1-B91F-065A250C3FA5}"/>
    <cellStyle name="Moneda" xfId="2" builtinId="4"/>
    <cellStyle name="Moneda 3" xfId="7" xr:uid="{D04B4135-B228-441E-81C1-E7166FBC4C3B}"/>
    <cellStyle name="Normal" xfId="0" builtinId="0"/>
    <cellStyle name="Normal 14 2" xfId="5" xr:uid="{EC586A39-6919-4C9C-A691-E0A46A772707}"/>
    <cellStyle name="Normal 2 2 2 2 2 2" xfId="9" xr:uid="{A2DFFFE9-D432-4E80-9A82-276A10C445CD}"/>
    <cellStyle name="Normal 3 3" xfId="4" xr:uid="{08815B21-3891-430A-9D54-51DBBA2AE8B3}"/>
    <cellStyle name="Normal 6 2 3" xfId="8" xr:uid="{44D3DA3A-1ECF-462C-A072-176E01655C89}"/>
    <cellStyle name="Normal_PTO OFICIAL y APU MODELO 2010 (2)" xfId="3" xr:uid="{F90383D4-5E3B-43F1-82B4-B78BA539D8BE}"/>
    <cellStyle name="Porcentaje 2" xfId="11" xr:uid="{D68634E9-42E0-4A62-A026-37458BB740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COMPUTADOR%20MEGA\BURITICA\SE&#209;ALIZACION-RESALTOS%20Y%20PAVIMENTO\PRESUPUESTO%20REPARCHEO%20BURITICA%20FINAL.xlsx" TargetMode="External"/><Relationship Id="rId1" Type="http://schemas.openxmlformats.org/officeDocument/2006/relationships/externalLinkPath" Target="file:///D:\COMPUTADOR%20MEGA\BURITICA\SE&#209;ALIZACION-RESALTOS%20Y%20PAVIMENTO\PRESUPUESTO%20REPARCHEO%20BURITICA%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ELL/Downloads/Presupuesto%20Se&#241;alizacion-2022%20AIU%20incluido%20-%20Suministros%20junio%209%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GENERAL"/>
      <sheetName val="PPTO PMA"/>
      <sheetName val="PPTO PMT"/>
      <sheetName val="EQUIPOS"/>
      <sheetName val="MATERIALES"/>
      <sheetName val="CRONOGRAMA DE OBRA"/>
      <sheetName val="TRANSPORTE"/>
      <sheetName val="DISTANCIA ACARREO"/>
      <sheetName val="MEMORIAS"/>
      <sheetName val="FP"/>
      <sheetName val="MANO DE OBRA"/>
      <sheetName val="AIU"/>
      <sheetName val="APU #1 Localización"/>
      <sheetName val="APU # 2 DEMOLICIÓN"/>
      <sheetName val="APU #3 Base"/>
      <sheetName val="APU#4 CONCRETO"/>
      <sheetName val="APU#5 TTE"/>
    </sheetNames>
    <sheetDataSet>
      <sheetData sheetId="0"/>
      <sheetData sheetId="1"/>
      <sheetData sheetId="2"/>
      <sheetData sheetId="3">
        <row r="17">
          <cell r="D17">
            <v>122500</v>
          </cell>
        </row>
        <row r="26">
          <cell r="D26">
            <v>6875</v>
          </cell>
        </row>
        <row r="30">
          <cell r="D30">
            <v>75000</v>
          </cell>
        </row>
      </sheetData>
      <sheetData sheetId="4">
        <row r="10">
          <cell r="D10">
            <v>70</v>
          </cell>
        </row>
        <row r="18">
          <cell r="D18">
            <v>94200</v>
          </cell>
        </row>
        <row r="30">
          <cell r="D30">
            <v>22900</v>
          </cell>
        </row>
      </sheetData>
      <sheetData sheetId="5"/>
      <sheetData sheetId="6"/>
      <sheetData sheetId="7"/>
      <sheetData sheetId="8">
        <row r="32">
          <cell r="AT32">
            <v>3</v>
          </cell>
        </row>
        <row r="85">
          <cell r="AT85">
            <v>82</v>
          </cell>
        </row>
        <row r="139">
          <cell r="AT139">
            <v>61.499999999999993</v>
          </cell>
        </row>
        <row r="193">
          <cell r="AT193">
            <v>82</v>
          </cell>
        </row>
        <row r="233">
          <cell r="AT233">
            <v>1599</v>
          </cell>
        </row>
      </sheetData>
      <sheetData sheetId="9"/>
      <sheetData sheetId="10">
        <row r="9">
          <cell r="D9">
            <v>124314.19666666667</v>
          </cell>
        </row>
        <row r="11">
          <cell r="D11">
            <v>47450</v>
          </cell>
        </row>
      </sheetData>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Materiales"/>
      <sheetName val="Transporte"/>
      <sheetName val="Equipos"/>
      <sheetName val="Lista de Precios H"/>
      <sheetName val="1,11"/>
      <sheetName val="1,12"/>
      <sheetName val="1,16 Limpieza y pintura de boya"/>
      <sheetName val="Hoja1"/>
      <sheetName val="APU 1,1"/>
      <sheetName val="APU 1,2"/>
      <sheetName val="APU 1,3"/>
      <sheetName val="APU 1,4"/>
      <sheetName val="APU 1,5"/>
      <sheetName val="APU 1,6"/>
      <sheetName val="APU 1,7"/>
      <sheetName val="APU 1,8"/>
      <sheetName val="APU 1,9"/>
      <sheetName val="APU 1,10"/>
      <sheetName val="APU 1,11"/>
      <sheetName val="APU 1,12"/>
      <sheetName val="APU 1,13"/>
      <sheetName val="APU 1,14"/>
      <sheetName val="APU 1,15"/>
      <sheetName val="APU 1,16"/>
      <sheetName val="APU 1,17"/>
      <sheetName val="APU 1,18"/>
      <sheetName val="APU 1,19"/>
      <sheetName val="Lista Precios V"/>
      <sheetName val="APU 2,1"/>
      <sheetName val="APU 2,2"/>
      <sheetName val="APU 2,3"/>
      <sheetName val="APU 2,4"/>
      <sheetName val="APU 2,5"/>
      <sheetName val="APU 2,6"/>
      <sheetName val="APU 2,7"/>
      <sheetName val="APU 2,8"/>
      <sheetName val="APU 2,9"/>
      <sheetName val="APU 2,10"/>
      <sheetName val="APU 2,11"/>
      <sheetName val="APU 2,12"/>
      <sheetName val="APU 2,13"/>
      <sheetName val="APU 2,14"/>
      <sheetName val="APU 2,15"/>
      <sheetName val="APU 2,16"/>
      <sheetName val="APU 2,17"/>
      <sheetName val="APU 2,18"/>
      <sheetName val="APU 2,19"/>
      <sheetName val="APU 2,20"/>
      <sheetName val="APU 2,21"/>
      <sheetName val="APU 2,22"/>
      <sheetName val="APU 2,23"/>
      <sheetName val="APU 2,24"/>
      <sheetName val="APU 2,25"/>
      <sheetName val="APU 2.26"/>
      <sheetName val="APU 2,27"/>
      <sheetName val="APU 2,28"/>
      <sheetName val="Ambiental"/>
      <sheetName val="Bioseguridad"/>
      <sheetName val="Presupuesto Oficial"/>
      <sheetName val="FACTOR PRESTACIONAL"/>
    </sheetNames>
    <sheetDataSet>
      <sheetData sheetId="0" refreshError="1"/>
      <sheetData sheetId="1" refreshError="1"/>
      <sheetData sheetId="2" refreshError="1"/>
      <sheetData sheetId="3" refreshError="1"/>
      <sheetData sheetId="4" refreshError="1">
        <row r="6">
          <cell r="D6">
            <v>168500</v>
          </cell>
        </row>
        <row r="47">
          <cell r="A47" t="str">
            <v>Vehículos para transporte de personal, equipos y PMT</v>
          </cell>
        </row>
        <row r="48">
          <cell r="A48" t="str">
            <v>Vehículos para transporte de materiales</v>
          </cell>
        </row>
        <row r="72">
          <cell r="B72">
            <v>0.62770000000000004</v>
          </cell>
        </row>
        <row r="73">
          <cell r="B73">
            <v>0.75819999999999999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2">
          <cell r="D2">
            <v>1016000</v>
          </cell>
        </row>
        <row r="55">
          <cell r="H55">
            <v>1</v>
          </cell>
        </row>
        <row r="129">
          <cell r="C129">
            <v>0.62770000000000004</v>
          </cell>
        </row>
        <row r="130">
          <cell r="C130">
            <v>0.75819999999999999</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5572F-E0A5-4C50-9B55-62FC298340D9}">
  <sheetPr>
    <tabColor rgb="FF0070C0"/>
  </sheetPr>
  <dimension ref="A1:K38"/>
  <sheetViews>
    <sheetView tabSelected="1" topLeftCell="A26" zoomScale="80" zoomScaleNormal="80" zoomScaleSheetLayoutView="80" workbookViewId="0">
      <selection activeCell="A33" sqref="A33:G33"/>
    </sheetView>
  </sheetViews>
  <sheetFormatPr baseColWidth="10" defaultColWidth="11.42578125" defaultRowHeight="14.25" x14ac:dyDescent="0.2"/>
  <cols>
    <col min="1" max="1" width="13.85546875" style="22" customWidth="1"/>
    <col min="2" max="2" width="16.5703125" style="22" bestFit="1" customWidth="1"/>
    <col min="3" max="3" width="20.7109375" style="23" customWidth="1"/>
    <col min="4" max="4" width="40.7109375" style="23" customWidth="1"/>
    <col min="5" max="5" width="14.140625" style="22" customWidth="1"/>
    <col min="6" max="6" width="14.7109375" style="22" customWidth="1"/>
    <col min="7" max="7" width="16.5703125" style="22" customWidth="1"/>
    <col min="8" max="8" width="30.85546875" style="24" customWidth="1"/>
    <col min="9" max="9" width="20.140625" style="1" customWidth="1"/>
    <col min="10" max="10" width="19.85546875" style="2" bestFit="1" customWidth="1"/>
    <col min="11" max="11" width="21" style="2" bestFit="1" customWidth="1"/>
    <col min="12" max="16384" width="11.42578125" style="3"/>
  </cols>
  <sheetData>
    <row r="1" spans="1:11" ht="24.95" customHeight="1" x14ac:dyDescent="0.2">
      <c r="A1" s="382"/>
      <c r="B1" s="385" t="s">
        <v>0</v>
      </c>
      <c r="C1" s="385"/>
      <c r="D1" s="385"/>
      <c r="E1" s="385"/>
      <c r="F1" s="385"/>
      <c r="G1" s="385"/>
      <c r="H1" s="386"/>
    </row>
    <row r="2" spans="1:11" ht="24.95" customHeight="1" x14ac:dyDescent="0.2">
      <c r="A2" s="383"/>
      <c r="B2" s="387"/>
      <c r="C2" s="387"/>
      <c r="D2" s="387"/>
      <c r="E2" s="387"/>
      <c r="F2" s="387"/>
      <c r="G2" s="387"/>
      <c r="H2" s="388"/>
    </row>
    <row r="3" spans="1:11" ht="24.95" customHeight="1" thickBot="1" x14ac:dyDescent="0.25">
      <c r="A3" s="384"/>
      <c r="B3" s="389"/>
      <c r="C3" s="389"/>
      <c r="D3" s="389"/>
      <c r="E3" s="389"/>
      <c r="F3" s="389"/>
      <c r="G3" s="389"/>
      <c r="H3" s="390"/>
    </row>
    <row r="4" spans="1:11" ht="36.6" customHeight="1" thickBot="1" x14ac:dyDescent="0.25">
      <c r="A4" s="391" t="s">
        <v>58</v>
      </c>
      <c r="B4" s="392"/>
      <c r="C4" s="392"/>
      <c r="D4" s="392"/>
      <c r="E4" s="392"/>
      <c r="F4" s="392"/>
      <c r="G4" s="392"/>
      <c r="H4" s="393"/>
    </row>
    <row r="5" spans="1:11" ht="26.25" customHeight="1" thickBot="1" x14ac:dyDescent="0.25">
      <c r="A5" s="394" t="s">
        <v>1</v>
      </c>
      <c r="B5" s="395"/>
      <c r="C5" s="395"/>
      <c r="D5" s="395"/>
      <c r="E5" s="395"/>
      <c r="F5" s="395"/>
      <c r="G5" s="395"/>
      <c r="H5" s="395"/>
    </row>
    <row r="6" spans="1:11" ht="33.6" customHeight="1" thickBot="1" x14ac:dyDescent="0.25">
      <c r="A6" s="396" t="s">
        <v>2</v>
      </c>
      <c r="B6" s="397"/>
      <c r="C6" s="397"/>
      <c r="D6" s="397"/>
      <c r="E6" s="397"/>
      <c r="F6" s="397"/>
      <c r="G6" s="397"/>
      <c r="H6" s="397"/>
    </row>
    <row r="7" spans="1:11" ht="24.95" customHeight="1" thickBot="1" x14ac:dyDescent="0.25">
      <c r="A7" s="25" t="s">
        <v>3</v>
      </c>
      <c r="B7" s="26" t="s">
        <v>4</v>
      </c>
      <c r="C7" s="398" t="s">
        <v>5</v>
      </c>
      <c r="D7" s="398"/>
      <c r="E7" s="27" t="s">
        <v>6</v>
      </c>
      <c r="F7" s="27" t="s">
        <v>7</v>
      </c>
      <c r="G7" s="27" t="s">
        <v>8</v>
      </c>
      <c r="H7" s="27" t="s">
        <v>9</v>
      </c>
    </row>
    <row r="8" spans="1:11" ht="39.75" customHeight="1" x14ac:dyDescent="0.2">
      <c r="A8" s="4" t="s">
        <v>10</v>
      </c>
      <c r="B8" s="5">
        <v>1</v>
      </c>
      <c r="C8" s="399" t="s">
        <v>11</v>
      </c>
      <c r="D8" s="399"/>
      <c r="E8" s="6" t="s">
        <v>59</v>
      </c>
      <c r="F8" s="7">
        <v>2</v>
      </c>
      <c r="G8" s="305">
        <v>895000</v>
      </c>
      <c r="H8" s="8">
        <f>+F8*G8</f>
        <v>1790000</v>
      </c>
    </row>
    <row r="9" spans="1:11" ht="24.75" customHeight="1" x14ac:dyDescent="0.2">
      <c r="A9" s="9" t="s">
        <v>12</v>
      </c>
      <c r="B9" s="10">
        <v>2</v>
      </c>
      <c r="C9" s="400" t="s">
        <v>13</v>
      </c>
      <c r="D9" s="400"/>
      <c r="E9" s="10" t="s">
        <v>60</v>
      </c>
      <c r="F9" s="11">
        <f>+CANT.DEMOLICION</f>
        <v>82</v>
      </c>
      <c r="G9" s="373">
        <v>203500</v>
      </c>
      <c r="H9" s="12">
        <f>ROUND(F9*G9,0)</f>
        <v>16687000</v>
      </c>
    </row>
    <row r="10" spans="1:11" ht="58.15" customHeight="1" x14ac:dyDescent="0.2">
      <c r="A10" s="9" t="s">
        <v>14</v>
      </c>
      <c r="B10" s="10">
        <v>3</v>
      </c>
      <c r="C10" s="401" t="s">
        <v>15</v>
      </c>
      <c r="D10" s="401"/>
      <c r="E10" s="10" t="s">
        <v>60</v>
      </c>
      <c r="F10" s="11">
        <f>+CANT.EXCAVACIÓN</f>
        <v>61.499999999999993</v>
      </c>
      <c r="G10" s="373">
        <v>235500</v>
      </c>
      <c r="H10" s="12">
        <f>ROUND(F10*G10,0)</f>
        <v>14483250</v>
      </c>
      <c r="K10" s="3"/>
    </row>
    <row r="11" spans="1:11" ht="54" customHeight="1" x14ac:dyDescent="0.2">
      <c r="A11" s="9" t="s">
        <v>16</v>
      </c>
      <c r="B11" s="10">
        <v>4</v>
      </c>
      <c r="C11" s="401" t="s">
        <v>17</v>
      </c>
      <c r="D11" s="401"/>
      <c r="E11" s="10" t="s">
        <v>60</v>
      </c>
      <c r="F11" s="11">
        <f>+PAVIMENTORIGIDO</f>
        <v>82</v>
      </c>
      <c r="G11" s="373">
        <v>1415000</v>
      </c>
      <c r="H11" s="12">
        <f>ROUND(F11*G11,0)</f>
        <v>116030000</v>
      </c>
      <c r="K11" s="3"/>
    </row>
    <row r="12" spans="1:11" ht="38.450000000000003" customHeight="1" x14ac:dyDescent="0.2">
      <c r="A12" s="13" t="s">
        <v>18</v>
      </c>
      <c r="B12" s="14">
        <v>5</v>
      </c>
      <c r="C12" s="381" t="s">
        <v>19</v>
      </c>
      <c r="D12" s="381"/>
      <c r="E12" s="14" t="s">
        <v>61</v>
      </c>
      <c r="F12" s="15">
        <f>+CANT.TRANS.EXCAVACION</f>
        <v>1599</v>
      </c>
      <c r="G12" s="373">
        <v>1711</v>
      </c>
      <c r="H12" s="16">
        <f>ROUND(F12*G12,0)</f>
        <v>2735889</v>
      </c>
      <c r="K12" s="3"/>
    </row>
    <row r="13" spans="1:11" ht="19.149999999999999" customHeight="1" thickBot="1" x14ac:dyDescent="0.25">
      <c r="A13" s="403" t="s">
        <v>53</v>
      </c>
      <c r="B13" s="404"/>
      <c r="C13" s="404"/>
      <c r="D13" s="404"/>
      <c r="E13" s="404"/>
      <c r="F13" s="404"/>
      <c r="G13" s="404"/>
      <c r="H13" s="405"/>
      <c r="K13" s="3"/>
    </row>
    <row r="14" spans="1:11" ht="96.6" customHeight="1" x14ac:dyDescent="0.2">
      <c r="A14" s="13" t="s">
        <v>20</v>
      </c>
      <c r="B14" s="5">
        <v>6</v>
      </c>
      <c r="C14" s="402" t="s">
        <v>21</v>
      </c>
      <c r="D14" s="402"/>
      <c r="E14" s="6" t="s">
        <v>22</v>
      </c>
      <c r="F14" s="7">
        <v>120</v>
      </c>
      <c r="G14" s="226">
        <v>64000</v>
      </c>
      <c r="H14" s="17">
        <f>+G14*F14</f>
        <v>7680000</v>
      </c>
      <c r="K14" s="3"/>
    </row>
    <row r="15" spans="1:11" ht="72.599999999999994" customHeight="1" x14ac:dyDescent="0.2">
      <c r="A15" s="13" t="s">
        <v>23</v>
      </c>
      <c r="B15" s="10">
        <v>7</v>
      </c>
      <c r="C15" s="401" t="s">
        <v>24</v>
      </c>
      <c r="D15" s="401" t="s">
        <v>25</v>
      </c>
      <c r="E15" s="6" t="s">
        <v>26</v>
      </c>
      <c r="F15" s="11">
        <v>100</v>
      </c>
      <c r="G15" s="227">
        <v>26000</v>
      </c>
      <c r="H15" s="18">
        <f t="shared" ref="H15:H16" si="0">+G15*F15</f>
        <v>2600000</v>
      </c>
      <c r="K15" s="3"/>
    </row>
    <row r="16" spans="1:11" ht="66.599999999999994" customHeight="1" x14ac:dyDescent="0.2">
      <c r="A16" s="13" t="s">
        <v>27</v>
      </c>
      <c r="B16" s="10">
        <v>8</v>
      </c>
      <c r="C16" s="381" t="s">
        <v>28</v>
      </c>
      <c r="D16" s="381" t="s">
        <v>29</v>
      </c>
      <c r="E16" s="6" t="s">
        <v>26</v>
      </c>
      <c r="F16" s="15">
        <v>300</v>
      </c>
      <c r="G16" s="227">
        <v>3000</v>
      </c>
      <c r="H16" s="19">
        <f t="shared" si="0"/>
        <v>900000</v>
      </c>
      <c r="I16" s="20"/>
      <c r="K16" s="3"/>
    </row>
    <row r="17" spans="1:11" ht="22.9" customHeight="1" thickBot="1" x14ac:dyDescent="0.25">
      <c r="A17" s="403" t="s">
        <v>54</v>
      </c>
      <c r="B17" s="404"/>
      <c r="C17" s="404"/>
      <c r="D17" s="404"/>
      <c r="E17" s="404"/>
      <c r="F17" s="404"/>
      <c r="G17" s="404"/>
      <c r="H17" s="405"/>
      <c r="K17" s="3"/>
    </row>
    <row r="18" spans="1:11" ht="71.45" customHeight="1" x14ac:dyDescent="0.2">
      <c r="A18" s="13" t="s">
        <v>30</v>
      </c>
      <c r="B18" s="5">
        <v>9</v>
      </c>
      <c r="C18" s="381" t="s">
        <v>31</v>
      </c>
      <c r="D18" s="381"/>
      <c r="E18" s="6" t="s">
        <v>26</v>
      </c>
      <c r="F18" s="15">
        <v>38000</v>
      </c>
      <c r="G18" s="227">
        <v>3970</v>
      </c>
      <c r="H18" s="19">
        <f>+G18*F18</f>
        <v>150860000</v>
      </c>
      <c r="K18" s="3"/>
    </row>
    <row r="19" spans="1:11" ht="81.599999999999994" customHeight="1" x14ac:dyDescent="0.2">
      <c r="A19" s="13" t="s">
        <v>32</v>
      </c>
      <c r="B19" s="10">
        <v>10</v>
      </c>
      <c r="C19" s="381" t="s">
        <v>33</v>
      </c>
      <c r="D19" s="381" t="s">
        <v>34</v>
      </c>
      <c r="E19" s="6" t="s">
        <v>26</v>
      </c>
      <c r="F19" s="15">
        <v>100</v>
      </c>
      <c r="G19" s="227">
        <f>+G15</f>
        <v>26000</v>
      </c>
      <c r="H19" s="19">
        <f t="shared" ref="H19:H22" si="1">+G19*F19</f>
        <v>2600000</v>
      </c>
      <c r="K19" s="3"/>
    </row>
    <row r="20" spans="1:11" ht="91.15" customHeight="1" thickBot="1" x14ac:dyDescent="0.25">
      <c r="A20" s="13" t="s">
        <v>35</v>
      </c>
      <c r="B20" s="10">
        <v>11</v>
      </c>
      <c r="C20" s="381" t="s">
        <v>36</v>
      </c>
      <c r="D20" s="381" t="s">
        <v>37</v>
      </c>
      <c r="E20" s="6" t="s">
        <v>38</v>
      </c>
      <c r="F20" s="15">
        <v>4</v>
      </c>
      <c r="G20" s="227">
        <v>380000</v>
      </c>
      <c r="H20" s="19">
        <f t="shared" si="1"/>
        <v>1520000</v>
      </c>
      <c r="K20" s="3"/>
    </row>
    <row r="21" spans="1:11" ht="69.599999999999994" customHeight="1" x14ac:dyDescent="0.2">
      <c r="A21" s="13" t="s">
        <v>39</v>
      </c>
      <c r="B21" s="5">
        <v>12</v>
      </c>
      <c r="C21" s="381" t="s">
        <v>40</v>
      </c>
      <c r="D21" s="381" t="s">
        <v>41</v>
      </c>
      <c r="E21" s="6" t="s">
        <v>38</v>
      </c>
      <c r="F21" s="15">
        <v>2</v>
      </c>
      <c r="G21" s="227">
        <v>665000</v>
      </c>
      <c r="H21" s="19">
        <f t="shared" si="1"/>
        <v>1330000</v>
      </c>
      <c r="K21" s="3"/>
    </row>
    <row r="22" spans="1:11" ht="82.9" customHeight="1" thickBot="1" x14ac:dyDescent="0.25">
      <c r="A22" s="13" t="s">
        <v>42</v>
      </c>
      <c r="B22" s="14">
        <v>13</v>
      </c>
      <c r="C22" s="381" t="s">
        <v>43</v>
      </c>
      <c r="D22" s="381" t="s">
        <v>44</v>
      </c>
      <c r="E22" s="35" t="s">
        <v>38</v>
      </c>
      <c r="F22" s="15">
        <v>4</v>
      </c>
      <c r="G22" s="227">
        <v>380000</v>
      </c>
      <c r="H22" s="19">
        <f t="shared" si="1"/>
        <v>1520000</v>
      </c>
      <c r="K22" s="3"/>
    </row>
    <row r="23" spans="1:11" ht="24" customHeight="1" thickBot="1" x14ac:dyDescent="0.25">
      <c r="A23" s="396" t="s">
        <v>55</v>
      </c>
      <c r="B23" s="397"/>
      <c r="C23" s="397"/>
      <c r="D23" s="397"/>
      <c r="E23" s="397"/>
      <c r="F23" s="397"/>
      <c r="G23" s="397"/>
      <c r="H23" s="406"/>
      <c r="K23" s="3"/>
    </row>
    <row r="24" spans="1:11" ht="121.9" customHeight="1" x14ac:dyDescent="0.2">
      <c r="A24" s="36" t="s">
        <v>45</v>
      </c>
      <c r="B24" s="6">
        <v>14</v>
      </c>
      <c r="C24" s="402" t="s">
        <v>46</v>
      </c>
      <c r="D24" s="402"/>
      <c r="E24" s="6" t="s">
        <v>38</v>
      </c>
      <c r="F24" s="7">
        <v>8</v>
      </c>
      <c r="G24" s="305">
        <v>705500</v>
      </c>
      <c r="H24" s="17">
        <f>+G24*F24</f>
        <v>5644000</v>
      </c>
      <c r="K24" s="3"/>
    </row>
    <row r="25" spans="1:11" ht="103.15" customHeight="1" x14ac:dyDescent="0.2">
      <c r="A25" s="13" t="s">
        <v>47</v>
      </c>
      <c r="B25" s="10">
        <v>15</v>
      </c>
      <c r="C25" s="401" t="s">
        <v>64</v>
      </c>
      <c r="D25" s="401"/>
      <c r="E25" s="10" t="s">
        <v>26</v>
      </c>
      <c r="F25" s="11">
        <v>28</v>
      </c>
      <c r="G25" s="373">
        <v>898200</v>
      </c>
      <c r="H25" s="18">
        <f>+G25*F25</f>
        <v>25149600</v>
      </c>
      <c r="K25" s="3"/>
    </row>
    <row r="26" spans="1:11" ht="109.9" customHeight="1" thickBot="1" x14ac:dyDescent="0.25">
      <c r="A26" s="33" t="s">
        <v>48</v>
      </c>
      <c r="B26" s="14">
        <v>16</v>
      </c>
      <c r="C26" s="381" t="s">
        <v>62</v>
      </c>
      <c r="D26" s="381"/>
      <c r="E26" s="14" t="s">
        <v>22</v>
      </c>
      <c r="F26" s="15">
        <f>28*2.5</f>
        <v>70</v>
      </c>
      <c r="G26" s="227">
        <v>64000</v>
      </c>
      <c r="H26" s="19">
        <f>+G26*F26</f>
        <v>4480000</v>
      </c>
      <c r="K26" s="21"/>
    </row>
    <row r="27" spans="1:11" ht="28.15" customHeight="1" x14ac:dyDescent="0.2">
      <c r="A27" s="409" t="s">
        <v>63</v>
      </c>
      <c r="B27" s="410"/>
      <c r="C27" s="410"/>
      <c r="D27" s="410"/>
      <c r="E27" s="410"/>
      <c r="F27" s="410"/>
      <c r="G27" s="410"/>
      <c r="H27" s="37">
        <f>+SUM(H8:H26)</f>
        <v>356009739</v>
      </c>
      <c r="K27" s="3"/>
    </row>
    <row r="28" spans="1:11" ht="34.15" customHeight="1" x14ac:dyDescent="0.2">
      <c r="A28" s="411" t="s">
        <v>49</v>
      </c>
      <c r="B28" s="412"/>
      <c r="C28" s="412"/>
      <c r="D28" s="412"/>
      <c r="E28" s="412"/>
      <c r="F28" s="412"/>
      <c r="G28" s="34">
        <f>AU!H33</f>
        <v>0.35208700000729898</v>
      </c>
      <c r="H28" s="38">
        <f>+G28*H27</f>
        <v>125346400.9778915</v>
      </c>
      <c r="K28" s="3"/>
    </row>
    <row r="29" spans="1:11" ht="34.15" customHeight="1" x14ac:dyDescent="0.2">
      <c r="A29" s="411" t="s">
        <v>270</v>
      </c>
      <c r="B29" s="412"/>
      <c r="C29" s="412"/>
      <c r="D29" s="412"/>
      <c r="E29" s="412"/>
      <c r="F29" s="412"/>
      <c r="G29" s="34">
        <v>0.08</v>
      </c>
      <c r="H29" s="38">
        <f>H27*G29</f>
        <v>28480779.120000001</v>
      </c>
      <c r="K29" s="3"/>
    </row>
    <row r="30" spans="1:11" ht="34.15" customHeight="1" thickBot="1" x14ac:dyDescent="0.25">
      <c r="A30" s="425" t="s">
        <v>50</v>
      </c>
      <c r="B30" s="426"/>
      <c r="C30" s="426"/>
      <c r="D30" s="426"/>
      <c r="E30" s="426"/>
      <c r="F30" s="426"/>
      <c r="G30" s="426"/>
      <c r="H30" s="39">
        <f>+H28+H27+H29</f>
        <v>509836919.09789151</v>
      </c>
      <c r="K30" s="3"/>
    </row>
    <row r="31" spans="1:11" ht="18" customHeight="1" thickBot="1" x14ac:dyDescent="0.25">
      <c r="A31" s="376"/>
      <c r="B31" s="30"/>
      <c r="C31" s="30"/>
      <c r="D31" s="30"/>
      <c r="E31" s="30"/>
      <c r="F31" s="30"/>
      <c r="G31" s="30"/>
      <c r="H31" s="28"/>
      <c r="K31" s="3"/>
    </row>
    <row r="32" spans="1:11" customFormat="1" ht="38.450000000000003" customHeight="1" thickBot="1" x14ac:dyDescent="0.3">
      <c r="A32" s="413" t="s">
        <v>56</v>
      </c>
      <c r="B32" s="414"/>
      <c r="C32" s="414"/>
      <c r="D32" s="414"/>
      <c r="E32" s="414"/>
      <c r="F32" s="414"/>
      <c r="G32" s="414"/>
      <c r="H32" s="415"/>
    </row>
    <row r="33" spans="1:10" customFormat="1" ht="24" customHeight="1" x14ac:dyDescent="0.25">
      <c r="A33" s="416" t="s">
        <v>65</v>
      </c>
      <c r="B33" s="417"/>
      <c r="C33" s="417"/>
      <c r="D33" s="417"/>
      <c r="E33" s="417"/>
      <c r="F33" s="417"/>
      <c r="G33" s="418"/>
      <c r="H33" s="31">
        <f>+H30</f>
        <v>509836919.09789151</v>
      </c>
    </row>
    <row r="34" spans="1:10" customFormat="1" ht="24" customHeight="1" thickBot="1" x14ac:dyDescent="0.3">
      <c r="A34" s="419" t="s">
        <v>272</v>
      </c>
      <c r="B34" s="420"/>
      <c r="C34" s="420"/>
      <c r="D34" s="420"/>
      <c r="E34" s="420"/>
      <c r="F34" s="420"/>
      <c r="G34" s="421"/>
      <c r="H34" s="29">
        <f>+H33*0.05</f>
        <v>25491845.954894576</v>
      </c>
      <c r="J34" s="380"/>
    </row>
    <row r="35" spans="1:10" customFormat="1" ht="24" customHeight="1" thickBot="1" x14ac:dyDescent="0.3">
      <c r="A35" s="422" t="s">
        <v>57</v>
      </c>
      <c r="B35" s="423"/>
      <c r="C35" s="423"/>
      <c r="D35" s="423"/>
      <c r="E35" s="423"/>
      <c r="F35" s="423"/>
      <c r="G35" s="424"/>
      <c r="H35" s="32">
        <f>H34+H33</f>
        <v>535328765.05278611</v>
      </c>
    </row>
    <row r="36" spans="1:10" ht="117" customHeight="1" x14ac:dyDescent="0.2">
      <c r="A36" s="407" t="s">
        <v>51</v>
      </c>
      <c r="B36" s="407"/>
      <c r="C36" s="407"/>
      <c r="D36" s="407"/>
      <c r="E36" s="407"/>
      <c r="F36" s="407"/>
      <c r="G36" s="407"/>
      <c r="H36" s="407"/>
    </row>
    <row r="37" spans="1:10" ht="14.45" customHeight="1" x14ac:dyDescent="0.25">
      <c r="A37" s="408" t="s">
        <v>52</v>
      </c>
      <c r="B37" s="408"/>
      <c r="C37" s="408"/>
      <c r="D37" s="408"/>
      <c r="E37" s="408"/>
      <c r="F37" s="408"/>
      <c r="G37" s="408"/>
      <c r="H37" s="408"/>
    </row>
    <row r="38" spans="1:10" ht="14.45" customHeight="1" x14ac:dyDescent="0.25">
      <c r="A38" s="408"/>
      <c r="B38" s="408"/>
      <c r="C38" s="408"/>
      <c r="D38" s="408"/>
      <c r="E38" s="408"/>
      <c r="F38" s="408"/>
      <c r="G38" s="408"/>
      <c r="H38" s="408"/>
    </row>
  </sheetData>
  <mergeCells count="36">
    <mergeCell ref="A36:H36"/>
    <mergeCell ref="A37:H37"/>
    <mergeCell ref="A38:H38"/>
    <mergeCell ref="C25:D25"/>
    <mergeCell ref="C26:D26"/>
    <mergeCell ref="A27:G27"/>
    <mergeCell ref="A28:F28"/>
    <mergeCell ref="A32:H32"/>
    <mergeCell ref="A33:G33"/>
    <mergeCell ref="A34:G34"/>
    <mergeCell ref="A35:G35"/>
    <mergeCell ref="A30:G30"/>
    <mergeCell ref="A29:F29"/>
    <mergeCell ref="C24:D24"/>
    <mergeCell ref="A13:H13"/>
    <mergeCell ref="C14:D14"/>
    <mergeCell ref="C15:D15"/>
    <mergeCell ref="C16:D16"/>
    <mergeCell ref="A17:H17"/>
    <mergeCell ref="C18:D18"/>
    <mergeCell ref="C19:D19"/>
    <mergeCell ref="C20:D20"/>
    <mergeCell ref="C21:D21"/>
    <mergeCell ref="C22:D22"/>
    <mergeCell ref="A23:H23"/>
    <mergeCell ref="C12:D12"/>
    <mergeCell ref="A1:A3"/>
    <mergeCell ref="B1:H3"/>
    <mergeCell ref="A4:H4"/>
    <mergeCell ref="A5:H5"/>
    <mergeCell ref="A6:H6"/>
    <mergeCell ref="C7:D7"/>
    <mergeCell ref="C8:D8"/>
    <mergeCell ref="C9:D9"/>
    <mergeCell ref="C10:D10"/>
    <mergeCell ref="C11:D11"/>
  </mergeCells>
  <printOptions horizontalCentered="1" verticalCentered="1"/>
  <pageMargins left="0" right="0" top="0.11811023622047245" bottom="0" header="0.31496062992125984" footer="0.31496062992125984"/>
  <pageSetup scale="3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DF5BE-E5BB-4EB6-8CB4-ABE477B3050B}">
  <dimension ref="A1:N40"/>
  <sheetViews>
    <sheetView topLeftCell="A19" workbookViewId="0">
      <selection activeCell="B40" sqref="B40"/>
    </sheetView>
  </sheetViews>
  <sheetFormatPr baseColWidth="10" defaultColWidth="8" defaultRowHeight="14.25" x14ac:dyDescent="0.25"/>
  <cols>
    <col min="1" max="1" width="6.7109375" style="40" customWidth="1"/>
    <col min="2" max="2" width="42" style="40" customWidth="1"/>
    <col min="3" max="3" width="10.5703125" style="40" customWidth="1"/>
    <col min="4" max="4" width="10.28515625" style="40" bestFit="1" customWidth="1"/>
    <col min="5" max="5" width="12.7109375" style="40" bestFit="1" customWidth="1"/>
    <col min="6" max="6" width="14.85546875" style="40" customWidth="1"/>
    <col min="7" max="7" width="12.5703125" style="40" bestFit="1" customWidth="1"/>
    <col min="8" max="8" width="8.42578125" style="40" bestFit="1" customWidth="1"/>
    <col min="9" max="9" width="15.28515625" style="40" bestFit="1" customWidth="1"/>
    <col min="10" max="10" width="12.5703125" style="40" customWidth="1"/>
    <col min="11" max="13" width="8" style="40"/>
    <col min="14" max="14" width="31" style="41" customWidth="1"/>
    <col min="15" max="16384" width="8" style="40"/>
  </cols>
  <sheetData>
    <row r="1" spans="1:14" x14ac:dyDescent="0.25">
      <c r="A1" s="437"/>
      <c r="B1" s="438"/>
      <c r="C1" s="438"/>
      <c r="D1" s="439"/>
      <c r="E1" s="440"/>
      <c r="F1" s="438"/>
      <c r="G1" s="438"/>
      <c r="H1" s="438"/>
      <c r="I1" s="441"/>
    </row>
    <row r="2" spans="1:14" x14ac:dyDescent="0.25">
      <c r="A2" s="442" t="s">
        <v>58</v>
      </c>
      <c r="B2" s="443"/>
      <c r="C2" s="443"/>
      <c r="D2" s="443"/>
      <c r="E2" s="443"/>
      <c r="F2" s="443"/>
      <c r="G2" s="443"/>
      <c r="H2" s="443"/>
      <c r="I2" s="444"/>
    </row>
    <row r="3" spans="1:14" ht="15" x14ac:dyDescent="0.25">
      <c r="A3" s="442"/>
      <c r="B3" s="445"/>
      <c r="C3" s="445"/>
      <c r="D3" s="445"/>
      <c r="E3" s="445"/>
      <c r="F3" s="445"/>
      <c r="G3" s="445"/>
      <c r="H3" s="445"/>
      <c r="I3" s="446"/>
    </row>
    <row r="4" spans="1:14" ht="15" x14ac:dyDescent="0.25">
      <c r="A4" s="442" t="s">
        <v>66</v>
      </c>
      <c r="B4" s="445"/>
      <c r="C4" s="447"/>
      <c r="D4" s="447"/>
      <c r="E4" s="447"/>
      <c r="F4" s="447"/>
      <c r="G4" s="447"/>
      <c r="H4" s="447"/>
      <c r="I4" s="446"/>
    </row>
    <row r="5" spans="1:14" ht="15" x14ac:dyDescent="0.25">
      <c r="A5" s="42"/>
      <c r="B5" s="43"/>
      <c r="C5" s="432" t="s">
        <v>67</v>
      </c>
      <c r="D5" s="432"/>
      <c r="E5" s="432"/>
      <c r="F5" s="433">
        <v>476590237.59930003</v>
      </c>
      <c r="G5" s="433"/>
      <c r="H5" s="433"/>
      <c r="I5" s="44"/>
    </row>
    <row r="6" spans="1:14" s="49" customFormat="1" ht="30" x14ac:dyDescent="0.25">
      <c r="A6" s="45" t="s">
        <v>68</v>
      </c>
      <c r="B6" s="46" t="s">
        <v>69</v>
      </c>
      <c r="C6" s="47" t="s">
        <v>70</v>
      </c>
      <c r="D6" s="47" t="s">
        <v>71</v>
      </c>
      <c r="E6" s="47" t="s">
        <v>72</v>
      </c>
      <c r="F6" s="47" t="s">
        <v>73</v>
      </c>
      <c r="G6" s="47" t="s">
        <v>74</v>
      </c>
      <c r="H6" s="47" t="s">
        <v>75</v>
      </c>
      <c r="I6" s="48" t="s">
        <v>76</v>
      </c>
      <c r="N6" s="50"/>
    </row>
    <row r="7" spans="1:14" s="49" customFormat="1" ht="15" x14ac:dyDescent="0.25">
      <c r="A7" s="51">
        <v>1</v>
      </c>
      <c r="B7" s="52" t="s">
        <v>77</v>
      </c>
      <c r="C7" s="451"/>
      <c r="D7" s="452"/>
      <c r="E7" s="452"/>
      <c r="F7" s="452"/>
      <c r="G7" s="452"/>
      <c r="H7" s="452"/>
      <c r="I7" s="453"/>
      <c r="N7" s="50"/>
    </row>
    <row r="8" spans="1:14" s="49" customFormat="1" ht="41.45" customHeight="1" x14ac:dyDescent="0.25">
      <c r="A8" s="53">
        <v>1.1000000000000001</v>
      </c>
      <c r="B8" s="54" t="s">
        <v>98</v>
      </c>
      <c r="C8" s="55" t="s">
        <v>79</v>
      </c>
      <c r="D8" s="56">
        <v>1</v>
      </c>
      <c r="E8" s="57">
        <v>4500000</v>
      </c>
      <c r="F8" s="58">
        <v>1.5185999999999999</v>
      </c>
      <c r="G8" s="58">
        <v>0.5</v>
      </c>
      <c r="H8" s="58">
        <v>2</v>
      </c>
      <c r="I8" s="59">
        <f>+H8*G8*F8*E8*D8</f>
        <v>6833700</v>
      </c>
      <c r="N8" s="50">
        <v>476590237.59930003</v>
      </c>
    </row>
    <row r="9" spans="1:14" s="49" customFormat="1" ht="28.5" x14ac:dyDescent="0.25">
      <c r="A9" s="53">
        <v>1.1000000000000001</v>
      </c>
      <c r="B9" s="54" t="s">
        <v>78</v>
      </c>
      <c r="C9" s="55" t="s">
        <v>79</v>
      </c>
      <c r="D9" s="56">
        <v>1</v>
      </c>
      <c r="E9" s="57">
        <v>3150000</v>
      </c>
      <c r="F9" s="58">
        <v>1.5185999999999999</v>
      </c>
      <c r="G9" s="58">
        <v>1</v>
      </c>
      <c r="H9" s="58">
        <f>+H8</f>
        <v>2</v>
      </c>
      <c r="I9" s="59">
        <f t="shared" ref="I9:I10" si="0">+H9*G9*F9*E9*D9</f>
        <v>9567180</v>
      </c>
      <c r="N9" s="50">
        <v>476590237.59930003</v>
      </c>
    </row>
    <row r="10" spans="1:14" s="49" customFormat="1" ht="25.9" customHeight="1" x14ac:dyDescent="0.25">
      <c r="A10" s="53">
        <v>1.3</v>
      </c>
      <c r="B10" s="54" t="s">
        <v>99</v>
      </c>
      <c r="C10" s="55" t="s">
        <v>79</v>
      </c>
      <c r="D10" s="56">
        <v>1</v>
      </c>
      <c r="E10" s="57">
        <v>3150000</v>
      </c>
      <c r="F10" s="58">
        <v>1.52</v>
      </c>
      <c r="G10" s="58">
        <v>0.5</v>
      </c>
      <c r="H10" s="58">
        <v>2</v>
      </c>
      <c r="I10" s="59">
        <f t="shared" si="0"/>
        <v>4788000</v>
      </c>
      <c r="N10" s="50"/>
    </row>
    <row r="11" spans="1:14" ht="15" x14ac:dyDescent="0.2">
      <c r="A11" s="60">
        <v>2</v>
      </c>
      <c r="B11" s="61" t="s">
        <v>80</v>
      </c>
      <c r="C11" s="454"/>
      <c r="D11" s="454"/>
      <c r="E11" s="454"/>
      <c r="F11" s="454"/>
      <c r="G11" s="454"/>
      <c r="H11" s="454"/>
      <c r="I11" s="455"/>
    </row>
    <row r="12" spans="1:14" s="49" customFormat="1" ht="24" customHeight="1" x14ac:dyDescent="0.25">
      <c r="A12" s="53">
        <v>2.1</v>
      </c>
      <c r="B12" s="54" t="s">
        <v>81</v>
      </c>
      <c r="C12" s="55" t="s">
        <v>79</v>
      </c>
      <c r="D12" s="56">
        <v>1</v>
      </c>
      <c r="E12" s="57">
        <f>1300000+162000</f>
        <v>1462000</v>
      </c>
      <c r="F12" s="58">
        <v>1.6832</v>
      </c>
      <c r="G12" s="58">
        <v>0.1</v>
      </c>
      <c r="H12" s="58">
        <f>+H10</f>
        <v>2</v>
      </c>
      <c r="I12" s="59">
        <f>+H12*G12*F12*E12*D12</f>
        <v>492167.68000000005</v>
      </c>
      <c r="N12" s="50"/>
    </row>
    <row r="13" spans="1:14" s="62" customFormat="1" ht="25.15" customHeight="1" x14ac:dyDescent="0.25">
      <c r="A13" s="53">
        <v>2.2000000000000002</v>
      </c>
      <c r="B13" s="54" t="s">
        <v>100</v>
      </c>
      <c r="C13" s="55" t="s">
        <v>79</v>
      </c>
      <c r="D13" s="56">
        <v>1</v>
      </c>
      <c r="E13" s="57">
        <f>1300000+162000</f>
        <v>1462000</v>
      </c>
      <c r="F13" s="58">
        <v>1.6832</v>
      </c>
      <c r="G13" s="58">
        <v>0.1</v>
      </c>
      <c r="H13" s="58">
        <f>+H12</f>
        <v>2</v>
      </c>
      <c r="I13" s="59">
        <f>+H13*G13*F13*E13*D13</f>
        <v>492167.68000000005</v>
      </c>
    </row>
    <row r="14" spans="1:14" ht="15" x14ac:dyDescent="0.2">
      <c r="A14" s="60">
        <v>3</v>
      </c>
      <c r="B14" s="61" t="s">
        <v>82</v>
      </c>
      <c r="C14" s="454"/>
      <c r="D14" s="454"/>
      <c r="E14" s="454"/>
      <c r="F14" s="454"/>
      <c r="G14" s="454"/>
      <c r="H14" s="454"/>
      <c r="I14" s="455"/>
    </row>
    <row r="15" spans="1:14" ht="29.45" customHeight="1" x14ac:dyDescent="0.25">
      <c r="A15" s="53">
        <v>3.1</v>
      </c>
      <c r="B15" s="54" t="s">
        <v>127</v>
      </c>
      <c r="C15" s="55" t="s">
        <v>79</v>
      </c>
      <c r="D15" s="56">
        <v>1</v>
      </c>
      <c r="E15" s="57">
        <v>250000</v>
      </c>
      <c r="F15" s="58">
        <v>1</v>
      </c>
      <c r="G15" s="58">
        <v>1</v>
      </c>
      <c r="H15" s="58">
        <f>+H12</f>
        <v>2</v>
      </c>
      <c r="I15" s="59">
        <f>+H15*G15*F15*E15*D15</f>
        <v>500000</v>
      </c>
    </row>
    <row r="16" spans="1:14" ht="51.6" customHeight="1" x14ac:dyDescent="0.25">
      <c r="A16" s="53">
        <v>3.2</v>
      </c>
      <c r="B16" s="54" t="s">
        <v>83</v>
      </c>
      <c r="C16" s="55" t="s">
        <v>79</v>
      </c>
      <c r="D16" s="56">
        <v>1</v>
      </c>
      <c r="E16" s="57">
        <v>350000</v>
      </c>
      <c r="F16" s="58">
        <v>1</v>
      </c>
      <c r="G16" s="58">
        <v>1</v>
      </c>
      <c r="H16" s="58">
        <f>+H15</f>
        <v>2</v>
      </c>
      <c r="I16" s="59">
        <f>+H16*G16*F16*E16*D16</f>
        <v>700000</v>
      </c>
    </row>
    <row r="17" spans="1:14" ht="15" x14ac:dyDescent="0.2">
      <c r="A17" s="60">
        <v>4</v>
      </c>
      <c r="B17" s="61" t="s">
        <v>84</v>
      </c>
      <c r="C17" s="454"/>
      <c r="D17" s="454"/>
      <c r="E17" s="454"/>
      <c r="F17" s="454"/>
      <c r="G17" s="454"/>
      <c r="H17" s="454"/>
      <c r="I17" s="455"/>
    </row>
    <row r="18" spans="1:14" s="49" customFormat="1" ht="29.45" customHeight="1" x14ac:dyDescent="0.25">
      <c r="A18" s="53">
        <v>4.0999999999999996</v>
      </c>
      <c r="B18" s="54" t="s">
        <v>101</v>
      </c>
      <c r="C18" s="55" t="s">
        <v>87</v>
      </c>
      <c r="D18" s="56">
        <v>1</v>
      </c>
      <c r="E18" s="57">
        <f>+PMA!F42</f>
        <v>7785000</v>
      </c>
      <c r="F18" s="58">
        <v>1</v>
      </c>
      <c r="G18" s="58">
        <v>1</v>
      </c>
      <c r="H18" s="58">
        <v>1</v>
      </c>
      <c r="I18" s="59">
        <f>+H18*G18*F18*E18*D18</f>
        <v>7785000</v>
      </c>
      <c r="N18" s="50"/>
    </row>
    <row r="19" spans="1:14" ht="15" x14ac:dyDescent="0.2">
      <c r="A19" s="60">
        <v>5</v>
      </c>
      <c r="B19" s="61" t="s">
        <v>86</v>
      </c>
      <c r="C19" s="454"/>
      <c r="D19" s="454"/>
      <c r="E19" s="454"/>
      <c r="F19" s="454"/>
      <c r="G19" s="454"/>
      <c r="H19" s="454"/>
      <c r="I19" s="455"/>
    </row>
    <row r="20" spans="1:14" s="49" customFormat="1" ht="22.9" customHeight="1" x14ac:dyDescent="0.25">
      <c r="A20" s="53">
        <v>5.0999999999999996</v>
      </c>
      <c r="B20" s="54" t="s">
        <v>128</v>
      </c>
      <c r="C20" s="55" t="s">
        <v>87</v>
      </c>
      <c r="D20" s="56">
        <v>1</v>
      </c>
      <c r="E20" s="57">
        <f>710000+6211.84</f>
        <v>716211.84</v>
      </c>
      <c r="F20" s="58">
        <v>1</v>
      </c>
      <c r="G20" s="58">
        <v>1</v>
      </c>
      <c r="H20" s="58">
        <v>1</v>
      </c>
      <c r="I20" s="59">
        <f>+H20*G20*F20*E20*D20</f>
        <v>716211.84</v>
      </c>
      <c r="N20" s="50"/>
    </row>
    <row r="21" spans="1:14" s="49" customFormat="1" ht="15" x14ac:dyDescent="0.25">
      <c r="A21" s="51">
        <v>6</v>
      </c>
      <c r="B21" s="63" t="s">
        <v>88</v>
      </c>
      <c r="C21" s="456"/>
      <c r="D21" s="456"/>
      <c r="E21" s="456"/>
      <c r="F21" s="456"/>
      <c r="G21" s="456"/>
      <c r="H21" s="456"/>
      <c r="I21" s="457"/>
      <c r="N21" s="50"/>
    </row>
    <row r="22" spans="1:14" s="49" customFormat="1" ht="28.15" customHeight="1" x14ac:dyDescent="0.25">
      <c r="A22" s="64">
        <v>6.1</v>
      </c>
      <c r="B22" s="65" t="s">
        <v>89</v>
      </c>
      <c r="C22" s="55" t="s">
        <v>79</v>
      </c>
      <c r="D22" s="56">
        <v>1</v>
      </c>
      <c r="E22" s="57">
        <v>780000</v>
      </c>
      <c r="F22" s="58">
        <v>1</v>
      </c>
      <c r="G22" s="58">
        <v>1</v>
      </c>
      <c r="H22" s="58">
        <f>+H16</f>
        <v>2</v>
      </c>
      <c r="I22" s="59">
        <f>+H22*G22*F22*E22*D22</f>
        <v>1560000</v>
      </c>
      <c r="N22" s="50"/>
    </row>
    <row r="23" spans="1:14" s="49" customFormat="1" ht="54.6" customHeight="1" x14ac:dyDescent="0.25">
      <c r="A23" s="64">
        <v>6.2</v>
      </c>
      <c r="B23" s="65" t="s">
        <v>90</v>
      </c>
      <c r="C23" s="55" t="s">
        <v>79</v>
      </c>
      <c r="D23" s="56">
        <v>1</v>
      </c>
      <c r="E23" s="57">
        <v>120000</v>
      </c>
      <c r="F23" s="58">
        <v>1</v>
      </c>
      <c r="G23" s="58">
        <v>1</v>
      </c>
      <c r="H23" s="58">
        <f>+H22</f>
        <v>2</v>
      </c>
      <c r="I23" s="59">
        <f>+H23*G23*F23*E23*D23</f>
        <v>240000</v>
      </c>
      <c r="N23" s="50"/>
    </row>
    <row r="24" spans="1:14" ht="15" x14ac:dyDescent="0.2">
      <c r="A24" s="106">
        <v>7</v>
      </c>
      <c r="B24" s="107" t="s">
        <v>97</v>
      </c>
      <c r="C24" s="448"/>
      <c r="D24" s="449"/>
      <c r="E24" s="449"/>
      <c r="F24" s="449"/>
      <c r="G24" s="449"/>
      <c r="H24" s="449"/>
      <c r="I24" s="450"/>
    </row>
    <row r="25" spans="1:14" s="49" customFormat="1" ht="13.9" customHeight="1" x14ac:dyDescent="0.25">
      <c r="A25" s="114">
        <v>7.1</v>
      </c>
      <c r="B25" s="108" t="s">
        <v>131</v>
      </c>
      <c r="C25" s="105"/>
      <c r="D25" s="109"/>
      <c r="E25" s="105"/>
      <c r="F25" s="109"/>
      <c r="G25" s="105"/>
      <c r="H25" s="110">
        <v>0.02</v>
      </c>
      <c r="I25" s="59">
        <f>+H25*$F$5</f>
        <v>9531804.7519860007</v>
      </c>
      <c r="N25" s="50"/>
    </row>
    <row r="26" spans="1:14" s="49" customFormat="1" ht="13.9" customHeight="1" x14ac:dyDescent="0.25">
      <c r="A26" s="114">
        <v>7.2</v>
      </c>
      <c r="B26" s="108" t="s">
        <v>132</v>
      </c>
      <c r="C26" s="105"/>
      <c r="D26" s="109"/>
      <c r="E26" s="105"/>
      <c r="F26" s="109"/>
      <c r="G26" s="105"/>
      <c r="H26" s="110">
        <v>0.04</v>
      </c>
      <c r="I26" s="59">
        <f t="shared" ref="I26:I30" si="1">+H26*$F$5</f>
        <v>19063609.503972001</v>
      </c>
      <c r="N26" s="50"/>
    </row>
    <row r="27" spans="1:14" s="49" customFormat="1" ht="13.9" customHeight="1" x14ac:dyDescent="0.25">
      <c r="A27" s="114">
        <v>7.3</v>
      </c>
      <c r="B27" s="108" t="s">
        <v>133</v>
      </c>
      <c r="C27" s="105"/>
      <c r="D27" s="109"/>
      <c r="E27" s="105"/>
      <c r="F27" s="109"/>
      <c r="G27" s="105"/>
      <c r="H27" s="110">
        <v>0.01</v>
      </c>
      <c r="I27" s="59">
        <f t="shared" si="1"/>
        <v>4765902.3759930003</v>
      </c>
      <c r="N27" s="50"/>
    </row>
    <row r="28" spans="1:14" s="49" customFormat="1" ht="13.9" customHeight="1" x14ac:dyDescent="0.25">
      <c r="A28" s="114">
        <v>7.4</v>
      </c>
      <c r="B28" s="108" t="s">
        <v>134</v>
      </c>
      <c r="C28" s="105"/>
      <c r="D28" s="109"/>
      <c r="E28" s="105"/>
      <c r="F28" s="109"/>
      <c r="G28" s="105"/>
      <c r="H28" s="110">
        <v>2.5000000000000001E-2</v>
      </c>
      <c r="I28" s="59">
        <f t="shared" si="1"/>
        <v>11914755.939982502</v>
      </c>
      <c r="N28" s="50"/>
    </row>
    <row r="29" spans="1:14" s="49" customFormat="1" ht="13.9" customHeight="1" x14ac:dyDescent="0.25">
      <c r="A29" s="114">
        <v>7.5</v>
      </c>
      <c r="B29" s="108" t="s">
        <v>135</v>
      </c>
      <c r="C29" s="105"/>
      <c r="D29" s="109"/>
      <c r="E29" s="105"/>
      <c r="F29" s="109"/>
      <c r="G29" s="105"/>
      <c r="H29" s="110">
        <v>0.05</v>
      </c>
      <c r="I29" s="59">
        <f t="shared" si="1"/>
        <v>23829511.879965004</v>
      </c>
      <c r="N29" s="50"/>
    </row>
    <row r="30" spans="1:14" s="49" customFormat="1" ht="13.9" customHeight="1" x14ac:dyDescent="0.25">
      <c r="A30" s="114">
        <v>7.6</v>
      </c>
      <c r="B30" s="108" t="s">
        <v>271</v>
      </c>
      <c r="C30" s="105"/>
      <c r="D30" s="109"/>
      <c r="E30" s="105"/>
      <c r="F30" s="109"/>
      <c r="G30" s="105"/>
      <c r="H30" s="110">
        <v>0.01</v>
      </c>
      <c r="I30" s="59">
        <f t="shared" si="1"/>
        <v>4765902.3759930003</v>
      </c>
      <c r="N30" s="50"/>
    </row>
    <row r="31" spans="1:14" s="49" customFormat="1" ht="15" x14ac:dyDescent="0.25">
      <c r="A31" s="115"/>
      <c r="B31" s="428" t="s">
        <v>91</v>
      </c>
      <c r="C31" s="428"/>
      <c r="D31" s="428"/>
      <c r="E31" s="428"/>
      <c r="F31" s="111" t="s">
        <v>92</v>
      </c>
      <c r="G31" s="111" t="s">
        <v>93</v>
      </c>
      <c r="H31" s="112">
        <f>+I31/I34</f>
        <v>0.30208700000729899</v>
      </c>
      <c r="I31" s="116">
        <f>+I29+I28+I27+I26+I25+I23+I22+I20+I18+I16+I15+I13+I12+I10+I9+I8+I30</f>
        <v>107545914.02789152</v>
      </c>
      <c r="N31" s="50"/>
    </row>
    <row r="32" spans="1:14" s="49" customFormat="1" ht="15.75" thickBot="1" x14ac:dyDescent="0.3">
      <c r="A32" s="121"/>
      <c r="B32" s="429" t="s">
        <v>94</v>
      </c>
      <c r="C32" s="429"/>
      <c r="D32" s="429"/>
      <c r="E32" s="429"/>
      <c r="F32" s="122" t="s">
        <v>95</v>
      </c>
      <c r="G32" s="122" t="s">
        <v>93</v>
      </c>
      <c r="H32" s="123">
        <v>0.05</v>
      </c>
      <c r="I32" s="124">
        <f>0.05*I34</f>
        <v>17800486.949999999</v>
      </c>
      <c r="N32" s="50"/>
    </row>
    <row r="33" spans="1:14" s="49" customFormat="1" ht="15" x14ac:dyDescent="0.25">
      <c r="A33" s="125"/>
      <c r="B33" s="430" t="s">
        <v>129</v>
      </c>
      <c r="C33" s="430"/>
      <c r="D33" s="430"/>
      <c r="E33" s="430"/>
      <c r="F33" s="430"/>
      <c r="G33" s="430"/>
      <c r="H33" s="126">
        <f>+SUM(H31:H32)</f>
        <v>0.35208700000729898</v>
      </c>
      <c r="I33" s="127">
        <f>+I32+I31</f>
        <v>125346400.97789152</v>
      </c>
      <c r="N33" s="50"/>
    </row>
    <row r="34" spans="1:14" s="49" customFormat="1" ht="15" x14ac:dyDescent="0.25">
      <c r="A34" s="117"/>
      <c r="B34" s="431" t="s">
        <v>96</v>
      </c>
      <c r="C34" s="431"/>
      <c r="D34" s="431"/>
      <c r="E34" s="431"/>
      <c r="F34" s="431"/>
      <c r="G34" s="431"/>
      <c r="H34" s="113"/>
      <c r="I34" s="118">
        <f>+'PRESUPUESTO GENERAL'!H27</f>
        <v>356009739</v>
      </c>
      <c r="N34" s="50"/>
    </row>
    <row r="35" spans="1:14" s="49" customFormat="1" ht="15" x14ac:dyDescent="0.25">
      <c r="A35" s="377"/>
      <c r="B35" s="434" t="s">
        <v>270</v>
      </c>
      <c r="C35" s="435"/>
      <c r="D35" s="435"/>
      <c r="E35" s="435"/>
      <c r="F35" s="435"/>
      <c r="G35" s="436"/>
      <c r="H35" s="379">
        <v>0.08</v>
      </c>
      <c r="I35" s="378">
        <f>I34*H35</f>
        <v>28480779.120000001</v>
      </c>
      <c r="N35" s="50"/>
    </row>
    <row r="36" spans="1:14" s="49" customFormat="1" ht="15.75" thickBot="1" x14ac:dyDescent="0.3">
      <c r="A36" s="119"/>
      <c r="B36" s="427" t="s">
        <v>130</v>
      </c>
      <c r="C36" s="427"/>
      <c r="D36" s="427"/>
      <c r="E36" s="427"/>
      <c r="F36" s="427"/>
      <c r="G36" s="427"/>
      <c r="H36" s="427"/>
      <c r="I36" s="120">
        <f>+I34+I33+I35</f>
        <v>509836919.09789151</v>
      </c>
      <c r="N36" s="50"/>
    </row>
    <row r="38" spans="1:14" x14ac:dyDescent="0.25">
      <c r="I38" s="66"/>
    </row>
    <row r="39" spans="1:14" x14ac:dyDescent="0.25">
      <c r="I39" s="67"/>
    </row>
    <row r="40" spans="1:14" x14ac:dyDescent="0.25">
      <c r="I40" s="68"/>
    </row>
  </sheetData>
  <protectedRanges>
    <protectedRange sqref="F10" name="DEDICACIONES"/>
    <protectedRange sqref="B13" name="CARGOS_1"/>
    <protectedRange sqref="B26:G30" name="Tasas_1"/>
  </protectedRanges>
  <mergeCells count="20">
    <mergeCell ref="C5:E5"/>
    <mergeCell ref="F5:H5"/>
    <mergeCell ref="B35:G35"/>
    <mergeCell ref="A1:D1"/>
    <mergeCell ref="E1:I1"/>
    <mergeCell ref="A2:I2"/>
    <mergeCell ref="A3:I3"/>
    <mergeCell ref="A4:I4"/>
    <mergeCell ref="C24:I24"/>
    <mergeCell ref="C7:I7"/>
    <mergeCell ref="C11:I11"/>
    <mergeCell ref="C14:I14"/>
    <mergeCell ref="C17:I17"/>
    <mergeCell ref="C19:I19"/>
    <mergeCell ref="C21:I21"/>
    <mergeCell ref="B36:H36"/>
    <mergeCell ref="B31:E31"/>
    <mergeCell ref="B32:E32"/>
    <mergeCell ref="B33:G33"/>
    <mergeCell ref="B34:G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3E606-DDC0-4326-A04D-19CD567AB380}">
  <dimension ref="A1:F49"/>
  <sheetViews>
    <sheetView topLeftCell="A28" workbookViewId="0">
      <selection activeCell="B12" sqref="B12"/>
    </sheetView>
  </sheetViews>
  <sheetFormatPr baseColWidth="10" defaultColWidth="11.42578125" defaultRowHeight="14.25" x14ac:dyDescent="0.2"/>
  <cols>
    <col min="1" max="1" width="11.42578125" style="69"/>
    <col min="2" max="2" width="51" style="69" customWidth="1"/>
    <col min="3" max="3" width="11.42578125" style="69"/>
    <col min="4" max="4" width="10.28515625" style="96" customWidth="1"/>
    <col min="5" max="5" width="16" style="97" bestFit="1" customWidth="1"/>
    <col min="6" max="6" width="19.42578125" style="97" bestFit="1" customWidth="1"/>
    <col min="7" max="16384" width="11.42578125" style="69"/>
  </cols>
  <sheetData>
    <row r="1" spans="1:6" ht="15.6" customHeight="1" x14ac:dyDescent="0.2">
      <c r="A1" s="467" t="str">
        <f>+AU!A2</f>
        <v>MEJORAMIENTO DE VIAS URBANAS Y RURALES DEL MUNICIPIO DE BURITICÁ ANTIOQUIA</v>
      </c>
      <c r="B1" s="468"/>
      <c r="C1" s="468"/>
      <c r="D1" s="468"/>
      <c r="E1" s="468"/>
      <c r="F1" s="469"/>
    </row>
    <row r="2" spans="1:6" x14ac:dyDescent="0.2">
      <c r="A2" s="470"/>
      <c r="B2" s="471"/>
      <c r="C2" s="471"/>
      <c r="D2" s="471"/>
      <c r="E2" s="471"/>
      <c r="F2" s="472"/>
    </row>
    <row r="3" spans="1:6" ht="15" thickBot="1" x14ac:dyDescent="0.25">
      <c r="A3" s="470"/>
      <c r="B3" s="471"/>
      <c r="C3" s="471"/>
      <c r="D3" s="471"/>
      <c r="E3" s="471"/>
      <c r="F3" s="472"/>
    </row>
    <row r="4" spans="1:6" ht="15.75" thickBot="1" x14ac:dyDescent="0.25">
      <c r="A4" s="458" t="s">
        <v>102</v>
      </c>
      <c r="B4" s="459"/>
      <c r="C4" s="459"/>
      <c r="D4" s="459"/>
      <c r="E4" s="459"/>
      <c r="F4" s="460"/>
    </row>
    <row r="5" spans="1:6" x14ac:dyDescent="0.2">
      <c r="A5" s="461"/>
      <c r="B5" s="462"/>
      <c r="C5" s="462"/>
      <c r="D5" s="462"/>
      <c r="E5" s="462"/>
      <c r="F5" s="463"/>
    </row>
    <row r="6" spans="1:6" ht="30" x14ac:dyDescent="0.2">
      <c r="A6" s="70">
        <v>1</v>
      </c>
      <c r="B6" s="71" t="s">
        <v>103</v>
      </c>
      <c r="C6" s="71" t="s">
        <v>104</v>
      </c>
      <c r="D6" s="71" t="s">
        <v>105</v>
      </c>
      <c r="E6" s="72" t="s">
        <v>106</v>
      </c>
      <c r="F6" s="73" t="s">
        <v>107</v>
      </c>
    </row>
    <row r="7" spans="1:6" ht="15" x14ac:dyDescent="0.2">
      <c r="A7" s="74">
        <v>1.1000000000000001</v>
      </c>
      <c r="B7" s="128" t="s">
        <v>108</v>
      </c>
      <c r="C7" s="75"/>
      <c r="D7" s="75"/>
      <c r="E7" s="76"/>
      <c r="F7" s="77"/>
    </row>
    <row r="8" spans="1:6" x14ac:dyDescent="0.2">
      <c r="A8" s="78"/>
      <c r="B8" s="129" t="s">
        <v>136</v>
      </c>
      <c r="C8" s="79" t="s">
        <v>85</v>
      </c>
      <c r="D8" s="80">
        <v>2</v>
      </c>
      <c r="E8" s="81">
        <v>125000</v>
      </c>
      <c r="F8" s="82">
        <f>+E8*D8</f>
        <v>250000</v>
      </c>
    </row>
    <row r="9" spans="1:6" ht="30" x14ac:dyDescent="0.2">
      <c r="A9" s="74">
        <v>1.2</v>
      </c>
      <c r="B9" s="128" t="s">
        <v>109</v>
      </c>
      <c r="C9" s="83" t="s">
        <v>110</v>
      </c>
      <c r="D9" s="83"/>
      <c r="E9" s="76"/>
      <c r="F9" s="77"/>
    </row>
    <row r="10" spans="1:6" ht="28.5" x14ac:dyDescent="0.2">
      <c r="A10" s="84"/>
      <c r="B10" s="129" t="s">
        <v>137</v>
      </c>
      <c r="C10" s="79" t="s">
        <v>85</v>
      </c>
      <c r="D10" s="80">
        <v>1</v>
      </c>
      <c r="E10" s="81">
        <v>300000</v>
      </c>
      <c r="F10" s="82">
        <f>+E10*D10</f>
        <v>300000</v>
      </c>
    </row>
    <row r="11" spans="1:6" ht="42.75" x14ac:dyDescent="0.2">
      <c r="A11" s="84"/>
      <c r="B11" s="129" t="s">
        <v>138</v>
      </c>
      <c r="C11" s="79" t="s">
        <v>85</v>
      </c>
      <c r="D11" s="80">
        <v>1</v>
      </c>
      <c r="E11" s="81">
        <v>140000</v>
      </c>
      <c r="F11" s="82">
        <f t="shared" ref="F11:F18" si="0">+E11*D11</f>
        <v>140000</v>
      </c>
    </row>
    <row r="12" spans="1:6" ht="28.5" x14ac:dyDescent="0.2">
      <c r="A12" s="84"/>
      <c r="B12" s="129" t="s">
        <v>139</v>
      </c>
      <c r="C12" s="79" t="s">
        <v>85</v>
      </c>
      <c r="D12" s="80">
        <v>5</v>
      </c>
      <c r="E12" s="81">
        <v>30000</v>
      </c>
      <c r="F12" s="82">
        <f t="shared" si="0"/>
        <v>150000</v>
      </c>
    </row>
    <row r="13" spans="1:6" ht="28.5" x14ac:dyDescent="0.2">
      <c r="A13" s="84"/>
      <c r="B13" s="129" t="s">
        <v>140</v>
      </c>
      <c r="C13" s="79" t="s">
        <v>85</v>
      </c>
      <c r="D13" s="80">
        <v>2</v>
      </c>
      <c r="E13" s="81">
        <v>20000</v>
      </c>
      <c r="F13" s="82">
        <f t="shared" si="0"/>
        <v>40000</v>
      </c>
    </row>
    <row r="14" spans="1:6" ht="28.5" x14ac:dyDescent="0.2">
      <c r="A14" s="84"/>
      <c r="B14" s="129" t="s">
        <v>141</v>
      </c>
      <c r="C14" s="79" t="s">
        <v>79</v>
      </c>
      <c r="D14" s="80">
        <v>2</v>
      </c>
      <c r="E14" s="81">
        <v>350000</v>
      </c>
      <c r="F14" s="82">
        <f t="shared" si="0"/>
        <v>700000</v>
      </c>
    </row>
    <row r="15" spans="1:6" ht="45" x14ac:dyDescent="0.2">
      <c r="A15" s="85">
        <v>1.3</v>
      </c>
      <c r="B15" s="128" t="s">
        <v>111</v>
      </c>
      <c r="C15" s="83" t="s">
        <v>110</v>
      </c>
      <c r="D15" s="83"/>
      <c r="E15" s="76"/>
      <c r="F15" s="77"/>
    </row>
    <row r="16" spans="1:6" ht="34.9" customHeight="1" x14ac:dyDescent="0.2">
      <c r="A16" s="84"/>
      <c r="B16" s="129" t="s">
        <v>142</v>
      </c>
      <c r="C16" s="79" t="s">
        <v>112</v>
      </c>
      <c r="D16" s="80">
        <v>100</v>
      </c>
      <c r="E16" s="81">
        <v>15500</v>
      </c>
      <c r="F16" s="82">
        <f t="shared" si="0"/>
        <v>1550000</v>
      </c>
    </row>
    <row r="17" spans="1:6" ht="25.15" customHeight="1" x14ac:dyDescent="0.2">
      <c r="A17" s="84"/>
      <c r="B17" s="129" t="s">
        <v>143</v>
      </c>
      <c r="C17" s="79" t="s">
        <v>85</v>
      </c>
      <c r="D17" s="80">
        <v>10</v>
      </c>
      <c r="E17" s="81">
        <v>40000</v>
      </c>
      <c r="F17" s="82">
        <f t="shared" si="0"/>
        <v>400000</v>
      </c>
    </row>
    <row r="18" spans="1:6" ht="42.75" x14ac:dyDescent="0.2">
      <c r="A18" s="84"/>
      <c r="B18" s="129" t="s">
        <v>144</v>
      </c>
      <c r="C18" s="79" t="s">
        <v>113</v>
      </c>
      <c r="D18" s="80">
        <v>2</v>
      </c>
      <c r="E18" s="81">
        <v>35000</v>
      </c>
      <c r="F18" s="82">
        <f t="shared" si="0"/>
        <v>70000</v>
      </c>
    </row>
    <row r="19" spans="1:6" ht="45" x14ac:dyDescent="0.2">
      <c r="A19" s="74">
        <v>1.4</v>
      </c>
      <c r="B19" s="128" t="s">
        <v>114</v>
      </c>
      <c r="C19" s="83" t="s">
        <v>110</v>
      </c>
      <c r="D19" s="83"/>
      <c r="E19" s="76"/>
      <c r="F19" s="77"/>
    </row>
    <row r="20" spans="1:6" ht="28.5" x14ac:dyDescent="0.2">
      <c r="A20" s="84"/>
      <c r="B20" s="129" t="s">
        <v>145</v>
      </c>
      <c r="C20" s="79" t="s">
        <v>115</v>
      </c>
      <c r="D20" s="80">
        <v>15</v>
      </c>
      <c r="E20" s="81">
        <v>100000</v>
      </c>
      <c r="F20" s="82">
        <f>+E20*D20</f>
        <v>1500000</v>
      </c>
    </row>
    <row r="21" spans="1:6" x14ac:dyDescent="0.2">
      <c r="A21" s="84"/>
      <c r="B21" s="129" t="s">
        <v>146</v>
      </c>
      <c r="C21" s="79" t="s">
        <v>85</v>
      </c>
      <c r="D21" s="80">
        <v>10</v>
      </c>
      <c r="E21" s="81">
        <v>25000</v>
      </c>
      <c r="F21" s="82">
        <f>+E21*D21</f>
        <v>250000</v>
      </c>
    </row>
    <row r="22" spans="1:6" ht="28.5" x14ac:dyDescent="0.2">
      <c r="A22" s="84"/>
      <c r="B22" s="129" t="s">
        <v>147</v>
      </c>
      <c r="C22" s="79" t="s">
        <v>113</v>
      </c>
      <c r="D22" s="80">
        <v>1</v>
      </c>
      <c r="E22" s="81">
        <v>500000</v>
      </c>
      <c r="F22" s="82">
        <f>+E22*D22</f>
        <v>500000</v>
      </c>
    </row>
    <row r="23" spans="1:6" ht="30" x14ac:dyDescent="0.2">
      <c r="A23" s="74">
        <v>1.5</v>
      </c>
      <c r="B23" s="128" t="s">
        <v>116</v>
      </c>
      <c r="C23" s="83" t="s">
        <v>110</v>
      </c>
      <c r="D23" s="83"/>
      <c r="E23" s="76"/>
      <c r="F23" s="77"/>
    </row>
    <row r="24" spans="1:6" x14ac:dyDescent="0.2">
      <c r="A24" s="84"/>
      <c r="B24" s="129" t="s">
        <v>117</v>
      </c>
      <c r="C24" s="79" t="s">
        <v>85</v>
      </c>
      <c r="D24" s="80">
        <v>1</v>
      </c>
      <c r="E24" s="81">
        <v>180000</v>
      </c>
      <c r="F24" s="82">
        <f>+E24*D24</f>
        <v>180000</v>
      </c>
    </row>
    <row r="25" spans="1:6" ht="15" x14ac:dyDescent="0.2">
      <c r="A25" s="84"/>
      <c r="B25" s="130" t="s">
        <v>118</v>
      </c>
      <c r="C25" s="86" t="s">
        <v>110</v>
      </c>
      <c r="D25" s="80"/>
      <c r="E25" s="81"/>
      <c r="F25" s="87">
        <f>+SUM(F8:F24)</f>
        <v>6030000</v>
      </c>
    </row>
    <row r="26" spans="1:6" ht="30" x14ac:dyDescent="0.2">
      <c r="A26" s="70">
        <v>2</v>
      </c>
      <c r="B26" s="131" t="s">
        <v>119</v>
      </c>
      <c r="C26" s="88" t="s">
        <v>110</v>
      </c>
      <c r="D26" s="88"/>
      <c r="E26" s="72"/>
      <c r="F26" s="73"/>
    </row>
    <row r="27" spans="1:6" ht="30" x14ac:dyDescent="0.2">
      <c r="A27" s="74">
        <v>2.1</v>
      </c>
      <c r="B27" s="128" t="s">
        <v>120</v>
      </c>
      <c r="C27" s="83" t="s">
        <v>110</v>
      </c>
      <c r="D27" s="83"/>
      <c r="E27" s="76"/>
      <c r="F27" s="77"/>
    </row>
    <row r="28" spans="1:6" ht="28.5" x14ac:dyDescent="0.2">
      <c r="A28" s="84"/>
      <c r="B28" s="129" t="s">
        <v>148</v>
      </c>
      <c r="C28" s="79" t="s">
        <v>85</v>
      </c>
      <c r="D28" s="80">
        <v>5</v>
      </c>
      <c r="E28" s="81">
        <v>15000</v>
      </c>
      <c r="F28" s="82">
        <f>+E28*D28</f>
        <v>75000</v>
      </c>
    </row>
    <row r="29" spans="1:6" ht="28.5" x14ac:dyDescent="0.2">
      <c r="A29" s="84"/>
      <c r="B29" s="129" t="s">
        <v>149</v>
      </c>
      <c r="C29" s="79" t="s">
        <v>85</v>
      </c>
      <c r="D29" s="80">
        <v>1</v>
      </c>
      <c r="E29" s="81">
        <v>220000</v>
      </c>
      <c r="F29" s="82">
        <f>+E29*D29</f>
        <v>220000</v>
      </c>
    </row>
    <row r="30" spans="1:6" x14ac:dyDescent="0.2">
      <c r="A30" s="84"/>
      <c r="B30" s="129" t="s">
        <v>150</v>
      </c>
      <c r="C30" s="79" t="s">
        <v>85</v>
      </c>
      <c r="D30" s="80">
        <v>1</v>
      </c>
      <c r="E30" s="81">
        <v>80000</v>
      </c>
      <c r="F30" s="82">
        <f>+E30*D30</f>
        <v>80000</v>
      </c>
    </row>
    <row r="31" spans="1:6" ht="28.5" x14ac:dyDescent="0.2">
      <c r="A31" s="84"/>
      <c r="B31" s="129" t="s">
        <v>151</v>
      </c>
      <c r="C31" s="79" t="s">
        <v>85</v>
      </c>
      <c r="D31" s="80">
        <v>1</v>
      </c>
      <c r="E31" s="81">
        <v>150000</v>
      </c>
      <c r="F31" s="82">
        <f>+E31*D31</f>
        <v>150000</v>
      </c>
    </row>
    <row r="32" spans="1:6" ht="15" x14ac:dyDescent="0.2">
      <c r="A32" s="74">
        <v>2.2000000000000002</v>
      </c>
      <c r="B32" s="128" t="s">
        <v>121</v>
      </c>
      <c r="C32" s="83" t="s">
        <v>110</v>
      </c>
      <c r="D32" s="83"/>
      <c r="E32" s="76"/>
      <c r="F32" s="77"/>
    </row>
    <row r="33" spans="1:6" ht="28.5" x14ac:dyDescent="0.2">
      <c r="A33" s="84"/>
      <c r="B33" s="129" t="s">
        <v>152</v>
      </c>
      <c r="C33" s="79" t="s">
        <v>85</v>
      </c>
      <c r="D33" s="80">
        <v>1</v>
      </c>
      <c r="E33" s="81">
        <v>300000</v>
      </c>
      <c r="F33" s="82">
        <f>+E33*D33</f>
        <v>300000</v>
      </c>
    </row>
    <row r="34" spans="1:6" x14ac:dyDescent="0.2">
      <c r="A34" s="84"/>
      <c r="B34" s="129" t="s">
        <v>153</v>
      </c>
      <c r="C34" s="79" t="s">
        <v>85</v>
      </c>
      <c r="D34" s="80">
        <v>15</v>
      </c>
      <c r="E34" s="81">
        <v>8000</v>
      </c>
      <c r="F34" s="82">
        <f>+E34*D34</f>
        <v>120000</v>
      </c>
    </row>
    <row r="35" spans="1:6" ht="30" x14ac:dyDescent="0.2">
      <c r="A35" s="84"/>
      <c r="B35" s="130" t="s">
        <v>122</v>
      </c>
      <c r="C35" s="86" t="s">
        <v>110</v>
      </c>
      <c r="D35" s="80"/>
      <c r="E35" s="81"/>
      <c r="F35" s="87">
        <f>+SUM(F27:F34)</f>
        <v>945000</v>
      </c>
    </row>
    <row r="36" spans="1:6" ht="15" x14ac:dyDescent="0.2">
      <c r="A36" s="70">
        <v>3</v>
      </c>
      <c r="B36" s="131" t="s">
        <v>123</v>
      </c>
      <c r="C36" s="88" t="s">
        <v>110</v>
      </c>
      <c r="D36" s="88"/>
      <c r="E36" s="72"/>
      <c r="F36" s="73"/>
    </row>
    <row r="37" spans="1:6" ht="15" x14ac:dyDescent="0.2">
      <c r="A37" s="74">
        <v>3.1</v>
      </c>
      <c r="B37" s="128" t="s">
        <v>124</v>
      </c>
      <c r="C37" s="83" t="s">
        <v>110</v>
      </c>
      <c r="D37" s="83"/>
      <c r="E37" s="76"/>
      <c r="F37" s="77"/>
    </row>
    <row r="38" spans="1:6" ht="28.5" x14ac:dyDescent="0.2">
      <c r="A38" s="84"/>
      <c r="B38" s="129" t="s">
        <v>154</v>
      </c>
      <c r="C38" s="79" t="s">
        <v>85</v>
      </c>
      <c r="D38" s="80">
        <v>100</v>
      </c>
      <c r="E38" s="81">
        <v>800</v>
      </c>
      <c r="F38" s="82">
        <f>+E38*D38</f>
        <v>80000</v>
      </c>
    </row>
    <row r="39" spans="1:6" ht="28.5" x14ac:dyDescent="0.2">
      <c r="A39" s="84"/>
      <c r="B39" s="129" t="s">
        <v>155</v>
      </c>
      <c r="C39" s="79" t="s">
        <v>85</v>
      </c>
      <c r="D39" s="80">
        <v>1</v>
      </c>
      <c r="E39" s="81">
        <v>90000</v>
      </c>
      <c r="F39" s="82">
        <f>+E39*D39</f>
        <v>90000</v>
      </c>
    </row>
    <row r="40" spans="1:6" ht="57" x14ac:dyDescent="0.2">
      <c r="A40" s="84"/>
      <c r="B40" s="129" t="s">
        <v>156</v>
      </c>
      <c r="C40" s="79" t="s">
        <v>85</v>
      </c>
      <c r="D40" s="80">
        <v>2</v>
      </c>
      <c r="E40" s="81">
        <v>320000</v>
      </c>
      <c r="F40" s="82">
        <f>+E40*D40</f>
        <v>640000</v>
      </c>
    </row>
    <row r="41" spans="1:6" ht="15.75" thickBot="1" x14ac:dyDescent="0.25">
      <c r="A41" s="84"/>
      <c r="B41" s="130" t="s">
        <v>125</v>
      </c>
      <c r="C41" s="86" t="s">
        <v>110</v>
      </c>
      <c r="D41" s="89"/>
      <c r="E41" s="90"/>
      <c r="F41" s="87">
        <f>+SUM(F38:F40)</f>
        <v>810000</v>
      </c>
    </row>
    <row r="42" spans="1:6" ht="15.75" thickBot="1" x14ac:dyDescent="0.25">
      <c r="A42" s="464" t="s">
        <v>126</v>
      </c>
      <c r="B42" s="465"/>
      <c r="C42" s="465"/>
      <c r="D42" s="465"/>
      <c r="E42" s="466"/>
      <c r="F42" s="91">
        <f>+ROUND(SUM(F41,F35,F25),2)</f>
        <v>7785000</v>
      </c>
    </row>
    <row r="43" spans="1:6" ht="15" x14ac:dyDescent="0.2">
      <c r="A43" s="92"/>
      <c r="B43" s="93"/>
      <c r="C43" s="93"/>
      <c r="D43" s="93"/>
      <c r="E43" s="93"/>
      <c r="F43" s="94"/>
    </row>
    <row r="44" spans="1:6" ht="15" x14ac:dyDescent="0.2">
      <c r="A44" s="92"/>
      <c r="B44" s="93"/>
      <c r="C44" s="93"/>
      <c r="D44" s="93"/>
      <c r="E44" s="93"/>
      <c r="F44" s="94"/>
    </row>
    <row r="45" spans="1:6" ht="15" x14ac:dyDescent="0.2">
      <c r="A45" s="92"/>
      <c r="B45" s="93"/>
      <c r="C45" s="93"/>
      <c r="D45" s="93"/>
      <c r="E45" s="93"/>
      <c r="F45" s="94"/>
    </row>
    <row r="46" spans="1:6" ht="15" x14ac:dyDescent="0.2">
      <c r="A46" s="92"/>
      <c r="B46" s="93"/>
      <c r="C46" s="93"/>
      <c r="D46" s="93"/>
      <c r="E46" s="93"/>
      <c r="F46" s="94"/>
    </row>
    <row r="47" spans="1:6" x14ac:dyDescent="0.2">
      <c r="A47" s="95"/>
      <c r="F47" s="98"/>
    </row>
    <row r="48" spans="1:6" x14ac:dyDescent="0.2">
      <c r="A48" s="95"/>
      <c r="F48" s="98"/>
    </row>
    <row r="49" spans="1:6" ht="15.75" thickBot="1" x14ac:dyDescent="0.3">
      <c r="A49" s="99"/>
      <c r="B49" s="100"/>
      <c r="C49" s="101"/>
      <c r="D49" s="102"/>
      <c r="E49" s="103"/>
      <c r="F49" s="104"/>
    </row>
  </sheetData>
  <mergeCells count="4">
    <mergeCell ref="A4:F4"/>
    <mergeCell ref="A5:F5"/>
    <mergeCell ref="A42:E42"/>
    <mergeCell ref="A1:F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1EFCF-351C-4FA0-A96F-A686C673B960}">
  <dimension ref="A1:L60"/>
  <sheetViews>
    <sheetView workbookViewId="0">
      <selection activeCell="G15" sqref="G15"/>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234</v>
      </c>
      <c r="B7" s="525" t="s">
        <v>11</v>
      </c>
      <c r="C7" s="526"/>
      <c r="D7" s="526"/>
      <c r="E7" s="526"/>
      <c r="F7" s="526"/>
      <c r="G7" s="526"/>
      <c r="H7" s="527"/>
    </row>
    <row r="8" spans="1:8" s="193" customFormat="1" ht="16.5" thickBot="1" x14ac:dyDescent="0.3">
      <c r="A8" s="195"/>
      <c r="B8" s="160"/>
      <c r="C8" s="141"/>
      <c r="D8" s="141"/>
      <c r="E8" s="141"/>
      <c r="F8" s="141"/>
      <c r="G8" s="142" t="s">
        <v>158</v>
      </c>
      <c r="H8" s="143" t="s">
        <v>235</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7" t="s">
        <v>69</v>
      </c>
      <c r="B11" s="493"/>
      <c r="C11" s="488"/>
      <c r="D11" s="148" t="s">
        <v>161</v>
      </c>
      <c r="E11" s="148" t="s">
        <v>162</v>
      </c>
      <c r="F11" s="148" t="s">
        <v>163</v>
      </c>
      <c r="G11" s="149" t="s">
        <v>164</v>
      </c>
      <c r="H11" s="150" t="s">
        <v>165</v>
      </c>
    </row>
    <row r="12" spans="1:8" s="193" customFormat="1" ht="15" customHeight="1" x14ac:dyDescent="0.25">
      <c r="A12" s="489" t="s">
        <v>236</v>
      </c>
      <c r="B12" s="528"/>
      <c r="C12" s="490"/>
      <c r="D12" s="151"/>
      <c r="E12" s="152">
        <v>95000</v>
      </c>
      <c r="F12" s="151">
        <v>1</v>
      </c>
      <c r="G12" s="153">
        <f>E12/F12</f>
        <v>95000</v>
      </c>
      <c r="H12" s="529"/>
    </row>
    <row r="13" spans="1:8" s="193" customFormat="1" ht="15" customHeight="1" x14ac:dyDescent="0.25">
      <c r="A13" s="532" t="s">
        <v>237</v>
      </c>
      <c r="B13" s="533"/>
      <c r="C13" s="534"/>
      <c r="D13" s="200"/>
      <c r="E13" s="155">
        <v>130000</v>
      </c>
      <c r="F13" s="200">
        <v>1</v>
      </c>
      <c r="G13" s="173">
        <f>E13/F13</f>
        <v>130000</v>
      </c>
      <c r="H13" s="530"/>
    </row>
    <row r="14" spans="1:8" s="193" customFormat="1" ht="15" customHeight="1" x14ac:dyDescent="0.25">
      <c r="A14" s="535" t="s">
        <v>246</v>
      </c>
      <c r="B14" s="536"/>
      <c r="C14" s="537"/>
      <c r="D14" s="154"/>
      <c r="E14" s="155"/>
      <c r="F14" s="154"/>
      <c r="G14" s="156">
        <v>1546</v>
      </c>
      <c r="H14" s="530"/>
    </row>
    <row r="15" spans="1:8" s="193" customFormat="1" ht="15" customHeight="1" thickBot="1" x14ac:dyDescent="0.3">
      <c r="A15" s="502"/>
      <c r="B15" s="503"/>
      <c r="C15" s="504"/>
      <c r="D15" s="157"/>
      <c r="E15" s="158"/>
      <c r="F15" s="158"/>
      <c r="G15" s="159"/>
      <c r="H15" s="531"/>
    </row>
    <row r="16" spans="1:8" s="193" customFormat="1" ht="15.6" customHeight="1" thickBot="1" x14ac:dyDescent="0.3">
      <c r="A16" s="477"/>
      <c r="B16" s="478"/>
      <c r="C16" s="160"/>
      <c r="D16" s="160"/>
      <c r="E16" s="160"/>
      <c r="F16" s="160"/>
      <c r="G16" s="132" t="s">
        <v>170</v>
      </c>
      <c r="H16" s="161">
        <f>SUM(G12:G15)</f>
        <v>226546</v>
      </c>
    </row>
    <row r="17" spans="1:12" s="193" customFormat="1" ht="16.5" thickBot="1" x14ac:dyDescent="0.3">
      <c r="A17" s="479" t="s">
        <v>171</v>
      </c>
      <c r="B17" s="480"/>
      <c r="C17" s="146"/>
      <c r="D17" s="146"/>
      <c r="E17" s="146"/>
      <c r="F17" s="146"/>
      <c r="G17" s="146"/>
      <c r="H17" s="162"/>
    </row>
    <row r="18" spans="1:12" s="193" customFormat="1" ht="15.75" customHeight="1" thickBot="1" x14ac:dyDescent="0.3">
      <c r="A18" s="487" t="s">
        <v>69</v>
      </c>
      <c r="B18" s="493"/>
      <c r="C18" s="488"/>
      <c r="D18" s="148" t="s">
        <v>70</v>
      </c>
      <c r="E18" s="148" t="s">
        <v>172</v>
      </c>
      <c r="F18" s="306" t="s">
        <v>71</v>
      </c>
      <c r="G18" s="307" t="s">
        <v>164</v>
      </c>
      <c r="H18" s="201" t="s">
        <v>165</v>
      </c>
    </row>
    <row r="19" spans="1:12" s="193" customFormat="1" ht="15.75" x14ac:dyDescent="0.25">
      <c r="A19" s="494" t="s">
        <v>238</v>
      </c>
      <c r="B19" s="495"/>
      <c r="C19" s="496"/>
      <c r="D19" s="151" t="s">
        <v>241</v>
      </c>
      <c r="E19" s="152">
        <v>5500</v>
      </c>
      <c r="F19" s="203">
        <v>0.1</v>
      </c>
      <c r="G19" s="170">
        <f>+F19*E19</f>
        <v>550</v>
      </c>
      <c r="H19" s="497"/>
      <c r="L19" s="202"/>
    </row>
    <row r="20" spans="1:12" s="193" customFormat="1" ht="15.75" x14ac:dyDescent="0.25">
      <c r="A20" s="499" t="s">
        <v>239</v>
      </c>
      <c r="B20" s="500"/>
      <c r="C20" s="501"/>
      <c r="D20" s="154" t="s">
        <v>242</v>
      </c>
      <c r="E20" s="170">
        <v>12000</v>
      </c>
      <c r="F20" s="165">
        <v>3</v>
      </c>
      <c r="G20" s="155">
        <f t="shared" ref="G20:G21" si="0">+F20*E20</f>
        <v>36000</v>
      </c>
      <c r="H20" s="498"/>
      <c r="L20" s="202"/>
    </row>
    <row r="21" spans="1:12" s="193" customFormat="1" ht="15.75" x14ac:dyDescent="0.25">
      <c r="A21" s="499" t="s">
        <v>240</v>
      </c>
      <c r="B21" s="500"/>
      <c r="C21" s="501"/>
      <c r="D21" s="154" t="s">
        <v>243</v>
      </c>
      <c r="E21" s="170">
        <v>56300</v>
      </c>
      <c r="F21" s="165">
        <v>0.01</v>
      </c>
      <c r="G21" s="155">
        <f t="shared" si="0"/>
        <v>563</v>
      </c>
      <c r="H21" s="498"/>
    </row>
    <row r="22" spans="1:12" s="193" customFormat="1" ht="15.75" thickBot="1" x14ac:dyDescent="0.3">
      <c r="A22" s="502"/>
      <c r="B22" s="503"/>
      <c r="C22" s="504"/>
      <c r="D22" s="157"/>
      <c r="E22" s="157"/>
      <c r="F22" s="166"/>
      <c r="G22" s="159"/>
      <c r="H22" s="492"/>
    </row>
    <row r="23" spans="1:12" s="193" customFormat="1" ht="16.5" thickBot="1" x14ac:dyDescent="0.3">
      <c r="A23" s="477"/>
      <c r="B23" s="478"/>
      <c r="C23" s="160"/>
      <c r="D23" s="160"/>
      <c r="E23" s="160"/>
      <c r="F23" s="160"/>
      <c r="G23" s="132" t="s">
        <v>170</v>
      </c>
      <c r="H23" s="161">
        <f>SUM(G19:G22)</f>
        <v>37113</v>
      </c>
    </row>
    <row r="24" spans="1:12" s="193" customFormat="1" ht="16.5" thickBot="1" x14ac:dyDescent="0.3">
      <c r="A24" s="479" t="s">
        <v>177</v>
      </c>
      <c r="B24" s="480"/>
      <c r="C24" s="146"/>
      <c r="D24" s="146"/>
      <c r="E24" s="146"/>
      <c r="F24" s="146"/>
      <c r="G24" s="146"/>
      <c r="H24" s="162"/>
    </row>
    <row r="25" spans="1:12" s="193" customFormat="1" ht="15.75" customHeight="1" thickBot="1" x14ac:dyDescent="0.3">
      <c r="A25" s="487" t="s">
        <v>178</v>
      </c>
      <c r="B25" s="488"/>
      <c r="C25" s="148" t="s">
        <v>179</v>
      </c>
      <c r="D25" s="148" t="s">
        <v>180</v>
      </c>
      <c r="E25" s="148" t="s">
        <v>181</v>
      </c>
      <c r="F25" s="148" t="s">
        <v>182</v>
      </c>
      <c r="G25" s="149" t="s">
        <v>164</v>
      </c>
      <c r="H25" s="201" t="s">
        <v>165</v>
      </c>
    </row>
    <row r="26" spans="1:12" s="193" customFormat="1" ht="15.75" thickBot="1" x14ac:dyDescent="0.3">
      <c r="A26" s="489" t="s">
        <v>183</v>
      </c>
      <c r="B26" s="490"/>
      <c r="C26" s="152"/>
      <c r="D26" s="152"/>
      <c r="E26" s="213">
        <v>1</v>
      </c>
      <c r="F26" s="172">
        <v>200000</v>
      </c>
      <c r="G26" s="153">
        <f>F26*E26</f>
        <v>200000</v>
      </c>
      <c r="H26" s="491"/>
    </row>
    <row r="27" spans="1:12" s="193" customFormat="1" ht="15" customHeight="1" thickBot="1" x14ac:dyDescent="0.3">
      <c r="A27" s="489"/>
      <c r="B27" s="490"/>
      <c r="C27" s="158"/>
      <c r="D27" s="158"/>
      <c r="E27" s="171"/>
      <c r="F27" s="174"/>
      <c r="G27" s="159"/>
      <c r="H27" s="492"/>
      <c r="J27" s="204"/>
      <c r="K27" s="204"/>
    </row>
    <row r="28" spans="1:12" s="193" customFormat="1" ht="16.5" thickBot="1" x14ac:dyDescent="0.3">
      <c r="A28" s="477"/>
      <c r="B28" s="478"/>
      <c r="C28" s="160"/>
      <c r="D28" s="160"/>
      <c r="E28" s="160"/>
      <c r="F28" s="160"/>
      <c r="G28" s="132" t="s">
        <v>170</v>
      </c>
      <c r="H28" s="161">
        <f>SUM(G26:G27)</f>
        <v>200000</v>
      </c>
      <c r="J28" s="204"/>
      <c r="K28" s="204"/>
    </row>
    <row r="29" spans="1:12" s="193" customFormat="1" ht="16.5" thickBot="1" x14ac:dyDescent="0.3">
      <c r="A29" s="479" t="s">
        <v>185</v>
      </c>
      <c r="B29" s="480"/>
      <c r="C29" s="146"/>
      <c r="D29" s="146"/>
      <c r="E29" s="146"/>
      <c r="F29" s="146"/>
      <c r="G29" s="146"/>
      <c r="H29" s="162"/>
      <c r="J29" s="204"/>
      <c r="K29" s="204"/>
    </row>
    <row r="30" spans="1:12" s="193" customFormat="1" ht="15.75" customHeight="1" thickBot="1" x14ac:dyDescent="0.3">
      <c r="A30" s="481" t="s">
        <v>186</v>
      </c>
      <c r="B30" s="482"/>
      <c r="C30" s="175" t="s">
        <v>182</v>
      </c>
      <c r="D30" s="175" t="s">
        <v>188</v>
      </c>
      <c r="E30" s="175" t="s">
        <v>189</v>
      </c>
      <c r="F30" s="175" t="s">
        <v>163</v>
      </c>
      <c r="G30" s="175" t="s">
        <v>164</v>
      </c>
      <c r="H30" s="176" t="s">
        <v>165</v>
      </c>
    </row>
    <row r="31" spans="1:12" s="193" customFormat="1" x14ac:dyDescent="0.25">
      <c r="A31" s="205">
        <v>1</v>
      </c>
      <c r="B31" s="178" t="s">
        <v>244</v>
      </c>
      <c r="C31" s="152">
        <v>200000</v>
      </c>
      <c r="D31" s="179">
        <f>'[2]Lista de Precios H'!$B$72</f>
        <v>0.62770000000000004</v>
      </c>
      <c r="E31" s="152">
        <f>C31*(1+D31)</f>
        <v>325540</v>
      </c>
      <c r="F31" s="152">
        <v>1</v>
      </c>
      <c r="G31" s="153">
        <f>E31/F31</f>
        <v>325540</v>
      </c>
      <c r="H31" s="483"/>
    </row>
    <row r="32" spans="1:12" s="193" customFormat="1" x14ac:dyDescent="0.25">
      <c r="A32" s="206">
        <v>2</v>
      </c>
      <c r="B32" s="181" t="s">
        <v>245</v>
      </c>
      <c r="C32" s="155">
        <v>65000</v>
      </c>
      <c r="D32" s="214">
        <f>'[2]Lista de Precios H'!$B$72</f>
        <v>0.62770000000000004</v>
      </c>
      <c r="E32" s="155">
        <f>C32*(1+D32)</f>
        <v>105800.5</v>
      </c>
      <c r="F32" s="155">
        <f>+F31</f>
        <v>1</v>
      </c>
      <c r="G32" s="156">
        <f>E32/F32</f>
        <v>105800.5</v>
      </c>
      <c r="H32" s="484"/>
      <c r="J32" s="193">
        <v>312.5</v>
      </c>
    </row>
    <row r="33" spans="1:11" s="193" customFormat="1" x14ac:dyDescent="0.25">
      <c r="A33" s="206"/>
      <c r="B33" s="181"/>
      <c r="C33" s="155"/>
      <c r="D33" s="182"/>
      <c r="E33" s="155"/>
      <c r="F33" s="155"/>
      <c r="G33" s="156"/>
      <c r="H33" s="484"/>
      <c r="J33" s="193">
        <f>J32/8</f>
        <v>39.0625</v>
      </c>
    </row>
    <row r="34" spans="1:11" s="193" customFormat="1" ht="15.75" thickBot="1" x14ac:dyDescent="0.3">
      <c r="A34" s="206"/>
      <c r="B34" s="181"/>
      <c r="C34" s="158"/>
      <c r="D34" s="182"/>
      <c r="E34" s="155"/>
      <c r="F34" s="155"/>
      <c r="G34" s="156"/>
      <c r="H34" s="484"/>
    </row>
    <row r="35" spans="1:11" s="193" customFormat="1" ht="16.5" thickBot="1" x14ac:dyDescent="0.3">
      <c r="A35" s="477"/>
      <c r="B35" s="478"/>
      <c r="C35" s="160"/>
      <c r="D35" s="160"/>
      <c r="E35" s="160"/>
      <c r="F35" s="160"/>
      <c r="G35" s="132" t="s">
        <v>170</v>
      </c>
      <c r="H35" s="161">
        <f>SUM(G31:G34)</f>
        <v>431340.5</v>
      </c>
    </row>
    <row r="36" spans="1:11" s="193" customFormat="1" ht="15.75" thickBot="1" x14ac:dyDescent="0.3">
      <c r="A36" s="485"/>
      <c r="B36" s="486"/>
      <c r="C36" s="167"/>
      <c r="D36" s="167"/>
      <c r="E36" s="167"/>
      <c r="F36" s="167"/>
      <c r="G36" s="185"/>
      <c r="H36" s="186"/>
      <c r="K36" s="193" t="e">
        <f>+#REF!*1.38</f>
        <v>#REF!</v>
      </c>
    </row>
    <row r="37" spans="1:11" s="193" customFormat="1" ht="16.5" thickBot="1" x14ac:dyDescent="0.3">
      <c r="A37" s="473"/>
      <c r="B37" s="474"/>
      <c r="C37" s="146"/>
      <c r="D37" s="146"/>
      <c r="E37" s="146"/>
      <c r="F37" s="475" t="s">
        <v>194</v>
      </c>
      <c r="G37" s="476"/>
      <c r="H37" s="187">
        <f>ROUND((+H16+H23+H28+H35),0)</f>
        <v>895000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A5 C5" name="Rango1_3_2_1"/>
    <protectedRange sqref="H38" name="Rango1_3_1_1_1"/>
    <protectedRange sqref="A14 C14" name="Rango1_1_1_1_2"/>
    <protectedRange sqref="D12:G12" name="Rango1_1"/>
    <protectedRange sqref="E22" name="Rango1_4_1_2"/>
    <protectedRange sqref="C31:C34" name="Rango1_2_2_2"/>
    <protectedRange sqref="F26:F27" name="Rango1_2_4_2"/>
    <protectedRange sqref="E13" name="Rango1_2_6_2"/>
    <protectedRange sqref="A19:C21" name="APUS"/>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AF0D7-71B3-4B5D-AC3D-8F345C800899}">
  <dimension ref="A1:L60"/>
  <sheetViews>
    <sheetView topLeftCell="A10" workbookViewId="0">
      <selection activeCell="G14" sqref="G14"/>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5.75" thickBot="1" x14ac:dyDescent="0.25">
      <c r="A1" s="308"/>
      <c r="B1" s="309"/>
      <c r="C1" s="310"/>
      <c r="D1" s="310"/>
      <c r="E1" s="310"/>
      <c r="F1" s="310"/>
      <c r="G1" s="310"/>
      <c r="H1" s="310"/>
    </row>
    <row r="2" spans="1:8" s="192" customFormat="1" ht="15" customHeight="1" x14ac:dyDescent="0.2">
      <c r="A2" s="567" t="s">
        <v>58</v>
      </c>
      <c r="B2" s="568"/>
      <c r="C2" s="568"/>
      <c r="D2" s="569"/>
      <c r="E2" s="576" t="s">
        <v>157</v>
      </c>
      <c r="F2" s="577"/>
      <c r="G2" s="577"/>
      <c r="H2" s="578"/>
    </row>
    <row r="3" spans="1:8" s="192" customFormat="1" ht="15" customHeight="1" x14ac:dyDescent="0.2">
      <c r="A3" s="570"/>
      <c r="B3" s="571"/>
      <c r="C3" s="571"/>
      <c r="D3" s="572"/>
      <c r="E3" s="579"/>
      <c r="F3" s="580"/>
      <c r="G3" s="580"/>
      <c r="H3" s="581"/>
    </row>
    <row r="4" spans="1:8" s="193" customFormat="1" ht="15.75" customHeight="1" thickBot="1" x14ac:dyDescent="0.3">
      <c r="A4" s="573"/>
      <c r="B4" s="574"/>
      <c r="C4" s="574"/>
      <c r="D4" s="575"/>
      <c r="E4" s="582"/>
      <c r="F4" s="583"/>
      <c r="G4" s="583"/>
      <c r="H4" s="584"/>
    </row>
    <row r="5" spans="1:8" s="194" customFormat="1" ht="15" customHeight="1" x14ac:dyDescent="0.25">
      <c r="A5" s="585"/>
      <c r="B5" s="586"/>
      <c r="C5" s="586"/>
      <c r="D5" s="586"/>
      <c r="E5" s="312"/>
      <c r="F5" s="312"/>
      <c r="G5" s="312"/>
      <c r="H5" s="313"/>
    </row>
    <row r="6" spans="1:8" s="194" customFormat="1" ht="16.5" thickBot="1" x14ac:dyDescent="0.25">
      <c r="A6" s="582"/>
      <c r="B6" s="583"/>
      <c r="C6" s="314"/>
      <c r="D6" s="314"/>
      <c r="E6" s="314"/>
      <c r="F6" s="314"/>
      <c r="G6" s="314"/>
      <c r="H6" s="315"/>
    </row>
    <row r="7" spans="1:8" s="194" customFormat="1" ht="78.599999999999994" customHeight="1" thickBot="1" x14ac:dyDescent="0.3">
      <c r="A7" s="316" t="s">
        <v>248</v>
      </c>
      <c r="B7" s="587" t="s">
        <v>13</v>
      </c>
      <c r="C7" s="588"/>
      <c r="D7" s="588"/>
      <c r="E7" s="588"/>
      <c r="F7" s="588"/>
      <c r="G7" s="588"/>
      <c r="H7" s="589"/>
    </row>
    <row r="8" spans="1:8" s="193" customFormat="1" ht="15.75" thickBot="1" x14ac:dyDescent="0.3">
      <c r="A8" s="317"/>
      <c r="B8" s="318"/>
      <c r="C8" s="319"/>
      <c r="D8" s="319"/>
      <c r="E8" s="319"/>
      <c r="F8" s="319"/>
      <c r="G8" s="320" t="s">
        <v>158</v>
      </c>
      <c r="H8" s="321" t="s">
        <v>60</v>
      </c>
    </row>
    <row r="9" spans="1:8" s="193" customFormat="1" x14ac:dyDescent="0.25">
      <c r="A9" s="322"/>
      <c r="B9" s="323"/>
      <c r="C9" s="324"/>
      <c r="D9" s="324"/>
      <c r="E9" s="324"/>
      <c r="F9" s="324"/>
      <c r="G9" s="325"/>
      <c r="H9" s="326"/>
    </row>
    <row r="10" spans="1:8" s="193" customFormat="1" ht="15.75" customHeight="1" thickBot="1" x14ac:dyDescent="0.3">
      <c r="A10" s="327" t="s">
        <v>160</v>
      </c>
      <c r="B10" s="328"/>
      <c r="C10" s="329"/>
      <c r="D10" s="329"/>
      <c r="E10" s="329"/>
      <c r="F10" s="329"/>
      <c r="G10" s="329"/>
      <c r="H10" s="330"/>
    </row>
    <row r="11" spans="1:8" s="193" customFormat="1" ht="15.75" thickBot="1" x14ac:dyDescent="0.3">
      <c r="A11" s="546" t="s">
        <v>69</v>
      </c>
      <c r="B11" s="558"/>
      <c r="C11" s="553"/>
      <c r="D11" s="331" t="s">
        <v>161</v>
      </c>
      <c r="E11" s="331" t="s">
        <v>162</v>
      </c>
      <c r="F11" s="331" t="s">
        <v>163</v>
      </c>
      <c r="G11" s="332" t="s">
        <v>164</v>
      </c>
      <c r="H11" s="333" t="s">
        <v>165</v>
      </c>
    </row>
    <row r="12" spans="1:8" s="193" customFormat="1" ht="15" customHeight="1" x14ac:dyDescent="0.25">
      <c r="A12" s="554" t="s">
        <v>247</v>
      </c>
      <c r="B12" s="559"/>
      <c r="C12" s="555"/>
      <c r="D12" s="334" t="s">
        <v>167</v>
      </c>
      <c r="E12" s="335">
        <v>130000</v>
      </c>
      <c r="F12" s="334">
        <v>0.7</v>
      </c>
      <c r="G12" s="336">
        <f>+F12*E12</f>
        <v>91000</v>
      </c>
      <c r="H12" s="590"/>
    </row>
    <row r="13" spans="1:8" s="193" customFormat="1" ht="15" customHeight="1" x14ac:dyDescent="0.25">
      <c r="A13" s="593" t="s">
        <v>246</v>
      </c>
      <c r="B13" s="594"/>
      <c r="C13" s="595"/>
      <c r="D13" s="338"/>
      <c r="E13" s="339"/>
      <c r="F13" s="338"/>
      <c r="G13" s="340">
        <f>1893+1180+900</f>
        <v>3973</v>
      </c>
      <c r="H13" s="591"/>
    </row>
    <row r="14" spans="1:8" s="193" customFormat="1" ht="15" customHeight="1" x14ac:dyDescent="0.25">
      <c r="A14" s="561"/>
      <c r="B14" s="562"/>
      <c r="C14" s="563"/>
      <c r="D14" s="341"/>
      <c r="E14" s="339"/>
      <c r="F14" s="341"/>
      <c r="G14" s="342"/>
      <c r="H14" s="591"/>
    </row>
    <row r="15" spans="1:8" s="193" customFormat="1" ht="15" customHeight="1" thickBot="1" x14ac:dyDescent="0.3">
      <c r="A15" s="564"/>
      <c r="B15" s="565"/>
      <c r="C15" s="566"/>
      <c r="D15" s="343"/>
      <c r="E15" s="344"/>
      <c r="F15" s="344"/>
      <c r="G15" s="345"/>
      <c r="H15" s="592"/>
    </row>
    <row r="16" spans="1:8" s="193" customFormat="1" ht="15.6" customHeight="1" thickBot="1" x14ac:dyDescent="0.3">
      <c r="A16" s="542"/>
      <c r="B16" s="543"/>
      <c r="C16" s="318"/>
      <c r="D16" s="318"/>
      <c r="E16" s="318"/>
      <c r="F16" s="318"/>
      <c r="G16" s="311" t="s">
        <v>170</v>
      </c>
      <c r="H16" s="347">
        <f>SUM(G12:G15)</f>
        <v>94973</v>
      </c>
    </row>
    <row r="17" spans="1:12" s="193" customFormat="1" ht="15.75" thickBot="1" x14ac:dyDescent="0.3">
      <c r="A17" s="544" t="s">
        <v>171</v>
      </c>
      <c r="B17" s="545"/>
      <c r="C17" s="329"/>
      <c r="D17" s="329"/>
      <c r="E17" s="329"/>
      <c r="F17" s="329"/>
      <c r="G17" s="329"/>
      <c r="H17" s="348"/>
    </row>
    <row r="18" spans="1:12" s="193" customFormat="1" ht="15.75" customHeight="1" thickBot="1" x14ac:dyDescent="0.3">
      <c r="A18" s="546" t="s">
        <v>69</v>
      </c>
      <c r="B18" s="558"/>
      <c r="C18" s="553"/>
      <c r="D18" s="331" t="s">
        <v>70</v>
      </c>
      <c r="E18" s="331" t="s">
        <v>172</v>
      </c>
      <c r="F18" s="331" t="s">
        <v>71</v>
      </c>
      <c r="G18" s="332" t="s">
        <v>164</v>
      </c>
      <c r="H18" s="346" t="s">
        <v>165</v>
      </c>
    </row>
    <row r="19" spans="1:12" s="193" customFormat="1" x14ac:dyDescent="0.25">
      <c r="A19" s="554"/>
      <c r="B19" s="559"/>
      <c r="C19" s="555"/>
      <c r="D19" s="334"/>
      <c r="E19" s="335"/>
      <c r="F19" s="349"/>
      <c r="G19" s="336">
        <f>E19*F19</f>
        <v>0</v>
      </c>
      <c r="H19" s="556"/>
      <c r="L19" s="202"/>
    </row>
    <row r="20" spans="1:12" s="193" customFormat="1" x14ac:dyDescent="0.25">
      <c r="A20" s="561"/>
      <c r="B20" s="562"/>
      <c r="C20" s="563"/>
      <c r="D20" s="341"/>
      <c r="E20" s="350"/>
      <c r="F20" s="351"/>
      <c r="G20" s="342">
        <f>E20*F20</f>
        <v>0</v>
      </c>
      <c r="H20" s="560"/>
      <c r="L20" s="202"/>
    </row>
    <row r="21" spans="1:12" s="193" customFormat="1" x14ac:dyDescent="0.25">
      <c r="A21" s="561"/>
      <c r="B21" s="562"/>
      <c r="C21" s="563"/>
      <c r="D21" s="341"/>
      <c r="E21" s="350"/>
      <c r="F21" s="351"/>
      <c r="G21" s="342">
        <f>E21*F21</f>
        <v>0</v>
      </c>
      <c r="H21" s="560"/>
    </row>
    <row r="22" spans="1:12" s="193" customFormat="1" ht="15.75" thickBot="1" x14ac:dyDescent="0.3">
      <c r="A22" s="564"/>
      <c r="B22" s="565"/>
      <c r="C22" s="566"/>
      <c r="D22" s="343"/>
      <c r="E22" s="343"/>
      <c r="F22" s="352"/>
      <c r="G22" s="345">
        <f>E22*F22</f>
        <v>0</v>
      </c>
      <c r="H22" s="557"/>
    </row>
    <row r="23" spans="1:12" s="193" customFormat="1" ht="15.75" thickBot="1" x14ac:dyDescent="0.3">
      <c r="A23" s="542"/>
      <c r="B23" s="543"/>
      <c r="C23" s="318"/>
      <c r="D23" s="318"/>
      <c r="E23" s="318"/>
      <c r="F23" s="318"/>
      <c r="G23" s="311" t="s">
        <v>170</v>
      </c>
      <c r="H23" s="347">
        <f>SUM(G19:G22)</f>
        <v>0</v>
      </c>
    </row>
    <row r="24" spans="1:12" s="193" customFormat="1" ht="15.75" thickBot="1" x14ac:dyDescent="0.3">
      <c r="A24" s="544" t="s">
        <v>177</v>
      </c>
      <c r="B24" s="545"/>
      <c r="C24" s="329"/>
      <c r="D24" s="329"/>
      <c r="E24" s="329"/>
      <c r="F24" s="329"/>
      <c r="G24" s="329"/>
      <c r="H24" s="348"/>
    </row>
    <row r="25" spans="1:12" s="193" customFormat="1" ht="15.75" customHeight="1" thickBot="1" x14ac:dyDescent="0.3">
      <c r="A25" s="546" t="s">
        <v>178</v>
      </c>
      <c r="B25" s="553"/>
      <c r="C25" s="331" t="s">
        <v>179</v>
      </c>
      <c r="D25" s="331" t="s">
        <v>180</v>
      </c>
      <c r="E25" s="331" t="s">
        <v>252</v>
      </c>
      <c r="F25" s="331" t="s">
        <v>182</v>
      </c>
      <c r="G25" s="332" t="s">
        <v>164</v>
      </c>
      <c r="H25" s="346" t="s">
        <v>165</v>
      </c>
    </row>
    <row r="26" spans="1:12" s="193" customFormat="1" ht="15.75" thickBot="1" x14ac:dyDescent="0.3">
      <c r="A26" s="554"/>
      <c r="B26" s="555"/>
      <c r="C26" s="335"/>
      <c r="D26" s="335"/>
      <c r="E26" s="353"/>
      <c r="F26" s="354"/>
      <c r="G26" s="336"/>
      <c r="H26" s="556"/>
    </row>
    <row r="27" spans="1:12" s="193" customFormat="1" ht="15" customHeight="1" thickBot="1" x14ac:dyDescent="0.3">
      <c r="A27" s="554"/>
      <c r="B27" s="555"/>
      <c r="C27" s="344"/>
      <c r="D27" s="344"/>
      <c r="E27" s="355"/>
      <c r="F27" s="356"/>
      <c r="G27" s="345"/>
      <c r="H27" s="557"/>
      <c r="J27" s="204"/>
      <c r="K27" s="204"/>
    </row>
    <row r="28" spans="1:12" s="193" customFormat="1" ht="15.75" thickBot="1" x14ac:dyDescent="0.3">
      <c r="A28" s="542"/>
      <c r="B28" s="543"/>
      <c r="C28" s="318"/>
      <c r="D28" s="318"/>
      <c r="E28" s="318"/>
      <c r="F28" s="318"/>
      <c r="G28" s="311" t="s">
        <v>170</v>
      </c>
      <c r="H28" s="347">
        <f>SUM(G26:G27)</f>
        <v>0</v>
      </c>
      <c r="J28" s="204"/>
      <c r="K28" s="204"/>
    </row>
    <row r="29" spans="1:12" s="193" customFormat="1" ht="15.75" thickBot="1" x14ac:dyDescent="0.3">
      <c r="A29" s="544" t="s">
        <v>185</v>
      </c>
      <c r="B29" s="545"/>
      <c r="C29" s="329"/>
      <c r="D29" s="329"/>
      <c r="E29" s="329"/>
      <c r="F29" s="329"/>
      <c r="G29" s="329"/>
      <c r="H29" s="348"/>
      <c r="J29" s="204"/>
      <c r="K29" s="204"/>
    </row>
    <row r="30" spans="1:12" s="193" customFormat="1" ht="15.75" customHeight="1" thickBot="1" x14ac:dyDescent="0.3">
      <c r="A30" s="546" t="s">
        <v>186</v>
      </c>
      <c r="B30" s="547"/>
      <c r="C30" s="370" t="s">
        <v>187</v>
      </c>
      <c r="D30" s="365" t="s">
        <v>188</v>
      </c>
      <c r="E30" s="365" t="s">
        <v>189</v>
      </c>
      <c r="F30" s="365" t="s">
        <v>163</v>
      </c>
      <c r="G30" s="365" t="s">
        <v>164</v>
      </c>
      <c r="H30" s="337" t="s">
        <v>165</v>
      </c>
    </row>
    <row r="31" spans="1:12" s="193" customFormat="1" ht="16.5" x14ac:dyDescent="0.25">
      <c r="A31" s="371">
        <v>1</v>
      </c>
      <c r="B31" s="372" t="s">
        <v>250</v>
      </c>
      <c r="C31" s="335">
        <v>12162.5</v>
      </c>
      <c r="D31" s="357">
        <f>'[2]Lista de Precios H'!$B$72</f>
        <v>0.62770000000000004</v>
      </c>
      <c r="E31" s="335">
        <f>C31*(1+D31)</f>
        <v>19796.901249999999</v>
      </c>
      <c r="F31" s="335">
        <v>0.5</v>
      </c>
      <c r="G31" s="336">
        <f>E31/F31</f>
        <v>39593.802499999998</v>
      </c>
      <c r="H31" s="548"/>
    </row>
    <row r="32" spans="1:12" s="193" customFormat="1" ht="16.5" x14ac:dyDescent="0.25">
      <c r="A32" s="358">
        <v>2</v>
      </c>
      <c r="B32" s="369" t="s">
        <v>251</v>
      </c>
      <c r="C32" s="339">
        <f>15125*1.4</f>
        <v>21175</v>
      </c>
      <c r="D32" s="359">
        <f>'[2]Lista de Precios H'!$B$72</f>
        <v>0.62770000000000004</v>
      </c>
      <c r="E32" s="339">
        <f>C32*(1+D32)</f>
        <v>34466.547500000001</v>
      </c>
      <c r="F32" s="339">
        <f>+F31</f>
        <v>0.5</v>
      </c>
      <c r="G32" s="342">
        <f>E32/F32</f>
        <v>68933.095000000001</v>
      </c>
      <c r="H32" s="549"/>
      <c r="J32" s="193">
        <v>312.5</v>
      </c>
    </row>
    <row r="33" spans="1:11" s="193" customFormat="1" x14ac:dyDescent="0.25">
      <c r="A33" s="358"/>
      <c r="B33" s="360"/>
      <c r="C33" s="339"/>
      <c r="D33" s="361"/>
      <c r="E33" s="339"/>
      <c r="F33" s="339"/>
      <c r="G33" s="342"/>
      <c r="H33" s="549"/>
      <c r="J33" s="193">
        <f>J32/8</f>
        <v>39.0625</v>
      </c>
    </row>
    <row r="34" spans="1:11" s="193" customFormat="1" ht="15.75" thickBot="1" x14ac:dyDescent="0.3">
      <c r="A34" s="366"/>
      <c r="B34" s="367"/>
      <c r="C34" s="344"/>
      <c r="D34" s="368"/>
      <c r="E34" s="344"/>
      <c r="F34" s="344"/>
      <c r="G34" s="345"/>
      <c r="H34" s="550"/>
    </row>
    <row r="35" spans="1:11" s="193" customFormat="1" ht="15.75" thickBot="1" x14ac:dyDescent="0.3">
      <c r="A35" s="542"/>
      <c r="B35" s="543"/>
      <c r="C35" s="318"/>
      <c r="D35" s="318"/>
      <c r="E35" s="318"/>
      <c r="F35" s="318"/>
      <c r="G35" s="311" t="s">
        <v>170</v>
      </c>
      <c r="H35" s="347">
        <f>SUM(G31:G34)</f>
        <v>108526.89749999999</v>
      </c>
    </row>
    <row r="36" spans="1:11" s="193" customFormat="1" ht="15.75" thickBot="1" x14ac:dyDescent="0.3">
      <c r="A36" s="551"/>
      <c r="B36" s="552"/>
      <c r="C36" s="323"/>
      <c r="D36" s="323"/>
      <c r="E36" s="323"/>
      <c r="F36" s="323"/>
      <c r="G36" s="362"/>
      <c r="H36" s="363"/>
      <c r="K36" s="193" t="e">
        <f>+#REF!*1.38</f>
        <v>#REF!</v>
      </c>
    </row>
    <row r="37" spans="1:11" s="193" customFormat="1" ht="15.75" thickBot="1" x14ac:dyDescent="0.3">
      <c r="A37" s="538"/>
      <c r="B37" s="539"/>
      <c r="C37" s="329"/>
      <c r="D37" s="329"/>
      <c r="E37" s="329"/>
      <c r="F37" s="540" t="s">
        <v>194</v>
      </c>
      <c r="G37" s="541"/>
      <c r="H37" s="364">
        <f>ROUND((+H16+H23+H28+H35),0)</f>
        <v>203500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A5 C5" name="Rango1_3_2_1"/>
    <protectedRange sqref="H38" name="Rango1_3_1_1_1"/>
    <protectedRange sqref="A14 C14" name="Rango1_1_1_1_2"/>
    <protectedRange sqref="D12:G12" name="Rango1_1"/>
    <protectedRange sqref="E22" name="Rango1_4_1_2"/>
    <protectedRange sqref="C31:C34" name="Rango1_2_2_2"/>
    <protectedRange sqref="F26:F27" name="Rango1_2_4_2"/>
    <protectedRange sqref="E13" name="Rango1_2_6_2"/>
    <protectedRange sqref="B31:B32" name="APUS"/>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517EF-D9B3-4E39-8C8D-415E474B92DF}">
  <dimension ref="A1:L60"/>
  <sheetViews>
    <sheetView topLeftCell="A19" workbookViewId="0">
      <selection activeCell="G14" sqref="G14"/>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5.75" thickBot="1" x14ac:dyDescent="0.25">
      <c r="A1" s="308"/>
      <c r="B1" s="309"/>
      <c r="C1" s="310"/>
      <c r="D1" s="310"/>
      <c r="E1" s="310"/>
      <c r="F1" s="310"/>
      <c r="G1" s="310"/>
      <c r="H1" s="310"/>
    </row>
    <row r="2" spans="1:8" s="192" customFormat="1" ht="15" customHeight="1" x14ac:dyDescent="0.2">
      <c r="A2" s="567" t="s">
        <v>58</v>
      </c>
      <c r="B2" s="568"/>
      <c r="C2" s="568"/>
      <c r="D2" s="569"/>
      <c r="E2" s="576" t="s">
        <v>157</v>
      </c>
      <c r="F2" s="577"/>
      <c r="G2" s="577"/>
      <c r="H2" s="578"/>
    </row>
    <row r="3" spans="1:8" s="192" customFormat="1" ht="15" customHeight="1" x14ac:dyDescent="0.2">
      <c r="A3" s="570"/>
      <c r="B3" s="571"/>
      <c r="C3" s="571"/>
      <c r="D3" s="572"/>
      <c r="E3" s="579"/>
      <c r="F3" s="580"/>
      <c r="G3" s="580"/>
      <c r="H3" s="581"/>
    </row>
    <row r="4" spans="1:8" s="193" customFormat="1" ht="15.75" customHeight="1" thickBot="1" x14ac:dyDescent="0.3">
      <c r="A4" s="573"/>
      <c r="B4" s="574"/>
      <c r="C4" s="574"/>
      <c r="D4" s="575"/>
      <c r="E4" s="582"/>
      <c r="F4" s="583"/>
      <c r="G4" s="583"/>
      <c r="H4" s="584"/>
    </row>
    <row r="5" spans="1:8" s="194" customFormat="1" ht="15" customHeight="1" x14ac:dyDescent="0.25">
      <c r="A5" s="585"/>
      <c r="B5" s="586"/>
      <c r="C5" s="586"/>
      <c r="D5" s="586"/>
      <c r="E5" s="312"/>
      <c r="F5" s="312"/>
      <c r="G5" s="312"/>
      <c r="H5" s="313"/>
    </row>
    <row r="6" spans="1:8" s="194" customFormat="1" ht="16.5" thickBot="1" x14ac:dyDescent="0.25">
      <c r="A6" s="582"/>
      <c r="B6" s="583"/>
      <c r="C6" s="314"/>
      <c r="D6" s="314"/>
      <c r="E6" s="314"/>
      <c r="F6" s="314"/>
      <c r="G6" s="314"/>
      <c r="H6" s="315"/>
    </row>
    <row r="7" spans="1:8" s="194" customFormat="1" ht="78.599999999999994" customHeight="1" thickBot="1" x14ac:dyDescent="0.3">
      <c r="A7" s="316" t="s">
        <v>253</v>
      </c>
      <c r="B7" s="587" t="s">
        <v>15</v>
      </c>
      <c r="C7" s="588"/>
      <c r="D7" s="588"/>
      <c r="E7" s="588"/>
      <c r="F7" s="588"/>
      <c r="G7" s="588"/>
      <c r="H7" s="589"/>
    </row>
    <row r="8" spans="1:8" s="193" customFormat="1" ht="15.75" thickBot="1" x14ac:dyDescent="0.3">
      <c r="A8" s="317"/>
      <c r="B8" s="318"/>
      <c r="C8" s="319"/>
      <c r="D8" s="319"/>
      <c r="E8" s="319"/>
      <c r="F8" s="319"/>
      <c r="G8" s="320" t="s">
        <v>158</v>
      </c>
      <c r="H8" s="321" t="s">
        <v>60</v>
      </c>
    </row>
    <row r="9" spans="1:8" s="193" customFormat="1" x14ac:dyDescent="0.25">
      <c r="A9" s="322"/>
      <c r="B9" s="323"/>
      <c r="C9" s="324"/>
      <c r="D9" s="324"/>
      <c r="E9" s="324"/>
      <c r="F9" s="324"/>
      <c r="G9" s="325"/>
      <c r="H9" s="326"/>
    </row>
    <row r="10" spans="1:8" s="193" customFormat="1" ht="15.75" customHeight="1" thickBot="1" x14ac:dyDescent="0.3">
      <c r="A10" s="327" t="s">
        <v>160</v>
      </c>
      <c r="B10" s="328"/>
      <c r="C10" s="329"/>
      <c r="D10" s="329"/>
      <c r="E10" s="329"/>
      <c r="F10" s="329"/>
      <c r="G10" s="329"/>
      <c r="H10" s="330"/>
    </row>
    <row r="11" spans="1:8" s="193" customFormat="1" ht="15.75" thickBot="1" x14ac:dyDescent="0.3">
      <c r="A11" s="546" t="s">
        <v>69</v>
      </c>
      <c r="B11" s="558"/>
      <c r="C11" s="553"/>
      <c r="D11" s="331" t="s">
        <v>161</v>
      </c>
      <c r="E11" s="331" t="s">
        <v>255</v>
      </c>
      <c r="F11" s="331" t="s">
        <v>163</v>
      </c>
      <c r="G11" s="332" t="s">
        <v>164</v>
      </c>
      <c r="H11" s="333" t="s">
        <v>165</v>
      </c>
    </row>
    <row r="12" spans="1:8" s="193" customFormat="1" ht="15" customHeight="1" x14ac:dyDescent="0.25">
      <c r="A12" s="554" t="s">
        <v>254</v>
      </c>
      <c r="B12" s="559"/>
      <c r="C12" s="555"/>
      <c r="D12" s="334" t="s">
        <v>167</v>
      </c>
      <c r="E12" s="335">
        <v>130000</v>
      </c>
      <c r="F12" s="334">
        <v>0.09</v>
      </c>
      <c r="G12" s="336">
        <f>+F12*E12</f>
        <v>11700</v>
      </c>
      <c r="H12" s="590"/>
    </row>
    <row r="13" spans="1:8" s="193" customFormat="1" ht="15" customHeight="1" x14ac:dyDescent="0.25">
      <c r="A13" s="593" t="s">
        <v>246</v>
      </c>
      <c r="B13" s="594"/>
      <c r="C13" s="595"/>
      <c r="D13" s="338"/>
      <c r="E13" s="339"/>
      <c r="F13" s="338"/>
      <c r="G13" s="340">
        <f>1893-655+500</f>
        <v>1738</v>
      </c>
      <c r="H13" s="591"/>
    </row>
    <row r="14" spans="1:8" s="193" customFormat="1" ht="15" customHeight="1" x14ac:dyDescent="0.25">
      <c r="A14" s="561"/>
      <c r="B14" s="562"/>
      <c r="C14" s="563"/>
      <c r="D14" s="341"/>
      <c r="E14" s="339"/>
      <c r="F14" s="341"/>
      <c r="G14" s="342"/>
      <c r="H14" s="591"/>
    </row>
    <row r="15" spans="1:8" s="193" customFormat="1" ht="15" customHeight="1" thickBot="1" x14ac:dyDescent="0.3">
      <c r="A15" s="564"/>
      <c r="B15" s="565"/>
      <c r="C15" s="566"/>
      <c r="D15" s="343"/>
      <c r="E15" s="344"/>
      <c r="F15" s="344"/>
      <c r="G15" s="345"/>
      <c r="H15" s="592"/>
    </row>
    <row r="16" spans="1:8" s="193" customFormat="1" ht="15.6" customHeight="1" thickBot="1" x14ac:dyDescent="0.3">
      <c r="A16" s="542"/>
      <c r="B16" s="543"/>
      <c r="C16" s="318"/>
      <c r="D16" s="318"/>
      <c r="E16" s="318"/>
      <c r="F16" s="318"/>
      <c r="G16" s="311" t="s">
        <v>170</v>
      </c>
      <c r="H16" s="347">
        <f>SUM(G12:G15)</f>
        <v>13438</v>
      </c>
    </row>
    <row r="17" spans="1:12" s="193" customFormat="1" ht="15.75" thickBot="1" x14ac:dyDescent="0.3">
      <c r="A17" s="544" t="s">
        <v>171</v>
      </c>
      <c r="B17" s="545"/>
      <c r="C17" s="329"/>
      <c r="D17" s="329"/>
      <c r="E17" s="329"/>
      <c r="F17" s="329"/>
      <c r="G17" s="329"/>
      <c r="H17" s="348"/>
    </row>
    <row r="18" spans="1:12" s="193" customFormat="1" ht="15.75" customHeight="1" thickBot="1" x14ac:dyDescent="0.3">
      <c r="A18" s="546" t="s">
        <v>69</v>
      </c>
      <c r="B18" s="558"/>
      <c r="C18" s="553"/>
      <c r="D18" s="331" t="s">
        <v>70</v>
      </c>
      <c r="E18" s="331" t="s">
        <v>172</v>
      </c>
      <c r="F18" s="331" t="s">
        <v>71</v>
      </c>
      <c r="G18" s="332" t="s">
        <v>164</v>
      </c>
      <c r="H18" s="346" t="s">
        <v>165</v>
      </c>
    </row>
    <row r="19" spans="1:12" s="193" customFormat="1" x14ac:dyDescent="0.25">
      <c r="A19" s="554" t="s">
        <v>256</v>
      </c>
      <c r="B19" s="559"/>
      <c r="C19" s="555"/>
      <c r="D19" s="334" t="s">
        <v>215</v>
      </c>
      <c r="E19" s="335">
        <v>85000</v>
      </c>
      <c r="F19" s="349">
        <v>1.3</v>
      </c>
      <c r="G19" s="336">
        <f>E19*F19</f>
        <v>110500</v>
      </c>
      <c r="H19" s="556"/>
      <c r="L19" s="202"/>
    </row>
    <row r="20" spans="1:12" s="193" customFormat="1" x14ac:dyDescent="0.25">
      <c r="A20" s="561"/>
      <c r="B20" s="562"/>
      <c r="C20" s="563"/>
      <c r="D20" s="341"/>
      <c r="E20" s="350"/>
      <c r="F20" s="351"/>
      <c r="G20" s="342">
        <f>E20*F20</f>
        <v>0</v>
      </c>
      <c r="H20" s="560"/>
      <c r="L20" s="202"/>
    </row>
    <row r="21" spans="1:12" s="193" customFormat="1" x14ac:dyDescent="0.25">
      <c r="A21" s="561"/>
      <c r="B21" s="562"/>
      <c r="C21" s="563"/>
      <c r="D21" s="341"/>
      <c r="E21" s="350"/>
      <c r="F21" s="351"/>
      <c r="G21" s="342">
        <f>E21*F21</f>
        <v>0</v>
      </c>
      <c r="H21" s="560"/>
    </row>
    <row r="22" spans="1:12" s="193" customFormat="1" ht="15.75" thickBot="1" x14ac:dyDescent="0.3">
      <c r="A22" s="564"/>
      <c r="B22" s="565"/>
      <c r="C22" s="566"/>
      <c r="D22" s="343"/>
      <c r="E22" s="343"/>
      <c r="F22" s="352"/>
      <c r="G22" s="345">
        <f>E22*F22</f>
        <v>0</v>
      </c>
      <c r="H22" s="557"/>
    </row>
    <row r="23" spans="1:12" s="193" customFormat="1" ht="15.75" thickBot="1" x14ac:dyDescent="0.3">
      <c r="A23" s="542"/>
      <c r="B23" s="543"/>
      <c r="C23" s="318"/>
      <c r="D23" s="318"/>
      <c r="E23" s="318"/>
      <c r="F23" s="318"/>
      <c r="G23" s="311" t="s">
        <v>170</v>
      </c>
      <c r="H23" s="347">
        <f>SUM(G19:G22)</f>
        <v>110500</v>
      </c>
    </row>
    <row r="24" spans="1:12" s="193" customFormat="1" ht="15.75" thickBot="1" x14ac:dyDescent="0.3">
      <c r="A24" s="544" t="s">
        <v>177</v>
      </c>
      <c r="B24" s="545"/>
      <c r="C24" s="329"/>
      <c r="D24" s="329"/>
      <c r="E24" s="329"/>
      <c r="F24" s="329"/>
      <c r="G24" s="329"/>
      <c r="H24" s="348"/>
    </row>
    <row r="25" spans="1:12" s="193" customFormat="1" ht="15.75" customHeight="1" thickBot="1" x14ac:dyDescent="0.3">
      <c r="A25" s="546" t="s">
        <v>178</v>
      </c>
      <c r="B25" s="553"/>
      <c r="C25" s="331" t="s">
        <v>179</v>
      </c>
      <c r="D25" s="331" t="s">
        <v>180</v>
      </c>
      <c r="E25" s="331" t="s">
        <v>252</v>
      </c>
      <c r="F25" s="331" t="s">
        <v>182</v>
      </c>
      <c r="G25" s="332" t="s">
        <v>164</v>
      </c>
      <c r="H25" s="346" t="s">
        <v>165</v>
      </c>
    </row>
    <row r="26" spans="1:12" s="193" customFormat="1" ht="15.75" thickBot="1" x14ac:dyDescent="0.3">
      <c r="A26" s="554" t="s">
        <v>249</v>
      </c>
      <c r="B26" s="555"/>
      <c r="C26" s="335">
        <v>1.3</v>
      </c>
      <c r="D26" s="335">
        <v>12</v>
      </c>
      <c r="E26" s="353">
        <v>1800</v>
      </c>
      <c r="F26" s="354">
        <v>1800</v>
      </c>
      <c r="G26" s="336">
        <f>+F26*D26*C26</f>
        <v>28080</v>
      </c>
      <c r="H26" s="556"/>
    </row>
    <row r="27" spans="1:12" s="193" customFormat="1" ht="15" customHeight="1" thickBot="1" x14ac:dyDescent="0.3">
      <c r="A27" s="554"/>
      <c r="B27" s="555"/>
      <c r="C27" s="344"/>
      <c r="D27" s="344"/>
      <c r="E27" s="355"/>
      <c r="F27" s="356"/>
      <c r="G27" s="345"/>
      <c r="H27" s="557"/>
      <c r="J27" s="204"/>
      <c r="K27" s="204"/>
    </row>
    <row r="28" spans="1:12" s="193" customFormat="1" ht="15.75" thickBot="1" x14ac:dyDescent="0.3">
      <c r="A28" s="542"/>
      <c r="B28" s="543"/>
      <c r="C28" s="318"/>
      <c r="D28" s="318"/>
      <c r="E28" s="318"/>
      <c r="F28" s="318"/>
      <c r="G28" s="311" t="s">
        <v>170</v>
      </c>
      <c r="H28" s="347">
        <f>SUM(G26:G27)</f>
        <v>28080</v>
      </c>
      <c r="J28" s="204"/>
      <c r="K28" s="204"/>
    </row>
    <row r="29" spans="1:12" s="193" customFormat="1" ht="15.75" thickBot="1" x14ac:dyDescent="0.3">
      <c r="A29" s="544" t="s">
        <v>185</v>
      </c>
      <c r="B29" s="545"/>
      <c r="C29" s="329"/>
      <c r="D29" s="329"/>
      <c r="E29" s="329"/>
      <c r="F29" s="329"/>
      <c r="G29" s="329"/>
      <c r="H29" s="348"/>
      <c r="J29" s="204"/>
      <c r="K29" s="204"/>
    </row>
    <row r="30" spans="1:12" s="193" customFormat="1" ht="15.75" customHeight="1" thickBot="1" x14ac:dyDescent="0.3">
      <c r="A30" s="546" t="s">
        <v>186</v>
      </c>
      <c r="B30" s="547"/>
      <c r="C30" s="370" t="s">
        <v>187</v>
      </c>
      <c r="D30" s="365" t="s">
        <v>188</v>
      </c>
      <c r="E30" s="365" t="s">
        <v>189</v>
      </c>
      <c r="F30" s="365" t="s">
        <v>163</v>
      </c>
      <c r="G30" s="365" t="s">
        <v>164</v>
      </c>
      <c r="H30" s="337" t="s">
        <v>165</v>
      </c>
    </row>
    <row r="31" spans="1:12" s="193" customFormat="1" x14ac:dyDescent="0.25">
      <c r="A31" s="371">
        <v>1</v>
      </c>
      <c r="B31" s="374" t="s">
        <v>250</v>
      </c>
      <c r="C31" s="335">
        <v>12162.5</v>
      </c>
      <c r="D31" s="357">
        <f>'[2]Lista de Precios H'!$B$72</f>
        <v>0.62770000000000004</v>
      </c>
      <c r="E31" s="335">
        <f>C31*(1+D31)</f>
        <v>19796.901249999999</v>
      </c>
      <c r="F31" s="335">
        <v>0.65</v>
      </c>
      <c r="G31" s="336">
        <f>E31/F31</f>
        <v>30456.771153846152</v>
      </c>
      <c r="H31" s="548"/>
    </row>
    <row r="32" spans="1:12" s="193" customFormat="1" x14ac:dyDescent="0.25">
      <c r="A32" s="358">
        <v>2</v>
      </c>
      <c r="B32" s="375" t="s">
        <v>251</v>
      </c>
      <c r="C32" s="339">
        <f>15125*1.4</f>
        <v>21175</v>
      </c>
      <c r="D32" s="359">
        <f>'[2]Lista de Precios H'!$B$72</f>
        <v>0.62770000000000004</v>
      </c>
      <c r="E32" s="339">
        <f>C32*(1+D32)</f>
        <v>34466.547500000001</v>
      </c>
      <c r="F32" s="339">
        <f>+F31</f>
        <v>0.65</v>
      </c>
      <c r="G32" s="342">
        <f>E32/F32</f>
        <v>53025.457692307689</v>
      </c>
      <c r="H32" s="549"/>
      <c r="J32" s="193">
        <v>312.5</v>
      </c>
    </row>
    <row r="33" spans="1:11" s="193" customFormat="1" x14ac:dyDescent="0.25">
      <c r="A33" s="358"/>
      <c r="B33" s="360"/>
      <c r="C33" s="339"/>
      <c r="D33" s="361"/>
      <c r="E33" s="339"/>
      <c r="F33" s="339"/>
      <c r="G33" s="342"/>
      <c r="H33" s="549"/>
      <c r="J33" s="193">
        <f>J32/8</f>
        <v>39.0625</v>
      </c>
    </row>
    <row r="34" spans="1:11" s="193" customFormat="1" ht="15.75" thickBot="1" x14ac:dyDescent="0.3">
      <c r="A34" s="366"/>
      <c r="B34" s="367"/>
      <c r="C34" s="344"/>
      <c r="D34" s="368"/>
      <c r="E34" s="344"/>
      <c r="F34" s="344"/>
      <c r="G34" s="345"/>
      <c r="H34" s="550"/>
    </row>
    <row r="35" spans="1:11" s="193" customFormat="1" ht="15.75" thickBot="1" x14ac:dyDescent="0.3">
      <c r="A35" s="542"/>
      <c r="B35" s="543"/>
      <c r="C35" s="318"/>
      <c r="D35" s="318"/>
      <c r="E35" s="318"/>
      <c r="F35" s="318"/>
      <c r="G35" s="311" t="s">
        <v>170</v>
      </c>
      <c r="H35" s="347">
        <f>SUM(G31:G34)</f>
        <v>83482.228846153841</v>
      </c>
    </row>
    <row r="36" spans="1:11" s="193" customFormat="1" ht="15.75" thickBot="1" x14ac:dyDescent="0.3">
      <c r="A36" s="551"/>
      <c r="B36" s="552"/>
      <c r="C36" s="323"/>
      <c r="D36" s="323"/>
      <c r="E36" s="323"/>
      <c r="F36" s="323"/>
      <c r="G36" s="362"/>
      <c r="H36" s="363"/>
      <c r="K36" s="193" t="e">
        <f>+#REF!*1.38</f>
        <v>#REF!</v>
      </c>
    </row>
    <row r="37" spans="1:11" s="193" customFormat="1" ht="15.75" thickBot="1" x14ac:dyDescent="0.3">
      <c r="A37" s="538"/>
      <c r="B37" s="539"/>
      <c r="C37" s="329"/>
      <c r="D37" s="329"/>
      <c r="E37" s="329"/>
      <c r="F37" s="540" t="s">
        <v>194</v>
      </c>
      <c r="G37" s="541"/>
      <c r="H37" s="364">
        <f>ROUND((+H16+H23+H28+H35),0)</f>
        <v>235500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A5 C5" name="Rango1_3_2_1"/>
    <protectedRange sqref="H38" name="Rango1_3_1_1_1"/>
    <protectedRange sqref="A14 C14" name="Rango1_1_1_1_2"/>
    <protectedRange sqref="D12:G12" name="Rango1_1"/>
    <protectedRange sqref="E22" name="Rango1_4_1_2"/>
    <protectedRange sqref="C31:C34" name="Rango1_2_2_2"/>
    <protectedRange sqref="F26:F27" name="Rango1_2_4_2"/>
    <protectedRange sqref="E13" name="Rango1_2_6_2"/>
    <protectedRange sqref="B31:B32" name="APUS"/>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2A5F1-0D08-4893-BE78-DCC5050C2BB5}">
  <dimension ref="A1:L60"/>
  <sheetViews>
    <sheetView workbookViewId="0">
      <selection activeCell="G14" sqref="G14"/>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5.75" thickBot="1" x14ac:dyDescent="0.25">
      <c r="A1" s="308"/>
      <c r="B1" s="309"/>
      <c r="C1" s="310"/>
      <c r="D1" s="310"/>
      <c r="E1" s="310"/>
      <c r="F1" s="310"/>
      <c r="G1" s="310"/>
      <c r="H1" s="310"/>
    </row>
    <row r="2" spans="1:8" s="192" customFormat="1" ht="15" customHeight="1" x14ac:dyDescent="0.2">
      <c r="A2" s="567" t="s">
        <v>58</v>
      </c>
      <c r="B2" s="568"/>
      <c r="C2" s="568"/>
      <c r="D2" s="569"/>
      <c r="E2" s="576" t="s">
        <v>157</v>
      </c>
      <c r="F2" s="577"/>
      <c r="G2" s="577"/>
      <c r="H2" s="578"/>
    </row>
    <row r="3" spans="1:8" s="192" customFormat="1" ht="15" customHeight="1" x14ac:dyDescent="0.2">
      <c r="A3" s="570"/>
      <c r="B3" s="571"/>
      <c r="C3" s="571"/>
      <c r="D3" s="572"/>
      <c r="E3" s="579"/>
      <c r="F3" s="580"/>
      <c r="G3" s="580"/>
      <c r="H3" s="581"/>
    </row>
    <row r="4" spans="1:8" s="193" customFormat="1" ht="15.75" customHeight="1" thickBot="1" x14ac:dyDescent="0.3">
      <c r="A4" s="573"/>
      <c r="B4" s="574"/>
      <c r="C4" s="574"/>
      <c r="D4" s="575"/>
      <c r="E4" s="582"/>
      <c r="F4" s="583"/>
      <c r="G4" s="583"/>
      <c r="H4" s="584"/>
    </row>
    <row r="5" spans="1:8" s="194" customFormat="1" ht="15" customHeight="1" x14ac:dyDescent="0.25">
      <c r="A5" s="585"/>
      <c r="B5" s="586"/>
      <c r="C5" s="586"/>
      <c r="D5" s="586"/>
      <c r="E5" s="312"/>
      <c r="F5" s="312"/>
      <c r="G5" s="312"/>
      <c r="H5" s="313"/>
    </row>
    <row r="6" spans="1:8" s="194" customFormat="1" ht="16.5" thickBot="1" x14ac:dyDescent="0.25">
      <c r="A6" s="582"/>
      <c r="B6" s="583"/>
      <c r="C6" s="314"/>
      <c r="D6" s="314"/>
      <c r="E6" s="314"/>
      <c r="F6" s="314"/>
      <c r="G6" s="314"/>
      <c r="H6" s="315"/>
    </row>
    <row r="7" spans="1:8" s="194" customFormat="1" ht="78.599999999999994" customHeight="1" thickBot="1" x14ac:dyDescent="0.3">
      <c r="A7" s="316" t="s">
        <v>257</v>
      </c>
      <c r="B7" s="587" t="s">
        <v>17</v>
      </c>
      <c r="C7" s="588"/>
      <c r="D7" s="588"/>
      <c r="E7" s="588"/>
      <c r="F7" s="588"/>
      <c r="G7" s="588"/>
      <c r="H7" s="589"/>
    </row>
    <row r="8" spans="1:8" s="193" customFormat="1" ht="15.75" thickBot="1" x14ac:dyDescent="0.3">
      <c r="A8" s="317"/>
      <c r="B8" s="318"/>
      <c r="C8" s="319"/>
      <c r="D8" s="319"/>
      <c r="E8" s="319"/>
      <c r="F8" s="319"/>
      <c r="G8" s="320" t="s">
        <v>158</v>
      </c>
      <c r="H8" s="321" t="s">
        <v>60</v>
      </c>
    </row>
    <row r="9" spans="1:8" s="193" customFormat="1" x14ac:dyDescent="0.25">
      <c r="A9" s="322"/>
      <c r="B9" s="323"/>
      <c r="C9" s="324"/>
      <c r="D9" s="324"/>
      <c r="E9" s="324"/>
      <c r="F9" s="324"/>
      <c r="G9" s="325"/>
      <c r="H9" s="326"/>
    </row>
    <row r="10" spans="1:8" s="193" customFormat="1" ht="15.75" customHeight="1" thickBot="1" x14ac:dyDescent="0.3">
      <c r="A10" s="327" t="s">
        <v>160</v>
      </c>
      <c r="B10" s="328"/>
      <c r="C10" s="329"/>
      <c r="D10" s="329"/>
      <c r="E10" s="329"/>
      <c r="F10" s="329"/>
      <c r="G10" s="329"/>
      <c r="H10" s="330"/>
    </row>
    <row r="11" spans="1:8" s="193" customFormat="1" ht="15.75" thickBot="1" x14ac:dyDescent="0.3">
      <c r="A11" s="546" t="s">
        <v>69</v>
      </c>
      <c r="B11" s="558"/>
      <c r="C11" s="553"/>
      <c r="D11" s="331" t="s">
        <v>161</v>
      </c>
      <c r="E11" s="331" t="s">
        <v>255</v>
      </c>
      <c r="F11" s="331" t="s">
        <v>163</v>
      </c>
      <c r="G11" s="332" t="s">
        <v>164</v>
      </c>
      <c r="H11" s="333" t="s">
        <v>165</v>
      </c>
    </row>
    <row r="12" spans="1:8" s="193" customFormat="1" ht="15" customHeight="1" x14ac:dyDescent="0.25">
      <c r="A12" s="554" t="s">
        <v>261</v>
      </c>
      <c r="B12" s="559"/>
      <c r="C12" s="555"/>
      <c r="D12" s="334" t="s">
        <v>167</v>
      </c>
      <c r="E12" s="335">
        <v>150000</v>
      </c>
      <c r="F12" s="334">
        <v>0.4</v>
      </c>
      <c r="G12" s="336">
        <f>+F12*E12</f>
        <v>60000</v>
      </c>
      <c r="H12" s="590"/>
    </row>
    <row r="13" spans="1:8" s="193" customFormat="1" ht="15" customHeight="1" x14ac:dyDescent="0.25">
      <c r="A13" s="593" t="s">
        <v>246</v>
      </c>
      <c r="B13" s="594"/>
      <c r="C13" s="595"/>
      <c r="D13" s="338"/>
      <c r="E13" s="339"/>
      <c r="F13" s="338"/>
      <c r="G13" s="340">
        <v>4960</v>
      </c>
      <c r="H13" s="591"/>
    </row>
    <row r="14" spans="1:8" s="193" customFormat="1" ht="15" customHeight="1" x14ac:dyDescent="0.25">
      <c r="A14" s="561"/>
      <c r="B14" s="562"/>
      <c r="C14" s="563"/>
      <c r="D14" s="341"/>
      <c r="E14" s="339"/>
      <c r="F14" s="341"/>
      <c r="G14" s="342"/>
      <c r="H14" s="591"/>
    </row>
    <row r="15" spans="1:8" s="193" customFormat="1" ht="15" customHeight="1" thickBot="1" x14ac:dyDescent="0.3">
      <c r="A15" s="564"/>
      <c r="B15" s="565"/>
      <c r="C15" s="566"/>
      <c r="D15" s="343"/>
      <c r="E15" s="344"/>
      <c r="F15" s="344"/>
      <c r="G15" s="345"/>
      <c r="H15" s="592"/>
    </row>
    <row r="16" spans="1:8" s="193" customFormat="1" ht="15.6" customHeight="1" thickBot="1" x14ac:dyDescent="0.3">
      <c r="A16" s="542"/>
      <c r="B16" s="543"/>
      <c r="C16" s="318"/>
      <c r="D16" s="318"/>
      <c r="E16" s="318"/>
      <c r="F16" s="318"/>
      <c r="G16" s="311" t="s">
        <v>170</v>
      </c>
      <c r="H16" s="347">
        <f>SUM(G12:G15)</f>
        <v>64960</v>
      </c>
    </row>
    <row r="17" spans="1:12" s="193" customFormat="1" ht="15.75" thickBot="1" x14ac:dyDescent="0.3">
      <c r="A17" s="544" t="s">
        <v>171</v>
      </c>
      <c r="B17" s="545"/>
      <c r="C17" s="329"/>
      <c r="D17" s="329"/>
      <c r="E17" s="329"/>
      <c r="F17" s="329"/>
      <c r="G17" s="329"/>
      <c r="H17" s="348"/>
    </row>
    <row r="18" spans="1:12" s="193" customFormat="1" ht="15.75" customHeight="1" thickBot="1" x14ac:dyDescent="0.3">
      <c r="A18" s="546" t="s">
        <v>69</v>
      </c>
      <c r="B18" s="558"/>
      <c r="C18" s="553"/>
      <c r="D18" s="331" t="s">
        <v>70</v>
      </c>
      <c r="E18" s="331" t="s">
        <v>172</v>
      </c>
      <c r="F18" s="331" t="s">
        <v>71</v>
      </c>
      <c r="G18" s="332" t="s">
        <v>164</v>
      </c>
      <c r="H18" s="346" t="s">
        <v>165</v>
      </c>
    </row>
    <row r="19" spans="1:12" s="193" customFormat="1" x14ac:dyDescent="0.25">
      <c r="A19" s="554" t="s">
        <v>258</v>
      </c>
      <c r="B19" s="559"/>
      <c r="C19" s="555"/>
      <c r="D19" s="334" t="s">
        <v>215</v>
      </c>
      <c r="E19" s="335">
        <v>795000</v>
      </c>
      <c r="F19" s="349">
        <v>1.05</v>
      </c>
      <c r="G19" s="336">
        <f>E19*F19</f>
        <v>834750</v>
      </c>
      <c r="H19" s="556"/>
      <c r="L19" s="202"/>
    </row>
    <row r="20" spans="1:12" s="193" customFormat="1" x14ac:dyDescent="0.25">
      <c r="A20" s="561"/>
      <c r="B20" s="562"/>
      <c r="C20" s="563"/>
      <c r="D20" s="341"/>
      <c r="E20" s="350"/>
      <c r="F20" s="351"/>
      <c r="G20" s="342">
        <f>E20*F20</f>
        <v>0</v>
      </c>
      <c r="H20" s="560"/>
      <c r="L20" s="202"/>
    </row>
    <row r="21" spans="1:12" s="193" customFormat="1" x14ac:dyDescent="0.25">
      <c r="A21" s="561"/>
      <c r="B21" s="562"/>
      <c r="C21" s="563"/>
      <c r="D21" s="341"/>
      <c r="E21" s="350"/>
      <c r="F21" s="351"/>
      <c r="G21" s="342">
        <f>E21*F21</f>
        <v>0</v>
      </c>
      <c r="H21" s="560"/>
    </row>
    <row r="22" spans="1:12" s="193" customFormat="1" ht="15.75" thickBot="1" x14ac:dyDescent="0.3">
      <c r="A22" s="564"/>
      <c r="B22" s="565"/>
      <c r="C22" s="566"/>
      <c r="D22" s="343"/>
      <c r="E22" s="343"/>
      <c r="F22" s="352"/>
      <c r="G22" s="345">
        <f>E22*F22</f>
        <v>0</v>
      </c>
      <c r="H22" s="557"/>
    </row>
    <row r="23" spans="1:12" s="193" customFormat="1" ht="15.75" thickBot="1" x14ac:dyDescent="0.3">
      <c r="A23" s="542"/>
      <c r="B23" s="543"/>
      <c r="C23" s="318"/>
      <c r="D23" s="318"/>
      <c r="E23" s="318"/>
      <c r="F23" s="318"/>
      <c r="G23" s="311" t="s">
        <v>170</v>
      </c>
      <c r="H23" s="347">
        <f>SUM(G19:G22)</f>
        <v>834750</v>
      </c>
    </row>
    <row r="24" spans="1:12" s="193" customFormat="1" ht="15.75" thickBot="1" x14ac:dyDescent="0.3">
      <c r="A24" s="544" t="s">
        <v>177</v>
      </c>
      <c r="B24" s="545"/>
      <c r="C24" s="329"/>
      <c r="D24" s="329"/>
      <c r="E24" s="329"/>
      <c r="F24" s="329"/>
      <c r="G24" s="329"/>
      <c r="H24" s="348"/>
    </row>
    <row r="25" spans="1:12" s="193" customFormat="1" ht="15.75" customHeight="1" thickBot="1" x14ac:dyDescent="0.3">
      <c r="A25" s="546" t="s">
        <v>178</v>
      </c>
      <c r="B25" s="553"/>
      <c r="C25" s="331" t="s">
        <v>179</v>
      </c>
      <c r="D25" s="331" t="s">
        <v>180</v>
      </c>
      <c r="E25" s="331" t="s">
        <v>252</v>
      </c>
      <c r="F25" s="331" t="s">
        <v>182</v>
      </c>
      <c r="G25" s="332" t="s">
        <v>164</v>
      </c>
      <c r="H25" s="346" t="s">
        <v>165</v>
      </c>
    </row>
    <row r="26" spans="1:12" s="193" customFormat="1" ht="15.75" thickBot="1" x14ac:dyDescent="0.3">
      <c r="A26" s="554" t="s">
        <v>259</v>
      </c>
      <c r="B26" s="555"/>
      <c r="C26" s="335">
        <v>1.5</v>
      </c>
      <c r="D26" s="335">
        <v>1</v>
      </c>
      <c r="E26" s="353">
        <v>35000</v>
      </c>
      <c r="F26" s="354">
        <f>+E26</f>
        <v>35000</v>
      </c>
      <c r="G26" s="336">
        <f>+F26*C26</f>
        <v>52500</v>
      </c>
      <c r="H26" s="556"/>
    </row>
    <row r="27" spans="1:12" s="193" customFormat="1" ht="15" customHeight="1" thickBot="1" x14ac:dyDescent="0.3">
      <c r="A27" s="554"/>
      <c r="B27" s="555"/>
      <c r="C27" s="344"/>
      <c r="D27" s="344"/>
      <c r="E27" s="355"/>
      <c r="F27" s="356"/>
      <c r="G27" s="345"/>
      <c r="H27" s="557"/>
      <c r="J27" s="204"/>
      <c r="K27" s="204"/>
    </row>
    <row r="28" spans="1:12" s="193" customFormat="1" ht="15.75" thickBot="1" x14ac:dyDescent="0.3">
      <c r="A28" s="542"/>
      <c r="B28" s="543"/>
      <c r="C28" s="318"/>
      <c r="D28" s="318"/>
      <c r="E28" s="318"/>
      <c r="F28" s="318"/>
      <c r="G28" s="311" t="s">
        <v>170</v>
      </c>
      <c r="H28" s="347">
        <f>SUM(G26:G27)</f>
        <v>52500</v>
      </c>
      <c r="J28" s="204"/>
      <c r="K28" s="204"/>
    </row>
    <row r="29" spans="1:12" s="193" customFormat="1" ht="15.75" thickBot="1" x14ac:dyDescent="0.3">
      <c r="A29" s="544" t="s">
        <v>185</v>
      </c>
      <c r="B29" s="545"/>
      <c r="C29" s="329"/>
      <c r="D29" s="329"/>
      <c r="E29" s="329"/>
      <c r="F29" s="329"/>
      <c r="G29" s="329"/>
      <c r="H29" s="348"/>
      <c r="J29" s="204"/>
      <c r="K29" s="204"/>
    </row>
    <row r="30" spans="1:12" s="193" customFormat="1" ht="15.75" customHeight="1" thickBot="1" x14ac:dyDescent="0.3">
      <c r="A30" s="546" t="s">
        <v>186</v>
      </c>
      <c r="B30" s="547"/>
      <c r="C30" s="370" t="s">
        <v>187</v>
      </c>
      <c r="D30" s="365" t="s">
        <v>188</v>
      </c>
      <c r="E30" s="365" t="s">
        <v>189</v>
      </c>
      <c r="F30" s="365" t="s">
        <v>163</v>
      </c>
      <c r="G30" s="365" t="s">
        <v>164</v>
      </c>
      <c r="H30" s="337" t="s">
        <v>165</v>
      </c>
    </row>
    <row r="31" spans="1:12" s="193" customFormat="1" x14ac:dyDescent="0.25">
      <c r="A31" s="371">
        <v>1</v>
      </c>
      <c r="B31" s="374" t="s">
        <v>250</v>
      </c>
      <c r="C31" s="335">
        <v>12162.5</v>
      </c>
      <c r="D31" s="357">
        <f>'[2]Lista de Precios H'!$B$72</f>
        <v>0.62770000000000004</v>
      </c>
      <c r="E31" s="335">
        <f>C31*(1+D31)</f>
        <v>19796.901249999999</v>
      </c>
      <c r="F31" s="335">
        <v>0.35</v>
      </c>
      <c r="G31" s="336">
        <f>E31/F31</f>
        <v>56562.574999999997</v>
      </c>
      <c r="H31" s="548"/>
    </row>
    <row r="32" spans="1:12" s="193" customFormat="1" x14ac:dyDescent="0.25">
      <c r="A32" s="358">
        <v>2</v>
      </c>
      <c r="B32" s="375" t="s">
        <v>251</v>
      </c>
      <c r="C32" s="339">
        <f>15125*1.4</f>
        <v>21175</v>
      </c>
      <c r="D32" s="359">
        <f>'[2]Lista de Precios H'!$B$72</f>
        <v>0.62770000000000004</v>
      </c>
      <c r="E32" s="339">
        <f>C32*(1+D32)</f>
        <v>34466.547500000001</v>
      </c>
      <c r="F32" s="339">
        <f>+F31</f>
        <v>0.35</v>
      </c>
      <c r="G32" s="342">
        <f>E32/F32*A32</f>
        <v>196951.7</v>
      </c>
      <c r="H32" s="549"/>
      <c r="J32" s="193">
        <v>312.5</v>
      </c>
    </row>
    <row r="33" spans="1:11" s="193" customFormat="1" x14ac:dyDescent="0.25">
      <c r="A33" s="358">
        <v>1</v>
      </c>
      <c r="B33" s="375" t="s">
        <v>260</v>
      </c>
      <c r="C33" s="339">
        <v>45000</v>
      </c>
      <c r="D33" s="359">
        <f>'[2]Lista de Precios H'!$B$72</f>
        <v>0.62770000000000004</v>
      </c>
      <c r="E33" s="339">
        <f>C33*(1+D33)</f>
        <v>73246.5</v>
      </c>
      <c r="F33" s="339">
        <f>+F32</f>
        <v>0.35</v>
      </c>
      <c r="G33" s="342">
        <f>E33/F33</f>
        <v>209275.71428571429</v>
      </c>
      <c r="H33" s="549"/>
      <c r="J33" s="193">
        <v>312.5</v>
      </c>
    </row>
    <row r="34" spans="1:11" s="193" customFormat="1" ht="15.75" thickBot="1" x14ac:dyDescent="0.3">
      <c r="A34" s="366"/>
      <c r="B34" s="367"/>
      <c r="C34" s="344"/>
      <c r="D34" s="368"/>
      <c r="E34" s="344"/>
      <c r="F34" s="344"/>
      <c r="G34" s="345"/>
      <c r="H34" s="550"/>
    </row>
    <row r="35" spans="1:11" s="193" customFormat="1" ht="15.75" thickBot="1" x14ac:dyDescent="0.3">
      <c r="A35" s="542"/>
      <c r="B35" s="543"/>
      <c r="C35" s="318"/>
      <c r="D35" s="318"/>
      <c r="E35" s="318"/>
      <c r="F35" s="318"/>
      <c r="G35" s="311" t="s">
        <v>170</v>
      </c>
      <c r="H35" s="347">
        <f>SUM(G31:G34)</f>
        <v>462789.98928571434</v>
      </c>
    </row>
    <row r="36" spans="1:11" s="193" customFormat="1" ht="15.75" thickBot="1" x14ac:dyDescent="0.3">
      <c r="A36" s="551"/>
      <c r="B36" s="552"/>
      <c r="C36" s="323"/>
      <c r="D36" s="323"/>
      <c r="E36" s="323"/>
      <c r="F36" s="323"/>
      <c r="G36" s="362"/>
      <c r="H36" s="363"/>
      <c r="K36" s="193" t="e">
        <f>+#REF!*1.38</f>
        <v>#REF!</v>
      </c>
    </row>
    <row r="37" spans="1:11" s="193" customFormat="1" ht="15.75" thickBot="1" x14ac:dyDescent="0.3">
      <c r="A37" s="538"/>
      <c r="B37" s="539"/>
      <c r="C37" s="329"/>
      <c r="D37" s="329"/>
      <c r="E37" s="329"/>
      <c r="F37" s="540" t="s">
        <v>194</v>
      </c>
      <c r="G37" s="541"/>
      <c r="H37" s="364">
        <f>ROUND((+H16+H23+H28+H35),0)</f>
        <v>1415000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H38" name="Rango1_3_1_1_1"/>
    <protectedRange sqref="A14 C14" name="Rango1_1_1_1_2"/>
    <protectedRange sqref="D12:G12" name="Rango1_1"/>
    <protectedRange sqref="E22" name="Rango1_4_1_2"/>
    <protectedRange sqref="C31:C34" name="Rango1_2_2_2"/>
    <protectedRange sqref="F26:F27" name="Rango1_2_4_2"/>
    <protectedRange sqref="E13" name="Rango1_2_6_2"/>
    <protectedRange sqref="B31:B33" name="APUS"/>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32F87-B5A2-4C87-9EF3-18AEDFC1DE7A}">
  <dimension ref="A1:L60"/>
  <sheetViews>
    <sheetView topLeftCell="A13" workbookViewId="0">
      <selection activeCell="E27" sqref="E27"/>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5.75" thickBot="1" x14ac:dyDescent="0.25">
      <c r="A1" s="308"/>
      <c r="B1" s="309"/>
      <c r="C1" s="310"/>
      <c r="D1" s="310"/>
      <c r="E1" s="310"/>
      <c r="F1" s="310"/>
      <c r="G1" s="310"/>
      <c r="H1" s="310"/>
    </row>
    <row r="2" spans="1:8" s="192" customFormat="1" ht="15" customHeight="1" x14ac:dyDescent="0.2">
      <c r="A2" s="567" t="s">
        <v>58</v>
      </c>
      <c r="B2" s="568"/>
      <c r="C2" s="568"/>
      <c r="D2" s="569"/>
      <c r="E2" s="576" t="s">
        <v>157</v>
      </c>
      <c r="F2" s="577"/>
      <c r="G2" s="577"/>
      <c r="H2" s="578"/>
    </row>
    <row r="3" spans="1:8" s="192" customFormat="1" ht="15" customHeight="1" x14ac:dyDescent="0.2">
      <c r="A3" s="570"/>
      <c r="B3" s="571"/>
      <c r="C3" s="571"/>
      <c r="D3" s="572"/>
      <c r="E3" s="579"/>
      <c r="F3" s="580"/>
      <c r="G3" s="580"/>
      <c r="H3" s="581"/>
    </row>
    <row r="4" spans="1:8" s="193" customFormat="1" ht="15.75" customHeight="1" thickBot="1" x14ac:dyDescent="0.3">
      <c r="A4" s="573"/>
      <c r="B4" s="574"/>
      <c r="C4" s="574"/>
      <c r="D4" s="575"/>
      <c r="E4" s="582"/>
      <c r="F4" s="583"/>
      <c r="G4" s="583"/>
      <c r="H4" s="584"/>
    </row>
    <row r="5" spans="1:8" s="194" customFormat="1" ht="15" customHeight="1" x14ac:dyDescent="0.25">
      <c r="A5" s="585"/>
      <c r="B5" s="586"/>
      <c r="C5" s="586"/>
      <c r="D5" s="586"/>
      <c r="E5" s="312"/>
      <c r="F5" s="312"/>
      <c r="G5" s="312"/>
      <c r="H5" s="313"/>
    </row>
    <row r="6" spans="1:8" s="194" customFormat="1" ht="16.5" thickBot="1" x14ac:dyDescent="0.25">
      <c r="A6" s="582"/>
      <c r="B6" s="583"/>
      <c r="C6" s="314"/>
      <c r="D6" s="314"/>
      <c r="E6" s="314"/>
      <c r="F6" s="314"/>
      <c r="G6" s="314"/>
      <c r="H6" s="315"/>
    </row>
    <row r="7" spans="1:8" s="194" customFormat="1" ht="78.599999999999994" customHeight="1" thickBot="1" x14ac:dyDescent="0.3">
      <c r="A7" s="316" t="s">
        <v>262</v>
      </c>
      <c r="B7" s="587" t="s">
        <v>19</v>
      </c>
      <c r="C7" s="588"/>
      <c r="D7" s="588"/>
      <c r="E7" s="588"/>
      <c r="F7" s="588"/>
      <c r="G7" s="588"/>
      <c r="H7" s="589"/>
    </row>
    <row r="8" spans="1:8" s="193" customFormat="1" ht="15.75" thickBot="1" x14ac:dyDescent="0.3">
      <c r="A8" s="317"/>
      <c r="B8" s="318"/>
      <c r="C8" s="319"/>
      <c r="D8" s="319"/>
      <c r="E8" s="319"/>
      <c r="F8" s="319"/>
      <c r="G8" s="320" t="s">
        <v>158</v>
      </c>
      <c r="H8" s="321" t="s">
        <v>60</v>
      </c>
    </row>
    <row r="9" spans="1:8" s="193" customFormat="1" x14ac:dyDescent="0.25">
      <c r="A9" s="322"/>
      <c r="B9" s="323"/>
      <c r="C9" s="324"/>
      <c r="D9" s="324"/>
      <c r="E9" s="324"/>
      <c r="F9" s="324"/>
      <c r="G9" s="325"/>
      <c r="H9" s="326"/>
    </row>
    <row r="10" spans="1:8" s="193" customFormat="1" ht="15.75" customHeight="1" thickBot="1" x14ac:dyDescent="0.3">
      <c r="A10" s="327" t="s">
        <v>160</v>
      </c>
      <c r="B10" s="328"/>
      <c r="C10" s="329"/>
      <c r="D10" s="329"/>
      <c r="E10" s="329"/>
      <c r="F10" s="329"/>
      <c r="G10" s="329"/>
      <c r="H10" s="330"/>
    </row>
    <row r="11" spans="1:8" s="193" customFormat="1" ht="15.75" thickBot="1" x14ac:dyDescent="0.3">
      <c r="A11" s="546" t="s">
        <v>69</v>
      </c>
      <c r="B11" s="558"/>
      <c r="C11" s="553"/>
      <c r="D11" s="331" t="s">
        <v>161</v>
      </c>
      <c r="E11" s="331" t="s">
        <v>255</v>
      </c>
      <c r="F11" s="331" t="s">
        <v>163</v>
      </c>
      <c r="G11" s="332" t="s">
        <v>164</v>
      </c>
      <c r="H11" s="333" t="s">
        <v>165</v>
      </c>
    </row>
    <row r="12" spans="1:8" s="193" customFormat="1" ht="15" customHeight="1" x14ac:dyDescent="0.25">
      <c r="A12" s="554"/>
      <c r="B12" s="559"/>
      <c r="C12" s="555"/>
      <c r="D12" s="334"/>
      <c r="E12" s="335"/>
      <c r="F12" s="334"/>
      <c r="G12" s="336"/>
      <c r="H12" s="590"/>
    </row>
    <row r="13" spans="1:8" s="193" customFormat="1" ht="15" customHeight="1" x14ac:dyDescent="0.25">
      <c r="A13" s="593" t="s">
        <v>246</v>
      </c>
      <c r="B13" s="594"/>
      <c r="C13" s="595"/>
      <c r="D13" s="338"/>
      <c r="E13" s="339"/>
      <c r="F13" s="338"/>
      <c r="G13" s="340"/>
      <c r="H13" s="591"/>
    </row>
    <row r="14" spans="1:8" s="193" customFormat="1" ht="15" customHeight="1" x14ac:dyDescent="0.25">
      <c r="A14" s="561"/>
      <c r="B14" s="562"/>
      <c r="C14" s="563"/>
      <c r="D14" s="341"/>
      <c r="E14" s="339"/>
      <c r="F14" s="341"/>
      <c r="G14" s="342"/>
      <c r="H14" s="591"/>
    </row>
    <row r="15" spans="1:8" s="193" customFormat="1" ht="15" customHeight="1" thickBot="1" x14ac:dyDescent="0.3">
      <c r="A15" s="564"/>
      <c r="B15" s="565"/>
      <c r="C15" s="566"/>
      <c r="D15" s="343"/>
      <c r="E15" s="344"/>
      <c r="F15" s="344"/>
      <c r="G15" s="345"/>
      <c r="H15" s="592"/>
    </row>
    <row r="16" spans="1:8" s="193" customFormat="1" ht="15.6" customHeight="1" thickBot="1" x14ac:dyDescent="0.3">
      <c r="A16" s="542"/>
      <c r="B16" s="543"/>
      <c r="C16" s="318"/>
      <c r="D16" s="318"/>
      <c r="E16" s="318"/>
      <c r="F16" s="318"/>
      <c r="G16" s="311" t="s">
        <v>170</v>
      </c>
      <c r="H16" s="347">
        <f>SUM(G12:G15)</f>
        <v>0</v>
      </c>
    </row>
    <row r="17" spans="1:12" s="193" customFormat="1" ht="15.75" thickBot="1" x14ac:dyDescent="0.3">
      <c r="A17" s="544" t="s">
        <v>171</v>
      </c>
      <c r="B17" s="545"/>
      <c r="C17" s="329"/>
      <c r="D17" s="329"/>
      <c r="E17" s="329"/>
      <c r="F17" s="329"/>
      <c r="G17" s="329"/>
      <c r="H17" s="348"/>
    </row>
    <row r="18" spans="1:12" s="193" customFormat="1" ht="15.75" customHeight="1" thickBot="1" x14ac:dyDescent="0.3">
      <c r="A18" s="546" t="s">
        <v>69</v>
      </c>
      <c r="B18" s="558"/>
      <c r="C18" s="553"/>
      <c r="D18" s="331" t="s">
        <v>70</v>
      </c>
      <c r="E18" s="331" t="s">
        <v>172</v>
      </c>
      <c r="F18" s="331" t="s">
        <v>71</v>
      </c>
      <c r="G18" s="332" t="s">
        <v>164</v>
      </c>
      <c r="H18" s="346" t="s">
        <v>165</v>
      </c>
    </row>
    <row r="19" spans="1:12" s="193" customFormat="1" x14ac:dyDescent="0.25">
      <c r="A19" s="554"/>
      <c r="B19" s="559"/>
      <c r="C19" s="555"/>
      <c r="D19" s="334"/>
      <c r="E19" s="335"/>
      <c r="F19" s="349"/>
      <c r="G19" s="336"/>
      <c r="H19" s="556"/>
      <c r="L19" s="202"/>
    </row>
    <row r="20" spans="1:12" s="193" customFormat="1" x14ac:dyDescent="0.25">
      <c r="A20" s="561"/>
      <c r="B20" s="562"/>
      <c r="C20" s="563"/>
      <c r="D20" s="341"/>
      <c r="E20" s="350"/>
      <c r="F20" s="351"/>
      <c r="G20" s="342">
        <f>E20*F20</f>
        <v>0</v>
      </c>
      <c r="H20" s="560"/>
      <c r="L20" s="202"/>
    </row>
    <row r="21" spans="1:12" s="193" customFormat="1" x14ac:dyDescent="0.25">
      <c r="A21" s="561"/>
      <c r="B21" s="562"/>
      <c r="C21" s="563"/>
      <c r="D21" s="341"/>
      <c r="E21" s="350"/>
      <c r="F21" s="351"/>
      <c r="G21" s="342">
        <f>E21*F21</f>
        <v>0</v>
      </c>
      <c r="H21" s="560"/>
    </row>
    <row r="22" spans="1:12" s="193" customFormat="1" ht="15.75" thickBot="1" x14ac:dyDescent="0.3">
      <c r="A22" s="564"/>
      <c r="B22" s="565"/>
      <c r="C22" s="566"/>
      <c r="D22" s="343"/>
      <c r="E22" s="343"/>
      <c r="F22" s="352"/>
      <c r="G22" s="345">
        <f>E22*F22</f>
        <v>0</v>
      </c>
      <c r="H22" s="557"/>
    </row>
    <row r="23" spans="1:12" s="193" customFormat="1" ht="15.75" thickBot="1" x14ac:dyDescent="0.3">
      <c r="A23" s="542"/>
      <c r="B23" s="543"/>
      <c r="C23" s="318"/>
      <c r="D23" s="318"/>
      <c r="E23" s="318"/>
      <c r="F23" s="318"/>
      <c r="G23" s="311" t="s">
        <v>170</v>
      </c>
      <c r="H23" s="347">
        <f>SUM(G19:G22)</f>
        <v>0</v>
      </c>
    </row>
    <row r="24" spans="1:12" s="193" customFormat="1" ht="15.75" thickBot="1" x14ac:dyDescent="0.3">
      <c r="A24" s="544" t="s">
        <v>177</v>
      </c>
      <c r="B24" s="545"/>
      <c r="C24" s="329"/>
      <c r="D24" s="329"/>
      <c r="E24" s="329"/>
      <c r="F24" s="329"/>
      <c r="G24" s="329"/>
      <c r="H24" s="348"/>
    </row>
    <row r="25" spans="1:12" s="193" customFormat="1" ht="15.75" customHeight="1" thickBot="1" x14ac:dyDescent="0.3">
      <c r="A25" s="546" t="s">
        <v>178</v>
      </c>
      <c r="B25" s="553"/>
      <c r="C25" s="331" t="s">
        <v>179</v>
      </c>
      <c r="D25" s="331" t="s">
        <v>180</v>
      </c>
      <c r="E25" s="331" t="s">
        <v>252</v>
      </c>
      <c r="F25" s="331" t="s">
        <v>182</v>
      </c>
      <c r="G25" s="332" t="s">
        <v>164</v>
      </c>
      <c r="H25" s="346" t="s">
        <v>165</v>
      </c>
    </row>
    <row r="26" spans="1:12" s="193" customFormat="1" ht="15.75" thickBot="1" x14ac:dyDescent="0.3">
      <c r="A26" s="554" t="s">
        <v>259</v>
      </c>
      <c r="B26" s="555"/>
      <c r="C26" s="335">
        <v>1</v>
      </c>
      <c r="D26" s="335">
        <v>1</v>
      </c>
      <c r="E26" s="353">
        <v>1711</v>
      </c>
      <c r="F26" s="354">
        <f>+E26</f>
        <v>1711</v>
      </c>
      <c r="G26" s="336">
        <f>+F26*C26</f>
        <v>1711</v>
      </c>
      <c r="H26" s="556"/>
    </row>
    <row r="27" spans="1:12" s="193" customFormat="1" ht="15" customHeight="1" thickBot="1" x14ac:dyDescent="0.3">
      <c r="A27" s="554"/>
      <c r="B27" s="555"/>
      <c r="C27" s="344"/>
      <c r="D27" s="344"/>
      <c r="E27" s="355"/>
      <c r="F27" s="356"/>
      <c r="G27" s="345"/>
      <c r="H27" s="557"/>
      <c r="J27" s="204"/>
      <c r="K27" s="204"/>
    </row>
    <row r="28" spans="1:12" s="193" customFormat="1" ht="15.75" thickBot="1" x14ac:dyDescent="0.3">
      <c r="A28" s="542"/>
      <c r="B28" s="543"/>
      <c r="C28" s="318"/>
      <c r="D28" s="318"/>
      <c r="E28" s="318"/>
      <c r="F28" s="318"/>
      <c r="G28" s="311" t="s">
        <v>170</v>
      </c>
      <c r="H28" s="347">
        <f>SUM(G26:G27)</f>
        <v>1711</v>
      </c>
      <c r="J28" s="204"/>
      <c r="K28" s="204"/>
    </row>
    <row r="29" spans="1:12" s="193" customFormat="1" ht="15.75" thickBot="1" x14ac:dyDescent="0.3">
      <c r="A29" s="544" t="s">
        <v>185</v>
      </c>
      <c r="B29" s="545"/>
      <c r="C29" s="329"/>
      <c r="D29" s="329"/>
      <c r="E29" s="329"/>
      <c r="F29" s="329"/>
      <c r="G29" s="329"/>
      <c r="H29" s="348"/>
      <c r="J29" s="204"/>
      <c r="K29" s="204"/>
    </row>
    <row r="30" spans="1:12" s="193" customFormat="1" ht="15.75" customHeight="1" thickBot="1" x14ac:dyDescent="0.3">
      <c r="A30" s="546" t="s">
        <v>186</v>
      </c>
      <c r="B30" s="547"/>
      <c r="C30" s="370" t="s">
        <v>187</v>
      </c>
      <c r="D30" s="365" t="s">
        <v>188</v>
      </c>
      <c r="E30" s="365" t="s">
        <v>189</v>
      </c>
      <c r="F30" s="365" t="s">
        <v>163</v>
      </c>
      <c r="G30" s="365" t="s">
        <v>164</v>
      </c>
      <c r="H30" s="337" t="s">
        <v>165</v>
      </c>
    </row>
    <row r="31" spans="1:12" s="193" customFormat="1" x14ac:dyDescent="0.25">
      <c r="A31" s="371"/>
      <c r="B31" s="374"/>
      <c r="C31" s="335"/>
      <c r="D31" s="357"/>
      <c r="E31" s="335"/>
      <c r="F31" s="335"/>
      <c r="G31" s="336"/>
      <c r="H31" s="548"/>
    </row>
    <row r="32" spans="1:12" s="193" customFormat="1" x14ac:dyDescent="0.25">
      <c r="A32" s="358"/>
      <c r="B32" s="375"/>
      <c r="C32" s="339"/>
      <c r="D32" s="359"/>
      <c r="E32" s="339"/>
      <c r="F32" s="339"/>
      <c r="G32" s="342"/>
      <c r="H32" s="549"/>
      <c r="J32" s="193">
        <v>312.5</v>
      </c>
    </row>
    <row r="33" spans="1:11" s="193" customFormat="1" x14ac:dyDescent="0.25">
      <c r="A33" s="358"/>
      <c r="B33" s="375"/>
      <c r="C33" s="339"/>
      <c r="D33" s="359"/>
      <c r="E33" s="339"/>
      <c r="F33" s="339"/>
      <c r="G33" s="342"/>
      <c r="H33" s="549"/>
      <c r="J33" s="193">
        <v>312.5</v>
      </c>
    </row>
    <row r="34" spans="1:11" s="193" customFormat="1" ht="15.75" thickBot="1" x14ac:dyDescent="0.3">
      <c r="A34" s="366"/>
      <c r="B34" s="367"/>
      <c r="C34" s="344"/>
      <c r="D34" s="368"/>
      <c r="E34" s="344"/>
      <c r="F34" s="344"/>
      <c r="G34" s="345"/>
      <c r="H34" s="550"/>
    </row>
    <row r="35" spans="1:11" s="193" customFormat="1" ht="15.75" thickBot="1" x14ac:dyDescent="0.3">
      <c r="A35" s="542"/>
      <c r="B35" s="543"/>
      <c r="C35" s="318"/>
      <c r="D35" s="318"/>
      <c r="E35" s="318"/>
      <c r="F35" s="318"/>
      <c r="G35" s="311" t="s">
        <v>170</v>
      </c>
      <c r="H35" s="347">
        <f>SUM(G31:G34)</f>
        <v>0</v>
      </c>
    </row>
    <row r="36" spans="1:11" s="193" customFormat="1" ht="15.75" thickBot="1" x14ac:dyDescent="0.3">
      <c r="A36" s="551"/>
      <c r="B36" s="552"/>
      <c r="C36" s="323"/>
      <c r="D36" s="323"/>
      <c r="E36" s="323"/>
      <c r="F36" s="323"/>
      <c r="G36" s="362"/>
      <c r="H36" s="363"/>
      <c r="K36" s="193" t="e">
        <f>+#REF!*1.38</f>
        <v>#REF!</v>
      </c>
    </row>
    <row r="37" spans="1:11" s="193" customFormat="1" ht="15.75" thickBot="1" x14ac:dyDescent="0.3">
      <c r="A37" s="538"/>
      <c r="B37" s="539"/>
      <c r="C37" s="329"/>
      <c r="D37" s="329"/>
      <c r="E37" s="329"/>
      <c r="F37" s="540" t="s">
        <v>194</v>
      </c>
      <c r="G37" s="541"/>
      <c r="H37" s="364">
        <f>ROUND((+H16+H23+H28+H35),0)</f>
        <v>1711</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H38" name="Rango1_3_1_1_1"/>
    <protectedRange sqref="A14 C14" name="Rango1_1_1_1_2"/>
    <protectedRange sqref="D12:G12" name="Rango1_1"/>
    <protectedRange sqref="E22" name="Rango1_4_1_2"/>
    <protectedRange sqref="C31:C34" name="Rango1_2_2_2"/>
    <protectedRange sqref="F26:F27" name="Rango1_2_4_2"/>
    <protectedRange sqref="E13" name="Rango1_2_6_2"/>
    <protectedRange sqref="B31:B33" name="APUS"/>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4E52D-654B-4614-BCFF-922D22617FC0}">
  <dimension ref="A1:L60"/>
  <sheetViews>
    <sheetView workbookViewId="0">
      <selection activeCell="G16" sqref="G16"/>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198</v>
      </c>
      <c r="B7" s="525" t="s">
        <v>62</v>
      </c>
      <c r="C7" s="526"/>
      <c r="D7" s="526"/>
      <c r="E7" s="526"/>
      <c r="F7" s="526"/>
      <c r="G7" s="526"/>
      <c r="H7" s="527"/>
    </row>
    <row r="8" spans="1:8" s="193" customFormat="1" ht="16.5" thickBot="1" x14ac:dyDescent="0.3">
      <c r="A8" s="195"/>
      <c r="B8" s="160"/>
      <c r="C8" s="141"/>
      <c r="D8" s="141"/>
      <c r="E8" s="141"/>
      <c r="F8" s="141"/>
      <c r="G8" s="142" t="s">
        <v>158</v>
      </c>
      <c r="H8" s="143" t="s">
        <v>159</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7" t="s">
        <v>69</v>
      </c>
      <c r="B11" s="493"/>
      <c r="C11" s="488"/>
      <c r="D11" s="148" t="s">
        <v>161</v>
      </c>
      <c r="E11" s="148" t="s">
        <v>162</v>
      </c>
      <c r="F11" s="148" t="s">
        <v>163</v>
      </c>
      <c r="G11" s="149" t="s">
        <v>164</v>
      </c>
      <c r="H11" s="150" t="s">
        <v>165</v>
      </c>
    </row>
    <row r="12" spans="1:8" s="193" customFormat="1" ht="15" customHeight="1" x14ac:dyDescent="0.25">
      <c r="A12" s="489" t="s">
        <v>199</v>
      </c>
      <c r="B12" s="528"/>
      <c r="C12" s="490"/>
      <c r="D12" s="151" t="s">
        <v>196</v>
      </c>
      <c r="E12" s="152">
        <v>25000</v>
      </c>
      <c r="F12" s="151">
        <v>4.5</v>
      </c>
      <c r="G12" s="153">
        <f>E12/F12</f>
        <v>5555.5555555555557</v>
      </c>
      <c r="H12" s="529"/>
    </row>
    <row r="13" spans="1:8" s="193" customFormat="1" ht="15" customHeight="1" x14ac:dyDescent="0.25">
      <c r="A13" s="532" t="s">
        <v>166</v>
      </c>
      <c r="B13" s="533"/>
      <c r="C13" s="534"/>
      <c r="D13" s="200" t="s">
        <v>167</v>
      </c>
      <c r="E13" s="155">
        <v>12000</v>
      </c>
      <c r="F13" s="200">
        <f>+F12</f>
        <v>4.5</v>
      </c>
      <c r="G13" s="173">
        <f>E13/F13</f>
        <v>2666.6666666666665</v>
      </c>
      <c r="H13" s="530"/>
    </row>
    <row r="14" spans="1:8" s="193" customFormat="1" ht="15" customHeight="1" x14ac:dyDescent="0.25">
      <c r="A14" s="535" t="s">
        <v>197</v>
      </c>
      <c r="B14" s="536"/>
      <c r="C14" s="537"/>
      <c r="D14" s="154" t="s">
        <v>167</v>
      </c>
      <c r="E14" s="155">
        <v>6000</v>
      </c>
      <c r="F14" s="154">
        <f>+F13</f>
        <v>4.5</v>
      </c>
      <c r="G14" s="156">
        <f>E14/F14</f>
        <v>1333.3333333333333</v>
      </c>
      <c r="H14" s="530"/>
    </row>
    <row r="15" spans="1:8" s="193" customFormat="1" ht="15" customHeight="1" thickBot="1" x14ac:dyDescent="0.3">
      <c r="A15" s="502" t="s">
        <v>168</v>
      </c>
      <c r="B15" s="503"/>
      <c r="C15" s="504"/>
      <c r="D15" s="157" t="s">
        <v>169</v>
      </c>
      <c r="E15" s="158"/>
      <c r="F15" s="158"/>
      <c r="G15" s="159">
        <v>778</v>
      </c>
      <c r="H15" s="531"/>
    </row>
    <row r="16" spans="1:8" s="193" customFormat="1" ht="15.6" customHeight="1" thickBot="1" x14ac:dyDescent="0.3">
      <c r="A16" s="477"/>
      <c r="B16" s="478"/>
      <c r="C16" s="160"/>
      <c r="D16" s="160"/>
      <c r="E16" s="160"/>
      <c r="F16" s="160"/>
      <c r="G16" s="132" t="s">
        <v>170</v>
      </c>
      <c r="H16" s="161">
        <f>SUM(G12:G15)</f>
        <v>10333.555555555557</v>
      </c>
    </row>
    <row r="17" spans="1:12" s="193" customFormat="1" ht="16.5" thickBot="1" x14ac:dyDescent="0.3">
      <c r="A17" s="479" t="s">
        <v>171</v>
      </c>
      <c r="B17" s="480"/>
      <c r="C17" s="146"/>
      <c r="D17" s="146"/>
      <c r="E17" s="146"/>
      <c r="F17" s="146"/>
      <c r="G17" s="146"/>
      <c r="H17" s="162"/>
    </row>
    <row r="18" spans="1:12" s="193" customFormat="1" ht="15.75" customHeight="1" thickBot="1" x14ac:dyDescent="0.3">
      <c r="A18" s="487" t="s">
        <v>69</v>
      </c>
      <c r="B18" s="493"/>
      <c r="C18" s="488"/>
      <c r="D18" s="148" t="s">
        <v>70</v>
      </c>
      <c r="E18" s="148" t="s">
        <v>172</v>
      </c>
      <c r="F18" s="148" t="s">
        <v>71</v>
      </c>
      <c r="G18" s="149" t="s">
        <v>164</v>
      </c>
      <c r="H18" s="201" t="s">
        <v>165</v>
      </c>
    </row>
    <row r="19" spans="1:12" s="193" customFormat="1" x14ac:dyDescent="0.25">
      <c r="A19" s="489" t="s">
        <v>200</v>
      </c>
      <c r="B19" s="528"/>
      <c r="C19" s="490"/>
      <c r="D19" s="151" t="s">
        <v>173</v>
      </c>
      <c r="E19" s="152">
        <v>116800</v>
      </c>
      <c r="F19" s="203">
        <v>0.14000000000000001</v>
      </c>
      <c r="G19" s="153">
        <f>E19*F19</f>
        <v>16352.000000000002</v>
      </c>
      <c r="H19" s="491"/>
      <c r="L19" s="202"/>
    </row>
    <row r="20" spans="1:12" s="193" customFormat="1" x14ac:dyDescent="0.25">
      <c r="A20" s="535" t="s">
        <v>201</v>
      </c>
      <c r="B20" s="536"/>
      <c r="C20" s="537"/>
      <c r="D20" s="154" t="s">
        <v>169</v>
      </c>
      <c r="E20" s="170">
        <v>9852.1314650000004</v>
      </c>
      <c r="F20" s="165">
        <v>0.12</v>
      </c>
      <c r="G20" s="156">
        <f>E20*F20</f>
        <v>1182.2557758</v>
      </c>
      <c r="H20" s="596"/>
      <c r="L20" s="202"/>
    </row>
    <row r="21" spans="1:12" s="193" customFormat="1" x14ac:dyDescent="0.25">
      <c r="A21" s="535" t="s">
        <v>174</v>
      </c>
      <c r="B21" s="536"/>
      <c r="C21" s="537"/>
      <c r="D21" s="154" t="s">
        <v>175</v>
      </c>
      <c r="E21" s="170">
        <v>9400</v>
      </c>
      <c r="F21" s="165">
        <v>0.3</v>
      </c>
      <c r="G21" s="156">
        <f>E21*F21</f>
        <v>2820</v>
      </c>
      <c r="H21" s="596"/>
    </row>
    <row r="22" spans="1:12" s="193" customFormat="1" ht="15.75" thickBot="1" x14ac:dyDescent="0.3">
      <c r="A22" s="502" t="s">
        <v>176</v>
      </c>
      <c r="B22" s="503"/>
      <c r="C22" s="504"/>
      <c r="D22" s="157" t="s">
        <v>169</v>
      </c>
      <c r="E22" s="157">
        <v>30463.021467466115</v>
      </c>
      <c r="F22" s="166">
        <v>0.12</v>
      </c>
      <c r="G22" s="159">
        <f>E22*F22</f>
        <v>3655.5625760959338</v>
      </c>
      <c r="H22" s="492"/>
    </row>
    <row r="23" spans="1:12" s="193" customFormat="1" ht="16.5" thickBot="1" x14ac:dyDescent="0.3">
      <c r="A23" s="477"/>
      <c r="B23" s="478"/>
      <c r="C23" s="160"/>
      <c r="D23" s="160"/>
      <c r="E23" s="160"/>
      <c r="F23" s="160"/>
      <c r="G23" s="132" t="s">
        <v>170</v>
      </c>
      <c r="H23" s="161">
        <f>SUM(G19:G22)</f>
        <v>24009.818351895934</v>
      </c>
    </row>
    <row r="24" spans="1:12" s="193" customFormat="1" ht="16.5" thickBot="1" x14ac:dyDescent="0.3">
      <c r="A24" s="479" t="s">
        <v>177</v>
      </c>
      <c r="B24" s="480"/>
      <c r="C24" s="146"/>
      <c r="D24" s="146"/>
      <c r="E24" s="146"/>
      <c r="F24" s="146"/>
      <c r="G24" s="146"/>
      <c r="H24" s="162"/>
    </row>
    <row r="25" spans="1:12" s="193" customFormat="1" ht="15.75" customHeight="1" thickBot="1" x14ac:dyDescent="0.3">
      <c r="A25" s="487" t="s">
        <v>178</v>
      </c>
      <c r="B25" s="488"/>
      <c r="C25" s="148" t="s">
        <v>179</v>
      </c>
      <c r="D25" s="148" t="s">
        <v>180</v>
      </c>
      <c r="E25" s="148" t="s">
        <v>181</v>
      </c>
      <c r="F25" s="148" t="s">
        <v>182</v>
      </c>
      <c r="G25" s="149" t="s">
        <v>164</v>
      </c>
      <c r="H25" s="201" t="s">
        <v>165</v>
      </c>
    </row>
    <row r="26" spans="1:12" s="193" customFormat="1" ht="15.75" thickBot="1" x14ac:dyDescent="0.3">
      <c r="A26" s="489" t="s">
        <v>183</v>
      </c>
      <c r="B26" s="490"/>
      <c r="C26" s="152"/>
      <c r="D26" s="152"/>
      <c r="E26" s="213">
        <v>0.01</v>
      </c>
      <c r="F26" s="172">
        <v>300000</v>
      </c>
      <c r="G26" s="153">
        <f>F26*E26</f>
        <v>3000</v>
      </c>
      <c r="H26" s="491"/>
    </row>
    <row r="27" spans="1:12" s="193" customFormat="1" ht="15" customHeight="1" thickBot="1" x14ac:dyDescent="0.3">
      <c r="A27" s="489" t="s">
        <v>202</v>
      </c>
      <c r="B27" s="490"/>
      <c r="C27" s="158"/>
      <c r="D27" s="158"/>
      <c r="E27" s="171">
        <v>0.01</v>
      </c>
      <c r="F27" s="174">
        <v>300000</v>
      </c>
      <c r="G27" s="159">
        <f>F27*E27</f>
        <v>3000</v>
      </c>
      <c r="H27" s="492"/>
      <c r="J27" s="204"/>
      <c r="K27" s="204"/>
    </row>
    <row r="28" spans="1:12" s="193" customFormat="1" ht="16.5" thickBot="1" x14ac:dyDescent="0.3">
      <c r="A28" s="477"/>
      <c r="B28" s="478"/>
      <c r="C28" s="160"/>
      <c r="D28" s="160"/>
      <c r="E28" s="160"/>
      <c r="F28" s="160"/>
      <c r="G28" s="132" t="s">
        <v>170</v>
      </c>
      <c r="H28" s="161">
        <f>SUM(G26:G27)</f>
        <v>6000</v>
      </c>
      <c r="J28" s="204"/>
      <c r="K28" s="204"/>
    </row>
    <row r="29" spans="1:12" s="193" customFormat="1" ht="16.5" thickBot="1" x14ac:dyDescent="0.3">
      <c r="A29" s="479" t="s">
        <v>185</v>
      </c>
      <c r="B29" s="480"/>
      <c r="C29" s="146"/>
      <c r="D29" s="146"/>
      <c r="E29" s="146"/>
      <c r="F29" s="146"/>
      <c r="G29" s="146"/>
      <c r="H29" s="162"/>
      <c r="J29" s="204"/>
      <c r="K29" s="204"/>
    </row>
    <row r="30" spans="1:12" s="193" customFormat="1" ht="15.75" customHeight="1" thickBot="1" x14ac:dyDescent="0.3">
      <c r="A30" s="481" t="s">
        <v>186</v>
      </c>
      <c r="B30" s="482"/>
      <c r="C30" s="175" t="s">
        <v>187</v>
      </c>
      <c r="D30" s="175" t="s">
        <v>188</v>
      </c>
      <c r="E30" s="175" t="s">
        <v>189</v>
      </c>
      <c r="F30" s="175" t="s">
        <v>163</v>
      </c>
      <c r="G30" s="175" t="s">
        <v>164</v>
      </c>
      <c r="H30" s="176" t="s">
        <v>165</v>
      </c>
    </row>
    <row r="31" spans="1:12" s="193" customFormat="1" x14ac:dyDescent="0.25">
      <c r="A31" s="205">
        <v>1</v>
      </c>
      <c r="B31" s="178" t="s">
        <v>190</v>
      </c>
      <c r="C31" s="152">
        <v>12162.5</v>
      </c>
      <c r="D31" s="179">
        <f>'[2]Lista de Precios H'!$B$72</f>
        <v>0.62770000000000004</v>
      </c>
      <c r="E31" s="152">
        <f>C31*(1+D31)</f>
        <v>19796.901249999999</v>
      </c>
      <c r="F31" s="152">
        <f>+F14</f>
        <v>4.5</v>
      </c>
      <c r="G31" s="153">
        <f>E31/F31</f>
        <v>4399.3113888888884</v>
      </c>
      <c r="H31" s="483"/>
    </row>
    <row r="32" spans="1:12" s="193" customFormat="1" x14ac:dyDescent="0.25">
      <c r="A32" s="206">
        <v>2</v>
      </c>
      <c r="B32" s="181" t="s">
        <v>191</v>
      </c>
      <c r="C32" s="155">
        <f>15125*1.4</f>
        <v>21175</v>
      </c>
      <c r="D32" s="214">
        <f>'[2]Lista de Precios H'!$B$72</f>
        <v>0.62770000000000004</v>
      </c>
      <c r="E32" s="155">
        <f>C32*(1+D32)</f>
        <v>34466.547500000001</v>
      </c>
      <c r="F32" s="155">
        <f>+F31</f>
        <v>4.5</v>
      </c>
      <c r="G32" s="156">
        <f>E32/F32</f>
        <v>7659.2327777777782</v>
      </c>
      <c r="H32" s="484"/>
      <c r="J32" s="193">
        <v>312.5</v>
      </c>
    </row>
    <row r="33" spans="1:11" s="193" customFormat="1" x14ac:dyDescent="0.25">
      <c r="A33" s="206">
        <v>3</v>
      </c>
      <c r="B33" s="181" t="s">
        <v>192</v>
      </c>
      <c r="C33" s="155">
        <f>16881*1.4</f>
        <v>23633.399999999998</v>
      </c>
      <c r="D33" s="182">
        <f>+'[2]Lista de Precios H'!$B$73</f>
        <v>0.75819999999999999</v>
      </c>
      <c r="E33" s="155">
        <f>C33*(1+D33)</f>
        <v>41552.243879999995</v>
      </c>
      <c r="F33" s="155">
        <f>+F32</f>
        <v>4.5</v>
      </c>
      <c r="G33" s="156">
        <f>E33/F33</f>
        <v>9233.8319733333319</v>
      </c>
      <c r="H33" s="484"/>
      <c r="J33" s="193">
        <f>J32/8</f>
        <v>39.0625</v>
      </c>
    </row>
    <row r="34" spans="1:11" s="193" customFormat="1" ht="15.75" thickBot="1" x14ac:dyDescent="0.3">
      <c r="A34" s="206">
        <v>1</v>
      </c>
      <c r="B34" s="181" t="s">
        <v>193</v>
      </c>
      <c r="C34" s="158">
        <v>6050</v>
      </c>
      <c r="D34" s="182">
        <f>+'[2]Lista de Precios H'!$B$73</f>
        <v>0.75819999999999999</v>
      </c>
      <c r="E34" s="155">
        <f>C34*(1+D34)</f>
        <v>10637.11</v>
      </c>
      <c r="F34" s="155">
        <f>+F33</f>
        <v>4.5</v>
      </c>
      <c r="G34" s="156">
        <f>E34/F34</f>
        <v>2363.8022222222226</v>
      </c>
      <c r="H34" s="484"/>
    </row>
    <row r="35" spans="1:11" s="193" customFormat="1" ht="16.5" thickBot="1" x14ac:dyDescent="0.3">
      <c r="A35" s="477"/>
      <c r="B35" s="478"/>
      <c r="C35" s="160"/>
      <c r="D35" s="160"/>
      <c r="E35" s="160"/>
      <c r="F35" s="160"/>
      <c r="G35" s="132" t="s">
        <v>170</v>
      </c>
      <c r="H35" s="161">
        <f>SUM(G31:G34)</f>
        <v>23656.178362222221</v>
      </c>
    </row>
    <row r="36" spans="1:11" s="193" customFormat="1" ht="15.75" thickBot="1" x14ac:dyDescent="0.3">
      <c r="A36" s="485"/>
      <c r="B36" s="486"/>
      <c r="C36" s="167"/>
      <c r="D36" s="167"/>
      <c r="E36" s="167"/>
      <c r="F36" s="167"/>
      <c r="G36" s="185"/>
      <c r="H36" s="186"/>
      <c r="K36" s="193" t="e">
        <f>+#REF!*1.38</f>
        <v>#REF!</v>
      </c>
    </row>
    <row r="37" spans="1:11" s="193" customFormat="1" ht="16.5" thickBot="1" x14ac:dyDescent="0.3">
      <c r="A37" s="473"/>
      <c r="B37" s="474"/>
      <c r="C37" s="146"/>
      <c r="D37" s="146"/>
      <c r="E37" s="146"/>
      <c r="F37" s="475" t="s">
        <v>194</v>
      </c>
      <c r="G37" s="476"/>
      <c r="H37" s="187">
        <f>ROUND((+H16+H23+H28+H35),0)</f>
        <v>64000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A5 C5" name="Rango1_3_2_1"/>
    <protectedRange sqref="H38" name="Rango1_3_1_1_1"/>
    <protectedRange sqref="A14 C14" name="Rango1_1_1_1_2"/>
    <protectedRange sqref="D12:G12" name="Rango1_1"/>
    <protectedRange sqref="E22" name="Rango1_4_1_2"/>
    <protectedRange sqref="C31:C34" name="Rango1_2_2_2"/>
    <protectedRange sqref="F26:F27" name="Rango1_2_4_2"/>
    <protectedRange sqref="E13" name="Rango1_2_6_2"/>
  </protectedRanges>
  <mergeCells count="33">
    <mergeCell ref="A2:D4"/>
    <mergeCell ref="E2:H4"/>
    <mergeCell ref="A5:D5"/>
    <mergeCell ref="A6:B6"/>
    <mergeCell ref="B7:H7"/>
    <mergeCell ref="A18:C18"/>
    <mergeCell ref="A19:C19"/>
    <mergeCell ref="A20:C20"/>
    <mergeCell ref="A11:C11"/>
    <mergeCell ref="A12:C12"/>
    <mergeCell ref="A13:C13"/>
    <mergeCell ref="A28:B28"/>
    <mergeCell ref="A29:B29"/>
    <mergeCell ref="A30:B30"/>
    <mergeCell ref="A23:B23"/>
    <mergeCell ref="A24:B24"/>
    <mergeCell ref="A25:B25"/>
    <mergeCell ref="F37:G37"/>
    <mergeCell ref="A36:B36"/>
    <mergeCell ref="A37:B37"/>
    <mergeCell ref="H12:H15"/>
    <mergeCell ref="A16:B16"/>
    <mergeCell ref="H19:H22"/>
    <mergeCell ref="H26:H27"/>
    <mergeCell ref="H31:H34"/>
    <mergeCell ref="A35:B35"/>
    <mergeCell ref="A14:C14"/>
    <mergeCell ref="A15:C15"/>
    <mergeCell ref="A17:B17"/>
    <mergeCell ref="A21:C21"/>
    <mergeCell ref="A22:C22"/>
    <mergeCell ref="A26:B26"/>
    <mergeCell ref="A27:B2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6B190-42F7-4350-9C6A-12106E81A149}">
  <dimension ref="A1:L59"/>
  <sheetViews>
    <sheetView topLeftCell="A4" workbookViewId="0">
      <selection activeCell="G15" sqref="G15"/>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206</v>
      </c>
      <c r="B7" s="525" t="s">
        <v>207</v>
      </c>
      <c r="C7" s="526"/>
      <c r="D7" s="526"/>
      <c r="E7" s="526"/>
      <c r="F7" s="526"/>
      <c r="G7" s="526"/>
      <c r="H7" s="527"/>
    </row>
    <row r="8" spans="1:8" s="193" customFormat="1" ht="16.5" thickBot="1" x14ac:dyDescent="0.3">
      <c r="A8" s="195"/>
      <c r="B8" s="160"/>
      <c r="C8" s="141"/>
      <c r="D8" s="141"/>
      <c r="E8" s="141"/>
      <c r="F8" s="141"/>
      <c r="G8" s="142" t="s">
        <v>158</v>
      </c>
      <c r="H8" s="143" t="s">
        <v>195</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7" t="s">
        <v>69</v>
      </c>
      <c r="B11" s="493"/>
      <c r="C11" s="488"/>
      <c r="D11" s="148" t="s">
        <v>161</v>
      </c>
      <c r="E11" s="148" t="s">
        <v>162</v>
      </c>
      <c r="F11" s="148" t="s">
        <v>163</v>
      </c>
      <c r="G11" s="149" t="s">
        <v>164</v>
      </c>
      <c r="H11" s="150" t="s">
        <v>165</v>
      </c>
    </row>
    <row r="12" spans="1:8" s="193" customFormat="1" ht="15" customHeight="1" x14ac:dyDescent="0.25">
      <c r="A12" s="532" t="s">
        <v>166</v>
      </c>
      <c r="B12" s="533"/>
      <c r="C12" s="534"/>
      <c r="D12" s="200" t="s">
        <v>167</v>
      </c>
      <c r="E12" s="152">
        <v>12000</v>
      </c>
      <c r="F12" s="200">
        <v>10</v>
      </c>
      <c r="G12" s="173">
        <f>E12/F12</f>
        <v>1200</v>
      </c>
      <c r="H12" s="530"/>
    </row>
    <row r="13" spans="1:8" s="193" customFormat="1" ht="15" customHeight="1" x14ac:dyDescent="0.25">
      <c r="A13" s="535" t="s">
        <v>197</v>
      </c>
      <c r="B13" s="536"/>
      <c r="C13" s="537"/>
      <c r="D13" s="154" t="s">
        <v>167</v>
      </c>
      <c r="E13" s="155">
        <v>6000</v>
      </c>
      <c r="F13" s="154">
        <f>+F12</f>
        <v>10</v>
      </c>
      <c r="G13" s="156">
        <f>E13/F13</f>
        <v>600</v>
      </c>
      <c r="H13" s="530"/>
    </row>
    <row r="14" spans="1:8" s="193" customFormat="1" ht="15" customHeight="1" thickBot="1" x14ac:dyDescent="0.3">
      <c r="A14" s="502" t="s">
        <v>168</v>
      </c>
      <c r="B14" s="503"/>
      <c r="C14" s="504"/>
      <c r="D14" s="157" t="s">
        <v>169</v>
      </c>
      <c r="E14" s="158"/>
      <c r="F14" s="158"/>
      <c r="G14" s="159">
        <f>379+145</f>
        <v>524</v>
      </c>
      <c r="H14" s="531"/>
    </row>
    <row r="15" spans="1:8" s="193" customFormat="1" ht="15" customHeight="1" thickBot="1" x14ac:dyDescent="0.3">
      <c r="A15" s="597"/>
      <c r="B15" s="598"/>
      <c r="C15" s="160"/>
      <c r="D15" s="160"/>
      <c r="E15" s="160"/>
      <c r="F15" s="160"/>
      <c r="G15" s="132" t="s">
        <v>170</v>
      </c>
      <c r="H15" s="161">
        <f>SUM(G12:G14)</f>
        <v>2324</v>
      </c>
    </row>
    <row r="16" spans="1:8" s="193" customFormat="1" ht="15.6" customHeight="1" thickBot="1" x14ac:dyDescent="0.3">
      <c r="A16" s="479" t="s">
        <v>171</v>
      </c>
      <c r="B16" s="480"/>
      <c r="C16" s="146"/>
      <c r="D16" s="146"/>
      <c r="E16" s="146"/>
      <c r="F16" s="146"/>
      <c r="G16" s="146"/>
      <c r="H16" s="162"/>
    </row>
    <row r="17" spans="1:12" s="193" customFormat="1" ht="15.75" thickBot="1" x14ac:dyDescent="0.3">
      <c r="A17" s="487" t="s">
        <v>69</v>
      </c>
      <c r="B17" s="493"/>
      <c r="C17" s="488"/>
      <c r="D17" s="148" t="s">
        <v>70</v>
      </c>
      <c r="E17" s="148" t="s">
        <v>172</v>
      </c>
      <c r="F17" s="148" t="s">
        <v>71</v>
      </c>
      <c r="G17" s="149" t="s">
        <v>164</v>
      </c>
      <c r="H17" s="201" t="s">
        <v>165</v>
      </c>
    </row>
    <row r="18" spans="1:12" s="193" customFormat="1" ht="15.75" customHeight="1" x14ac:dyDescent="0.25">
      <c r="A18" s="599" t="s">
        <v>204</v>
      </c>
      <c r="B18" s="600"/>
      <c r="C18" s="601"/>
      <c r="D18" s="222" t="s">
        <v>173</v>
      </c>
      <c r="E18" s="152">
        <v>116800</v>
      </c>
      <c r="F18" s="223">
        <v>0.06</v>
      </c>
      <c r="G18" s="156">
        <f>E18*F18</f>
        <v>7008</v>
      </c>
      <c r="H18" s="529"/>
    </row>
    <row r="19" spans="1:12" s="193" customFormat="1" x14ac:dyDescent="0.25">
      <c r="A19" s="535" t="s">
        <v>201</v>
      </c>
      <c r="B19" s="536"/>
      <c r="C19" s="537"/>
      <c r="D19" s="154" t="s">
        <v>169</v>
      </c>
      <c r="E19" s="170">
        <v>9852.1314650000004</v>
      </c>
      <c r="F19" s="165">
        <v>0.05</v>
      </c>
      <c r="G19" s="156">
        <f>E19*F19</f>
        <v>492.60657325000005</v>
      </c>
      <c r="H19" s="530"/>
      <c r="L19" s="202"/>
    </row>
    <row r="20" spans="1:12" s="193" customFormat="1" x14ac:dyDescent="0.25">
      <c r="A20" s="535" t="s">
        <v>174</v>
      </c>
      <c r="B20" s="536"/>
      <c r="C20" s="537"/>
      <c r="D20" s="154" t="s">
        <v>175</v>
      </c>
      <c r="E20" s="170">
        <v>9400</v>
      </c>
      <c r="F20" s="165">
        <v>0.25</v>
      </c>
      <c r="G20" s="156">
        <f>E20*F20</f>
        <v>2350</v>
      </c>
      <c r="H20" s="530"/>
      <c r="L20" s="202"/>
    </row>
    <row r="21" spans="1:12" s="193" customFormat="1" ht="15.75" thickBot="1" x14ac:dyDescent="0.3">
      <c r="A21" s="502" t="s">
        <v>176</v>
      </c>
      <c r="B21" s="503"/>
      <c r="C21" s="504"/>
      <c r="D21" s="157" t="s">
        <v>169</v>
      </c>
      <c r="E21" s="157">
        <v>30463.021467466115</v>
      </c>
      <c r="F21" s="166">
        <v>6.5000000000000002E-2</v>
      </c>
      <c r="G21" s="159">
        <f>E21*F21</f>
        <v>1980.0963953852975</v>
      </c>
      <c r="H21" s="531"/>
    </row>
    <row r="22" spans="1:12" s="193" customFormat="1" ht="16.5" thickBot="1" x14ac:dyDescent="0.3">
      <c r="A22" s="597"/>
      <c r="B22" s="598"/>
      <c r="C22" s="160"/>
      <c r="D22" s="160"/>
      <c r="E22" s="160"/>
      <c r="F22" s="160"/>
      <c r="G22" s="132" t="s">
        <v>170</v>
      </c>
      <c r="H22" s="161">
        <f>SUM(G18:G21)</f>
        <v>11830.702968635296</v>
      </c>
    </row>
    <row r="23" spans="1:12" s="193" customFormat="1" ht="16.5" thickBot="1" x14ac:dyDescent="0.3">
      <c r="A23" s="479" t="s">
        <v>177</v>
      </c>
      <c r="B23" s="480"/>
      <c r="C23" s="146"/>
      <c r="D23" s="146"/>
      <c r="E23" s="146"/>
      <c r="F23" s="146"/>
      <c r="G23" s="146"/>
      <c r="H23" s="162"/>
    </row>
    <row r="24" spans="1:12" s="193" customFormat="1" ht="18.75" thickBot="1" x14ac:dyDescent="0.3">
      <c r="A24" s="487" t="s">
        <v>178</v>
      </c>
      <c r="B24" s="488"/>
      <c r="C24" s="148" t="s">
        <v>179</v>
      </c>
      <c r="D24" s="148" t="s">
        <v>180</v>
      </c>
      <c r="E24" s="148" t="s">
        <v>181</v>
      </c>
      <c r="F24" s="148" t="s">
        <v>182</v>
      </c>
      <c r="G24" s="149" t="s">
        <v>164</v>
      </c>
      <c r="H24" s="169" t="s">
        <v>165</v>
      </c>
    </row>
    <row r="25" spans="1:12" s="193" customFormat="1" ht="15.75" customHeight="1" x14ac:dyDescent="0.25">
      <c r="A25" s="489" t="str">
        <f>'[2]Lista de Precios H'!A47</f>
        <v>Vehículos para transporte de personal, equipos y PMT</v>
      </c>
      <c r="B25" s="490"/>
      <c r="C25" s="152"/>
      <c r="D25" s="152"/>
      <c r="E25" s="213">
        <v>2E-3</v>
      </c>
      <c r="F25" s="170">
        <v>300000</v>
      </c>
      <c r="G25" s="153">
        <f>F25*E25</f>
        <v>600</v>
      </c>
      <c r="H25" s="491"/>
    </row>
    <row r="26" spans="1:12" s="193" customFormat="1" ht="15.75" thickBot="1" x14ac:dyDescent="0.3">
      <c r="A26" s="502" t="s">
        <v>184</v>
      </c>
      <c r="B26" s="504"/>
      <c r="C26" s="158"/>
      <c r="D26" s="158"/>
      <c r="E26" s="224">
        <v>2E-3</v>
      </c>
      <c r="F26" s="158">
        <v>300000</v>
      </c>
      <c r="G26" s="159">
        <f>F26*E26</f>
        <v>600</v>
      </c>
      <c r="H26" s="492"/>
    </row>
    <row r="27" spans="1:12" s="193" customFormat="1" ht="15" customHeight="1" thickBot="1" x14ac:dyDescent="0.3">
      <c r="A27" s="602"/>
      <c r="B27" s="603"/>
      <c r="C27" s="167"/>
      <c r="D27" s="167"/>
      <c r="E27" s="167"/>
      <c r="F27" s="167"/>
      <c r="G27" s="134" t="s">
        <v>170</v>
      </c>
      <c r="H27" s="168">
        <f>SUM(G25:G26)</f>
        <v>1200</v>
      </c>
      <c r="J27" s="204"/>
      <c r="K27" s="204"/>
    </row>
    <row r="28" spans="1:12" s="193" customFormat="1" ht="16.5" thickBot="1" x14ac:dyDescent="0.3">
      <c r="A28" s="479" t="s">
        <v>185</v>
      </c>
      <c r="B28" s="480"/>
      <c r="C28" s="146"/>
      <c r="D28" s="146"/>
      <c r="E28" s="146"/>
      <c r="F28" s="146"/>
      <c r="G28" s="146"/>
      <c r="H28" s="162"/>
      <c r="J28" s="204"/>
      <c r="K28" s="204"/>
    </row>
    <row r="29" spans="1:12" s="193" customFormat="1" ht="15.75" thickBot="1" x14ac:dyDescent="0.3">
      <c r="A29" s="481" t="s">
        <v>186</v>
      </c>
      <c r="B29" s="482"/>
      <c r="C29" s="175" t="s">
        <v>187</v>
      </c>
      <c r="D29" s="175" t="s">
        <v>188</v>
      </c>
      <c r="E29" s="175" t="s">
        <v>189</v>
      </c>
      <c r="F29" s="175" t="s">
        <v>163</v>
      </c>
      <c r="G29" s="175" t="s">
        <v>164</v>
      </c>
      <c r="H29" s="176" t="s">
        <v>165</v>
      </c>
      <c r="J29" s="204"/>
      <c r="K29" s="204"/>
    </row>
    <row r="30" spans="1:12" s="193" customFormat="1" ht="15.75" customHeight="1" x14ac:dyDescent="0.25">
      <c r="A30" s="177">
        <v>1</v>
      </c>
      <c r="B30" s="178" t="s">
        <v>190</v>
      </c>
      <c r="C30" s="152">
        <v>12162.5</v>
      </c>
      <c r="D30" s="179">
        <f>'[2]Lista de Precios H'!$B$72</f>
        <v>0.62770000000000004</v>
      </c>
      <c r="E30" s="152">
        <f>C30*(1+D30)</f>
        <v>19796.901249999999</v>
      </c>
      <c r="F30" s="152">
        <f>+F13</f>
        <v>10</v>
      </c>
      <c r="G30" s="153">
        <f>E30/F30</f>
        <v>1979.6901249999999</v>
      </c>
      <c r="H30" s="483"/>
    </row>
    <row r="31" spans="1:12" s="193" customFormat="1" x14ac:dyDescent="0.25">
      <c r="A31" s="180">
        <v>2</v>
      </c>
      <c r="B31" s="181" t="s">
        <v>191</v>
      </c>
      <c r="C31" s="155">
        <f>15125*1.4</f>
        <v>21175</v>
      </c>
      <c r="D31" s="214">
        <f>'[2]Lista de Precios H'!$B$72</f>
        <v>0.62770000000000004</v>
      </c>
      <c r="E31" s="155">
        <f>C31*(1+D31)</f>
        <v>34466.547500000001</v>
      </c>
      <c r="F31" s="155">
        <f>+F30</f>
        <v>10</v>
      </c>
      <c r="G31" s="156">
        <f>E31/F31</f>
        <v>3446.6547500000001</v>
      </c>
      <c r="H31" s="484"/>
    </row>
    <row r="32" spans="1:12" s="193" customFormat="1" x14ac:dyDescent="0.25">
      <c r="A32" s="180">
        <v>3</v>
      </c>
      <c r="B32" s="181" t="s">
        <v>192</v>
      </c>
      <c r="C32" s="155">
        <f>16881*1.4</f>
        <v>23633.399999999998</v>
      </c>
      <c r="D32" s="182">
        <f>+'[2]Lista de Precios H'!$B$73</f>
        <v>0.75819999999999999</v>
      </c>
      <c r="E32" s="155">
        <f>C32*(1+D32)</f>
        <v>41552.243879999995</v>
      </c>
      <c r="F32" s="155">
        <f>+F31</f>
        <v>10</v>
      </c>
      <c r="G32" s="156">
        <f>E32/F32</f>
        <v>4155.2243879999996</v>
      </c>
      <c r="H32" s="484"/>
      <c r="J32" s="193">
        <v>312.5</v>
      </c>
    </row>
    <row r="33" spans="1:11" s="193" customFormat="1" ht="15.75" thickBot="1" x14ac:dyDescent="0.3">
      <c r="A33" s="180">
        <v>1</v>
      </c>
      <c r="B33" s="181" t="s">
        <v>193</v>
      </c>
      <c r="C33" s="158">
        <v>6050</v>
      </c>
      <c r="D33" s="182">
        <f>+'[2]Lista de Precios H'!$B$73</f>
        <v>0.75819999999999999</v>
      </c>
      <c r="E33" s="155">
        <f>C33*(1+D33)</f>
        <v>10637.11</v>
      </c>
      <c r="F33" s="155">
        <f>+F32</f>
        <v>10</v>
      </c>
      <c r="G33" s="156">
        <f>E33/F33</f>
        <v>1063.711</v>
      </c>
      <c r="H33" s="484"/>
      <c r="J33" s="193">
        <f>J32/8</f>
        <v>39.0625</v>
      </c>
    </row>
    <row r="34" spans="1:11" s="193" customFormat="1" ht="16.5" thickBot="1" x14ac:dyDescent="0.3">
      <c r="A34" s="597"/>
      <c r="B34" s="598"/>
      <c r="C34" s="160"/>
      <c r="D34" s="160"/>
      <c r="E34" s="160"/>
      <c r="F34" s="160"/>
      <c r="G34" s="132" t="s">
        <v>170</v>
      </c>
      <c r="H34" s="161">
        <f>SUM(G30:G33)</f>
        <v>10645.280262999999</v>
      </c>
    </row>
    <row r="35" spans="1:11" s="193" customFormat="1" ht="15.75" thickBot="1" x14ac:dyDescent="0.3">
      <c r="A35" s="602"/>
      <c r="B35" s="603"/>
      <c r="C35" s="167"/>
      <c r="D35" s="167"/>
      <c r="E35" s="167"/>
      <c r="F35" s="167"/>
      <c r="G35" s="185"/>
      <c r="H35" s="186"/>
    </row>
    <row r="36" spans="1:11" s="193" customFormat="1" ht="16.5" thickBot="1" x14ac:dyDescent="0.3">
      <c r="A36" s="604"/>
      <c r="B36" s="605"/>
      <c r="C36" s="146"/>
      <c r="D36" s="146"/>
      <c r="E36" s="225"/>
      <c r="F36" s="475" t="s">
        <v>194</v>
      </c>
      <c r="G36" s="476"/>
      <c r="H36" s="187">
        <f>ROUND((+H15+H22+H27+H34),0)</f>
        <v>26000</v>
      </c>
      <c r="K36" s="193" t="e">
        <f>+#REF!*1.38</f>
        <v>#REF!</v>
      </c>
    </row>
    <row r="37" spans="1:11" s="193" customFormat="1" ht="15.75" x14ac:dyDescent="0.25">
      <c r="B37" s="207"/>
      <c r="D37" s="208"/>
      <c r="E37" s="209"/>
      <c r="F37" s="210"/>
      <c r="G37" s="211"/>
      <c r="H37" s="212"/>
    </row>
    <row r="38" spans="1:11" s="193" customFormat="1" x14ac:dyDescent="0.25">
      <c r="A38" s="135"/>
      <c r="B38" s="188"/>
      <c r="C38" s="188"/>
      <c r="D38" s="188"/>
      <c r="E38" s="188"/>
      <c r="F38" s="188"/>
      <c r="G38" s="188"/>
      <c r="H38" s="188"/>
    </row>
    <row r="39" spans="1:11" s="193" customFormat="1" x14ac:dyDescent="0.25">
      <c r="A39" s="135"/>
      <c r="B39" s="135"/>
      <c r="C39" s="135"/>
      <c r="D39" s="135"/>
      <c r="E39" s="135"/>
      <c r="F39" s="135"/>
      <c r="G39" s="135"/>
      <c r="H39" s="135"/>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
      <c r="A42" s="133"/>
      <c r="B42" s="133"/>
      <c r="C42" s="133"/>
      <c r="D42" s="133"/>
      <c r="E42" s="133"/>
      <c r="F42" s="133"/>
      <c r="G42" s="133"/>
      <c r="H42" s="133"/>
    </row>
    <row r="43" spans="1:11" s="192" customFormat="1" x14ac:dyDescent="0.2"/>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sheetData>
  <protectedRanges>
    <protectedRange sqref="A5 C5" name="Rango1_3_2_1"/>
    <protectedRange sqref="H37" name="Rango1_3_1_1_1"/>
    <protectedRange sqref="H36 H27 H15 H22 H34 A14 D13:E13 F12:H13 A12 C25:E26 C12:D12 C14:H14 C20:H20 A20:A21 A25:A26 G18 F27 C21:D21 F21:H21 B30:B33 D30:H33 G25:H26 F19:H19" name="Rango1"/>
    <protectedRange sqref="A13 C13" name="Rango1_1_1_1"/>
    <protectedRange sqref="E21" name="Rango1_4_1"/>
    <protectedRange sqref="C30:C33" name="Rango1_2_1"/>
    <protectedRange sqref="F25:F26" name="Rango1_2_3"/>
    <protectedRange sqref="E12" name="Rango1_2_5"/>
  </protectedRanges>
  <mergeCells count="32">
    <mergeCell ref="A11:C11"/>
    <mergeCell ref="A2:D4"/>
    <mergeCell ref="E2:H4"/>
    <mergeCell ref="A5:D5"/>
    <mergeCell ref="A6:B6"/>
    <mergeCell ref="B7:H7"/>
    <mergeCell ref="A35:B35"/>
    <mergeCell ref="A36:B36"/>
    <mergeCell ref="F36:G36"/>
    <mergeCell ref="A23:B23"/>
    <mergeCell ref="A24:B24"/>
    <mergeCell ref="A25:B25"/>
    <mergeCell ref="A26:B26"/>
    <mergeCell ref="A27:B27"/>
    <mergeCell ref="H25:H26"/>
    <mergeCell ref="H30:H33"/>
    <mergeCell ref="A34:B34"/>
    <mergeCell ref="A28:B28"/>
    <mergeCell ref="A29:B29"/>
    <mergeCell ref="H12:H14"/>
    <mergeCell ref="A15:B15"/>
    <mergeCell ref="A17:C17"/>
    <mergeCell ref="H18:H21"/>
    <mergeCell ref="A22:B22"/>
    <mergeCell ref="A18:C18"/>
    <mergeCell ref="A19:C19"/>
    <mergeCell ref="A20:C20"/>
    <mergeCell ref="A21:C21"/>
    <mergeCell ref="A12:C12"/>
    <mergeCell ref="A13:C13"/>
    <mergeCell ref="A14:C14"/>
    <mergeCell ref="A16:B1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40E13-16AA-4C69-BC5B-C7F7CD16F182}">
  <dimension ref="A1:L60"/>
  <sheetViews>
    <sheetView workbookViewId="0">
      <selection activeCell="F13" sqref="F13"/>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198</v>
      </c>
      <c r="B7" s="525" t="s">
        <v>205</v>
      </c>
      <c r="C7" s="526"/>
      <c r="D7" s="526"/>
      <c r="E7" s="526"/>
      <c r="F7" s="526"/>
      <c r="G7" s="526"/>
      <c r="H7" s="527"/>
    </row>
    <row r="8" spans="1:8" s="193" customFormat="1" ht="16.5" thickBot="1" x14ac:dyDescent="0.3">
      <c r="A8" s="195"/>
      <c r="B8" s="160"/>
      <c r="C8" s="141"/>
      <c r="D8" s="141"/>
      <c r="E8" s="141"/>
      <c r="F8" s="141"/>
      <c r="G8" s="142" t="s">
        <v>158</v>
      </c>
      <c r="H8" s="143" t="s">
        <v>195</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7" t="s">
        <v>69</v>
      </c>
      <c r="B11" s="493"/>
      <c r="C11" s="488"/>
      <c r="D11" s="148" t="s">
        <v>161</v>
      </c>
      <c r="E11" s="148" t="s">
        <v>162</v>
      </c>
      <c r="F11" s="148" t="s">
        <v>163</v>
      </c>
      <c r="G11" s="149" t="s">
        <v>164</v>
      </c>
      <c r="H11" s="201" t="s">
        <v>165</v>
      </c>
    </row>
    <row r="12" spans="1:8" s="193" customFormat="1" ht="15" customHeight="1" x14ac:dyDescent="0.25">
      <c r="A12" s="489" t="s">
        <v>199</v>
      </c>
      <c r="B12" s="528"/>
      <c r="C12" s="490"/>
      <c r="D12" s="151" t="s">
        <v>196</v>
      </c>
      <c r="E12" s="152">
        <v>25000</v>
      </c>
      <c r="F12" s="217">
        <v>680</v>
      </c>
      <c r="G12" s="153">
        <f>E12/F12</f>
        <v>36.764705882352942</v>
      </c>
      <c r="H12" s="529"/>
    </row>
    <row r="13" spans="1:8" s="193" customFormat="1" ht="15" customHeight="1" x14ac:dyDescent="0.25">
      <c r="A13" s="532" t="s">
        <v>166</v>
      </c>
      <c r="B13" s="533"/>
      <c r="C13" s="534"/>
      <c r="D13" s="200" t="s">
        <v>167</v>
      </c>
      <c r="E13" s="155">
        <v>12000</v>
      </c>
      <c r="F13" s="218">
        <f>+F12</f>
        <v>680</v>
      </c>
      <c r="G13" s="173">
        <f>E13/F13</f>
        <v>17.647058823529413</v>
      </c>
      <c r="H13" s="530"/>
    </row>
    <row r="14" spans="1:8" s="193" customFormat="1" ht="15" customHeight="1" x14ac:dyDescent="0.25">
      <c r="A14" s="535" t="s">
        <v>197</v>
      </c>
      <c r="B14" s="536"/>
      <c r="C14" s="537"/>
      <c r="D14" s="154" t="s">
        <v>167</v>
      </c>
      <c r="E14" s="155"/>
      <c r="F14" s="219">
        <f>+F13</f>
        <v>680</v>
      </c>
      <c r="G14" s="156">
        <f>E14/F14</f>
        <v>0</v>
      </c>
      <c r="H14" s="530"/>
    </row>
    <row r="15" spans="1:8" s="193" customFormat="1" ht="15" customHeight="1" thickBot="1" x14ac:dyDescent="0.3">
      <c r="A15" s="502" t="s">
        <v>168</v>
      </c>
      <c r="B15" s="503"/>
      <c r="C15" s="504"/>
      <c r="D15" s="157" t="s">
        <v>169</v>
      </c>
      <c r="E15" s="158"/>
      <c r="F15" s="158"/>
      <c r="G15" s="159">
        <v>85</v>
      </c>
      <c r="H15" s="531"/>
    </row>
    <row r="16" spans="1:8" s="193" customFormat="1" ht="15.6" customHeight="1" thickBot="1" x14ac:dyDescent="0.3">
      <c r="A16" s="477"/>
      <c r="B16" s="478"/>
      <c r="C16" s="160"/>
      <c r="D16" s="160"/>
      <c r="E16" s="160"/>
      <c r="F16" s="160"/>
      <c r="G16" s="132" t="s">
        <v>170</v>
      </c>
      <c r="H16" s="161">
        <f>SUM(G12:G15)</f>
        <v>139.41176470588235</v>
      </c>
    </row>
    <row r="17" spans="1:12" s="193" customFormat="1" ht="16.5" thickBot="1" x14ac:dyDescent="0.3">
      <c r="A17" s="479" t="s">
        <v>171</v>
      </c>
      <c r="B17" s="480"/>
      <c r="C17" s="146"/>
      <c r="D17" s="146"/>
      <c r="E17" s="146"/>
      <c r="F17" s="146"/>
      <c r="G17" s="146"/>
      <c r="H17" s="162"/>
    </row>
    <row r="18" spans="1:12" s="193" customFormat="1" ht="15.75" customHeight="1" thickBot="1" x14ac:dyDescent="0.3">
      <c r="A18" s="487" t="s">
        <v>69</v>
      </c>
      <c r="B18" s="493"/>
      <c r="C18" s="488"/>
      <c r="D18" s="148" t="s">
        <v>70</v>
      </c>
      <c r="E18" s="163" t="s">
        <v>172</v>
      </c>
      <c r="F18" s="148" t="s">
        <v>71</v>
      </c>
      <c r="G18" s="149" t="s">
        <v>164</v>
      </c>
      <c r="H18" s="201" t="s">
        <v>165</v>
      </c>
    </row>
    <row r="19" spans="1:12" s="193" customFormat="1" x14ac:dyDescent="0.25">
      <c r="A19" s="599" t="s">
        <v>204</v>
      </c>
      <c r="B19" s="600"/>
      <c r="C19" s="601"/>
      <c r="D19" s="151" t="s">
        <v>173</v>
      </c>
      <c r="E19" s="152">
        <v>116800</v>
      </c>
      <c r="F19" s="203">
        <v>1.2E-2</v>
      </c>
      <c r="G19" s="153">
        <f>E19*F19</f>
        <v>1401.6000000000001</v>
      </c>
      <c r="H19" s="491"/>
      <c r="L19" s="202"/>
    </row>
    <row r="20" spans="1:12" s="193" customFormat="1" x14ac:dyDescent="0.25">
      <c r="A20" s="535" t="s">
        <v>201</v>
      </c>
      <c r="B20" s="536"/>
      <c r="C20" s="537"/>
      <c r="D20" s="154" t="s">
        <v>169</v>
      </c>
      <c r="E20" s="170">
        <v>9852.1314650000004</v>
      </c>
      <c r="F20" s="165">
        <v>1.2E-2</v>
      </c>
      <c r="G20" s="156">
        <f>E20*F20</f>
        <v>118.22557758000001</v>
      </c>
      <c r="H20" s="596"/>
      <c r="L20" s="202"/>
    </row>
    <row r="21" spans="1:12" s="193" customFormat="1" x14ac:dyDescent="0.25">
      <c r="A21" s="535" t="s">
        <v>174</v>
      </c>
      <c r="B21" s="536"/>
      <c r="C21" s="537"/>
      <c r="D21" s="154" t="s">
        <v>175</v>
      </c>
      <c r="E21" s="170">
        <v>9400</v>
      </c>
      <c r="F21" s="165">
        <v>0.03</v>
      </c>
      <c r="G21" s="156">
        <f>E21*F21</f>
        <v>282</v>
      </c>
      <c r="H21" s="596"/>
    </row>
    <row r="22" spans="1:12" s="193" customFormat="1" ht="15.75" thickBot="1" x14ac:dyDescent="0.3">
      <c r="A22" s="502" t="s">
        <v>176</v>
      </c>
      <c r="B22" s="503"/>
      <c r="C22" s="504"/>
      <c r="D22" s="157" t="s">
        <v>169</v>
      </c>
      <c r="E22" s="157">
        <v>30463.021467466115</v>
      </c>
      <c r="F22" s="166">
        <v>5.0000000000000001E-3</v>
      </c>
      <c r="G22" s="159">
        <f>E22*F22</f>
        <v>152.31510733733057</v>
      </c>
      <c r="H22" s="492"/>
    </row>
    <row r="23" spans="1:12" s="193" customFormat="1" ht="16.5" thickBot="1" x14ac:dyDescent="0.3">
      <c r="A23" s="477"/>
      <c r="B23" s="478"/>
      <c r="C23" s="160"/>
      <c r="D23" s="160"/>
      <c r="E23" s="160"/>
      <c r="F23" s="160"/>
      <c r="G23" s="132" t="s">
        <v>170</v>
      </c>
      <c r="H23" s="161">
        <f>SUM(G19:G22)</f>
        <v>1954.1406849173306</v>
      </c>
    </row>
    <row r="24" spans="1:12" s="193" customFormat="1" ht="16.5" thickBot="1" x14ac:dyDescent="0.3">
      <c r="A24" s="479" t="s">
        <v>177</v>
      </c>
      <c r="B24" s="480"/>
      <c r="C24" s="146"/>
      <c r="D24" s="146"/>
      <c r="E24" s="146"/>
      <c r="F24" s="146"/>
      <c r="G24" s="146"/>
      <c r="H24" s="162"/>
    </row>
    <row r="25" spans="1:12" s="193" customFormat="1" ht="15.75" customHeight="1" thickBot="1" x14ac:dyDescent="0.3">
      <c r="A25" s="487" t="s">
        <v>178</v>
      </c>
      <c r="B25" s="488"/>
      <c r="C25" s="148" t="s">
        <v>179</v>
      </c>
      <c r="D25" s="148" t="s">
        <v>180</v>
      </c>
      <c r="E25" s="148" t="s">
        <v>181</v>
      </c>
      <c r="F25" s="148" t="s">
        <v>182</v>
      </c>
      <c r="G25" s="149" t="s">
        <v>164</v>
      </c>
      <c r="H25" s="201" t="s">
        <v>165</v>
      </c>
    </row>
    <row r="26" spans="1:12" s="193" customFormat="1" x14ac:dyDescent="0.25">
      <c r="A26" s="489" t="s">
        <v>183</v>
      </c>
      <c r="B26" s="490"/>
      <c r="C26" s="152"/>
      <c r="D26" s="152"/>
      <c r="E26" s="213">
        <v>1.25E-3</v>
      </c>
      <c r="F26" s="172">
        <v>300000</v>
      </c>
      <c r="G26" s="153">
        <f>F26*E26</f>
        <v>375</v>
      </c>
      <c r="H26" s="491"/>
    </row>
    <row r="27" spans="1:12" s="193" customFormat="1" ht="15" customHeight="1" thickBot="1" x14ac:dyDescent="0.3">
      <c r="A27" s="502" t="str">
        <f>'[2]Lista de Precios H'!A48</f>
        <v>Vehículos para transporte de materiales</v>
      </c>
      <c r="B27" s="504"/>
      <c r="C27" s="158"/>
      <c r="D27" s="158"/>
      <c r="E27" s="171">
        <v>1.25E-3</v>
      </c>
      <c r="F27" s="174">
        <v>300000</v>
      </c>
      <c r="G27" s="159">
        <f>F27*E27</f>
        <v>375</v>
      </c>
      <c r="H27" s="492"/>
      <c r="J27" s="204"/>
      <c r="K27" s="204"/>
    </row>
    <row r="28" spans="1:12" s="193" customFormat="1" ht="16.5" thickBot="1" x14ac:dyDescent="0.3">
      <c r="A28" s="477"/>
      <c r="B28" s="478"/>
      <c r="C28" s="160"/>
      <c r="D28" s="160"/>
      <c r="E28" s="160"/>
      <c r="F28" s="160"/>
      <c r="G28" s="132" t="s">
        <v>170</v>
      </c>
      <c r="H28" s="161">
        <f>SUM(G26:G27)</f>
        <v>750</v>
      </c>
      <c r="J28" s="204"/>
      <c r="K28" s="204"/>
    </row>
    <row r="29" spans="1:12" s="193" customFormat="1" ht="16.5" thickBot="1" x14ac:dyDescent="0.3">
      <c r="A29" s="479" t="s">
        <v>185</v>
      </c>
      <c r="B29" s="480"/>
      <c r="C29" s="146"/>
      <c r="D29" s="146"/>
      <c r="E29" s="146"/>
      <c r="F29" s="146"/>
      <c r="G29" s="146"/>
      <c r="H29" s="162"/>
      <c r="J29" s="204"/>
      <c r="K29" s="204"/>
    </row>
    <row r="30" spans="1:12" s="193" customFormat="1" ht="15.75" customHeight="1" thickBot="1" x14ac:dyDescent="0.3">
      <c r="A30" s="481" t="s">
        <v>186</v>
      </c>
      <c r="B30" s="482"/>
      <c r="C30" s="175" t="s">
        <v>187</v>
      </c>
      <c r="D30" s="175" t="s">
        <v>188</v>
      </c>
      <c r="E30" s="175" t="s">
        <v>189</v>
      </c>
      <c r="F30" s="175" t="s">
        <v>163</v>
      </c>
      <c r="G30" s="175" t="s">
        <v>164</v>
      </c>
      <c r="H30" s="176" t="s">
        <v>165</v>
      </c>
    </row>
    <row r="31" spans="1:12" s="193" customFormat="1" x14ac:dyDescent="0.25">
      <c r="A31" s="205">
        <v>1</v>
      </c>
      <c r="B31" s="178" t="s">
        <v>190</v>
      </c>
      <c r="C31" s="152">
        <v>12162.5</v>
      </c>
      <c r="D31" s="179">
        <f>'[2]Lista de Precios H'!$B$72</f>
        <v>0.62770000000000004</v>
      </c>
      <c r="E31" s="215">
        <f>+(C31*(1+D31))</f>
        <v>19796.901249999999</v>
      </c>
      <c r="F31" s="220">
        <f>+F14</f>
        <v>680</v>
      </c>
      <c r="G31" s="153">
        <f>E31/F31</f>
        <v>29.11309007352941</v>
      </c>
      <c r="H31" s="483"/>
    </row>
    <row r="32" spans="1:12" s="193" customFormat="1" x14ac:dyDescent="0.25">
      <c r="A32" s="206">
        <v>2</v>
      </c>
      <c r="B32" s="181" t="s">
        <v>191</v>
      </c>
      <c r="C32" s="155">
        <f>15125*1.4</f>
        <v>21175</v>
      </c>
      <c r="D32" s="214">
        <f>'[2]Lista de Precios H'!$B$72</f>
        <v>0.62770000000000004</v>
      </c>
      <c r="E32" s="155">
        <f t="shared" ref="E32:E34" si="0">+(C32*(1+D32))</f>
        <v>34466.547500000001</v>
      </c>
      <c r="F32" s="221">
        <f>+F31</f>
        <v>680</v>
      </c>
      <c r="G32" s="156">
        <f>E32/F32</f>
        <v>50.686099264705881</v>
      </c>
      <c r="H32" s="484"/>
      <c r="J32" s="193">
        <v>312.5</v>
      </c>
    </row>
    <row r="33" spans="1:11" s="193" customFormat="1" x14ac:dyDescent="0.25">
      <c r="A33" s="206">
        <v>3</v>
      </c>
      <c r="B33" s="181" t="s">
        <v>192</v>
      </c>
      <c r="C33" s="155">
        <f>16881*1.4</f>
        <v>23633.399999999998</v>
      </c>
      <c r="D33" s="182">
        <f>+'[2]Lista de Precios H'!$B$73</f>
        <v>0.75819999999999999</v>
      </c>
      <c r="E33" s="155">
        <f t="shared" si="0"/>
        <v>41552.243879999995</v>
      </c>
      <c r="F33" s="221">
        <f>+F32</f>
        <v>680</v>
      </c>
      <c r="G33" s="156">
        <f>E33/F33</f>
        <v>61.10624099999999</v>
      </c>
      <c r="H33" s="484"/>
      <c r="J33" s="193">
        <f>J32/8</f>
        <v>39.0625</v>
      </c>
    </row>
    <row r="34" spans="1:11" s="193" customFormat="1" ht="15.75" thickBot="1" x14ac:dyDescent="0.3">
      <c r="A34" s="216">
        <v>1</v>
      </c>
      <c r="B34" s="183" t="s">
        <v>193</v>
      </c>
      <c r="C34" s="158">
        <v>6050</v>
      </c>
      <c r="D34" s="184">
        <f>+'[2]Lista de Precios H'!$B$73</f>
        <v>0.75819999999999999</v>
      </c>
      <c r="E34" s="158">
        <f t="shared" si="0"/>
        <v>10637.11</v>
      </c>
      <c r="F34" s="174">
        <f>+F33</f>
        <v>680</v>
      </c>
      <c r="G34" s="159">
        <f>E34/F34</f>
        <v>15.642808823529412</v>
      </c>
      <c r="H34" s="606"/>
    </row>
    <row r="35" spans="1:11" s="193" customFormat="1" ht="16.5" thickBot="1" x14ac:dyDescent="0.3">
      <c r="A35" s="485"/>
      <c r="B35" s="486"/>
      <c r="C35" s="167"/>
      <c r="D35" s="167"/>
      <c r="E35" s="167"/>
      <c r="F35" s="167"/>
      <c r="G35" s="134" t="s">
        <v>170</v>
      </c>
      <c r="H35" s="168">
        <f>SUM(G31:G34)</f>
        <v>156.54823916176468</v>
      </c>
    </row>
    <row r="36" spans="1:11" s="193" customFormat="1" ht="15.75" thickBot="1" x14ac:dyDescent="0.3">
      <c r="A36" s="485"/>
      <c r="B36" s="486"/>
      <c r="C36" s="167"/>
      <c r="D36" s="167"/>
      <c r="E36" s="167"/>
      <c r="F36" s="167"/>
      <c r="G36" s="185"/>
      <c r="H36" s="186"/>
      <c r="K36" s="193" t="e">
        <f>+#REF!*1.38</f>
        <v>#REF!</v>
      </c>
    </row>
    <row r="37" spans="1:11" s="193" customFormat="1" ht="16.5" thickBot="1" x14ac:dyDescent="0.3">
      <c r="A37" s="473"/>
      <c r="B37" s="474"/>
      <c r="C37" s="146"/>
      <c r="D37" s="146"/>
      <c r="E37" s="146"/>
      <c r="F37" s="475" t="s">
        <v>194</v>
      </c>
      <c r="G37" s="476"/>
      <c r="H37" s="187">
        <f>ROUND((+H16+H23+H28+H35),0)</f>
        <v>3000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A14 C14" name="Rango1_1_1_1_1"/>
    <protectedRange sqref="D12:G12" name="Rango1_1_2"/>
    <protectedRange sqref="E22" name="Rango1_4_1_1"/>
    <protectedRange sqref="C31:C34" name="Rango1_2_2_1"/>
    <protectedRange sqref="F26:F27" name="Rango1_2_4_1"/>
    <protectedRange sqref="E13" name="Rango1_2_6_1"/>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9D6BC-A559-48DD-9027-E4BAE3C98AF7}">
  <dimension ref="A1:L61"/>
  <sheetViews>
    <sheetView topLeftCell="A4" workbookViewId="0">
      <selection activeCell="G16" sqref="G16"/>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198</v>
      </c>
      <c r="B7" s="525" t="s">
        <v>208</v>
      </c>
      <c r="C7" s="526"/>
      <c r="D7" s="526"/>
      <c r="E7" s="526"/>
      <c r="F7" s="526"/>
      <c r="G7" s="526"/>
      <c r="H7" s="527"/>
    </row>
    <row r="8" spans="1:8" s="193" customFormat="1" ht="16.5" thickBot="1" x14ac:dyDescent="0.3">
      <c r="A8" s="195"/>
      <c r="B8" s="160"/>
      <c r="C8" s="141"/>
      <c r="D8" s="141"/>
      <c r="E8" s="141"/>
      <c r="F8" s="141"/>
      <c r="G8" s="142" t="s">
        <v>158</v>
      </c>
      <c r="H8" s="143" t="s">
        <v>195</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7" t="s">
        <v>69</v>
      </c>
      <c r="B11" s="493"/>
      <c r="C11" s="488"/>
      <c r="D11" s="148" t="s">
        <v>161</v>
      </c>
      <c r="E11" s="148" t="s">
        <v>162</v>
      </c>
      <c r="F11" s="148" t="s">
        <v>163</v>
      </c>
      <c r="G11" s="149" t="s">
        <v>164</v>
      </c>
      <c r="H11" s="201" t="s">
        <v>165</v>
      </c>
    </row>
    <row r="12" spans="1:8" s="193" customFormat="1" ht="15" customHeight="1" x14ac:dyDescent="0.25">
      <c r="A12" s="489" t="s">
        <v>199</v>
      </c>
      <c r="B12" s="528"/>
      <c r="C12" s="490"/>
      <c r="D12" s="151" t="s">
        <v>196</v>
      </c>
      <c r="E12" s="152">
        <v>25000</v>
      </c>
      <c r="F12" s="217">
        <v>500</v>
      </c>
      <c r="G12" s="153">
        <f>E12/F12</f>
        <v>50</v>
      </c>
      <c r="H12" s="529"/>
    </row>
    <row r="13" spans="1:8" s="193" customFormat="1" ht="15" customHeight="1" x14ac:dyDescent="0.25">
      <c r="A13" s="532" t="s">
        <v>166</v>
      </c>
      <c r="B13" s="533"/>
      <c r="C13" s="534"/>
      <c r="D13" s="200" t="s">
        <v>167</v>
      </c>
      <c r="E13" s="155">
        <v>12000</v>
      </c>
      <c r="F13" s="218">
        <f>+F12</f>
        <v>500</v>
      </c>
      <c r="G13" s="173">
        <f>E13/F13</f>
        <v>24</v>
      </c>
      <c r="H13" s="530"/>
    </row>
    <row r="14" spans="1:8" s="193" customFormat="1" ht="15" customHeight="1" x14ac:dyDescent="0.25">
      <c r="A14" s="535" t="s">
        <v>197</v>
      </c>
      <c r="B14" s="536"/>
      <c r="C14" s="537"/>
      <c r="D14" s="154" t="s">
        <v>167</v>
      </c>
      <c r="E14" s="155">
        <v>25000</v>
      </c>
      <c r="F14" s="219">
        <f>+F13</f>
        <v>500</v>
      </c>
      <c r="G14" s="156">
        <f>E14/F14</f>
        <v>50</v>
      </c>
      <c r="H14" s="530"/>
    </row>
    <row r="15" spans="1:8" s="193" customFormat="1" ht="15" customHeight="1" thickBot="1" x14ac:dyDescent="0.3">
      <c r="A15" s="502" t="s">
        <v>168</v>
      </c>
      <c r="B15" s="503"/>
      <c r="C15" s="504"/>
      <c r="D15" s="157" t="s">
        <v>169</v>
      </c>
      <c r="E15" s="158"/>
      <c r="F15" s="158"/>
      <c r="G15" s="159">
        <v>89</v>
      </c>
      <c r="H15" s="531"/>
    </row>
    <row r="16" spans="1:8" s="193" customFormat="1" ht="15.6" customHeight="1" thickBot="1" x14ac:dyDescent="0.3">
      <c r="A16" s="477"/>
      <c r="B16" s="478"/>
      <c r="C16" s="160"/>
      <c r="D16" s="160"/>
      <c r="E16" s="160"/>
      <c r="F16" s="160"/>
      <c r="G16" s="132" t="s">
        <v>170</v>
      </c>
      <c r="H16" s="161">
        <f>SUM(G12:G15)</f>
        <v>213</v>
      </c>
    </row>
    <row r="17" spans="1:12" s="193" customFormat="1" ht="16.5" thickBot="1" x14ac:dyDescent="0.3">
      <c r="A17" s="479" t="s">
        <v>171</v>
      </c>
      <c r="B17" s="480"/>
      <c r="C17" s="146"/>
      <c r="D17" s="146"/>
      <c r="E17" s="146"/>
      <c r="F17" s="146"/>
      <c r="G17" s="146"/>
      <c r="H17" s="162"/>
    </row>
    <row r="18" spans="1:12" s="193" customFormat="1" ht="15.75" customHeight="1" thickBot="1" x14ac:dyDescent="0.3">
      <c r="A18" s="487" t="s">
        <v>69</v>
      </c>
      <c r="B18" s="493"/>
      <c r="C18" s="488"/>
      <c r="D18" s="148" t="s">
        <v>70</v>
      </c>
      <c r="E18" s="163" t="s">
        <v>172</v>
      </c>
      <c r="F18" s="148" t="s">
        <v>71</v>
      </c>
      <c r="G18" s="149" t="s">
        <v>164</v>
      </c>
      <c r="H18" s="201" t="s">
        <v>165</v>
      </c>
    </row>
    <row r="19" spans="1:12" s="193" customFormat="1" x14ac:dyDescent="0.25">
      <c r="A19" s="599" t="s">
        <v>204</v>
      </c>
      <c r="B19" s="600"/>
      <c r="C19" s="601"/>
      <c r="D19" s="151" t="s">
        <v>173</v>
      </c>
      <c r="E19" s="152">
        <v>116800</v>
      </c>
      <c r="F19" s="203">
        <v>1.2E-2</v>
      </c>
      <c r="G19" s="153">
        <f>E19*F19</f>
        <v>1401.6000000000001</v>
      </c>
      <c r="H19" s="491"/>
      <c r="L19" s="202"/>
    </row>
    <row r="20" spans="1:12" s="193" customFormat="1" x14ac:dyDescent="0.25">
      <c r="A20" s="535" t="s">
        <v>201</v>
      </c>
      <c r="B20" s="536"/>
      <c r="C20" s="537"/>
      <c r="D20" s="154" t="s">
        <v>169</v>
      </c>
      <c r="E20" s="170">
        <v>9852.1314650000004</v>
      </c>
      <c r="F20" s="165">
        <v>1.2E-2</v>
      </c>
      <c r="G20" s="156">
        <f>E20*F20</f>
        <v>118.22557758000001</v>
      </c>
      <c r="H20" s="596"/>
      <c r="L20" s="202"/>
    </row>
    <row r="21" spans="1:12" s="193" customFormat="1" x14ac:dyDescent="0.25">
      <c r="A21" s="535" t="s">
        <v>209</v>
      </c>
      <c r="B21" s="536"/>
      <c r="C21" s="537"/>
      <c r="D21" s="154" t="s">
        <v>169</v>
      </c>
      <c r="E21" s="170">
        <v>12000</v>
      </c>
      <c r="F21" s="165">
        <v>7.0000000000000007E-2</v>
      </c>
      <c r="G21" s="156">
        <f>E21*F21</f>
        <v>840.00000000000011</v>
      </c>
      <c r="H21" s="596"/>
      <c r="L21" s="202"/>
    </row>
    <row r="22" spans="1:12" s="193" customFormat="1" x14ac:dyDescent="0.25">
      <c r="A22" s="535" t="s">
        <v>174</v>
      </c>
      <c r="B22" s="536"/>
      <c r="C22" s="537"/>
      <c r="D22" s="154" t="s">
        <v>175</v>
      </c>
      <c r="E22" s="170">
        <v>9400</v>
      </c>
      <c r="F22" s="165">
        <v>0.03</v>
      </c>
      <c r="G22" s="156">
        <f>E22*F22</f>
        <v>282</v>
      </c>
      <c r="H22" s="596"/>
    </row>
    <row r="23" spans="1:12" s="193" customFormat="1" ht="15.75" thickBot="1" x14ac:dyDescent="0.3">
      <c r="A23" s="502" t="s">
        <v>176</v>
      </c>
      <c r="B23" s="503"/>
      <c r="C23" s="504"/>
      <c r="D23" s="157" t="s">
        <v>169</v>
      </c>
      <c r="E23" s="157">
        <v>30463.021467466115</v>
      </c>
      <c r="F23" s="166">
        <v>5.0000000000000001E-3</v>
      </c>
      <c r="G23" s="159">
        <f>E23*F23</f>
        <v>152.31510733733057</v>
      </c>
      <c r="H23" s="492"/>
    </row>
    <row r="24" spans="1:12" s="193" customFormat="1" ht="16.5" thickBot="1" x14ac:dyDescent="0.3">
      <c r="A24" s="477"/>
      <c r="B24" s="478"/>
      <c r="C24" s="160"/>
      <c r="D24" s="160"/>
      <c r="E24" s="160"/>
      <c r="F24" s="160"/>
      <c r="G24" s="132" t="s">
        <v>170</v>
      </c>
      <c r="H24" s="161">
        <f>SUM(G19:G23)</f>
        <v>2794.1406849173309</v>
      </c>
    </row>
    <row r="25" spans="1:12" s="193" customFormat="1" ht="16.5" thickBot="1" x14ac:dyDescent="0.3">
      <c r="A25" s="479" t="s">
        <v>177</v>
      </c>
      <c r="B25" s="480"/>
      <c r="C25" s="146"/>
      <c r="D25" s="146"/>
      <c r="E25" s="146"/>
      <c r="F25" s="146"/>
      <c r="G25" s="146"/>
      <c r="H25" s="162"/>
    </row>
    <row r="26" spans="1:12" s="193" customFormat="1" ht="15.75" customHeight="1" thickBot="1" x14ac:dyDescent="0.3">
      <c r="A26" s="487" t="s">
        <v>178</v>
      </c>
      <c r="B26" s="488"/>
      <c r="C26" s="148" t="s">
        <v>179</v>
      </c>
      <c r="D26" s="148" t="s">
        <v>180</v>
      </c>
      <c r="E26" s="148" t="s">
        <v>181</v>
      </c>
      <c r="F26" s="148" t="s">
        <v>182</v>
      </c>
      <c r="G26" s="149" t="s">
        <v>164</v>
      </c>
      <c r="H26" s="201" t="s">
        <v>165</v>
      </c>
    </row>
    <row r="27" spans="1:12" s="193" customFormat="1" x14ac:dyDescent="0.25">
      <c r="A27" s="489" t="s">
        <v>183</v>
      </c>
      <c r="B27" s="490"/>
      <c r="C27" s="152"/>
      <c r="D27" s="152"/>
      <c r="E27" s="213">
        <v>1.25E-3</v>
      </c>
      <c r="F27" s="172">
        <v>300000</v>
      </c>
      <c r="G27" s="153">
        <f>F27*E27</f>
        <v>375</v>
      </c>
      <c r="H27" s="491"/>
    </row>
    <row r="28" spans="1:12" s="193" customFormat="1" ht="15" customHeight="1" thickBot="1" x14ac:dyDescent="0.3">
      <c r="A28" s="502" t="str">
        <f>'[2]Lista de Precios H'!A48</f>
        <v>Vehículos para transporte de materiales</v>
      </c>
      <c r="B28" s="504"/>
      <c r="C28" s="158"/>
      <c r="D28" s="158"/>
      <c r="E28" s="171">
        <v>1.25E-3</v>
      </c>
      <c r="F28" s="174">
        <v>300000</v>
      </c>
      <c r="G28" s="159">
        <f>F28*E28</f>
        <v>375</v>
      </c>
      <c r="H28" s="492"/>
      <c r="J28" s="204"/>
      <c r="K28" s="204"/>
    </row>
    <row r="29" spans="1:12" s="193" customFormat="1" ht="16.5" thickBot="1" x14ac:dyDescent="0.3">
      <c r="A29" s="477"/>
      <c r="B29" s="478"/>
      <c r="C29" s="160"/>
      <c r="D29" s="160"/>
      <c r="E29" s="160"/>
      <c r="F29" s="160"/>
      <c r="G29" s="132" t="s">
        <v>170</v>
      </c>
      <c r="H29" s="161">
        <f>SUM(G27:G28)</f>
        <v>750</v>
      </c>
      <c r="J29" s="204"/>
      <c r="K29" s="204"/>
    </row>
    <row r="30" spans="1:12" s="193" customFormat="1" ht="16.5" thickBot="1" x14ac:dyDescent="0.3">
      <c r="A30" s="479" t="s">
        <v>185</v>
      </c>
      <c r="B30" s="480"/>
      <c r="C30" s="146"/>
      <c r="D30" s="146"/>
      <c r="E30" s="146"/>
      <c r="F30" s="146"/>
      <c r="G30" s="146"/>
      <c r="H30" s="162"/>
      <c r="J30" s="204"/>
      <c r="K30" s="204"/>
    </row>
    <row r="31" spans="1:12" s="193" customFormat="1" ht="15.75" customHeight="1" thickBot="1" x14ac:dyDescent="0.3">
      <c r="A31" s="481" t="s">
        <v>186</v>
      </c>
      <c r="B31" s="482"/>
      <c r="C31" s="175" t="s">
        <v>187</v>
      </c>
      <c r="D31" s="175" t="s">
        <v>188</v>
      </c>
      <c r="E31" s="175" t="s">
        <v>189</v>
      </c>
      <c r="F31" s="175" t="s">
        <v>163</v>
      </c>
      <c r="G31" s="175" t="s">
        <v>164</v>
      </c>
      <c r="H31" s="176" t="s">
        <v>165</v>
      </c>
    </row>
    <row r="32" spans="1:12" s="193" customFormat="1" x14ac:dyDescent="0.25">
      <c r="A32" s="205">
        <v>1</v>
      </c>
      <c r="B32" s="178" t="s">
        <v>190</v>
      </c>
      <c r="C32" s="152">
        <v>12162.5</v>
      </c>
      <c r="D32" s="179">
        <f>'[2]Lista de Precios H'!$B$72</f>
        <v>0.62770000000000004</v>
      </c>
      <c r="E32" s="215">
        <f>+(C32*(1+D32))</f>
        <v>19796.901249999999</v>
      </c>
      <c r="F32" s="220">
        <f>+F14</f>
        <v>500</v>
      </c>
      <c r="G32" s="153">
        <f>E32/F32</f>
        <v>39.593802499999995</v>
      </c>
      <c r="H32" s="483"/>
    </row>
    <row r="33" spans="1:11" s="193" customFormat="1" x14ac:dyDescent="0.25">
      <c r="A33" s="206">
        <v>2</v>
      </c>
      <c r="B33" s="181" t="s">
        <v>191</v>
      </c>
      <c r="C33" s="155">
        <f>15125*1.4</f>
        <v>21175</v>
      </c>
      <c r="D33" s="214">
        <f>'[2]Lista de Precios H'!$B$72</f>
        <v>0.62770000000000004</v>
      </c>
      <c r="E33" s="155">
        <f t="shared" ref="E33:E35" si="0">+(C33*(1+D33))</f>
        <v>34466.547500000001</v>
      </c>
      <c r="F33" s="221">
        <f>+F32</f>
        <v>500</v>
      </c>
      <c r="G33" s="156">
        <f>E33/F33</f>
        <v>68.933094999999994</v>
      </c>
      <c r="H33" s="484"/>
      <c r="J33" s="193">
        <v>312.5</v>
      </c>
    </row>
    <row r="34" spans="1:11" s="193" customFormat="1" x14ac:dyDescent="0.25">
      <c r="A34" s="206">
        <v>3</v>
      </c>
      <c r="B34" s="181" t="s">
        <v>192</v>
      </c>
      <c r="C34" s="155">
        <f>16881*1.4</f>
        <v>23633.399999999998</v>
      </c>
      <c r="D34" s="182">
        <f>+'[2]Lista de Precios H'!$B$73</f>
        <v>0.75819999999999999</v>
      </c>
      <c r="E34" s="155">
        <f t="shared" si="0"/>
        <v>41552.243879999995</v>
      </c>
      <c r="F34" s="221">
        <f>+F33</f>
        <v>500</v>
      </c>
      <c r="G34" s="156">
        <f>E34/F34</f>
        <v>83.104487759999984</v>
      </c>
      <c r="H34" s="484"/>
      <c r="J34" s="193">
        <f>J33/8</f>
        <v>39.0625</v>
      </c>
    </row>
    <row r="35" spans="1:11" s="193" customFormat="1" ht="15.75" thickBot="1" x14ac:dyDescent="0.3">
      <c r="A35" s="216">
        <v>1</v>
      </c>
      <c r="B35" s="183" t="s">
        <v>193</v>
      </c>
      <c r="C35" s="158">
        <v>6050</v>
      </c>
      <c r="D35" s="184">
        <f>+'[2]Lista de Precios H'!$B$73</f>
        <v>0.75819999999999999</v>
      </c>
      <c r="E35" s="158">
        <f t="shared" si="0"/>
        <v>10637.11</v>
      </c>
      <c r="F35" s="174">
        <f>+F34</f>
        <v>500</v>
      </c>
      <c r="G35" s="159">
        <f>E35/F35</f>
        <v>21.27422</v>
      </c>
      <c r="H35" s="606"/>
    </row>
    <row r="36" spans="1:11" s="193" customFormat="1" ht="16.5" thickBot="1" x14ac:dyDescent="0.3">
      <c r="A36" s="485"/>
      <c r="B36" s="486"/>
      <c r="C36" s="167"/>
      <c r="D36" s="167"/>
      <c r="E36" s="167"/>
      <c r="F36" s="167"/>
      <c r="G36" s="134" t="s">
        <v>170</v>
      </c>
      <c r="H36" s="168">
        <f>SUM(G32:G35)</f>
        <v>212.90560525999996</v>
      </c>
    </row>
    <row r="37" spans="1:11" s="193" customFormat="1" ht="15.75" thickBot="1" x14ac:dyDescent="0.3">
      <c r="A37" s="485"/>
      <c r="B37" s="486"/>
      <c r="C37" s="167"/>
      <c r="D37" s="167"/>
      <c r="E37" s="167"/>
      <c r="F37" s="167"/>
      <c r="G37" s="185"/>
      <c r="H37" s="186"/>
      <c r="K37" s="193" t="e">
        <f>+#REF!*1.38</f>
        <v>#REF!</v>
      </c>
    </row>
    <row r="38" spans="1:11" s="193" customFormat="1" ht="16.5" thickBot="1" x14ac:dyDescent="0.3">
      <c r="A38" s="473"/>
      <c r="B38" s="474"/>
      <c r="C38" s="146"/>
      <c r="D38" s="146"/>
      <c r="E38" s="146"/>
      <c r="F38" s="475" t="s">
        <v>194</v>
      </c>
      <c r="G38" s="476"/>
      <c r="H38" s="187">
        <f>ROUND((+H16+H24+H29+H36),0)</f>
        <v>3970</v>
      </c>
    </row>
    <row r="39" spans="1:11" s="193" customFormat="1" ht="15.75" x14ac:dyDescent="0.25">
      <c r="B39" s="207"/>
      <c r="D39" s="208"/>
      <c r="E39" s="209"/>
      <c r="F39" s="210"/>
      <c r="G39" s="211"/>
      <c r="H39" s="212"/>
    </row>
    <row r="40" spans="1:11" s="193" customFormat="1" x14ac:dyDescent="0.25">
      <c r="A40" s="135"/>
      <c r="B40" s="188"/>
      <c r="C40" s="188"/>
      <c r="D40" s="188"/>
      <c r="E40" s="188"/>
      <c r="F40" s="188"/>
      <c r="G40" s="188"/>
      <c r="H40" s="188"/>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5">
      <c r="A43" s="135"/>
      <c r="B43" s="135"/>
      <c r="C43" s="135"/>
      <c r="D43" s="135"/>
      <c r="E43" s="135"/>
      <c r="F43" s="135"/>
      <c r="G43" s="135"/>
      <c r="H43" s="135"/>
    </row>
    <row r="44" spans="1:11" s="193" customFormat="1" x14ac:dyDescent="0.2">
      <c r="A44" s="133"/>
      <c r="B44" s="133"/>
      <c r="C44" s="133"/>
      <c r="D44" s="133"/>
      <c r="E44" s="133"/>
      <c r="F44" s="133"/>
      <c r="G44" s="133"/>
      <c r="H44" s="133"/>
    </row>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row r="61" s="192" customFormat="1" x14ac:dyDescent="0.2"/>
  </sheetData>
  <protectedRanges>
    <protectedRange sqref="A14 C14" name="Rango1_1_1_1_1"/>
    <protectedRange sqref="D12:G12" name="Rango1_1_2"/>
    <protectedRange sqref="E23" name="Rango1_4_1_1"/>
    <protectedRange sqref="C32:C35" name="Rango1_2_2_1"/>
    <protectedRange sqref="F27:F28" name="Rango1_2_4_1"/>
    <protectedRange sqref="E13" name="Rango1_2_6_1"/>
  </protectedRanges>
  <mergeCells count="34">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3"/>
    <mergeCell ref="A20:C20"/>
    <mergeCell ref="A22:C22"/>
    <mergeCell ref="A23:C23"/>
    <mergeCell ref="H32:H35"/>
    <mergeCell ref="A36:B36"/>
    <mergeCell ref="A37:B37"/>
    <mergeCell ref="A24:B24"/>
    <mergeCell ref="A25:B25"/>
    <mergeCell ref="A26:B26"/>
    <mergeCell ref="A27:B27"/>
    <mergeCell ref="H27:H28"/>
    <mergeCell ref="A28:B28"/>
    <mergeCell ref="A38:B38"/>
    <mergeCell ref="F38:G38"/>
    <mergeCell ref="A21:C21"/>
    <mergeCell ref="A29:B29"/>
    <mergeCell ref="A30:B30"/>
    <mergeCell ref="A31:B3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02B3-37C3-4547-A9CD-D12881D1707F}">
  <dimension ref="A1:L59"/>
  <sheetViews>
    <sheetView topLeftCell="A13" workbookViewId="0">
      <selection activeCell="A2" sqref="A2:D4"/>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210</v>
      </c>
      <c r="B7" s="525" t="s">
        <v>207</v>
      </c>
      <c r="C7" s="526"/>
      <c r="D7" s="526"/>
      <c r="E7" s="526"/>
      <c r="F7" s="526"/>
      <c r="G7" s="526"/>
      <c r="H7" s="527"/>
    </row>
    <row r="8" spans="1:8" s="193" customFormat="1" ht="16.5" thickBot="1" x14ac:dyDescent="0.3">
      <c r="A8" s="195"/>
      <c r="B8" s="160"/>
      <c r="C8" s="141"/>
      <c r="D8" s="141"/>
      <c r="E8" s="141"/>
      <c r="F8" s="141"/>
      <c r="G8" s="142" t="s">
        <v>158</v>
      </c>
      <c r="H8" s="143" t="s">
        <v>195</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7" t="s">
        <v>69</v>
      </c>
      <c r="B11" s="493"/>
      <c r="C11" s="488"/>
      <c r="D11" s="148" t="s">
        <v>161</v>
      </c>
      <c r="E11" s="148" t="s">
        <v>162</v>
      </c>
      <c r="F11" s="148" t="s">
        <v>163</v>
      </c>
      <c r="G11" s="149" t="s">
        <v>164</v>
      </c>
      <c r="H11" s="150" t="s">
        <v>165</v>
      </c>
    </row>
    <row r="12" spans="1:8" s="193" customFormat="1" ht="15" customHeight="1" x14ac:dyDescent="0.25">
      <c r="A12" s="532" t="s">
        <v>166</v>
      </c>
      <c r="B12" s="533"/>
      <c r="C12" s="534"/>
      <c r="D12" s="200" t="s">
        <v>167</v>
      </c>
      <c r="E12" s="152">
        <v>12000</v>
      </c>
      <c r="F12" s="200">
        <v>10</v>
      </c>
      <c r="G12" s="173">
        <f>E12/F12</f>
        <v>1200</v>
      </c>
      <c r="H12" s="530"/>
    </row>
    <row r="13" spans="1:8" s="193" customFormat="1" ht="15" customHeight="1" x14ac:dyDescent="0.25">
      <c r="A13" s="535" t="s">
        <v>197</v>
      </c>
      <c r="B13" s="536"/>
      <c r="C13" s="537"/>
      <c r="D13" s="154" t="s">
        <v>167</v>
      </c>
      <c r="E13" s="155">
        <v>6000</v>
      </c>
      <c r="F13" s="154">
        <f>+F12</f>
        <v>10</v>
      </c>
      <c r="G13" s="156">
        <f>E13/F13</f>
        <v>600</v>
      </c>
      <c r="H13" s="530"/>
    </row>
    <row r="14" spans="1:8" s="193" customFormat="1" ht="15" customHeight="1" thickBot="1" x14ac:dyDescent="0.3">
      <c r="A14" s="502" t="s">
        <v>168</v>
      </c>
      <c r="B14" s="503"/>
      <c r="C14" s="504"/>
      <c r="D14" s="157" t="s">
        <v>169</v>
      </c>
      <c r="E14" s="158"/>
      <c r="F14" s="158"/>
      <c r="G14" s="159">
        <f>379+145</f>
        <v>524</v>
      </c>
      <c r="H14" s="531"/>
    </row>
    <row r="15" spans="1:8" s="193" customFormat="1" ht="15" customHeight="1" thickBot="1" x14ac:dyDescent="0.3">
      <c r="A15" s="597"/>
      <c r="B15" s="598"/>
      <c r="C15" s="160"/>
      <c r="D15" s="160"/>
      <c r="E15" s="160"/>
      <c r="F15" s="160"/>
      <c r="G15" s="132" t="s">
        <v>170</v>
      </c>
      <c r="H15" s="161">
        <f>SUM(G12:G14)</f>
        <v>2324</v>
      </c>
    </row>
    <row r="16" spans="1:8" s="193" customFormat="1" ht="15.6" customHeight="1" thickBot="1" x14ac:dyDescent="0.3">
      <c r="A16" s="479" t="s">
        <v>171</v>
      </c>
      <c r="B16" s="480"/>
      <c r="C16" s="146"/>
      <c r="D16" s="146"/>
      <c r="E16" s="146"/>
      <c r="F16" s="146"/>
      <c r="G16" s="146"/>
      <c r="H16" s="162"/>
    </row>
    <row r="17" spans="1:12" s="193" customFormat="1" ht="15.75" thickBot="1" x14ac:dyDescent="0.3">
      <c r="A17" s="487" t="s">
        <v>69</v>
      </c>
      <c r="B17" s="493"/>
      <c r="C17" s="488"/>
      <c r="D17" s="148" t="s">
        <v>70</v>
      </c>
      <c r="E17" s="148" t="s">
        <v>172</v>
      </c>
      <c r="F17" s="148" t="s">
        <v>71</v>
      </c>
      <c r="G17" s="149" t="s">
        <v>164</v>
      </c>
      <c r="H17" s="201" t="s">
        <v>165</v>
      </c>
    </row>
    <row r="18" spans="1:12" s="193" customFormat="1" ht="15.75" customHeight="1" x14ac:dyDescent="0.25">
      <c r="A18" s="599" t="s">
        <v>204</v>
      </c>
      <c r="B18" s="600"/>
      <c r="C18" s="601"/>
      <c r="D18" s="222" t="s">
        <v>173</v>
      </c>
      <c r="E18" s="152">
        <v>116800</v>
      </c>
      <c r="F18" s="223">
        <v>0.06</v>
      </c>
      <c r="G18" s="156">
        <f>E18*F18</f>
        <v>7008</v>
      </c>
      <c r="H18" s="529"/>
    </row>
    <row r="19" spans="1:12" s="193" customFormat="1" x14ac:dyDescent="0.25">
      <c r="A19" s="535" t="s">
        <v>201</v>
      </c>
      <c r="B19" s="536"/>
      <c r="C19" s="537"/>
      <c r="D19" s="154" t="s">
        <v>169</v>
      </c>
      <c r="E19" s="170">
        <v>9852.1314650000004</v>
      </c>
      <c r="F19" s="165">
        <v>0.05</v>
      </c>
      <c r="G19" s="156">
        <f>E19*F19</f>
        <v>492.60657325000005</v>
      </c>
      <c r="H19" s="530"/>
      <c r="L19" s="202"/>
    </row>
    <row r="20" spans="1:12" s="193" customFormat="1" x14ac:dyDescent="0.25">
      <c r="A20" s="535" t="s">
        <v>174</v>
      </c>
      <c r="B20" s="536"/>
      <c r="C20" s="537"/>
      <c r="D20" s="154" t="s">
        <v>175</v>
      </c>
      <c r="E20" s="170">
        <v>9400</v>
      </c>
      <c r="F20" s="165">
        <v>0.25</v>
      </c>
      <c r="G20" s="156">
        <f>E20*F20</f>
        <v>2350</v>
      </c>
      <c r="H20" s="530"/>
      <c r="L20" s="202"/>
    </row>
    <row r="21" spans="1:12" s="193" customFormat="1" ht="15.75" thickBot="1" x14ac:dyDescent="0.3">
      <c r="A21" s="502" t="s">
        <v>176</v>
      </c>
      <c r="B21" s="503"/>
      <c r="C21" s="504"/>
      <c r="D21" s="157" t="s">
        <v>169</v>
      </c>
      <c r="E21" s="157">
        <v>30463.021467466115</v>
      </c>
      <c r="F21" s="166">
        <v>6.5000000000000002E-2</v>
      </c>
      <c r="G21" s="159">
        <f>E21*F21</f>
        <v>1980.0963953852975</v>
      </c>
      <c r="H21" s="531"/>
    </row>
    <row r="22" spans="1:12" s="193" customFormat="1" ht="16.5" thickBot="1" x14ac:dyDescent="0.3">
      <c r="A22" s="597"/>
      <c r="B22" s="598"/>
      <c r="C22" s="160"/>
      <c r="D22" s="160"/>
      <c r="E22" s="160"/>
      <c r="F22" s="160"/>
      <c r="G22" s="132" t="s">
        <v>170</v>
      </c>
      <c r="H22" s="161">
        <f>SUM(G18:G21)</f>
        <v>11830.702968635296</v>
      </c>
    </row>
    <row r="23" spans="1:12" s="193" customFormat="1" ht="16.5" thickBot="1" x14ac:dyDescent="0.3">
      <c r="A23" s="479" t="s">
        <v>177</v>
      </c>
      <c r="B23" s="480"/>
      <c r="C23" s="146"/>
      <c r="D23" s="146"/>
      <c r="E23" s="146"/>
      <c r="F23" s="146"/>
      <c r="G23" s="146"/>
      <c r="H23" s="162"/>
    </row>
    <row r="24" spans="1:12" s="193" customFormat="1" ht="18.75" thickBot="1" x14ac:dyDescent="0.3">
      <c r="A24" s="487" t="s">
        <v>178</v>
      </c>
      <c r="B24" s="488"/>
      <c r="C24" s="148" t="s">
        <v>179</v>
      </c>
      <c r="D24" s="148" t="s">
        <v>180</v>
      </c>
      <c r="E24" s="148" t="s">
        <v>181</v>
      </c>
      <c r="F24" s="148" t="s">
        <v>182</v>
      </c>
      <c r="G24" s="149" t="s">
        <v>164</v>
      </c>
      <c r="H24" s="169" t="s">
        <v>165</v>
      </c>
    </row>
    <row r="25" spans="1:12" s="193" customFormat="1" ht="15.75" customHeight="1" x14ac:dyDescent="0.25">
      <c r="A25" s="489" t="str">
        <f>'[2]Lista de Precios H'!A47</f>
        <v>Vehículos para transporte de personal, equipos y PMT</v>
      </c>
      <c r="B25" s="490"/>
      <c r="C25" s="152"/>
      <c r="D25" s="152"/>
      <c r="E25" s="213">
        <v>2E-3</v>
      </c>
      <c r="F25" s="170">
        <v>300000</v>
      </c>
      <c r="G25" s="153">
        <f>F25*E25</f>
        <v>600</v>
      </c>
      <c r="H25" s="491"/>
    </row>
    <row r="26" spans="1:12" s="193" customFormat="1" ht="15.75" thickBot="1" x14ac:dyDescent="0.3">
      <c r="A26" s="502" t="s">
        <v>184</v>
      </c>
      <c r="B26" s="504"/>
      <c r="C26" s="158"/>
      <c r="D26" s="158"/>
      <c r="E26" s="224">
        <v>2E-3</v>
      </c>
      <c r="F26" s="158">
        <v>300000</v>
      </c>
      <c r="G26" s="159">
        <f>F26*E26</f>
        <v>600</v>
      </c>
      <c r="H26" s="492"/>
    </row>
    <row r="27" spans="1:12" s="193" customFormat="1" ht="15" customHeight="1" thickBot="1" x14ac:dyDescent="0.3">
      <c r="A27" s="602"/>
      <c r="B27" s="603"/>
      <c r="C27" s="167"/>
      <c r="D27" s="167"/>
      <c r="E27" s="167"/>
      <c r="F27" s="167"/>
      <c r="G27" s="134" t="s">
        <v>170</v>
      </c>
      <c r="H27" s="168">
        <f>SUM(G25:G26)</f>
        <v>1200</v>
      </c>
      <c r="J27" s="204"/>
      <c r="K27" s="204"/>
    </row>
    <row r="28" spans="1:12" s="193" customFormat="1" ht="16.5" thickBot="1" x14ac:dyDescent="0.3">
      <c r="A28" s="479" t="s">
        <v>185</v>
      </c>
      <c r="B28" s="480"/>
      <c r="C28" s="146"/>
      <c r="D28" s="146"/>
      <c r="E28" s="146"/>
      <c r="F28" s="146"/>
      <c r="G28" s="146"/>
      <c r="H28" s="162"/>
      <c r="J28" s="204"/>
      <c r="K28" s="204"/>
    </row>
    <row r="29" spans="1:12" s="193" customFormat="1" ht="15.75" thickBot="1" x14ac:dyDescent="0.3">
      <c r="A29" s="481" t="s">
        <v>186</v>
      </c>
      <c r="B29" s="482"/>
      <c r="C29" s="175" t="s">
        <v>187</v>
      </c>
      <c r="D29" s="175" t="s">
        <v>188</v>
      </c>
      <c r="E29" s="175" t="s">
        <v>189</v>
      </c>
      <c r="F29" s="175" t="s">
        <v>163</v>
      </c>
      <c r="G29" s="175" t="s">
        <v>164</v>
      </c>
      <c r="H29" s="176" t="s">
        <v>165</v>
      </c>
      <c r="J29" s="204"/>
      <c r="K29" s="204"/>
    </row>
    <row r="30" spans="1:12" s="193" customFormat="1" ht="15.75" customHeight="1" x14ac:dyDescent="0.25">
      <c r="A30" s="177">
        <v>1</v>
      </c>
      <c r="B30" s="178" t="s">
        <v>190</v>
      </c>
      <c r="C30" s="152">
        <v>12162.5</v>
      </c>
      <c r="D30" s="179">
        <f>'[2]Lista de Precios H'!$B$72</f>
        <v>0.62770000000000004</v>
      </c>
      <c r="E30" s="152">
        <f>C30*(1+D30)</f>
        <v>19796.901249999999</v>
      </c>
      <c r="F30" s="152">
        <f>+F13</f>
        <v>10</v>
      </c>
      <c r="G30" s="153">
        <f>E30/F30</f>
        <v>1979.6901249999999</v>
      </c>
      <c r="H30" s="483"/>
    </row>
    <row r="31" spans="1:12" s="193" customFormat="1" x14ac:dyDescent="0.25">
      <c r="A31" s="180">
        <v>2</v>
      </c>
      <c r="B31" s="181" t="s">
        <v>191</v>
      </c>
      <c r="C31" s="155">
        <f>15125*1.4</f>
        <v>21175</v>
      </c>
      <c r="D31" s="214">
        <f>'[2]Lista de Precios H'!$B$72</f>
        <v>0.62770000000000004</v>
      </c>
      <c r="E31" s="155">
        <f>C31*(1+D31)</f>
        <v>34466.547500000001</v>
      </c>
      <c r="F31" s="155">
        <f>+F30</f>
        <v>10</v>
      </c>
      <c r="G31" s="156">
        <f>E31/F31</f>
        <v>3446.6547500000001</v>
      </c>
      <c r="H31" s="484"/>
    </row>
    <row r="32" spans="1:12" s="193" customFormat="1" x14ac:dyDescent="0.25">
      <c r="A32" s="180">
        <v>3</v>
      </c>
      <c r="B32" s="181" t="s">
        <v>192</v>
      </c>
      <c r="C32" s="155">
        <f>16881*1.4</f>
        <v>23633.399999999998</v>
      </c>
      <c r="D32" s="182">
        <f>+'[2]Lista de Precios H'!$B$73</f>
        <v>0.75819999999999999</v>
      </c>
      <c r="E32" s="155">
        <f>C32*(1+D32)</f>
        <v>41552.243879999995</v>
      </c>
      <c r="F32" s="155">
        <f>+F31</f>
        <v>10</v>
      </c>
      <c r="G32" s="156">
        <f>E32/F32</f>
        <v>4155.2243879999996</v>
      </c>
      <c r="H32" s="484"/>
      <c r="J32" s="193">
        <v>312.5</v>
      </c>
    </row>
    <row r="33" spans="1:11" s="193" customFormat="1" ht="15.75" thickBot="1" x14ac:dyDescent="0.3">
      <c r="A33" s="180">
        <v>1</v>
      </c>
      <c r="B33" s="181" t="s">
        <v>193</v>
      </c>
      <c r="C33" s="158">
        <v>6050</v>
      </c>
      <c r="D33" s="182">
        <f>+'[2]Lista de Precios H'!$B$73</f>
        <v>0.75819999999999999</v>
      </c>
      <c r="E33" s="155">
        <f>C33*(1+D33)</f>
        <v>10637.11</v>
      </c>
      <c r="F33" s="155">
        <f>+F32</f>
        <v>10</v>
      </c>
      <c r="G33" s="156">
        <f>E33/F33</f>
        <v>1063.711</v>
      </c>
      <c r="H33" s="484"/>
      <c r="J33" s="193">
        <f>J32/8</f>
        <v>39.0625</v>
      </c>
    </row>
    <row r="34" spans="1:11" s="193" customFormat="1" ht="16.5" thickBot="1" x14ac:dyDescent="0.3">
      <c r="A34" s="597"/>
      <c r="B34" s="598"/>
      <c r="C34" s="160"/>
      <c r="D34" s="160"/>
      <c r="E34" s="160"/>
      <c r="F34" s="160"/>
      <c r="G34" s="132" t="s">
        <v>170</v>
      </c>
      <c r="H34" s="161">
        <f>SUM(G30:G33)</f>
        <v>10645.280262999999</v>
      </c>
    </row>
    <row r="35" spans="1:11" s="193" customFormat="1" ht="15.75" thickBot="1" x14ac:dyDescent="0.3">
      <c r="A35" s="602"/>
      <c r="B35" s="603"/>
      <c r="C35" s="167"/>
      <c r="D35" s="167"/>
      <c r="E35" s="167"/>
      <c r="F35" s="167"/>
      <c r="G35" s="185"/>
      <c r="H35" s="186"/>
    </row>
    <row r="36" spans="1:11" s="193" customFormat="1" ht="16.5" thickBot="1" x14ac:dyDescent="0.3">
      <c r="A36" s="604"/>
      <c r="B36" s="605"/>
      <c r="C36" s="146"/>
      <c r="D36" s="146"/>
      <c r="E36" s="225"/>
      <c r="F36" s="475" t="s">
        <v>194</v>
      </c>
      <c r="G36" s="476"/>
      <c r="H36" s="187">
        <f>ROUND((+H15+H22+H27+H34),0)</f>
        <v>26000</v>
      </c>
      <c r="K36" s="193" t="e">
        <f>+#REF!*1.38</f>
        <v>#REF!</v>
      </c>
    </row>
    <row r="37" spans="1:11" s="193" customFormat="1" ht="15.75" x14ac:dyDescent="0.25">
      <c r="B37" s="207"/>
      <c r="D37" s="208"/>
      <c r="E37" s="209"/>
      <c r="F37" s="210"/>
      <c r="G37" s="211"/>
      <c r="H37" s="212"/>
    </row>
    <row r="38" spans="1:11" s="193" customFormat="1" x14ac:dyDescent="0.25">
      <c r="A38" s="135"/>
      <c r="B38" s="188"/>
      <c r="C38" s="188"/>
      <c r="D38" s="188"/>
      <c r="E38" s="188"/>
      <c r="F38" s="188"/>
      <c r="G38" s="188"/>
      <c r="H38" s="188"/>
    </row>
    <row r="39" spans="1:11" s="193" customFormat="1" x14ac:dyDescent="0.25">
      <c r="A39" s="135"/>
      <c r="B39" s="135"/>
      <c r="C39" s="135"/>
      <c r="D39" s="135"/>
      <c r="E39" s="135"/>
      <c r="F39" s="135"/>
      <c r="G39" s="135"/>
      <c r="H39" s="135"/>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
      <c r="A42" s="133"/>
      <c r="B42" s="133"/>
      <c r="C42" s="133"/>
      <c r="D42" s="133"/>
      <c r="E42" s="133"/>
      <c r="F42" s="133"/>
      <c r="G42" s="133"/>
      <c r="H42" s="133"/>
    </row>
    <row r="43" spans="1:11" s="192" customFormat="1" x14ac:dyDescent="0.2"/>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sheetData>
  <protectedRanges>
    <protectedRange sqref="A5 C5" name="Rango1_3_2_1"/>
    <protectedRange sqref="H37" name="Rango1_3_1_1_1"/>
    <protectedRange sqref="H36 H27 H15 H22 H34 A14 D13:E13 F12:H13 A12 C25:E26 C12:D12 C14:H14 C20:H20 A20:A21 A25:A26 G18 F27 C21:D21 F21:H21 B30:B33 D30:H33 G25:H26 F19:H19" name="Rango1"/>
    <protectedRange sqref="A13 C13" name="Rango1_1_1_1"/>
    <protectedRange sqref="E21" name="Rango1_4_1"/>
    <protectedRange sqref="C30:C33" name="Rango1_2_1"/>
    <protectedRange sqref="F25:F26" name="Rango1_2_3"/>
    <protectedRange sqref="E12" name="Rango1_2_5"/>
  </protectedRanges>
  <mergeCells count="32">
    <mergeCell ref="A16:B16"/>
    <mergeCell ref="A2:D4"/>
    <mergeCell ref="E2:H4"/>
    <mergeCell ref="A5:D5"/>
    <mergeCell ref="A6:B6"/>
    <mergeCell ref="B7:H7"/>
    <mergeCell ref="A11:C11"/>
    <mergeCell ref="A12:C12"/>
    <mergeCell ref="H12:H14"/>
    <mergeCell ref="A13:C13"/>
    <mergeCell ref="A14:C14"/>
    <mergeCell ref="A15:B15"/>
    <mergeCell ref="A17:C17"/>
    <mergeCell ref="A18:C18"/>
    <mergeCell ref="H18:H21"/>
    <mergeCell ref="A19:C19"/>
    <mergeCell ref="A20:C20"/>
    <mergeCell ref="A21:C21"/>
    <mergeCell ref="H30:H33"/>
    <mergeCell ref="A34:B34"/>
    <mergeCell ref="A35:B35"/>
    <mergeCell ref="A22:B22"/>
    <mergeCell ref="A23:B23"/>
    <mergeCell ref="A24:B24"/>
    <mergeCell ref="A25:B25"/>
    <mergeCell ref="H25:H26"/>
    <mergeCell ref="A26:B26"/>
    <mergeCell ref="A36:B36"/>
    <mergeCell ref="F36:G36"/>
    <mergeCell ref="A27:B27"/>
    <mergeCell ref="A28:B28"/>
    <mergeCell ref="A29:B2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E34E6-D9E5-4212-9AE0-C2D85E32A126}">
  <dimension ref="A1:L60"/>
  <sheetViews>
    <sheetView topLeftCell="A10" workbookViewId="0">
      <selection activeCell="G16" sqref="G16"/>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227</v>
      </c>
      <c r="B7" s="525" t="s">
        <v>229</v>
      </c>
      <c r="C7" s="526"/>
      <c r="D7" s="526"/>
      <c r="E7" s="526"/>
      <c r="F7" s="526"/>
      <c r="G7" s="526"/>
      <c r="H7" s="527"/>
    </row>
    <row r="8" spans="1:8" s="193" customFormat="1" ht="16.5" thickBot="1" x14ac:dyDescent="0.3">
      <c r="A8" s="195"/>
      <c r="B8" s="160"/>
      <c r="C8" s="141"/>
      <c r="D8" s="141"/>
      <c r="E8" s="141"/>
      <c r="F8" s="141"/>
      <c r="G8" s="142" t="s">
        <v>158</v>
      </c>
      <c r="H8" s="143" t="s">
        <v>85</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7" t="s">
        <v>69</v>
      </c>
      <c r="B11" s="493"/>
      <c r="C11" s="488"/>
      <c r="D11" s="148" t="s">
        <v>161</v>
      </c>
      <c r="E11" s="148" t="s">
        <v>162</v>
      </c>
      <c r="F11" s="148" t="s">
        <v>163</v>
      </c>
      <c r="G11" s="149" t="s">
        <v>164</v>
      </c>
      <c r="H11" s="150" t="s">
        <v>165</v>
      </c>
    </row>
    <row r="12" spans="1:8" s="193" customFormat="1" ht="15" customHeight="1" x14ac:dyDescent="0.25">
      <c r="A12" s="489" t="s">
        <v>199</v>
      </c>
      <c r="B12" s="528"/>
      <c r="C12" s="490"/>
      <c r="D12" s="151" t="s">
        <v>196</v>
      </c>
      <c r="E12" s="152">
        <v>25000</v>
      </c>
      <c r="F12" s="151">
        <v>0.75</v>
      </c>
      <c r="G12" s="153">
        <f>E12/F12</f>
        <v>33333.333333333336</v>
      </c>
      <c r="H12" s="529"/>
    </row>
    <row r="13" spans="1:8" s="193" customFormat="1" ht="15" customHeight="1" x14ac:dyDescent="0.25">
      <c r="A13" s="532" t="s">
        <v>166</v>
      </c>
      <c r="B13" s="533"/>
      <c r="C13" s="534"/>
      <c r="D13" s="200" t="s">
        <v>167</v>
      </c>
      <c r="E13" s="155">
        <v>12000</v>
      </c>
      <c r="F13" s="200">
        <f>+F12</f>
        <v>0.75</v>
      </c>
      <c r="G13" s="173">
        <f>E13/F13</f>
        <v>16000</v>
      </c>
      <c r="H13" s="530"/>
    </row>
    <row r="14" spans="1:8" s="193" customFormat="1" ht="15" customHeight="1" x14ac:dyDescent="0.25">
      <c r="A14" s="535" t="s">
        <v>197</v>
      </c>
      <c r="B14" s="536"/>
      <c r="C14" s="537"/>
      <c r="D14" s="154" t="s">
        <v>167</v>
      </c>
      <c r="E14" s="155">
        <v>6000</v>
      </c>
      <c r="F14" s="154">
        <f>+F13</f>
        <v>0.75</v>
      </c>
      <c r="G14" s="156">
        <f>E14/F14</f>
        <v>8000</v>
      </c>
      <c r="H14" s="530"/>
    </row>
    <row r="15" spans="1:8" s="193" customFormat="1" ht="15" customHeight="1" thickBot="1" x14ac:dyDescent="0.3">
      <c r="A15" s="502" t="s">
        <v>168</v>
      </c>
      <c r="B15" s="503"/>
      <c r="C15" s="504"/>
      <c r="D15" s="157" t="s">
        <v>169</v>
      </c>
      <c r="E15" s="158"/>
      <c r="F15" s="158"/>
      <c r="G15" s="159">
        <f>3000-88-754</f>
        <v>2158</v>
      </c>
      <c r="H15" s="531"/>
    </row>
    <row r="16" spans="1:8" s="193" customFormat="1" ht="15.6" customHeight="1" thickBot="1" x14ac:dyDescent="0.3">
      <c r="A16" s="477"/>
      <c r="B16" s="478"/>
      <c r="C16" s="160"/>
      <c r="D16" s="160"/>
      <c r="E16" s="160"/>
      <c r="F16" s="160"/>
      <c r="G16" s="132" t="s">
        <v>170</v>
      </c>
      <c r="H16" s="161">
        <f>SUM(G12:G15)</f>
        <v>59491.333333333336</v>
      </c>
    </row>
    <row r="17" spans="1:12" s="193" customFormat="1" ht="16.5" thickBot="1" x14ac:dyDescent="0.3">
      <c r="A17" s="479" t="s">
        <v>171</v>
      </c>
      <c r="B17" s="480"/>
      <c r="C17" s="146"/>
      <c r="D17" s="146"/>
      <c r="E17" s="146"/>
      <c r="F17" s="146"/>
      <c r="G17" s="146"/>
      <c r="H17" s="162"/>
    </row>
    <row r="18" spans="1:12" s="193" customFormat="1" ht="15.75" customHeight="1" thickBot="1" x14ac:dyDescent="0.3">
      <c r="A18" s="487" t="s">
        <v>69</v>
      </c>
      <c r="B18" s="493"/>
      <c r="C18" s="488"/>
      <c r="D18" s="148" t="s">
        <v>70</v>
      </c>
      <c r="E18" s="148" t="s">
        <v>172</v>
      </c>
      <c r="F18" s="148" t="s">
        <v>71</v>
      </c>
      <c r="G18" s="149" t="s">
        <v>164</v>
      </c>
      <c r="H18" s="201" t="s">
        <v>165</v>
      </c>
    </row>
    <row r="19" spans="1:12" s="193" customFormat="1" x14ac:dyDescent="0.25">
      <c r="A19" s="489" t="s">
        <v>200</v>
      </c>
      <c r="B19" s="528"/>
      <c r="C19" s="490"/>
      <c r="D19" s="151" t="s">
        <v>173</v>
      </c>
      <c r="E19" s="152">
        <v>116800</v>
      </c>
      <c r="F19" s="203">
        <v>1.18</v>
      </c>
      <c r="G19" s="153">
        <f>E19*F19</f>
        <v>137824</v>
      </c>
      <c r="H19" s="491"/>
      <c r="L19" s="202"/>
    </row>
    <row r="20" spans="1:12" s="193" customFormat="1" x14ac:dyDescent="0.25">
      <c r="A20" s="535" t="s">
        <v>201</v>
      </c>
      <c r="B20" s="536"/>
      <c r="C20" s="537"/>
      <c r="D20" s="154" t="s">
        <v>169</v>
      </c>
      <c r="E20" s="170">
        <v>9852.1314650000004</v>
      </c>
      <c r="F20" s="165">
        <v>0.15</v>
      </c>
      <c r="G20" s="156">
        <f>E20*F20</f>
        <v>1477.8197197500001</v>
      </c>
      <c r="H20" s="596"/>
      <c r="L20" s="202"/>
    </row>
    <row r="21" spans="1:12" s="193" customFormat="1" x14ac:dyDescent="0.25">
      <c r="A21" s="535" t="s">
        <v>174</v>
      </c>
      <c r="B21" s="536"/>
      <c r="C21" s="537"/>
      <c r="D21" s="154" t="s">
        <v>175</v>
      </c>
      <c r="E21" s="170">
        <v>9400</v>
      </c>
      <c r="F21" s="165">
        <v>0.5</v>
      </c>
      <c r="G21" s="156">
        <f>E21*F21</f>
        <v>4700</v>
      </c>
      <c r="H21" s="596"/>
    </row>
    <row r="22" spans="1:12" s="193" customFormat="1" ht="15.75" thickBot="1" x14ac:dyDescent="0.3">
      <c r="A22" s="502" t="s">
        <v>176</v>
      </c>
      <c r="B22" s="503"/>
      <c r="C22" s="504"/>
      <c r="D22" s="157" t="s">
        <v>169</v>
      </c>
      <c r="E22" s="157">
        <v>30463.021467466115</v>
      </c>
      <c r="F22" s="166">
        <v>0.15</v>
      </c>
      <c r="G22" s="159">
        <f>E22*F22</f>
        <v>4569.4532201199172</v>
      </c>
      <c r="H22" s="492"/>
    </row>
    <row r="23" spans="1:12" s="193" customFormat="1" ht="16.5" thickBot="1" x14ac:dyDescent="0.3">
      <c r="A23" s="477"/>
      <c r="B23" s="478"/>
      <c r="C23" s="160"/>
      <c r="D23" s="160"/>
      <c r="E23" s="160"/>
      <c r="F23" s="160"/>
      <c r="G23" s="132" t="s">
        <v>170</v>
      </c>
      <c r="H23" s="161">
        <f>SUM(G19:G22)</f>
        <v>148571.2729398699</v>
      </c>
    </row>
    <row r="24" spans="1:12" s="193" customFormat="1" ht="16.5" thickBot="1" x14ac:dyDescent="0.3">
      <c r="A24" s="479" t="s">
        <v>177</v>
      </c>
      <c r="B24" s="480"/>
      <c r="C24" s="146"/>
      <c r="D24" s="146"/>
      <c r="E24" s="146"/>
      <c r="F24" s="146"/>
      <c r="G24" s="146"/>
      <c r="H24" s="162"/>
    </row>
    <row r="25" spans="1:12" s="193" customFormat="1" ht="15.75" customHeight="1" thickBot="1" x14ac:dyDescent="0.3">
      <c r="A25" s="487" t="s">
        <v>178</v>
      </c>
      <c r="B25" s="488"/>
      <c r="C25" s="148" t="s">
        <v>179</v>
      </c>
      <c r="D25" s="148" t="s">
        <v>180</v>
      </c>
      <c r="E25" s="148" t="s">
        <v>181</v>
      </c>
      <c r="F25" s="148" t="s">
        <v>182</v>
      </c>
      <c r="G25" s="149" t="s">
        <v>164</v>
      </c>
      <c r="H25" s="201" t="s">
        <v>165</v>
      </c>
    </row>
    <row r="26" spans="1:12" s="193" customFormat="1" ht="15.75" thickBot="1" x14ac:dyDescent="0.3">
      <c r="A26" s="489" t="s">
        <v>183</v>
      </c>
      <c r="B26" s="490"/>
      <c r="C26" s="152"/>
      <c r="D26" s="152"/>
      <c r="E26" s="213">
        <v>0.05</v>
      </c>
      <c r="F26" s="172">
        <v>300000</v>
      </c>
      <c r="G26" s="153">
        <f>F26*E26</f>
        <v>15000</v>
      </c>
      <c r="H26" s="491"/>
    </row>
    <row r="27" spans="1:12" s="193" customFormat="1" ht="15" customHeight="1" thickBot="1" x14ac:dyDescent="0.3">
      <c r="A27" s="489" t="s">
        <v>202</v>
      </c>
      <c r="B27" s="490"/>
      <c r="C27" s="158"/>
      <c r="D27" s="158"/>
      <c r="E27" s="171">
        <f>+E26</f>
        <v>0.05</v>
      </c>
      <c r="F27" s="174">
        <v>300000</v>
      </c>
      <c r="G27" s="159">
        <f>F27*E27</f>
        <v>15000</v>
      </c>
      <c r="H27" s="492"/>
      <c r="J27" s="204"/>
      <c r="K27" s="204"/>
    </row>
    <row r="28" spans="1:12" s="193" customFormat="1" ht="16.5" thickBot="1" x14ac:dyDescent="0.3">
      <c r="A28" s="477"/>
      <c r="B28" s="478"/>
      <c r="C28" s="160"/>
      <c r="D28" s="160"/>
      <c r="E28" s="160"/>
      <c r="F28" s="160"/>
      <c r="G28" s="132" t="s">
        <v>170</v>
      </c>
      <c r="H28" s="161">
        <f>SUM(G26:G27)</f>
        <v>30000</v>
      </c>
      <c r="J28" s="204"/>
      <c r="K28" s="204"/>
    </row>
    <row r="29" spans="1:12" s="193" customFormat="1" ht="16.5" thickBot="1" x14ac:dyDescent="0.3">
      <c r="A29" s="479" t="s">
        <v>185</v>
      </c>
      <c r="B29" s="480"/>
      <c r="C29" s="146"/>
      <c r="D29" s="146"/>
      <c r="E29" s="146"/>
      <c r="F29" s="146"/>
      <c r="G29" s="146"/>
      <c r="H29" s="162"/>
      <c r="J29" s="204"/>
      <c r="K29" s="204"/>
    </row>
    <row r="30" spans="1:12" s="193" customFormat="1" ht="15.75" customHeight="1" thickBot="1" x14ac:dyDescent="0.3">
      <c r="A30" s="481" t="s">
        <v>186</v>
      </c>
      <c r="B30" s="482"/>
      <c r="C30" s="175" t="s">
        <v>187</v>
      </c>
      <c r="D30" s="175" t="s">
        <v>188</v>
      </c>
      <c r="E30" s="175" t="s">
        <v>189</v>
      </c>
      <c r="F30" s="175" t="s">
        <v>163</v>
      </c>
      <c r="G30" s="175" t="s">
        <v>164</v>
      </c>
      <c r="H30" s="176" t="s">
        <v>165</v>
      </c>
    </row>
    <row r="31" spans="1:12" s="193" customFormat="1" x14ac:dyDescent="0.25">
      <c r="A31" s="205">
        <v>1</v>
      </c>
      <c r="B31" s="178" t="s">
        <v>190</v>
      </c>
      <c r="C31" s="152">
        <v>12162.5</v>
      </c>
      <c r="D31" s="179">
        <f>'[2]Lista de Precios H'!$B$72</f>
        <v>0.62770000000000004</v>
      </c>
      <c r="E31" s="152">
        <f>C31*(1+D31)</f>
        <v>19796.901249999999</v>
      </c>
      <c r="F31" s="152">
        <f>+F14</f>
        <v>0.75</v>
      </c>
      <c r="G31" s="153">
        <f>E31/F31</f>
        <v>26395.868333333332</v>
      </c>
      <c r="H31" s="483"/>
    </row>
    <row r="32" spans="1:12" s="193" customFormat="1" x14ac:dyDescent="0.25">
      <c r="A32" s="206">
        <v>2</v>
      </c>
      <c r="B32" s="181" t="s">
        <v>191</v>
      </c>
      <c r="C32" s="155">
        <f>15125*1.4</f>
        <v>21175</v>
      </c>
      <c r="D32" s="214">
        <f>'[2]Lista de Precios H'!$B$72</f>
        <v>0.62770000000000004</v>
      </c>
      <c r="E32" s="155">
        <f>C32*(1+D32)</f>
        <v>34466.547500000001</v>
      </c>
      <c r="F32" s="155">
        <f>+F31</f>
        <v>0.75</v>
      </c>
      <c r="G32" s="156">
        <f>E32/F32</f>
        <v>45955.396666666667</v>
      </c>
      <c r="H32" s="484"/>
      <c r="J32" s="193">
        <v>312.5</v>
      </c>
    </row>
    <row r="33" spans="1:11" s="193" customFormat="1" x14ac:dyDescent="0.25">
      <c r="A33" s="206">
        <v>3</v>
      </c>
      <c r="B33" s="181" t="s">
        <v>192</v>
      </c>
      <c r="C33" s="155">
        <f>16881*1.4</f>
        <v>23633.399999999998</v>
      </c>
      <c r="D33" s="182">
        <f>+'[2]Lista de Precios H'!$B$73</f>
        <v>0.75819999999999999</v>
      </c>
      <c r="E33" s="155">
        <f>C33*(1+D33)</f>
        <v>41552.243879999995</v>
      </c>
      <c r="F33" s="155">
        <f>+F32</f>
        <v>0.75</v>
      </c>
      <c r="G33" s="156">
        <f>E33/F33</f>
        <v>55402.991839999995</v>
      </c>
      <c r="H33" s="484"/>
      <c r="J33" s="193">
        <f>J32/8</f>
        <v>39.0625</v>
      </c>
    </row>
    <row r="34" spans="1:11" s="193" customFormat="1" ht="15.75" thickBot="1" x14ac:dyDescent="0.3">
      <c r="A34" s="206">
        <v>1</v>
      </c>
      <c r="B34" s="181" t="s">
        <v>193</v>
      </c>
      <c r="C34" s="158">
        <v>6050</v>
      </c>
      <c r="D34" s="182">
        <f>+'[2]Lista de Precios H'!$B$73</f>
        <v>0.75819999999999999</v>
      </c>
      <c r="E34" s="155">
        <f>C34*(1+D34)</f>
        <v>10637.11</v>
      </c>
      <c r="F34" s="155">
        <f>+F33</f>
        <v>0.75</v>
      </c>
      <c r="G34" s="156">
        <f>E34/F34</f>
        <v>14182.813333333334</v>
      </c>
      <c r="H34" s="484"/>
    </row>
    <row r="35" spans="1:11" s="193" customFormat="1" ht="16.5" thickBot="1" x14ac:dyDescent="0.3">
      <c r="A35" s="477"/>
      <c r="B35" s="478"/>
      <c r="C35" s="160"/>
      <c r="D35" s="160"/>
      <c r="E35" s="160"/>
      <c r="F35" s="160"/>
      <c r="G35" s="132" t="s">
        <v>170</v>
      </c>
      <c r="H35" s="161">
        <f>SUM(G31:G34)</f>
        <v>141937.07017333331</v>
      </c>
    </row>
    <row r="36" spans="1:11" s="193" customFormat="1" ht="15.75" thickBot="1" x14ac:dyDescent="0.3">
      <c r="A36" s="485"/>
      <c r="B36" s="486"/>
      <c r="C36" s="167"/>
      <c r="D36" s="167"/>
      <c r="E36" s="167"/>
      <c r="F36" s="167"/>
      <c r="G36" s="185"/>
      <c r="H36" s="186"/>
      <c r="K36" s="193" t="e">
        <f>+#REF!*1.38</f>
        <v>#REF!</v>
      </c>
    </row>
    <row r="37" spans="1:11" s="193" customFormat="1" ht="16.5" thickBot="1" x14ac:dyDescent="0.3">
      <c r="A37" s="473"/>
      <c r="B37" s="474"/>
      <c r="C37" s="146"/>
      <c r="D37" s="146"/>
      <c r="E37" s="146"/>
      <c r="F37" s="475" t="s">
        <v>194</v>
      </c>
      <c r="G37" s="476"/>
      <c r="H37" s="187">
        <f>ROUND((+H16+H23+H28+H35),0)</f>
        <v>380000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A5 C5" name="Rango1_3_2_1"/>
    <protectedRange sqref="H38" name="Rango1_3_1_1_1"/>
    <protectedRange sqref="A14 C14" name="Rango1_1_1_1_2"/>
    <protectedRange sqref="D12:G12" name="Rango1_1"/>
    <protectedRange sqref="E22" name="Rango1_4_1_2"/>
    <protectedRange sqref="C31:C34" name="Rango1_2_2_2"/>
    <protectedRange sqref="F26:F27" name="Rango1_2_4_2"/>
    <protectedRange sqref="E13" name="Rango1_2_6_2"/>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94597-7DF7-403B-B462-20CEF5D082B7}">
  <dimension ref="A1:L60"/>
  <sheetViews>
    <sheetView topLeftCell="A10" workbookViewId="0">
      <selection activeCell="G16" sqref="G16"/>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230</v>
      </c>
      <c r="B7" s="525" t="s">
        <v>231</v>
      </c>
      <c r="C7" s="526"/>
      <c r="D7" s="526"/>
      <c r="E7" s="526"/>
      <c r="F7" s="526"/>
      <c r="G7" s="526"/>
      <c r="H7" s="527"/>
    </row>
    <row r="8" spans="1:8" s="193" customFormat="1" ht="16.5" thickBot="1" x14ac:dyDescent="0.3">
      <c r="A8" s="195"/>
      <c r="B8" s="160"/>
      <c r="C8" s="141"/>
      <c r="D8" s="141"/>
      <c r="E8" s="141"/>
      <c r="F8" s="141"/>
      <c r="G8" s="142" t="s">
        <v>158</v>
      </c>
      <c r="H8" s="143" t="s">
        <v>159</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7" t="s">
        <v>69</v>
      </c>
      <c r="B11" s="493"/>
      <c r="C11" s="488"/>
      <c r="D11" s="148" t="s">
        <v>161</v>
      </c>
      <c r="E11" s="148" t="s">
        <v>162</v>
      </c>
      <c r="F11" s="148" t="s">
        <v>163</v>
      </c>
      <c r="G11" s="149" t="s">
        <v>164</v>
      </c>
      <c r="H11" s="150" t="s">
        <v>165</v>
      </c>
    </row>
    <row r="12" spans="1:8" s="193" customFormat="1" ht="15" customHeight="1" x14ac:dyDescent="0.25">
      <c r="A12" s="489" t="s">
        <v>199</v>
      </c>
      <c r="B12" s="528"/>
      <c r="C12" s="490"/>
      <c r="D12" s="151" t="s">
        <v>196</v>
      </c>
      <c r="E12" s="152">
        <v>25000</v>
      </c>
      <c r="F12" s="151">
        <v>0.45</v>
      </c>
      <c r="G12" s="153">
        <f>E12/F12</f>
        <v>55555.555555555555</v>
      </c>
      <c r="H12" s="529"/>
    </row>
    <row r="13" spans="1:8" s="193" customFormat="1" ht="15" customHeight="1" x14ac:dyDescent="0.25">
      <c r="A13" s="532" t="s">
        <v>166</v>
      </c>
      <c r="B13" s="533"/>
      <c r="C13" s="534"/>
      <c r="D13" s="200" t="s">
        <v>167</v>
      </c>
      <c r="E13" s="155">
        <v>12000</v>
      </c>
      <c r="F13" s="200">
        <f>+F12</f>
        <v>0.45</v>
      </c>
      <c r="G13" s="173">
        <f>E13/F13</f>
        <v>26666.666666666664</v>
      </c>
      <c r="H13" s="530"/>
    </row>
    <row r="14" spans="1:8" s="193" customFormat="1" ht="15" customHeight="1" x14ac:dyDescent="0.25">
      <c r="A14" s="535" t="s">
        <v>197</v>
      </c>
      <c r="B14" s="536"/>
      <c r="C14" s="537"/>
      <c r="D14" s="154" t="s">
        <v>167</v>
      </c>
      <c r="E14" s="155">
        <v>6000</v>
      </c>
      <c r="F14" s="154">
        <f>+F13</f>
        <v>0.45</v>
      </c>
      <c r="G14" s="156">
        <f>E14/F14</f>
        <v>13333.333333333332</v>
      </c>
      <c r="H14" s="530"/>
    </row>
    <row r="15" spans="1:8" s="193" customFormat="1" ht="15" customHeight="1" thickBot="1" x14ac:dyDescent="0.3">
      <c r="A15" s="502" t="s">
        <v>168</v>
      </c>
      <c r="B15" s="503"/>
      <c r="C15" s="504"/>
      <c r="D15" s="157" t="s">
        <v>169</v>
      </c>
      <c r="E15" s="158"/>
      <c r="F15" s="158"/>
      <c r="G15" s="159">
        <f>1563+94+2000+480</f>
        <v>4137</v>
      </c>
      <c r="H15" s="531"/>
    </row>
    <row r="16" spans="1:8" s="193" customFormat="1" ht="15.6" customHeight="1" thickBot="1" x14ac:dyDescent="0.3">
      <c r="A16" s="477"/>
      <c r="B16" s="478"/>
      <c r="C16" s="160"/>
      <c r="D16" s="160"/>
      <c r="E16" s="160"/>
      <c r="F16" s="160"/>
      <c r="G16" s="132" t="s">
        <v>170</v>
      </c>
      <c r="H16" s="161">
        <f>SUM(G12:G15)</f>
        <v>99692.555555555547</v>
      </c>
    </row>
    <row r="17" spans="1:12" s="193" customFormat="1" ht="16.5" thickBot="1" x14ac:dyDescent="0.3">
      <c r="A17" s="479" t="s">
        <v>171</v>
      </c>
      <c r="B17" s="480"/>
      <c r="C17" s="146"/>
      <c r="D17" s="146"/>
      <c r="E17" s="146"/>
      <c r="F17" s="146"/>
      <c r="G17" s="146"/>
      <c r="H17" s="162"/>
    </row>
    <row r="18" spans="1:12" s="193" customFormat="1" ht="15.75" customHeight="1" thickBot="1" x14ac:dyDescent="0.3">
      <c r="A18" s="487" t="s">
        <v>69</v>
      </c>
      <c r="B18" s="493"/>
      <c r="C18" s="488"/>
      <c r="D18" s="148" t="s">
        <v>70</v>
      </c>
      <c r="E18" s="148" t="s">
        <v>172</v>
      </c>
      <c r="F18" s="148" t="s">
        <v>71</v>
      </c>
      <c r="G18" s="149" t="s">
        <v>164</v>
      </c>
      <c r="H18" s="201" t="s">
        <v>165</v>
      </c>
    </row>
    <row r="19" spans="1:12" s="193" customFormat="1" x14ac:dyDescent="0.25">
      <c r="A19" s="489" t="s">
        <v>200</v>
      </c>
      <c r="B19" s="528"/>
      <c r="C19" s="490"/>
      <c r="D19" s="151" t="s">
        <v>173</v>
      </c>
      <c r="E19" s="152">
        <v>116800</v>
      </c>
      <c r="F19" s="203">
        <v>2.4300000000000002</v>
      </c>
      <c r="G19" s="153">
        <f>E19*F19</f>
        <v>283824</v>
      </c>
      <c r="H19" s="491"/>
      <c r="L19" s="202"/>
    </row>
    <row r="20" spans="1:12" s="193" customFormat="1" x14ac:dyDescent="0.25">
      <c r="A20" s="535" t="s">
        <v>201</v>
      </c>
      <c r="B20" s="536"/>
      <c r="C20" s="537"/>
      <c r="D20" s="154" t="s">
        <v>169</v>
      </c>
      <c r="E20" s="170">
        <v>9852.1314650000004</v>
      </c>
      <c r="F20" s="165">
        <v>0.2</v>
      </c>
      <c r="G20" s="156">
        <f>E20*F20</f>
        <v>1970.4262930000002</v>
      </c>
      <c r="H20" s="596"/>
      <c r="L20" s="202"/>
    </row>
    <row r="21" spans="1:12" s="193" customFormat="1" x14ac:dyDescent="0.25">
      <c r="A21" s="535" t="s">
        <v>174</v>
      </c>
      <c r="B21" s="536"/>
      <c r="C21" s="537"/>
      <c r="D21" s="154" t="s">
        <v>175</v>
      </c>
      <c r="E21" s="170">
        <v>9400</v>
      </c>
      <c r="F21" s="165">
        <v>0.6</v>
      </c>
      <c r="G21" s="156">
        <f>E21*F21</f>
        <v>5640</v>
      </c>
      <c r="H21" s="596"/>
    </row>
    <row r="22" spans="1:12" s="193" customFormat="1" ht="15.75" thickBot="1" x14ac:dyDescent="0.3">
      <c r="A22" s="502" t="s">
        <v>176</v>
      </c>
      <c r="B22" s="503"/>
      <c r="C22" s="504"/>
      <c r="D22" s="157" t="s">
        <v>169</v>
      </c>
      <c r="E22" s="157">
        <v>30463.021467466115</v>
      </c>
      <c r="F22" s="166">
        <v>0.24</v>
      </c>
      <c r="G22" s="159">
        <f>E22*F22</f>
        <v>7311.1251521918675</v>
      </c>
      <c r="H22" s="492"/>
    </row>
    <row r="23" spans="1:12" s="193" customFormat="1" ht="16.5" thickBot="1" x14ac:dyDescent="0.3">
      <c r="A23" s="477"/>
      <c r="B23" s="478"/>
      <c r="C23" s="160"/>
      <c r="D23" s="160"/>
      <c r="E23" s="160"/>
      <c r="F23" s="160"/>
      <c r="G23" s="132" t="s">
        <v>170</v>
      </c>
      <c r="H23" s="161">
        <f>SUM(G19:G22)</f>
        <v>298745.55144519184</v>
      </c>
    </row>
    <row r="24" spans="1:12" s="193" customFormat="1" ht="16.5" thickBot="1" x14ac:dyDescent="0.3">
      <c r="A24" s="479" t="s">
        <v>177</v>
      </c>
      <c r="B24" s="480"/>
      <c r="C24" s="146"/>
      <c r="D24" s="146"/>
      <c r="E24" s="146"/>
      <c r="F24" s="146"/>
      <c r="G24" s="146"/>
      <c r="H24" s="162"/>
    </row>
    <row r="25" spans="1:12" s="193" customFormat="1" ht="15.75" customHeight="1" thickBot="1" x14ac:dyDescent="0.3">
      <c r="A25" s="487" t="s">
        <v>178</v>
      </c>
      <c r="B25" s="488"/>
      <c r="C25" s="148" t="s">
        <v>179</v>
      </c>
      <c r="D25" s="148" t="s">
        <v>180</v>
      </c>
      <c r="E25" s="148" t="s">
        <v>181</v>
      </c>
      <c r="F25" s="148" t="s">
        <v>182</v>
      </c>
      <c r="G25" s="149" t="s">
        <v>164</v>
      </c>
      <c r="H25" s="201" t="s">
        <v>165</v>
      </c>
    </row>
    <row r="26" spans="1:12" s="193" customFormat="1" ht="15.75" thickBot="1" x14ac:dyDescent="0.3">
      <c r="A26" s="489" t="s">
        <v>183</v>
      </c>
      <c r="B26" s="490"/>
      <c r="C26" s="152"/>
      <c r="D26" s="152"/>
      <c r="E26" s="213">
        <v>0.05</v>
      </c>
      <c r="F26" s="172">
        <v>300000</v>
      </c>
      <c r="G26" s="153">
        <f>F26*E26</f>
        <v>15000</v>
      </c>
      <c r="H26" s="491"/>
    </row>
    <row r="27" spans="1:12" s="193" customFormat="1" ht="15" customHeight="1" thickBot="1" x14ac:dyDescent="0.3">
      <c r="A27" s="489" t="s">
        <v>202</v>
      </c>
      <c r="B27" s="490"/>
      <c r="C27" s="158"/>
      <c r="D27" s="158"/>
      <c r="E27" s="171">
        <f>+E26</f>
        <v>0.05</v>
      </c>
      <c r="F27" s="174">
        <v>300000</v>
      </c>
      <c r="G27" s="159">
        <f>F27*E27</f>
        <v>15000</v>
      </c>
      <c r="H27" s="492"/>
      <c r="J27" s="204"/>
      <c r="K27" s="204"/>
    </row>
    <row r="28" spans="1:12" s="193" customFormat="1" ht="16.5" thickBot="1" x14ac:dyDescent="0.3">
      <c r="A28" s="477"/>
      <c r="B28" s="478"/>
      <c r="C28" s="160"/>
      <c r="D28" s="160"/>
      <c r="E28" s="160"/>
      <c r="F28" s="160"/>
      <c r="G28" s="132" t="s">
        <v>170</v>
      </c>
      <c r="H28" s="161">
        <f>SUM(G26:G27)</f>
        <v>30000</v>
      </c>
      <c r="J28" s="204"/>
      <c r="K28" s="204"/>
    </row>
    <row r="29" spans="1:12" s="193" customFormat="1" ht="16.5" thickBot="1" x14ac:dyDescent="0.3">
      <c r="A29" s="479" t="s">
        <v>185</v>
      </c>
      <c r="B29" s="480"/>
      <c r="C29" s="146"/>
      <c r="D29" s="146"/>
      <c r="E29" s="146"/>
      <c r="F29" s="146"/>
      <c r="G29" s="146"/>
      <c r="H29" s="162"/>
      <c r="J29" s="204"/>
      <c r="K29" s="204"/>
    </row>
    <row r="30" spans="1:12" s="193" customFormat="1" ht="15.75" customHeight="1" thickBot="1" x14ac:dyDescent="0.3">
      <c r="A30" s="481" t="s">
        <v>186</v>
      </c>
      <c r="B30" s="482"/>
      <c r="C30" s="175" t="s">
        <v>187</v>
      </c>
      <c r="D30" s="175" t="s">
        <v>188</v>
      </c>
      <c r="E30" s="175" t="s">
        <v>189</v>
      </c>
      <c r="F30" s="175" t="s">
        <v>163</v>
      </c>
      <c r="G30" s="175" t="s">
        <v>164</v>
      </c>
      <c r="H30" s="176" t="s">
        <v>165</v>
      </c>
    </row>
    <row r="31" spans="1:12" s="193" customFormat="1" x14ac:dyDescent="0.25">
      <c r="A31" s="205">
        <v>1</v>
      </c>
      <c r="B31" s="178" t="s">
        <v>190</v>
      </c>
      <c r="C31" s="152">
        <v>12162.5</v>
      </c>
      <c r="D31" s="179">
        <f>'[2]Lista de Precios H'!$B$72</f>
        <v>0.62770000000000004</v>
      </c>
      <c r="E31" s="152">
        <f>C31*(1+D31)</f>
        <v>19796.901249999999</v>
      </c>
      <c r="F31" s="152">
        <f>+F14</f>
        <v>0.45</v>
      </c>
      <c r="G31" s="153">
        <f>E31/F31</f>
        <v>43993.113888888889</v>
      </c>
      <c r="H31" s="483"/>
    </row>
    <row r="32" spans="1:12" s="193" customFormat="1" x14ac:dyDescent="0.25">
      <c r="A32" s="206">
        <v>2</v>
      </c>
      <c r="B32" s="181" t="s">
        <v>191</v>
      </c>
      <c r="C32" s="155">
        <f>15125*1.4</f>
        <v>21175</v>
      </c>
      <c r="D32" s="214">
        <f>'[2]Lista de Precios H'!$B$72</f>
        <v>0.62770000000000004</v>
      </c>
      <c r="E32" s="155">
        <f>C32*(1+D32)</f>
        <v>34466.547500000001</v>
      </c>
      <c r="F32" s="155">
        <f>+F31</f>
        <v>0.45</v>
      </c>
      <c r="G32" s="156">
        <f>E32/F32</f>
        <v>76592.327777777784</v>
      </c>
      <c r="H32" s="484"/>
      <c r="J32" s="193">
        <v>312.5</v>
      </c>
    </row>
    <row r="33" spans="1:11" s="193" customFormat="1" x14ac:dyDescent="0.25">
      <c r="A33" s="206">
        <v>3</v>
      </c>
      <c r="B33" s="181" t="s">
        <v>192</v>
      </c>
      <c r="C33" s="155">
        <f>16881*1.4</f>
        <v>23633.399999999998</v>
      </c>
      <c r="D33" s="182">
        <f>+'[2]Lista de Precios H'!$B$73</f>
        <v>0.75819999999999999</v>
      </c>
      <c r="E33" s="155">
        <f>C33*(1+D33)</f>
        <v>41552.243879999995</v>
      </c>
      <c r="F33" s="155">
        <f>+F32</f>
        <v>0.45</v>
      </c>
      <c r="G33" s="156">
        <f>E33/F33</f>
        <v>92338.319733333323</v>
      </c>
      <c r="H33" s="484"/>
      <c r="J33" s="193">
        <f>J32/8</f>
        <v>39.0625</v>
      </c>
    </row>
    <row r="34" spans="1:11" s="193" customFormat="1" ht="15.75" thickBot="1" x14ac:dyDescent="0.3">
      <c r="A34" s="206">
        <v>1</v>
      </c>
      <c r="B34" s="181" t="s">
        <v>193</v>
      </c>
      <c r="C34" s="158">
        <v>6050</v>
      </c>
      <c r="D34" s="182">
        <f>+'[2]Lista de Precios H'!$B$73</f>
        <v>0.75819999999999999</v>
      </c>
      <c r="E34" s="155">
        <f>C34*(1+D34)</f>
        <v>10637.11</v>
      </c>
      <c r="F34" s="155">
        <f>+F33</f>
        <v>0.45</v>
      </c>
      <c r="G34" s="156">
        <f>E34/F34</f>
        <v>23638.022222222222</v>
      </c>
      <c r="H34" s="484"/>
    </row>
    <row r="35" spans="1:11" s="193" customFormat="1" ht="16.5" thickBot="1" x14ac:dyDescent="0.3">
      <c r="A35" s="477"/>
      <c r="B35" s="478"/>
      <c r="C35" s="160"/>
      <c r="D35" s="160"/>
      <c r="E35" s="160"/>
      <c r="F35" s="160"/>
      <c r="G35" s="132" t="s">
        <v>170</v>
      </c>
      <c r="H35" s="161">
        <f>SUM(G31:G34)</f>
        <v>236561.78362222225</v>
      </c>
    </row>
    <row r="36" spans="1:11" s="193" customFormat="1" ht="15.75" thickBot="1" x14ac:dyDescent="0.3">
      <c r="A36" s="485"/>
      <c r="B36" s="486"/>
      <c r="C36" s="167"/>
      <c r="D36" s="167"/>
      <c r="E36" s="167"/>
      <c r="F36" s="167"/>
      <c r="G36" s="185"/>
      <c r="H36" s="186"/>
      <c r="K36" s="193" t="e">
        <f>+#REF!*1.38</f>
        <v>#REF!</v>
      </c>
    </row>
    <row r="37" spans="1:11" s="193" customFormat="1" ht="16.5" thickBot="1" x14ac:dyDescent="0.3">
      <c r="A37" s="473"/>
      <c r="B37" s="474"/>
      <c r="C37" s="146"/>
      <c r="D37" s="146"/>
      <c r="E37" s="146"/>
      <c r="F37" s="475" t="s">
        <v>194</v>
      </c>
      <c r="G37" s="476"/>
      <c r="H37" s="187">
        <f>ROUND((+H16+H23+H28+H35),0)</f>
        <v>665000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A5 C5" name="Rango1_3_2_1"/>
    <protectedRange sqref="H38" name="Rango1_3_1_1_1"/>
    <protectedRange sqref="A14 C14" name="Rango1_1_1_1_2"/>
    <protectedRange sqref="D12:G12" name="Rango1_1"/>
    <protectedRange sqref="E22" name="Rango1_4_1_2"/>
    <protectedRange sqref="C31:C34" name="Rango1_2_2_2"/>
    <protectedRange sqref="F26:F27" name="Rango1_2_4_2"/>
    <protectedRange sqref="E13" name="Rango1_2_6_2"/>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09567-EB11-43F3-8283-E0DC6D800832}">
  <dimension ref="A1:L60"/>
  <sheetViews>
    <sheetView workbookViewId="0">
      <selection activeCell="B8" sqref="B8"/>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232</v>
      </c>
      <c r="B7" s="525" t="s">
        <v>233</v>
      </c>
      <c r="C7" s="526"/>
      <c r="D7" s="526"/>
      <c r="E7" s="526"/>
      <c r="F7" s="526"/>
      <c r="G7" s="526"/>
      <c r="H7" s="527"/>
    </row>
    <row r="8" spans="1:8" s="193" customFormat="1" ht="16.5" thickBot="1" x14ac:dyDescent="0.3">
      <c r="A8" s="195"/>
      <c r="B8" s="160"/>
      <c r="C8" s="141"/>
      <c r="D8" s="141"/>
      <c r="E8" s="141"/>
      <c r="F8" s="141"/>
      <c r="G8" s="142" t="s">
        <v>158</v>
      </c>
      <c r="H8" s="143" t="s">
        <v>85</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7" t="s">
        <v>69</v>
      </c>
      <c r="B11" s="493"/>
      <c r="C11" s="488"/>
      <c r="D11" s="148" t="s">
        <v>161</v>
      </c>
      <c r="E11" s="148" t="s">
        <v>162</v>
      </c>
      <c r="F11" s="148" t="s">
        <v>163</v>
      </c>
      <c r="G11" s="149" t="s">
        <v>164</v>
      </c>
      <c r="H11" s="150" t="s">
        <v>165</v>
      </c>
    </row>
    <row r="12" spans="1:8" s="193" customFormat="1" ht="15" customHeight="1" x14ac:dyDescent="0.25">
      <c r="A12" s="489" t="s">
        <v>199</v>
      </c>
      <c r="B12" s="528"/>
      <c r="C12" s="490"/>
      <c r="D12" s="151" t="s">
        <v>196</v>
      </c>
      <c r="E12" s="152">
        <v>25000</v>
      </c>
      <c r="F12" s="151">
        <v>0.75</v>
      </c>
      <c r="G12" s="153">
        <f>E12/F12</f>
        <v>33333.333333333336</v>
      </c>
      <c r="H12" s="529"/>
    </row>
    <row r="13" spans="1:8" s="193" customFormat="1" ht="15" customHeight="1" x14ac:dyDescent="0.25">
      <c r="A13" s="532" t="s">
        <v>166</v>
      </c>
      <c r="B13" s="533"/>
      <c r="C13" s="534"/>
      <c r="D13" s="200" t="s">
        <v>167</v>
      </c>
      <c r="E13" s="155">
        <v>12000</v>
      </c>
      <c r="F13" s="200">
        <f>+F12</f>
        <v>0.75</v>
      </c>
      <c r="G13" s="173">
        <f>E13/F13</f>
        <v>16000</v>
      </c>
      <c r="H13" s="530"/>
    </row>
    <row r="14" spans="1:8" s="193" customFormat="1" ht="15" customHeight="1" x14ac:dyDescent="0.25">
      <c r="A14" s="535" t="s">
        <v>197</v>
      </c>
      <c r="B14" s="536"/>
      <c r="C14" s="537"/>
      <c r="D14" s="154" t="s">
        <v>167</v>
      </c>
      <c r="E14" s="155">
        <v>6000</v>
      </c>
      <c r="F14" s="154">
        <f>+F13</f>
        <v>0.75</v>
      </c>
      <c r="G14" s="156">
        <f>E14/F14</f>
        <v>8000</v>
      </c>
      <c r="H14" s="530"/>
    </row>
    <row r="15" spans="1:8" s="193" customFormat="1" ht="15" customHeight="1" thickBot="1" x14ac:dyDescent="0.3">
      <c r="A15" s="502" t="s">
        <v>168</v>
      </c>
      <c r="B15" s="503"/>
      <c r="C15" s="504"/>
      <c r="D15" s="157" t="s">
        <v>169</v>
      </c>
      <c r="E15" s="158"/>
      <c r="F15" s="158"/>
      <c r="G15" s="159">
        <f>3000-88</f>
        <v>2912</v>
      </c>
      <c r="H15" s="531"/>
    </row>
    <row r="16" spans="1:8" s="193" customFormat="1" ht="15.6" customHeight="1" thickBot="1" x14ac:dyDescent="0.3">
      <c r="A16" s="477"/>
      <c r="B16" s="478"/>
      <c r="C16" s="160"/>
      <c r="D16" s="160"/>
      <c r="E16" s="160"/>
      <c r="F16" s="160"/>
      <c r="G16" s="132" t="s">
        <v>170</v>
      </c>
      <c r="H16" s="161">
        <f>SUM(G12:G15)</f>
        <v>60245.333333333336</v>
      </c>
    </row>
    <row r="17" spans="1:12" s="193" customFormat="1" ht="16.5" thickBot="1" x14ac:dyDescent="0.3">
      <c r="A17" s="479" t="s">
        <v>171</v>
      </c>
      <c r="B17" s="480"/>
      <c r="C17" s="146"/>
      <c r="D17" s="146"/>
      <c r="E17" s="146"/>
      <c r="F17" s="146"/>
      <c r="G17" s="146"/>
      <c r="H17" s="162"/>
    </row>
    <row r="18" spans="1:12" s="193" customFormat="1" ht="15.75" customHeight="1" thickBot="1" x14ac:dyDescent="0.3">
      <c r="A18" s="487" t="s">
        <v>69</v>
      </c>
      <c r="B18" s="493"/>
      <c r="C18" s="488"/>
      <c r="D18" s="148" t="s">
        <v>70</v>
      </c>
      <c r="E18" s="148" t="s">
        <v>172</v>
      </c>
      <c r="F18" s="148" t="s">
        <v>71</v>
      </c>
      <c r="G18" s="149" t="s">
        <v>164</v>
      </c>
      <c r="H18" s="201" t="s">
        <v>165</v>
      </c>
    </row>
    <row r="19" spans="1:12" s="193" customFormat="1" x14ac:dyDescent="0.25">
      <c r="A19" s="489" t="s">
        <v>200</v>
      </c>
      <c r="B19" s="528"/>
      <c r="C19" s="490"/>
      <c r="D19" s="151" t="s">
        <v>173</v>
      </c>
      <c r="E19" s="152">
        <v>116800</v>
      </c>
      <c r="F19" s="203">
        <v>1.2</v>
      </c>
      <c r="G19" s="153">
        <f>E19*F19</f>
        <v>140160</v>
      </c>
      <c r="H19" s="491"/>
      <c r="L19" s="202"/>
    </row>
    <row r="20" spans="1:12" s="193" customFormat="1" x14ac:dyDescent="0.25">
      <c r="A20" s="535" t="s">
        <v>201</v>
      </c>
      <c r="B20" s="536"/>
      <c r="C20" s="537"/>
      <c r="D20" s="154" t="s">
        <v>169</v>
      </c>
      <c r="E20" s="170">
        <v>9852.1314650000004</v>
      </c>
      <c r="F20" s="165">
        <v>0.12</v>
      </c>
      <c r="G20" s="156">
        <f>E20*F20</f>
        <v>1182.2557758</v>
      </c>
      <c r="H20" s="596"/>
      <c r="L20" s="202"/>
    </row>
    <row r="21" spans="1:12" s="193" customFormat="1" x14ac:dyDescent="0.25">
      <c r="A21" s="535" t="s">
        <v>174</v>
      </c>
      <c r="B21" s="536"/>
      <c r="C21" s="537"/>
      <c r="D21" s="154" t="s">
        <v>175</v>
      </c>
      <c r="E21" s="170">
        <v>9400</v>
      </c>
      <c r="F21" s="165">
        <v>0.3</v>
      </c>
      <c r="G21" s="156">
        <f>E21*F21</f>
        <v>2820</v>
      </c>
      <c r="H21" s="596"/>
    </row>
    <row r="22" spans="1:12" s="193" customFormat="1" ht="15.75" thickBot="1" x14ac:dyDescent="0.3">
      <c r="A22" s="502" t="s">
        <v>176</v>
      </c>
      <c r="B22" s="503"/>
      <c r="C22" s="504"/>
      <c r="D22" s="157" t="s">
        <v>169</v>
      </c>
      <c r="E22" s="157">
        <v>30463.021467466115</v>
      </c>
      <c r="F22" s="166">
        <v>0.12</v>
      </c>
      <c r="G22" s="159">
        <f>E22*F22</f>
        <v>3655.5625760959338</v>
      </c>
      <c r="H22" s="492"/>
    </row>
    <row r="23" spans="1:12" s="193" customFormat="1" ht="16.5" thickBot="1" x14ac:dyDescent="0.3">
      <c r="A23" s="477"/>
      <c r="B23" s="478"/>
      <c r="C23" s="160"/>
      <c r="D23" s="160"/>
      <c r="E23" s="160"/>
      <c r="F23" s="160"/>
      <c r="G23" s="132" t="s">
        <v>170</v>
      </c>
      <c r="H23" s="161">
        <f>SUM(G19:G22)</f>
        <v>147817.81835189593</v>
      </c>
    </row>
    <row r="24" spans="1:12" s="193" customFormat="1" ht="16.5" thickBot="1" x14ac:dyDescent="0.3">
      <c r="A24" s="479" t="s">
        <v>177</v>
      </c>
      <c r="B24" s="480"/>
      <c r="C24" s="146"/>
      <c r="D24" s="146"/>
      <c r="E24" s="146"/>
      <c r="F24" s="146"/>
      <c r="G24" s="146"/>
      <c r="H24" s="162"/>
    </row>
    <row r="25" spans="1:12" s="193" customFormat="1" ht="15.75" customHeight="1" thickBot="1" x14ac:dyDescent="0.3">
      <c r="A25" s="487" t="s">
        <v>178</v>
      </c>
      <c r="B25" s="488"/>
      <c r="C25" s="148" t="s">
        <v>179</v>
      </c>
      <c r="D25" s="148" t="s">
        <v>180</v>
      </c>
      <c r="E25" s="148" t="s">
        <v>181</v>
      </c>
      <c r="F25" s="148" t="s">
        <v>182</v>
      </c>
      <c r="G25" s="149" t="s">
        <v>164</v>
      </c>
      <c r="H25" s="201" t="s">
        <v>165</v>
      </c>
    </row>
    <row r="26" spans="1:12" s="193" customFormat="1" ht="15.75" thickBot="1" x14ac:dyDescent="0.3">
      <c r="A26" s="489" t="s">
        <v>183</v>
      </c>
      <c r="B26" s="490"/>
      <c r="C26" s="152"/>
      <c r="D26" s="152"/>
      <c r="E26" s="213">
        <v>0.05</v>
      </c>
      <c r="F26" s="172">
        <v>300000</v>
      </c>
      <c r="G26" s="153">
        <f>F26*E26</f>
        <v>15000</v>
      </c>
      <c r="H26" s="491"/>
    </row>
    <row r="27" spans="1:12" s="193" customFormat="1" ht="15" customHeight="1" thickBot="1" x14ac:dyDescent="0.3">
      <c r="A27" s="489" t="s">
        <v>202</v>
      </c>
      <c r="B27" s="490"/>
      <c r="C27" s="158"/>
      <c r="D27" s="158"/>
      <c r="E27" s="171">
        <f>+E26</f>
        <v>0.05</v>
      </c>
      <c r="F27" s="174">
        <v>300000</v>
      </c>
      <c r="G27" s="159">
        <f>F27*E27</f>
        <v>15000</v>
      </c>
      <c r="H27" s="492"/>
      <c r="J27" s="204"/>
      <c r="K27" s="204"/>
    </row>
    <row r="28" spans="1:12" s="193" customFormat="1" ht="16.5" thickBot="1" x14ac:dyDescent="0.3">
      <c r="A28" s="477"/>
      <c r="B28" s="478"/>
      <c r="C28" s="160"/>
      <c r="D28" s="160"/>
      <c r="E28" s="160"/>
      <c r="F28" s="160"/>
      <c r="G28" s="132" t="s">
        <v>170</v>
      </c>
      <c r="H28" s="161">
        <f>SUM(G26:G27)</f>
        <v>30000</v>
      </c>
      <c r="J28" s="204"/>
      <c r="K28" s="204"/>
    </row>
    <row r="29" spans="1:12" s="193" customFormat="1" ht="16.5" thickBot="1" x14ac:dyDescent="0.3">
      <c r="A29" s="479" t="s">
        <v>185</v>
      </c>
      <c r="B29" s="480"/>
      <c r="C29" s="146"/>
      <c r="D29" s="146"/>
      <c r="E29" s="146"/>
      <c r="F29" s="146"/>
      <c r="G29" s="146"/>
      <c r="H29" s="162"/>
      <c r="J29" s="204"/>
      <c r="K29" s="204"/>
    </row>
    <row r="30" spans="1:12" s="193" customFormat="1" ht="15.75" customHeight="1" thickBot="1" x14ac:dyDescent="0.3">
      <c r="A30" s="481" t="s">
        <v>186</v>
      </c>
      <c r="B30" s="482"/>
      <c r="C30" s="175" t="s">
        <v>187</v>
      </c>
      <c r="D30" s="175" t="s">
        <v>188</v>
      </c>
      <c r="E30" s="175" t="s">
        <v>189</v>
      </c>
      <c r="F30" s="175" t="s">
        <v>163</v>
      </c>
      <c r="G30" s="175" t="s">
        <v>164</v>
      </c>
      <c r="H30" s="176" t="s">
        <v>165</v>
      </c>
    </row>
    <row r="31" spans="1:12" s="193" customFormat="1" x14ac:dyDescent="0.25">
      <c r="A31" s="205">
        <v>1</v>
      </c>
      <c r="B31" s="178" t="s">
        <v>190</v>
      </c>
      <c r="C31" s="152">
        <v>12162.5</v>
      </c>
      <c r="D31" s="179">
        <f>'[2]Lista de Precios H'!$B$72</f>
        <v>0.62770000000000004</v>
      </c>
      <c r="E31" s="152">
        <f>C31*(1+D31)</f>
        <v>19796.901249999999</v>
      </c>
      <c r="F31" s="152">
        <f>+F14</f>
        <v>0.75</v>
      </c>
      <c r="G31" s="153">
        <f>E31/F31</f>
        <v>26395.868333333332</v>
      </c>
      <c r="H31" s="483"/>
    </row>
    <row r="32" spans="1:12" s="193" customFormat="1" x14ac:dyDescent="0.25">
      <c r="A32" s="206">
        <v>2</v>
      </c>
      <c r="B32" s="181" t="s">
        <v>191</v>
      </c>
      <c r="C32" s="155">
        <f>15125*1.4</f>
        <v>21175</v>
      </c>
      <c r="D32" s="214">
        <f>'[2]Lista de Precios H'!$B$72</f>
        <v>0.62770000000000004</v>
      </c>
      <c r="E32" s="155">
        <f>C32*(1+D32)</f>
        <v>34466.547500000001</v>
      </c>
      <c r="F32" s="155">
        <f>+F31</f>
        <v>0.75</v>
      </c>
      <c r="G32" s="156">
        <f>E32/F32</f>
        <v>45955.396666666667</v>
      </c>
      <c r="H32" s="484"/>
      <c r="J32" s="193">
        <v>312.5</v>
      </c>
    </row>
    <row r="33" spans="1:11" s="193" customFormat="1" x14ac:dyDescent="0.25">
      <c r="A33" s="206">
        <v>3</v>
      </c>
      <c r="B33" s="181" t="s">
        <v>192</v>
      </c>
      <c r="C33" s="155">
        <f>16881*1.4</f>
        <v>23633.399999999998</v>
      </c>
      <c r="D33" s="182">
        <f>+'[2]Lista de Precios H'!$B$73</f>
        <v>0.75819999999999999</v>
      </c>
      <c r="E33" s="155">
        <f>C33*(1+D33)</f>
        <v>41552.243879999995</v>
      </c>
      <c r="F33" s="155">
        <f>+F32</f>
        <v>0.75</v>
      </c>
      <c r="G33" s="156">
        <f>E33/F33</f>
        <v>55402.991839999995</v>
      </c>
      <c r="H33" s="484"/>
      <c r="J33" s="193">
        <f>J32/8</f>
        <v>39.0625</v>
      </c>
    </row>
    <row r="34" spans="1:11" s="193" customFormat="1" ht="15.75" thickBot="1" x14ac:dyDescent="0.3">
      <c r="A34" s="206">
        <v>1</v>
      </c>
      <c r="B34" s="181" t="s">
        <v>193</v>
      </c>
      <c r="C34" s="158">
        <v>6050</v>
      </c>
      <c r="D34" s="182">
        <f>+'[2]Lista de Precios H'!$B$73</f>
        <v>0.75819999999999999</v>
      </c>
      <c r="E34" s="155">
        <f>C34*(1+D34)</f>
        <v>10637.11</v>
      </c>
      <c r="F34" s="155">
        <f>+F33</f>
        <v>0.75</v>
      </c>
      <c r="G34" s="156">
        <f>E34/F34</f>
        <v>14182.813333333334</v>
      </c>
      <c r="H34" s="484"/>
    </row>
    <row r="35" spans="1:11" s="193" customFormat="1" ht="16.5" thickBot="1" x14ac:dyDescent="0.3">
      <c r="A35" s="477"/>
      <c r="B35" s="478"/>
      <c r="C35" s="160"/>
      <c r="D35" s="160"/>
      <c r="E35" s="160"/>
      <c r="F35" s="160"/>
      <c r="G35" s="132" t="s">
        <v>170</v>
      </c>
      <c r="H35" s="161">
        <f>SUM(G31:G34)</f>
        <v>141937.07017333331</v>
      </c>
    </row>
    <row r="36" spans="1:11" s="193" customFormat="1" ht="15.75" thickBot="1" x14ac:dyDescent="0.3">
      <c r="A36" s="485"/>
      <c r="B36" s="486"/>
      <c r="C36" s="167"/>
      <c r="D36" s="167"/>
      <c r="E36" s="167"/>
      <c r="F36" s="167"/>
      <c r="G36" s="185"/>
      <c r="H36" s="186"/>
      <c r="K36" s="193" t="e">
        <f>+#REF!*1.38</f>
        <v>#REF!</v>
      </c>
    </row>
    <row r="37" spans="1:11" s="193" customFormat="1" ht="16.5" thickBot="1" x14ac:dyDescent="0.3">
      <c r="A37" s="473"/>
      <c r="B37" s="474"/>
      <c r="C37" s="146"/>
      <c r="D37" s="146"/>
      <c r="E37" s="146"/>
      <c r="F37" s="475" t="s">
        <v>194</v>
      </c>
      <c r="G37" s="476"/>
      <c r="H37" s="187">
        <f>ROUND((+H16+H23+H28+H35),0)</f>
        <v>380000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A5 C5" name="Rango1_3_2_1"/>
    <protectedRange sqref="H38" name="Rango1_3_1_1_1"/>
    <protectedRange sqref="A14 C14" name="Rango1_1_1_1_2"/>
    <protectedRange sqref="D12:G12" name="Rango1_1"/>
    <protectedRange sqref="E22" name="Rango1_4_1_2"/>
    <protectedRange sqref="C31:C34" name="Rango1_2_2_2"/>
    <protectedRange sqref="F26:F27" name="Rango1_2_4_2"/>
    <protectedRange sqref="E13" name="Rango1_2_6_2"/>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E4863-F967-418F-83D8-83E057B9753F}">
  <dimension ref="A1:J41"/>
  <sheetViews>
    <sheetView topLeftCell="A13" workbookViewId="0">
      <selection activeCell="A8" sqref="A8"/>
    </sheetView>
  </sheetViews>
  <sheetFormatPr baseColWidth="10" defaultColWidth="11.42578125" defaultRowHeight="15" x14ac:dyDescent="0.25"/>
  <cols>
    <col min="1" max="1" width="29" style="299" customWidth="1"/>
    <col min="2" max="2" width="10.28515625" style="299" bestFit="1" customWidth="1"/>
    <col min="3" max="3" width="19.85546875" style="299" customWidth="1"/>
    <col min="4" max="4" width="14.5703125" style="299" bestFit="1" customWidth="1"/>
    <col min="5" max="5" width="13.42578125" style="299" customWidth="1"/>
    <col min="6" max="6" width="17.5703125" style="299" bestFit="1" customWidth="1"/>
    <col min="7" max="7" width="15" style="299" bestFit="1" customWidth="1"/>
    <col min="8" max="8" width="11.42578125" style="299"/>
    <col min="9" max="9" width="13.42578125" style="299" customWidth="1"/>
    <col min="10" max="10" width="11.42578125" style="299"/>
    <col min="11" max="11" width="0" style="299" hidden="1" customWidth="1"/>
    <col min="12" max="16384" width="11.42578125" style="299"/>
  </cols>
  <sheetData>
    <row r="1" spans="1:9" s="189" customFormat="1" ht="16.5" thickBot="1" x14ac:dyDescent="0.25">
      <c r="D1" s="190"/>
      <c r="E1" s="191"/>
      <c r="F1" s="191"/>
      <c r="G1" s="191"/>
      <c r="H1" s="191"/>
      <c r="I1" s="191"/>
    </row>
    <row r="2" spans="1:9" s="192" customFormat="1" ht="15" customHeight="1" x14ac:dyDescent="0.2">
      <c r="A2" s="625"/>
      <c r="B2" s="626"/>
      <c r="C2" s="626"/>
      <c r="D2" s="627"/>
      <c r="E2" s="634" t="s">
        <v>157</v>
      </c>
      <c r="F2" s="635"/>
      <c r="G2" s="636"/>
    </row>
    <row r="3" spans="1:9" s="192" customFormat="1" ht="15" customHeight="1" x14ac:dyDescent="0.2">
      <c r="A3" s="628"/>
      <c r="B3" s="629"/>
      <c r="C3" s="629"/>
      <c r="D3" s="630"/>
      <c r="E3" s="637"/>
      <c r="F3" s="638"/>
      <c r="G3" s="639"/>
    </row>
    <row r="4" spans="1:9" s="193" customFormat="1" x14ac:dyDescent="0.25">
      <c r="A4" s="628"/>
      <c r="B4" s="629"/>
      <c r="C4" s="629"/>
      <c r="D4" s="630"/>
      <c r="E4" s="637"/>
      <c r="F4" s="638"/>
      <c r="G4" s="639"/>
    </row>
    <row r="5" spans="1:9" s="194" customFormat="1" ht="16.5" thickBot="1" x14ac:dyDescent="0.3">
      <c r="A5" s="631"/>
      <c r="B5" s="632"/>
      <c r="C5" s="632"/>
      <c r="D5" s="633"/>
      <c r="E5" s="640"/>
      <c r="F5" s="641"/>
      <c r="G5" s="642"/>
    </row>
    <row r="6" spans="1:9" s="194" customFormat="1" ht="16.5" thickBot="1" x14ac:dyDescent="0.3">
      <c r="A6" s="296"/>
      <c r="B6" s="297"/>
      <c r="C6" s="297"/>
      <c r="D6" s="297"/>
      <c r="E6" s="297"/>
      <c r="F6" s="297"/>
      <c r="G6" s="298"/>
    </row>
    <row r="7" spans="1:9" ht="80.45" customHeight="1" thickBot="1" x14ac:dyDescent="0.3">
      <c r="A7" s="140" t="s">
        <v>228</v>
      </c>
      <c r="B7" s="643" t="s">
        <v>226</v>
      </c>
      <c r="C7" s="644"/>
      <c r="D7" s="644"/>
      <c r="E7" s="644"/>
      <c r="F7" s="644"/>
      <c r="G7" s="645"/>
    </row>
    <row r="8" spans="1:9" ht="15.75" thickBot="1" x14ac:dyDescent="0.3">
      <c r="A8" s="228"/>
      <c r="B8" s="300"/>
      <c r="C8" s="229"/>
      <c r="D8" s="229"/>
      <c r="E8" s="229"/>
      <c r="F8" s="301" t="s">
        <v>158</v>
      </c>
      <c r="G8" s="302" t="s">
        <v>85</v>
      </c>
    </row>
    <row r="9" spans="1:9" ht="15.75" thickBot="1" x14ac:dyDescent="0.3">
      <c r="A9" s="228" t="s">
        <v>160</v>
      </c>
      <c r="B9" s="229"/>
      <c r="C9" s="229"/>
      <c r="D9" s="229"/>
      <c r="E9" s="229"/>
      <c r="F9" s="230"/>
      <c r="G9" s="231"/>
    </row>
    <row r="10" spans="1:9" ht="15.75" thickBot="1" x14ac:dyDescent="0.3">
      <c r="A10" s="646" t="s">
        <v>69</v>
      </c>
      <c r="B10" s="647"/>
      <c r="C10" s="648"/>
      <c r="D10" s="232" t="s">
        <v>161</v>
      </c>
      <c r="E10" s="232" t="s">
        <v>162</v>
      </c>
      <c r="F10" s="233" t="s">
        <v>163</v>
      </c>
      <c r="G10" s="234" t="s">
        <v>165</v>
      </c>
    </row>
    <row r="11" spans="1:9" x14ac:dyDescent="0.25">
      <c r="A11" s="623" t="s">
        <v>211</v>
      </c>
      <c r="B11" s="624"/>
      <c r="C11" s="624"/>
      <c r="D11" s="235"/>
      <c r="E11" s="235"/>
      <c r="F11" s="236"/>
      <c r="G11" s="237">
        <f>G32*0.05+76+1000+414</f>
        <v>7614.0676999999996</v>
      </c>
    </row>
    <row r="12" spans="1:9" ht="15.75" thickBot="1" x14ac:dyDescent="0.3">
      <c r="A12" s="612" t="s">
        <v>170</v>
      </c>
      <c r="B12" s="613"/>
      <c r="C12" s="613"/>
      <c r="D12" s="613"/>
      <c r="E12" s="613"/>
      <c r="F12" s="614"/>
      <c r="G12" s="238">
        <f>+G11</f>
        <v>7614.0676999999996</v>
      </c>
    </row>
    <row r="13" spans="1:9" x14ac:dyDescent="0.25">
      <c r="A13" s="239"/>
      <c r="B13" s="240"/>
      <c r="C13" s="241"/>
      <c r="D13" s="241"/>
      <c r="E13" s="229"/>
      <c r="F13" s="242"/>
      <c r="G13" s="243"/>
    </row>
    <row r="14" spans="1:9" ht="15.75" thickBot="1" x14ac:dyDescent="0.3">
      <c r="A14" s="228" t="s">
        <v>171</v>
      </c>
      <c r="B14" s="229"/>
      <c r="C14" s="229"/>
      <c r="D14" s="229"/>
      <c r="E14" s="229"/>
      <c r="F14" s="229"/>
      <c r="G14" s="244"/>
    </row>
    <row r="15" spans="1:9" ht="15.75" thickBot="1" x14ac:dyDescent="0.3">
      <c r="A15" s="621" t="s">
        <v>69</v>
      </c>
      <c r="B15" s="622"/>
      <c r="C15" s="622"/>
      <c r="D15" s="245" t="s">
        <v>70</v>
      </c>
      <c r="E15" s="245" t="s">
        <v>212</v>
      </c>
      <c r="F15" s="246" t="s">
        <v>71</v>
      </c>
      <c r="G15" s="234" t="s">
        <v>165</v>
      </c>
    </row>
    <row r="16" spans="1:9" ht="25.5" customHeight="1" x14ac:dyDescent="0.25">
      <c r="A16" s="607" t="s">
        <v>213</v>
      </c>
      <c r="B16" s="608"/>
      <c r="C16" s="609"/>
      <c r="D16" s="247" t="s">
        <v>70</v>
      </c>
      <c r="E16" s="248">
        <f>315326.287615801*1.24</f>
        <v>391004.59664359322</v>
      </c>
      <c r="F16" s="249">
        <f>+'[2]Lista Precios V'!H55</f>
        <v>1</v>
      </c>
      <c r="G16" s="250">
        <f>E16*F16</f>
        <v>391004.59664359322</v>
      </c>
    </row>
    <row r="17" spans="1:10" x14ac:dyDescent="0.25">
      <c r="A17" s="610" t="s">
        <v>214</v>
      </c>
      <c r="B17" s="611"/>
      <c r="C17" s="611"/>
      <c r="D17" s="251" t="s">
        <v>215</v>
      </c>
      <c r="E17" s="252">
        <v>520000</v>
      </c>
      <c r="F17" s="253">
        <v>0.14000000000000001</v>
      </c>
      <c r="G17" s="254">
        <f>E17*F17</f>
        <v>72800</v>
      </c>
      <c r="J17" s="303"/>
    </row>
    <row r="18" spans="1:10" x14ac:dyDescent="0.25">
      <c r="A18" s="610" t="s">
        <v>216</v>
      </c>
      <c r="B18" s="611"/>
      <c r="C18" s="611"/>
      <c r="D18" s="251" t="s">
        <v>215</v>
      </c>
      <c r="E18" s="252">
        <v>540000</v>
      </c>
      <c r="F18" s="255">
        <v>0.04</v>
      </c>
      <c r="G18" s="254">
        <f>E18*F18</f>
        <v>21600</v>
      </c>
      <c r="J18" s="303"/>
    </row>
    <row r="19" spans="1:10" ht="15.75" thickBot="1" x14ac:dyDescent="0.3">
      <c r="A19" s="612" t="s">
        <v>170</v>
      </c>
      <c r="B19" s="613"/>
      <c r="C19" s="613"/>
      <c r="D19" s="613"/>
      <c r="E19" s="613"/>
      <c r="F19" s="614"/>
      <c r="G19" s="256">
        <f>SUM(G16:G18)</f>
        <v>485404.59664359322</v>
      </c>
    </row>
    <row r="20" spans="1:10" x14ac:dyDescent="0.25">
      <c r="A20" s="257"/>
      <c r="B20" s="230"/>
      <c r="C20" s="230"/>
      <c r="D20" s="230"/>
      <c r="E20" s="230"/>
      <c r="F20" s="230"/>
      <c r="G20" s="231"/>
    </row>
    <row r="21" spans="1:10" ht="15.75" thickBot="1" x14ac:dyDescent="0.3">
      <c r="A21" s="228" t="s">
        <v>177</v>
      </c>
      <c r="B21" s="229"/>
      <c r="C21" s="229"/>
      <c r="D21" s="229"/>
      <c r="E21" s="229"/>
      <c r="F21" s="229"/>
      <c r="G21" s="244"/>
    </row>
    <row r="22" spans="1:10" s="304" customFormat="1" ht="15.75" thickBot="1" x14ac:dyDescent="0.3">
      <c r="A22" s="619" t="s">
        <v>178</v>
      </c>
      <c r="B22" s="620"/>
      <c r="C22" s="258" t="s">
        <v>217</v>
      </c>
      <c r="D22" s="258" t="s">
        <v>180</v>
      </c>
      <c r="E22" s="258" t="s">
        <v>218</v>
      </c>
      <c r="F22" s="259" t="s">
        <v>182</v>
      </c>
      <c r="G22" s="234" t="s">
        <v>165</v>
      </c>
    </row>
    <row r="23" spans="1:10" x14ac:dyDescent="0.25">
      <c r="A23" s="607" t="s">
        <v>219</v>
      </c>
      <c r="B23" s="609"/>
      <c r="C23" s="260"/>
      <c r="D23" s="260"/>
      <c r="E23" s="261">
        <v>0.15</v>
      </c>
      <c r="F23" s="262">
        <v>300000</v>
      </c>
      <c r="G23" s="250">
        <f>F23*E23</f>
        <v>45000</v>
      </c>
    </row>
    <row r="24" spans="1:10" x14ac:dyDescent="0.25">
      <c r="A24" s="617" t="s">
        <v>220</v>
      </c>
      <c r="B24" s="618"/>
      <c r="C24" s="263"/>
      <c r="D24" s="263"/>
      <c r="E24" s="264">
        <f>+E23</f>
        <v>0.15</v>
      </c>
      <c r="F24" s="265">
        <v>300000</v>
      </c>
      <c r="G24" s="266">
        <f>F24*E24</f>
        <v>45000</v>
      </c>
    </row>
    <row r="25" spans="1:10" ht="15.75" thickBot="1" x14ac:dyDescent="0.3">
      <c r="A25" s="612" t="s">
        <v>170</v>
      </c>
      <c r="B25" s="613"/>
      <c r="C25" s="613"/>
      <c r="D25" s="613"/>
      <c r="E25" s="613"/>
      <c r="F25" s="614"/>
      <c r="G25" s="238">
        <f>SUM(G23:G24)</f>
        <v>90000</v>
      </c>
    </row>
    <row r="26" spans="1:10" x14ac:dyDescent="0.25">
      <c r="A26" s="267"/>
      <c r="B26" s="229"/>
      <c r="C26" s="229"/>
      <c r="D26" s="229"/>
      <c r="E26" s="229"/>
      <c r="F26" s="242"/>
      <c r="G26" s="243"/>
    </row>
    <row r="27" spans="1:10" ht="15.75" thickBot="1" x14ac:dyDescent="0.3">
      <c r="A27" s="228" t="s">
        <v>185</v>
      </c>
      <c r="B27" s="229"/>
      <c r="C27" s="229"/>
      <c r="D27" s="229"/>
      <c r="E27" s="229"/>
      <c r="F27" s="229"/>
      <c r="G27" s="244"/>
    </row>
    <row r="28" spans="1:10" ht="15.75" thickBot="1" x14ac:dyDescent="0.3">
      <c r="A28" s="268" t="s">
        <v>186</v>
      </c>
      <c r="B28" s="269" t="s">
        <v>221</v>
      </c>
      <c r="C28" s="270" t="s">
        <v>222</v>
      </c>
      <c r="D28" s="271" t="s">
        <v>188</v>
      </c>
      <c r="E28" s="271" t="s">
        <v>189</v>
      </c>
      <c r="F28" s="272" t="s">
        <v>163</v>
      </c>
      <c r="G28" s="234" t="s">
        <v>165</v>
      </c>
    </row>
    <row r="29" spans="1:10" x14ac:dyDescent="0.25">
      <c r="A29" s="273" t="s">
        <v>223</v>
      </c>
      <c r="B29" s="274">
        <v>2</v>
      </c>
      <c r="C29" s="275">
        <v>105000</v>
      </c>
      <c r="D29" s="276">
        <f>+'[2]Lista Precios V'!C130</f>
        <v>0.75819999999999999</v>
      </c>
      <c r="E29" s="277">
        <f>+C29*(1+D29)</f>
        <v>184611</v>
      </c>
      <c r="F29" s="278">
        <v>0.3</v>
      </c>
      <c r="G29" s="279">
        <f>+F29*E29</f>
        <v>55383.299999999996</v>
      </c>
    </row>
    <row r="30" spans="1:10" x14ac:dyDescent="0.25">
      <c r="A30" s="280" t="s">
        <v>224</v>
      </c>
      <c r="B30" s="281">
        <v>1</v>
      </c>
      <c r="C30" s="252">
        <f>69500*1.2</f>
        <v>83400</v>
      </c>
      <c r="D30" s="282">
        <f>+'[2]Lista Precios V'!$C$129</f>
        <v>0.62770000000000004</v>
      </c>
      <c r="E30" s="283">
        <f t="shared" ref="E30:E31" si="0">+C30*(1+D30)</f>
        <v>135750.18</v>
      </c>
      <c r="F30" s="284">
        <f>+F29</f>
        <v>0.3</v>
      </c>
      <c r="G30" s="285">
        <f>+F30*E30</f>
        <v>40725.053999999996</v>
      </c>
    </row>
    <row r="31" spans="1:10" x14ac:dyDescent="0.25">
      <c r="A31" s="280" t="s">
        <v>225</v>
      </c>
      <c r="B31" s="286">
        <v>1</v>
      </c>
      <c r="C31" s="287">
        <v>50000</v>
      </c>
      <c r="D31" s="288">
        <f>+'[2]Lista Precios V'!C130</f>
        <v>0.75819999999999999</v>
      </c>
      <c r="E31" s="289">
        <f t="shared" si="0"/>
        <v>87910</v>
      </c>
      <c r="F31" s="290">
        <f>+F30</f>
        <v>0.3</v>
      </c>
      <c r="G31" s="291">
        <f>+F31*E31</f>
        <v>26373</v>
      </c>
    </row>
    <row r="32" spans="1:10" ht="15.75" thickBot="1" x14ac:dyDescent="0.3">
      <c r="A32" s="612" t="s">
        <v>170</v>
      </c>
      <c r="B32" s="613"/>
      <c r="C32" s="613"/>
      <c r="D32" s="613"/>
      <c r="E32" s="613"/>
      <c r="F32" s="614"/>
      <c r="G32" s="238">
        <f>SUM(G29:G31)</f>
        <v>122481.35399999999</v>
      </c>
    </row>
    <row r="33" spans="1:8" ht="15.75" thickBot="1" x14ac:dyDescent="0.3">
      <c r="A33" s="267"/>
      <c r="B33" s="229"/>
      <c r="C33" s="229"/>
      <c r="D33" s="229"/>
      <c r="E33" s="229"/>
      <c r="F33" s="241"/>
      <c r="G33" s="244"/>
    </row>
    <row r="34" spans="1:8" ht="17.25" thickBot="1" x14ac:dyDescent="0.35">
      <c r="A34" s="292"/>
      <c r="B34" s="293"/>
      <c r="C34" s="293"/>
      <c r="D34" s="294"/>
      <c r="E34" s="615" t="s">
        <v>194</v>
      </c>
      <c r="F34" s="616"/>
      <c r="G34" s="295">
        <f>ROUND(G12+G19+G25+G32,0)</f>
        <v>705500</v>
      </c>
    </row>
    <row r="37" spans="1:8" x14ac:dyDescent="0.25">
      <c r="A37" s="135"/>
      <c r="B37" s="188"/>
      <c r="C37" s="188"/>
      <c r="D37" s="188"/>
      <c r="E37" s="188"/>
      <c r="F37" s="188"/>
      <c r="G37" s="188"/>
      <c r="H37" s="188"/>
    </row>
    <row r="38" spans="1:8" x14ac:dyDescent="0.25">
      <c r="A38" s="135"/>
      <c r="B38" s="135"/>
      <c r="C38" s="135"/>
      <c r="D38" s="135"/>
      <c r="E38" s="135"/>
      <c r="F38" s="135"/>
      <c r="G38" s="135"/>
      <c r="H38" s="135"/>
    </row>
    <row r="39" spans="1:8" x14ac:dyDescent="0.25">
      <c r="A39" s="135"/>
      <c r="B39" s="135"/>
      <c r="C39" s="135"/>
      <c r="D39" s="135"/>
      <c r="E39" s="135"/>
      <c r="F39" s="135"/>
      <c r="G39" s="135"/>
      <c r="H39" s="135"/>
    </row>
    <row r="40" spans="1:8" x14ac:dyDescent="0.25">
      <c r="A40" s="135"/>
      <c r="B40" s="135"/>
      <c r="C40" s="135"/>
      <c r="D40" s="135"/>
      <c r="E40" s="135"/>
      <c r="F40" s="135"/>
      <c r="G40" s="135"/>
      <c r="H40" s="135"/>
    </row>
    <row r="41" spans="1:8" ht="15.75" x14ac:dyDescent="0.25">
      <c r="A41" s="133"/>
      <c r="B41" s="133"/>
      <c r="C41" s="133"/>
      <c r="D41" s="133"/>
      <c r="E41" s="133"/>
      <c r="F41" s="133"/>
      <c r="G41" s="133"/>
      <c r="H41" s="133"/>
    </row>
  </sheetData>
  <protectedRanges>
    <protectedRange sqref="E16" name="Rango1_2_2_1_3_2"/>
    <protectedRange sqref="F16:F17" name="Rango1_2_2_1_2_1_2"/>
    <protectedRange sqref="F23" name="Rango1_2_2_1_2_3"/>
    <protectedRange sqref="E23:E24" name="Rango1_2_2_1_1_1_1_2"/>
    <protectedRange sqref="F29:F31" name="Rango1_2_2_1_1_1_2_2"/>
    <protectedRange sqref="B6:F6" name="Rango1_2_1"/>
    <protectedRange sqref="C5 A5" name="Rango1_2_2_1"/>
    <protectedRange sqref="C29:C31" name="Rango1_2_2_1_4_1_2"/>
    <protectedRange sqref="F24" name="Rango1_2_2_1_3_3_2"/>
    <protectedRange sqref="E17:E18" name="Rango1_2_2_1_5_2"/>
  </protectedRanges>
  <mergeCells count="17">
    <mergeCell ref="A15:C15"/>
    <mergeCell ref="A12:F12"/>
    <mergeCell ref="A11:C11"/>
    <mergeCell ref="A2:D5"/>
    <mergeCell ref="E2:G5"/>
    <mergeCell ref="B7:G7"/>
    <mergeCell ref="A10:C10"/>
    <mergeCell ref="A16:C16"/>
    <mergeCell ref="A17:C17"/>
    <mergeCell ref="A19:F19"/>
    <mergeCell ref="A32:F32"/>
    <mergeCell ref="E34:F34"/>
    <mergeCell ref="A23:B23"/>
    <mergeCell ref="A24:B24"/>
    <mergeCell ref="A25:F25"/>
    <mergeCell ref="A18:C18"/>
    <mergeCell ref="A22:B2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E078E-5D2D-4AA1-8204-E48E705C6F35}">
  <dimension ref="A1:L60"/>
  <sheetViews>
    <sheetView topLeftCell="A22" workbookViewId="0">
      <selection activeCell="G14" sqref="G14"/>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7.5703125" style="189" bestFit="1"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268</v>
      </c>
      <c r="B7" s="525" t="s">
        <v>267</v>
      </c>
      <c r="C7" s="526"/>
      <c r="D7" s="526"/>
      <c r="E7" s="526"/>
      <c r="F7" s="526"/>
      <c r="G7" s="526"/>
      <c r="H7" s="527"/>
    </row>
    <row r="8" spans="1:8" s="193" customFormat="1" ht="16.5" thickBot="1" x14ac:dyDescent="0.3">
      <c r="A8" s="195"/>
      <c r="B8" s="160"/>
      <c r="C8" s="141"/>
      <c r="D8" s="141"/>
      <c r="E8" s="141"/>
      <c r="F8" s="141"/>
      <c r="G8" s="142" t="s">
        <v>158</v>
      </c>
      <c r="H8" s="143" t="s">
        <v>159</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1" t="s">
        <v>69</v>
      </c>
      <c r="B11" s="649"/>
      <c r="C11" s="482"/>
      <c r="D11" s="163" t="s">
        <v>161</v>
      </c>
      <c r="E11" s="163" t="s">
        <v>162</v>
      </c>
      <c r="F11" s="163" t="s">
        <v>163</v>
      </c>
      <c r="G11" s="164" t="s">
        <v>164</v>
      </c>
      <c r="H11" s="150" t="s">
        <v>165</v>
      </c>
    </row>
    <row r="12" spans="1:8" s="193" customFormat="1" ht="15" customHeight="1" x14ac:dyDescent="0.25">
      <c r="A12" s="650" t="s">
        <v>263</v>
      </c>
      <c r="B12" s="651"/>
      <c r="C12" s="651"/>
      <c r="D12" s="151" t="s">
        <v>167</v>
      </c>
      <c r="E12" s="152">
        <v>25000</v>
      </c>
      <c r="F12" s="151">
        <v>3.5</v>
      </c>
      <c r="G12" s="153">
        <f>E12/F12</f>
        <v>7142.8571428571431</v>
      </c>
      <c r="H12" s="652"/>
    </row>
    <row r="13" spans="1:8" s="193" customFormat="1" ht="15" customHeight="1" x14ac:dyDescent="0.25">
      <c r="A13" s="655" t="s">
        <v>168</v>
      </c>
      <c r="B13" s="656"/>
      <c r="C13" s="656"/>
      <c r="D13" s="154" t="s">
        <v>169</v>
      </c>
      <c r="E13" s="155"/>
      <c r="F13" s="155"/>
      <c r="G13" s="156">
        <v>5080</v>
      </c>
      <c r="H13" s="653"/>
    </row>
    <row r="14" spans="1:8" s="193" customFormat="1" ht="15" customHeight="1" x14ac:dyDescent="0.25">
      <c r="A14" s="655"/>
      <c r="B14" s="656"/>
      <c r="C14" s="656"/>
      <c r="D14" s="154"/>
      <c r="E14" s="155"/>
      <c r="F14" s="154"/>
      <c r="G14" s="156"/>
      <c r="H14" s="653"/>
    </row>
    <row r="15" spans="1:8" s="193" customFormat="1" ht="15" customHeight="1" thickBot="1" x14ac:dyDescent="0.3">
      <c r="A15" s="657"/>
      <c r="B15" s="658"/>
      <c r="C15" s="658"/>
      <c r="D15" s="157"/>
      <c r="E15" s="158"/>
      <c r="F15" s="158"/>
      <c r="G15" s="159"/>
      <c r="H15" s="654"/>
    </row>
    <row r="16" spans="1:8" s="193" customFormat="1" ht="15.6" customHeight="1" thickBot="1" x14ac:dyDescent="0.3">
      <c r="A16" s="485"/>
      <c r="B16" s="486"/>
      <c r="C16" s="167"/>
      <c r="D16" s="167"/>
      <c r="E16" s="167"/>
      <c r="F16" s="167"/>
      <c r="G16" s="134" t="s">
        <v>170</v>
      </c>
      <c r="H16" s="161">
        <f>SUM(G12:G15)</f>
        <v>12222.857142857143</v>
      </c>
    </row>
    <row r="17" spans="1:12" s="193" customFormat="1" ht="16.5" thickBot="1" x14ac:dyDescent="0.3">
      <c r="A17" s="479" t="s">
        <v>171</v>
      </c>
      <c r="B17" s="480"/>
      <c r="C17" s="146"/>
      <c r="D17" s="146"/>
      <c r="E17" s="146"/>
      <c r="F17" s="146"/>
      <c r="G17" s="146"/>
      <c r="H17" s="162"/>
    </row>
    <row r="18" spans="1:12" s="193" customFormat="1" ht="15.75" customHeight="1" thickBot="1" x14ac:dyDescent="0.3">
      <c r="A18" s="487" t="s">
        <v>69</v>
      </c>
      <c r="B18" s="493"/>
      <c r="C18" s="488"/>
      <c r="D18" s="148" t="s">
        <v>70</v>
      </c>
      <c r="E18" s="148" t="s">
        <v>172</v>
      </c>
      <c r="F18" s="148" t="s">
        <v>71</v>
      </c>
      <c r="G18" s="149" t="s">
        <v>164</v>
      </c>
      <c r="H18" s="201" t="s">
        <v>165</v>
      </c>
    </row>
    <row r="19" spans="1:12" s="193" customFormat="1" x14ac:dyDescent="0.25">
      <c r="A19" s="489" t="s">
        <v>264</v>
      </c>
      <c r="B19" s="528"/>
      <c r="C19" s="490"/>
      <c r="D19" s="151" t="s">
        <v>265</v>
      </c>
      <c r="E19" s="152">
        <v>498000</v>
      </c>
      <c r="F19" s="203">
        <f>2.4*2.5*0.12*1.05</f>
        <v>0.75600000000000001</v>
      </c>
      <c r="G19" s="153">
        <f>+F19*E19</f>
        <v>376488</v>
      </c>
      <c r="H19" s="491"/>
      <c r="L19" s="202"/>
    </row>
    <row r="20" spans="1:12" s="193" customFormat="1" x14ac:dyDescent="0.25">
      <c r="A20" s="535" t="s">
        <v>266</v>
      </c>
      <c r="B20" s="536"/>
      <c r="C20" s="537"/>
      <c r="D20" s="154" t="s">
        <v>169</v>
      </c>
      <c r="E20" s="170">
        <v>10000</v>
      </c>
      <c r="F20" s="165">
        <v>2</v>
      </c>
      <c r="G20" s="156">
        <f>E20*F20</f>
        <v>20000</v>
      </c>
      <c r="H20" s="596"/>
      <c r="L20" s="202">
        <f>2.4*2*0.1</f>
        <v>0.48</v>
      </c>
    </row>
    <row r="21" spans="1:12" s="193" customFormat="1" x14ac:dyDescent="0.25">
      <c r="A21" s="535"/>
      <c r="B21" s="536"/>
      <c r="C21" s="537"/>
      <c r="D21" s="154"/>
      <c r="E21" s="170"/>
      <c r="F21" s="165"/>
      <c r="G21" s="156">
        <f>E21*F21</f>
        <v>0</v>
      </c>
      <c r="H21" s="596"/>
    </row>
    <row r="22" spans="1:12" s="193" customFormat="1" ht="15.75" thickBot="1" x14ac:dyDescent="0.3">
      <c r="A22" s="502"/>
      <c r="B22" s="503"/>
      <c r="C22" s="504"/>
      <c r="D22" s="157"/>
      <c r="E22" s="157"/>
      <c r="F22" s="166"/>
      <c r="G22" s="159">
        <f>E22*F22</f>
        <v>0</v>
      </c>
      <c r="H22" s="492"/>
    </row>
    <row r="23" spans="1:12" s="193" customFormat="1" ht="16.5" thickBot="1" x14ac:dyDescent="0.3">
      <c r="A23" s="477"/>
      <c r="B23" s="478"/>
      <c r="C23" s="160"/>
      <c r="D23" s="160"/>
      <c r="E23" s="160"/>
      <c r="F23" s="160"/>
      <c r="G23" s="132" t="s">
        <v>170</v>
      </c>
      <c r="H23" s="161">
        <f>SUM(G19:G22)</f>
        <v>396488</v>
      </c>
    </row>
    <row r="24" spans="1:12" s="193" customFormat="1" ht="16.5" thickBot="1" x14ac:dyDescent="0.3">
      <c r="A24" s="479" t="s">
        <v>177</v>
      </c>
      <c r="B24" s="480"/>
      <c r="C24" s="146"/>
      <c r="D24" s="146"/>
      <c r="E24" s="146"/>
      <c r="F24" s="146"/>
      <c r="G24" s="146"/>
      <c r="H24" s="162"/>
    </row>
    <row r="25" spans="1:12" s="193" customFormat="1" ht="15.75" customHeight="1" thickBot="1" x14ac:dyDescent="0.3">
      <c r="A25" s="487" t="s">
        <v>178</v>
      </c>
      <c r="B25" s="488"/>
      <c r="C25" s="148" t="s">
        <v>179</v>
      </c>
      <c r="D25" s="148" t="s">
        <v>180</v>
      </c>
      <c r="E25" s="148" t="s">
        <v>181</v>
      </c>
      <c r="F25" s="148" t="s">
        <v>182</v>
      </c>
      <c r="G25" s="149" t="s">
        <v>164</v>
      </c>
      <c r="H25" s="201" t="s">
        <v>165</v>
      </c>
    </row>
    <row r="26" spans="1:12" s="193" customFormat="1" ht="15.75" thickBot="1" x14ac:dyDescent="0.3">
      <c r="A26" s="489" t="s">
        <v>183</v>
      </c>
      <c r="B26" s="490"/>
      <c r="C26" s="152"/>
      <c r="D26" s="152">
        <v>60</v>
      </c>
      <c r="E26" s="213">
        <v>1</v>
      </c>
      <c r="F26" s="172">
        <v>1800</v>
      </c>
      <c r="G26" s="153">
        <f>+F26*E26*D26</f>
        <v>108000</v>
      </c>
      <c r="H26" s="491"/>
    </row>
    <row r="27" spans="1:12" s="193" customFormat="1" ht="15" customHeight="1" thickBot="1" x14ac:dyDescent="0.3">
      <c r="A27" s="489" t="s">
        <v>202</v>
      </c>
      <c r="B27" s="490"/>
      <c r="C27" s="158"/>
      <c r="D27" s="158"/>
      <c r="E27" s="171">
        <v>1</v>
      </c>
      <c r="F27" s="174">
        <v>45000</v>
      </c>
      <c r="G27" s="159">
        <f>F27*E27</f>
        <v>45000</v>
      </c>
      <c r="H27" s="492"/>
      <c r="J27" s="204"/>
      <c r="K27" s="204"/>
    </row>
    <row r="28" spans="1:12" s="193" customFormat="1" ht="16.5" thickBot="1" x14ac:dyDescent="0.3">
      <c r="A28" s="477"/>
      <c r="B28" s="478"/>
      <c r="C28" s="160"/>
      <c r="D28" s="160"/>
      <c r="E28" s="160"/>
      <c r="F28" s="160"/>
      <c r="G28" s="132" t="s">
        <v>170</v>
      </c>
      <c r="H28" s="161">
        <f>SUM(G26:G27)</f>
        <v>153000</v>
      </c>
      <c r="J28" s="204"/>
      <c r="K28" s="204"/>
    </row>
    <row r="29" spans="1:12" s="193" customFormat="1" ht="16.5" thickBot="1" x14ac:dyDescent="0.3">
      <c r="A29" s="479" t="s">
        <v>185</v>
      </c>
      <c r="B29" s="480"/>
      <c r="C29" s="146"/>
      <c r="D29" s="146"/>
      <c r="E29" s="146"/>
      <c r="F29" s="146"/>
      <c r="G29" s="146"/>
      <c r="H29" s="162"/>
      <c r="J29" s="204"/>
      <c r="K29" s="204"/>
    </row>
    <row r="30" spans="1:12" s="193" customFormat="1" ht="15.75" customHeight="1" thickBot="1" x14ac:dyDescent="0.3">
      <c r="A30" s="481" t="s">
        <v>186</v>
      </c>
      <c r="B30" s="482"/>
      <c r="C30" s="175" t="s">
        <v>187</v>
      </c>
      <c r="D30" s="175" t="s">
        <v>188</v>
      </c>
      <c r="E30" s="175" t="s">
        <v>189</v>
      </c>
      <c r="F30" s="175" t="s">
        <v>163</v>
      </c>
      <c r="G30" s="175" t="s">
        <v>164</v>
      </c>
      <c r="H30" s="176" t="s">
        <v>165</v>
      </c>
    </row>
    <row r="31" spans="1:12" s="193" customFormat="1" x14ac:dyDescent="0.25">
      <c r="A31" s="205">
        <v>1</v>
      </c>
      <c r="B31" s="178" t="s">
        <v>190</v>
      </c>
      <c r="C31" s="152">
        <v>12162.5</v>
      </c>
      <c r="D31" s="179">
        <f>'[2]Lista de Precios H'!$B$72</f>
        <v>0.62770000000000004</v>
      </c>
      <c r="E31" s="152">
        <f>C31*(1+D31)</f>
        <v>19796.901249999999</v>
      </c>
      <c r="F31" s="152">
        <v>0.4</v>
      </c>
      <c r="G31" s="153">
        <f>E31/F31</f>
        <v>49492.253124999996</v>
      </c>
      <c r="H31" s="483"/>
    </row>
    <row r="32" spans="1:12" s="193" customFormat="1" x14ac:dyDescent="0.25">
      <c r="A32" s="206">
        <v>1</v>
      </c>
      <c r="B32" s="181" t="s">
        <v>269</v>
      </c>
      <c r="C32" s="155">
        <v>45000</v>
      </c>
      <c r="D32" s="214">
        <f>'[2]Lista de Precios H'!$B$72</f>
        <v>0.62770000000000004</v>
      </c>
      <c r="E32" s="155">
        <f>C32*(1+D32)</f>
        <v>73246.5</v>
      </c>
      <c r="F32" s="155">
        <f>+F31</f>
        <v>0.4</v>
      </c>
      <c r="G32" s="156">
        <f>E32/F32</f>
        <v>183116.25</v>
      </c>
      <c r="H32" s="484"/>
      <c r="J32" s="193">
        <v>312.5</v>
      </c>
    </row>
    <row r="33" spans="1:11" s="193" customFormat="1" x14ac:dyDescent="0.25">
      <c r="A33" s="206">
        <v>3</v>
      </c>
      <c r="B33" s="181" t="s">
        <v>193</v>
      </c>
      <c r="C33" s="155">
        <f>16881*1.4</f>
        <v>23633.399999999998</v>
      </c>
      <c r="D33" s="182">
        <f>+'[2]Lista de Precios H'!$B$73</f>
        <v>0.75819999999999999</v>
      </c>
      <c r="E33" s="155">
        <f>C33*(1+D33)</f>
        <v>41552.243879999995</v>
      </c>
      <c r="F33" s="155">
        <f>+F32</f>
        <v>0.4</v>
      </c>
      <c r="G33" s="156">
        <f>E33/F33</f>
        <v>103880.60969999999</v>
      </c>
      <c r="H33" s="484"/>
      <c r="J33" s="193">
        <f>J32/8</f>
        <v>39.0625</v>
      </c>
    </row>
    <row r="34" spans="1:11" s="193" customFormat="1" ht="15.75" thickBot="1" x14ac:dyDescent="0.3">
      <c r="A34" s="206"/>
      <c r="B34" s="181"/>
      <c r="C34" s="158"/>
      <c r="D34" s="182"/>
      <c r="E34" s="155"/>
      <c r="F34" s="155"/>
      <c r="G34" s="156"/>
      <c r="H34" s="484"/>
    </row>
    <row r="35" spans="1:11" s="193" customFormat="1" ht="16.5" thickBot="1" x14ac:dyDescent="0.3">
      <c r="A35" s="477"/>
      <c r="B35" s="478"/>
      <c r="C35" s="160"/>
      <c r="D35" s="160"/>
      <c r="E35" s="160"/>
      <c r="F35" s="160"/>
      <c r="G35" s="132" t="s">
        <v>170</v>
      </c>
      <c r="H35" s="161">
        <f>SUM(G31:G34)</f>
        <v>336489.11282499996</v>
      </c>
    </row>
    <row r="36" spans="1:11" s="193" customFormat="1" ht="15.75" thickBot="1" x14ac:dyDescent="0.3">
      <c r="A36" s="485"/>
      <c r="B36" s="486"/>
      <c r="C36" s="167"/>
      <c r="D36" s="167"/>
      <c r="E36" s="167"/>
      <c r="F36" s="167"/>
      <c r="G36" s="185"/>
      <c r="H36" s="186"/>
      <c r="K36" s="193" t="e">
        <f>+#REF!*1.38</f>
        <v>#REF!</v>
      </c>
    </row>
    <row r="37" spans="1:11" s="193" customFormat="1" ht="16.5" thickBot="1" x14ac:dyDescent="0.3">
      <c r="A37" s="473"/>
      <c r="B37" s="474"/>
      <c r="C37" s="146"/>
      <c r="D37" s="146"/>
      <c r="E37" s="146"/>
      <c r="F37" s="475" t="s">
        <v>194</v>
      </c>
      <c r="G37" s="476"/>
      <c r="H37" s="187">
        <f>ROUND((+H16+H23+H28+H35),0)</f>
        <v>898200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A5 C5" name="Rango1_3_2_1"/>
    <protectedRange sqref="H38" name="Rango1_3_1_1_1"/>
    <protectedRange sqref="A14 C14" name="Rango1_1_1_1_2"/>
    <protectedRange sqref="D12:G12" name="Rango1_1"/>
    <protectedRange sqref="E22" name="Rango1_4_1_2"/>
    <protectedRange sqref="C31:C34" name="Rango1_2_2_2"/>
    <protectedRange sqref="F26:F27" name="Rango1_2_4_2"/>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01E6B-3215-4C39-A53A-434FB9E78462}">
  <dimension ref="A1:L60"/>
  <sheetViews>
    <sheetView workbookViewId="0">
      <selection activeCell="B7" sqref="B7:H7"/>
    </sheetView>
  </sheetViews>
  <sheetFormatPr baseColWidth="10" defaultColWidth="11.42578125" defaultRowHeight="15" x14ac:dyDescent="0.2"/>
  <cols>
    <col min="1" max="1" width="11.42578125" style="189"/>
    <col min="2" max="2" width="44.42578125" style="189" customWidth="1"/>
    <col min="3" max="3" width="21.28515625" style="189" bestFit="1" customWidth="1"/>
    <col min="4" max="4" width="17.85546875" style="189" bestFit="1" customWidth="1"/>
    <col min="5" max="5" width="16.5703125" style="189" customWidth="1"/>
    <col min="6" max="6" width="17.42578125" style="189" customWidth="1"/>
    <col min="7" max="7" width="16.140625" style="189" customWidth="1"/>
    <col min="8" max="8" width="17.42578125" style="189" bestFit="1" customWidth="1"/>
    <col min="9" max="9" width="9.42578125" style="189" bestFit="1" customWidth="1"/>
    <col min="10" max="10" width="36" style="189" hidden="1" customWidth="1"/>
    <col min="11" max="11" width="30.42578125" style="189" hidden="1" customWidth="1"/>
    <col min="12" max="12" width="18.140625" style="189" bestFit="1" customWidth="1"/>
    <col min="13" max="16384" width="11.42578125" style="189"/>
  </cols>
  <sheetData>
    <row r="1" spans="1:8" ht="16.5" thickBot="1" x14ac:dyDescent="0.25">
      <c r="B1" s="190"/>
      <c r="C1" s="191"/>
      <c r="D1" s="191"/>
      <c r="E1" s="191"/>
      <c r="F1" s="191"/>
      <c r="G1" s="191"/>
      <c r="H1" s="191"/>
    </row>
    <row r="2" spans="1:8" s="192" customFormat="1" ht="15" customHeight="1" x14ac:dyDescent="0.2">
      <c r="A2" s="505" t="s">
        <v>58</v>
      </c>
      <c r="B2" s="506"/>
      <c r="C2" s="506"/>
      <c r="D2" s="507"/>
      <c r="E2" s="514" t="s">
        <v>157</v>
      </c>
      <c r="F2" s="515"/>
      <c r="G2" s="515"/>
      <c r="H2" s="516"/>
    </row>
    <row r="3" spans="1:8" s="192" customFormat="1" ht="15" customHeight="1" x14ac:dyDescent="0.2">
      <c r="A3" s="508"/>
      <c r="B3" s="509"/>
      <c r="C3" s="509"/>
      <c r="D3" s="510"/>
      <c r="E3" s="517"/>
      <c r="F3" s="518"/>
      <c r="G3" s="518"/>
      <c r="H3" s="519"/>
    </row>
    <row r="4" spans="1:8" s="193" customFormat="1" ht="15.75" customHeight="1" thickBot="1" x14ac:dyDescent="0.3">
      <c r="A4" s="511"/>
      <c r="B4" s="512"/>
      <c r="C4" s="512"/>
      <c r="D4" s="513"/>
      <c r="E4" s="520"/>
      <c r="F4" s="521"/>
      <c r="G4" s="521"/>
      <c r="H4" s="522"/>
    </row>
    <row r="5" spans="1:8" s="194" customFormat="1" ht="15" customHeight="1" x14ac:dyDescent="0.25">
      <c r="A5" s="523"/>
      <c r="B5" s="524"/>
      <c r="C5" s="524"/>
      <c r="D5" s="524"/>
      <c r="E5" s="136"/>
      <c r="F5" s="136"/>
      <c r="G5" s="136"/>
      <c r="H5" s="137"/>
    </row>
    <row r="6" spans="1:8" s="194" customFormat="1" ht="16.5" thickBot="1" x14ac:dyDescent="0.25">
      <c r="A6" s="520"/>
      <c r="B6" s="521"/>
      <c r="C6" s="138"/>
      <c r="D6" s="138"/>
      <c r="E6" s="138"/>
      <c r="F6" s="138"/>
      <c r="G6" s="138"/>
      <c r="H6" s="139"/>
    </row>
    <row r="7" spans="1:8" s="194" customFormat="1" ht="78.599999999999994" customHeight="1" thickBot="1" x14ac:dyDescent="0.3">
      <c r="A7" s="140" t="s">
        <v>203</v>
      </c>
      <c r="B7" s="525" t="s">
        <v>62</v>
      </c>
      <c r="C7" s="526"/>
      <c r="D7" s="526"/>
      <c r="E7" s="526"/>
      <c r="F7" s="526"/>
      <c r="G7" s="526"/>
      <c r="H7" s="527"/>
    </row>
    <row r="8" spans="1:8" s="193" customFormat="1" ht="16.5" thickBot="1" x14ac:dyDescent="0.3">
      <c r="A8" s="195"/>
      <c r="B8" s="160"/>
      <c r="C8" s="141"/>
      <c r="D8" s="141"/>
      <c r="E8" s="141"/>
      <c r="F8" s="141"/>
      <c r="G8" s="142" t="s">
        <v>158</v>
      </c>
      <c r="H8" s="143" t="s">
        <v>159</v>
      </c>
    </row>
    <row r="9" spans="1:8" s="193" customFormat="1" ht="15.75" x14ac:dyDescent="0.25">
      <c r="A9" s="196"/>
      <c r="B9" s="167"/>
      <c r="C9" s="197"/>
      <c r="D9" s="197"/>
      <c r="E9" s="197"/>
      <c r="F9" s="197"/>
      <c r="G9" s="198"/>
      <c r="H9" s="199"/>
    </row>
    <row r="10" spans="1:8" s="193" customFormat="1" ht="15.75" customHeight="1" thickBot="1" x14ac:dyDescent="0.3">
      <c r="A10" s="144" t="s">
        <v>160</v>
      </c>
      <c r="B10" s="145"/>
      <c r="C10" s="146"/>
      <c r="D10" s="146"/>
      <c r="E10" s="146"/>
      <c r="F10" s="146"/>
      <c r="G10" s="146"/>
      <c r="H10" s="147"/>
    </row>
    <row r="11" spans="1:8" s="193" customFormat="1" ht="15.75" thickBot="1" x14ac:dyDescent="0.3">
      <c r="A11" s="487" t="s">
        <v>69</v>
      </c>
      <c r="B11" s="493"/>
      <c r="C11" s="488"/>
      <c r="D11" s="148" t="s">
        <v>161</v>
      </c>
      <c r="E11" s="148" t="s">
        <v>162</v>
      </c>
      <c r="F11" s="148" t="s">
        <v>163</v>
      </c>
      <c r="G11" s="149" t="s">
        <v>164</v>
      </c>
      <c r="H11" s="150" t="s">
        <v>165</v>
      </c>
    </row>
    <row r="12" spans="1:8" s="193" customFormat="1" ht="15" customHeight="1" x14ac:dyDescent="0.25">
      <c r="A12" s="489" t="s">
        <v>199</v>
      </c>
      <c r="B12" s="528"/>
      <c r="C12" s="490"/>
      <c r="D12" s="151" t="s">
        <v>196</v>
      </c>
      <c r="E12" s="152">
        <v>25000</v>
      </c>
      <c r="F12" s="151">
        <v>4.5</v>
      </c>
      <c r="G12" s="153">
        <f>E12/F12</f>
        <v>5555.5555555555557</v>
      </c>
      <c r="H12" s="529"/>
    </row>
    <row r="13" spans="1:8" s="193" customFormat="1" ht="15" customHeight="1" x14ac:dyDescent="0.25">
      <c r="A13" s="532" t="s">
        <v>166</v>
      </c>
      <c r="B13" s="533"/>
      <c r="C13" s="534"/>
      <c r="D13" s="200" t="s">
        <v>167</v>
      </c>
      <c r="E13" s="155">
        <v>12000</v>
      </c>
      <c r="F13" s="200">
        <f>+F12</f>
        <v>4.5</v>
      </c>
      <c r="G13" s="173">
        <f>E13/F13</f>
        <v>2666.6666666666665</v>
      </c>
      <c r="H13" s="530"/>
    </row>
    <row r="14" spans="1:8" s="193" customFormat="1" ht="15" customHeight="1" x14ac:dyDescent="0.25">
      <c r="A14" s="535" t="s">
        <v>197</v>
      </c>
      <c r="B14" s="536"/>
      <c r="C14" s="537"/>
      <c r="D14" s="154" t="s">
        <v>167</v>
      </c>
      <c r="E14" s="155">
        <v>6000</v>
      </c>
      <c r="F14" s="154">
        <f>+F13</f>
        <v>4.5</v>
      </c>
      <c r="G14" s="156">
        <f>E14/F14</f>
        <v>1333.3333333333333</v>
      </c>
      <c r="H14" s="530"/>
    </row>
    <row r="15" spans="1:8" s="193" customFormat="1" ht="15" customHeight="1" thickBot="1" x14ac:dyDescent="0.3">
      <c r="A15" s="502" t="s">
        <v>168</v>
      </c>
      <c r="B15" s="503"/>
      <c r="C15" s="504"/>
      <c r="D15" s="157" t="s">
        <v>169</v>
      </c>
      <c r="E15" s="158"/>
      <c r="F15" s="158"/>
      <c r="G15" s="159">
        <v>778</v>
      </c>
      <c r="H15" s="531"/>
    </row>
    <row r="16" spans="1:8" s="193" customFormat="1" ht="15.6" customHeight="1" thickBot="1" x14ac:dyDescent="0.3">
      <c r="A16" s="477"/>
      <c r="B16" s="478"/>
      <c r="C16" s="160"/>
      <c r="D16" s="160"/>
      <c r="E16" s="160"/>
      <c r="F16" s="160"/>
      <c r="G16" s="132" t="s">
        <v>170</v>
      </c>
      <c r="H16" s="161">
        <f>SUM(G12:G15)</f>
        <v>10333.555555555557</v>
      </c>
    </row>
    <row r="17" spans="1:12" s="193" customFormat="1" ht="16.5" thickBot="1" x14ac:dyDescent="0.3">
      <c r="A17" s="479" t="s">
        <v>171</v>
      </c>
      <c r="B17" s="480"/>
      <c r="C17" s="146"/>
      <c r="D17" s="146"/>
      <c r="E17" s="146"/>
      <c r="F17" s="146"/>
      <c r="G17" s="146"/>
      <c r="H17" s="162"/>
    </row>
    <row r="18" spans="1:12" s="193" customFormat="1" ht="15.75" customHeight="1" thickBot="1" x14ac:dyDescent="0.3">
      <c r="A18" s="487" t="s">
        <v>69</v>
      </c>
      <c r="B18" s="493"/>
      <c r="C18" s="488"/>
      <c r="D18" s="148" t="s">
        <v>70</v>
      </c>
      <c r="E18" s="148" t="s">
        <v>172</v>
      </c>
      <c r="F18" s="148" t="s">
        <v>71</v>
      </c>
      <c r="G18" s="149" t="s">
        <v>164</v>
      </c>
      <c r="H18" s="201" t="s">
        <v>165</v>
      </c>
    </row>
    <row r="19" spans="1:12" s="193" customFormat="1" x14ac:dyDescent="0.25">
      <c r="A19" s="489" t="s">
        <v>200</v>
      </c>
      <c r="B19" s="528"/>
      <c r="C19" s="490"/>
      <c r="D19" s="151" t="s">
        <v>173</v>
      </c>
      <c r="E19" s="152">
        <v>116800</v>
      </c>
      <c r="F19" s="203">
        <v>0.14000000000000001</v>
      </c>
      <c r="G19" s="153">
        <f>E19*F19</f>
        <v>16352.000000000002</v>
      </c>
      <c r="H19" s="491"/>
      <c r="L19" s="202"/>
    </row>
    <row r="20" spans="1:12" s="193" customFormat="1" x14ac:dyDescent="0.25">
      <c r="A20" s="535" t="s">
        <v>201</v>
      </c>
      <c r="B20" s="536"/>
      <c r="C20" s="537"/>
      <c r="D20" s="154" t="s">
        <v>169</v>
      </c>
      <c r="E20" s="170">
        <v>9852.1314650000004</v>
      </c>
      <c r="F20" s="165">
        <v>0.12</v>
      </c>
      <c r="G20" s="156">
        <f>E20*F20</f>
        <v>1182.2557758</v>
      </c>
      <c r="H20" s="596"/>
      <c r="L20" s="202"/>
    </row>
    <row r="21" spans="1:12" s="193" customFormat="1" x14ac:dyDescent="0.25">
      <c r="A21" s="535" t="s">
        <v>174</v>
      </c>
      <c r="B21" s="536"/>
      <c r="C21" s="537"/>
      <c r="D21" s="154" t="s">
        <v>175</v>
      </c>
      <c r="E21" s="170">
        <v>9400</v>
      </c>
      <c r="F21" s="165">
        <v>0.3</v>
      </c>
      <c r="G21" s="156">
        <f>E21*F21</f>
        <v>2820</v>
      </c>
      <c r="H21" s="596"/>
    </row>
    <row r="22" spans="1:12" s="193" customFormat="1" ht="15.75" thickBot="1" x14ac:dyDescent="0.3">
      <c r="A22" s="502" t="s">
        <v>176</v>
      </c>
      <c r="B22" s="503"/>
      <c r="C22" s="504"/>
      <c r="D22" s="157" t="s">
        <v>169</v>
      </c>
      <c r="E22" s="157">
        <v>30463.021467466115</v>
      </c>
      <c r="F22" s="166">
        <v>0.12</v>
      </c>
      <c r="G22" s="159">
        <f>E22*F22</f>
        <v>3655.5625760959338</v>
      </c>
      <c r="H22" s="492"/>
    </row>
    <row r="23" spans="1:12" s="193" customFormat="1" ht="16.5" thickBot="1" x14ac:dyDescent="0.3">
      <c r="A23" s="477"/>
      <c r="B23" s="478"/>
      <c r="C23" s="160"/>
      <c r="D23" s="160"/>
      <c r="E23" s="160"/>
      <c r="F23" s="160"/>
      <c r="G23" s="132" t="s">
        <v>170</v>
      </c>
      <c r="H23" s="161">
        <f>SUM(G19:G22)</f>
        <v>24009.818351895934</v>
      </c>
    </row>
    <row r="24" spans="1:12" s="193" customFormat="1" ht="16.5" thickBot="1" x14ac:dyDescent="0.3">
      <c r="A24" s="479" t="s">
        <v>177</v>
      </c>
      <c r="B24" s="480"/>
      <c r="C24" s="146"/>
      <c r="D24" s="146"/>
      <c r="E24" s="146"/>
      <c r="F24" s="146"/>
      <c r="G24" s="146"/>
      <c r="H24" s="162"/>
    </row>
    <row r="25" spans="1:12" s="193" customFormat="1" ht="15.75" customHeight="1" thickBot="1" x14ac:dyDescent="0.3">
      <c r="A25" s="487" t="s">
        <v>178</v>
      </c>
      <c r="B25" s="488"/>
      <c r="C25" s="148" t="s">
        <v>179</v>
      </c>
      <c r="D25" s="148" t="s">
        <v>180</v>
      </c>
      <c r="E25" s="148" t="s">
        <v>181</v>
      </c>
      <c r="F25" s="148" t="s">
        <v>182</v>
      </c>
      <c r="G25" s="149" t="s">
        <v>164</v>
      </c>
      <c r="H25" s="201" t="s">
        <v>165</v>
      </c>
    </row>
    <row r="26" spans="1:12" s="193" customFormat="1" ht="15.75" thickBot="1" x14ac:dyDescent="0.3">
      <c r="A26" s="489" t="s">
        <v>183</v>
      </c>
      <c r="B26" s="490"/>
      <c r="C26" s="152"/>
      <c r="D26" s="152"/>
      <c r="E26" s="213">
        <v>0.01</v>
      </c>
      <c r="F26" s="172">
        <v>300000</v>
      </c>
      <c r="G26" s="153">
        <f>F26*E26</f>
        <v>3000</v>
      </c>
      <c r="H26" s="491"/>
    </row>
    <row r="27" spans="1:12" s="193" customFormat="1" ht="15" customHeight="1" thickBot="1" x14ac:dyDescent="0.3">
      <c r="A27" s="489" t="s">
        <v>202</v>
      </c>
      <c r="B27" s="490"/>
      <c r="C27" s="158"/>
      <c r="D27" s="158"/>
      <c r="E27" s="171">
        <v>0.01</v>
      </c>
      <c r="F27" s="174">
        <v>300000</v>
      </c>
      <c r="G27" s="159">
        <f>F27*E27</f>
        <v>3000</v>
      </c>
      <c r="H27" s="492"/>
      <c r="J27" s="204"/>
      <c r="K27" s="204"/>
    </row>
    <row r="28" spans="1:12" s="193" customFormat="1" ht="16.5" thickBot="1" x14ac:dyDescent="0.3">
      <c r="A28" s="477"/>
      <c r="B28" s="478"/>
      <c r="C28" s="160"/>
      <c r="D28" s="160"/>
      <c r="E28" s="160"/>
      <c r="F28" s="160"/>
      <c r="G28" s="132" t="s">
        <v>170</v>
      </c>
      <c r="H28" s="161">
        <f>SUM(G26:G27)</f>
        <v>6000</v>
      </c>
      <c r="J28" s="204"/>
      <c r="K28" s="204"/>
    </row>
    <row r="29" spans="1:12" s="193" customFormat="1" ht="16.5" thickBot="1" x14ac:dyDescent="0.3">
      <c r="A29" s="479" t="s">
        <v>185</v>
      </c>
      <c r="B29" s="480"/>
      <c r="C29" s="146"/>
      <c r="D29" s="146"/>
      <c r="E29" s="146"/>
      <c r="F29" s="146"/>
      <c r="G29" s="146"/>
      <c r="H29" s="162"/>
      <c r="J29" s="204"/>
      <c r="K29" s="204"/>
    </row>
    <row r="30" spans="1:12" s="193" customFormat="1" ht="15.75" customHeight="1" thickBot="1" x14ac:dyDescent="0.3">
      <c r="A30" s="481" t="s">
        <v>186</v>
      </c>
      <c r="B30" s="482"/>
      <c r="C30" s="175" t="s">
        <v>187</v>
      </c>
      <c r="D30" s="175" t="s">
        <v>188</v>
      </c>
      <c r="E30" s="175" t="s">
        <v>189</v>
      </c>
      <c r="F30" s="175" t="s">
        <v>163</v>
      </c>
      <c r="G30" s="175" t="s">
        <v>164</v>
      </c>
      <c r="H30" s="176" t="s">
        <v>165</v>
      </c>
    </row>
    <row r="31" spans="1:12" s="193" customFormat="1" x14ac:dyDescent="0.25">
      <c r="A31" s="205">
        <v>1</v>
      </c>
      <c r="B31" s="178" t="s">
        <v>190</v>
      </c>
      <c r="C31" s="152">
        <v>12162.5</v>
      </c>
      <c r="D31" s="179">
        <f>'[2]Lista de Precios H'!$B$72</f>
        <v>0.62770000000000004</v>
      </c>
      <c r="E31" s="152">
        <f>C31*(1+D31)</f>
        <v>19796.901249999999</v>
      </c>
      <c r="F31" s="152">
        <f>+F14</f>
        <v>4.5</v>
      </c>
      <c r="G31" s="153">
        <f>E31/F31</f>
        <v>4399.3113888888884</v>
      </c>
      <c r="H31" s="483"/>
    </row>
    <row r="32" spans="1:12" s="193" customFormat="1" x14ac:dyDescent="0.25">
      <c r="A32" s="206">
        <v>2</v>
      </c>
      <c r="B32" s="181" t="s">
        <v>191</v>
      </c>
      <c r="C32" s="155">
        <f>15125*1.4</f>
        <v>21175</v>
      </c>
      <c r="D32" s="214">
        <f>'[2]Lista de Precios H'!$B$72</f>
        <v>0.62770000000000004</v>
      </c>
      <c r="E32" s="155">
        <f>C32*(1+D32)</f>
        <v>34466.547500000001</v>
      </c>
      <c r="F32" s="155">
        <f>+F31</f>
        <v>4.5</v>
      </c>
      <c r="G32" s="156">
        <f>E32/F32</f>
        <v>7659.2327777777782</v>
      </c>
      <c r="H32" s="484"/>
      <c r="J32" s="193">
        <v>312.5</v>
      </c>
    </row>
    <row r="33" spans="1:11" s="193" customFormat="1" x14ac:dyDescent="0.25">
      <c r="A33" s="206">
        <v>3</v>
      </c>
      <c r="B33" s="181" t="s">
        <v>192</v>
      </c>
      <c r="C33" s="155">
        <f>16881*1.4</f>
        <v>23633.399999999998</v>
      </c>
      <c r="D33" s="182">
        <f>+'[2]Lista de Precios H'!$B$73</f>
        <v>0.75819999999999999</v>
      </c>
      <c r="E33" s="155">
        <f>C33*(1+D33)</f>
        <v>41552.243879999995</v>
      </c>
      <c r="F33" s="155">
        <f>+F32</f>
        <v>4.5</v>
      </c>
      <c r="G33" s="156">
        <f>E33/F33</f>
        <v>9233.8319733333319</v>
      </c>
      <c r="H33" s="484"/>
      <c r="J33" s="193">
        <f>J32/8</f>
        <v>39.0625</v>
      </c>
    </row>
    <row r="34" spans="1:11" s="193" customFormat="1" ht="15.75" thickBot="1" x14ac:dyDescent="0.3">
      <c r="A34" s="206">
        <v>1</v>
      </c>
      <c r="B34" s="181" t="s">
        <v>193</v>
      </c>
      <c r="C34" s="158">
        <v>6050</v>
      </c>
      <c r="D34" s="182">
        <f>+'[2]Lista de Precios H'!$B$73</f>
        <v>0.75819999999999999</v>
      </c>
      <c r="E34" s="155">
        <f>C34*(1+D34)</f>
        <v>10637.11</v>
      </c>
      <c r="F34" s="155">
        <f>+F33</f>
        <v>4.5</v>
      </c>
      <c r="G34" s="156">
        <f>E34/F34</f>
        <v>2363.8022222222226</v>
      </c>
      <c r="H34" s="484"/>
    </row>
    <row r="35" spans="1:11" s="193" customFormat="1" ht="16.5" thickBot="1" x14ac:dyDescent="0.3">
      <c r="A35" s="477"/>
      <c r="B35" s="478"/>
      <c r="C35" s="160"/>
      <c r="D35" s="160"/>
      <c r="E35" s="160"/>
      <c r="F35" s="160"/>
      <c r="G35" s="132" t="s">
        <v>170</v>
      </c>
      <c r="H35" s="161">
        <f>SUM(G31:G34)</f>
        <v>23656.178362222221</v>
      </c>
    </row>
    <row r="36" spans="1:11" s="193" customFormat="1" ht="15.75" thickBot="1" x14ac:dyDescent="0.3">
      <c r="A36" s="485"/>
      <c r="B36" s="486"/>
      <c r="C36" s="167"/>
      <c r="D36" s="167"/>
      <c r="E36" s="167"/>
      <c r="F36" s="167"/>
      <c r="G36" s="185"/>
      <c r="H36" s="186"/>
      <c r="K36" s="193" t="e">
        <f>+#REF!*1.38</f>
        <v>#REF!</v>
      </c>
    </row>
    <row r="37" spans="1:11" s="193" customFormat="1" ht="16.5" thickBot="1" x14ac:dyDescent="0.3">
      <c r="A37" s="473"/>
      <c r="B37" s="474"/>
      <c r="C37" s="146"/>
      <c r="D37" s="146"/>
      <c r="E37" s="146"/>
      <c r="F37" s="475" t="s">
        <v>194</v>
      </c>
      <c r="G37" s="476"/>
      <c r="H37" s="187">
        <f>ROUND((+H16+H23+H28+H35),0)</f>
        <v>64000</v>
      </c>
    </row>
    <row r="38" spans="1:11" s="193" customFormat="1" ht="15.75" x14ac:dyDescent="0.25">
      <c r="B38" s="207"/>
      <c r="D38" s="208"/>
      <c r="E38" s="209"/>
      <c r="F38" s="210"/>
      <c r="G38" s="211"/>
      <c r="H38" s="212"/>
    </row>
    <row r="39" spans="1:11" s="193" customFormat="1" x14ac:dyDescent="0.25">
      <c r="A39" s="135"/>
      <c r="B39" s="188"/>
      <c r="C39" s="188"/>
      <c r="D39" s="188"/>
      <c r="E39" s="188"/>
      <c r="F39" s="188"/>
      <c r="G39" s="188"/>
      <c r="H39" s="188"/>
    </row>
    <row r="40" spans="1:11" s="193" customFormat="1" x14ac:dyDescent="0.25">
      <c r="A40" s="135"/>
      <c r="B40" s="135"/>
      <c r="C40" s="135"/>
      <c r="D40" s="135"/>
      <c r="E40" s="135"/>
      <c r="F40" s="135"/>
      <c r="G40" s="135"/>
      <c r="H40" s="135"/>
    </row>
    <row r="41" spans="1:11" s="193" customFormat="1" x14ac:dyDescent="0.25">
      <c r="A41" s="135"/>
      <c r="B41" s="135"/>
      <c r="C41" s="135"/>
      <c r="D41" s="135"/>
      <c r="E41" s="135"/>
      <c r="F41" s="135"/>
      <c r="G41" s="135"/>
      <c r="H41" s="135"/>
    </row>
    <row r="42" spans="1:11" s="193" customFormat="1" x14ac:dyDescent="0.25">
      <c r="A42" s="135"/>
      <c r="B42" s="135"/>
      <c r="C42" s="135"/>
      <c r="D42" s="135"/>
      <c r="E42" s="135"/>
      <c r="F42" s="135"/>
      <c r="G42" s="135"/>
      <c r="H42" s="135"/>
    </row>
    <row r="43" spans="1:11" s="193" customFormat="1" x14ac:dyDescent="0.2">
      <c r="A43" s="133"/>
      <c r="B43" s="133"/>
      <c r="C43" s="133"/>
      <c r="D43" s="133"/>
      <c r="E43" s="133"/>
      <c r="F43" s="133"/>
      <c r="G43" s="133"/>
      <c r="H43" s="133"/>
    </row>
    <row r="44" spans="1:11" s="192" customFormat="1" x14ac:dyDescent="0.2"/>
    <row r="45" spans="1:11" s="192" customFormat="1" x14ac:dyDescent="0.2"/>
    <row r="46" spans="1:11" s="192" customFormat="1" x14ac:dyDescent="0.2"/>
    <row r="47" spans="1:11" s="192" customFormat="1" x14ac:dyDescent="0.2"/>
    <row r="48" spans="1:11" s="192" customFormat="1" x14ac:dyDescent="0.2"/>
    <row r="49" s="192" customFormat="1" x14ac:dyDescent="0.2"/>
    <row r="50" s="192" customFormat="1" x14ac:dyDescent="0.2"/>
    <row r="51" s="192" customFormat="1" x14ac:dyDescent="0.2"/>
    <row r="52" s="192" customFormat="1" x14ac:dyDescent="0.2"/>
    <row r="53" s="192" customFormat="1" x14ac:dyDescent="0.2"/>
    <row r="54" s="192" customFormat="1" x14ac:dyDescent="0.2"/>
    <row r="55" s="192" customFormat="1" x14ac:dyDescent="0.2"/>
    <row r="56" s="192" customFormat="1" x14ac:dyDescent="0.2"/>
    <row r="57" s="192" customFormat="1" x14ac:dyDescent="0.2"/>
    <row r="58" s="192" customFormat="1" x14ac:dyDescent="0.2"/>
    <row r="59" s="192" customFormat="1" x14ac:dyDescent="0.2"/>
    <row r="60" s="192" customFormat="1" x14ac:dyDescent="0.2"/>
  </sheetData>
  <protectedRanges>
    <protectedRange sqref="A5 C5" name="Rango1_3_2_1"/>
    <protectedRange sqref="H38" name="Rango1_3_1_1_1"/>
    <protectedRange sqref="A14 C14" name="Rango1_1_1_1_2"/>
    <protectedRange sqref="D12:G12" name="Rango1_1"/>
    <protectedRange sqref="E22" name="Rango1_4_1_2"/>
    <protectedRange sqref="C31:C34" name="Rango1_2_2_2"/>
    <protectedRange sqref="F26:F27" name="Rango1_2_4_2"/>
    <protectedRange sqref="E13" name="Rango1_2_6_2"/>
  </protectedRanges>
  <mergeCells count="33">
    <mergeCell ref="A16:B16"/>
    <mergeCell ref="A2:D4"/>
    <mergeCell ref="E2:H4"/>
    <mergeCell ref="A5:D5"/>
    <mergeCell ref="A6:B6"/>
    <mergeCell ref="B7:H7"/>
    <mergeCell ref="A11:C11"/>
    <mergeCell ref="A12:C12"/>
    <mergeCell ref="H12:H15"/>
    <mergeCell ref="A13:C13"/>
    <mergeCell ref="A14:C14"/>
    <mergeCell ref="A15:C15"/>
    <mergeCell ref="A17:B17"/>
    <mergeCell ref="A18:C18"/>
    <mergeCell ref="A19:C19"/>
    <mergeCell ref="H19:H22"/>
    <mergeCell ref="A20:C20"/>
    <mergeCell ref="A21:C21"/>
    <mergeCell ref="A22:C22"/>
    <mergeCell ref="H31:H34"/>
    <mergeCell ref="A35:B35"/>
    <mergeCell ref="A36:B36"/>
    <mergeCell ref="A23:B23"/>
    <mergeCell ref="A24:B24"/>
    <mergeCell ref="A25:B25"/>
    <mergeCell ref="A26:B26"/>
    <mergeCell ref="H26:H27"/>
    <mergeCell ref="A27:B27"/>
    <mergeCell ref="A37:B37"/>
    <mergeCell ref="F37:G37"/>
    <mergeCell ref="A28:B28"/>
    <mergeCell ref="A29:B29"/>
    <mergeCell ref="A30:B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vt:i4>
      </vt:variant>
    </vt:vector>
  </HeadingPairs>
  <TitlesOfParts>
    <vt:vector size="21" baseType="lpstr">
      <vt:lpstr>PRESUPUESTO GENERAL</vt:lpstr>
      <vt:lpstr>AU</vt:lpstr>
      <vt:lpstr>PMA</vt:lpstr>
      <vt:lpstr>APU 1</vt:lpstr>
      <vt:lpstr>APU 2</vt:lpstr>
      <vt:lpstr>APU 3</vt:lpstr>
      <vt:lpstr>APU 4</vt:lpstr>
      <vt:lpstr>APU 5</vt:lpstr>
      <vt:lpstr>APU 6</vt:lpstr>
      <vt:lpstr>APU 7</vt:lpstr>
      <vt:lpstr>APU 8</vt:lpstr>
      <vt:lpstr>APU 9</vt:lpstr>
      <vt:lpstr>APU 10</vt:lpstr>
      <vt:lpstr>APU 11</vt:lpstr>
      <vt:lpstr>APU 12</vt:lpstr>
      <vt:lpstr>APU 13</vt:lpstr>
      <vt:lpstr>APU 14</vt:lpstr>
      <vt:lpstr>APU 15</vt:lpstr>
      <vt:lpstr>APU 16</vt:lpstr>
      <vt:lpstr>'PRESUPUESTO GENERAL'!Área_de_impresión</vt:lpstr>
      <vt:lpstr>'PRESUPUESTO GENERAL'!Títulos_a_imprimir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Misael Durango López</dc:creator>
  <cp:lastModifiedBy>Leidy Johana Mesa Montoya</cp:lastModifiedBy>
  <dcterms:created xsi:type="dcterms:W3CDTF">2025-05-12T15:14:33Z</dcterms:created>
  <dcterms:modified xsi:type="dcterms:W3CDTF">2025-06-25T12:51:00Z</dcterms:modified>
</cp:coreProperties>
</file>