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ndres Posso\Defensoría\Servicio de Mantenimiento pyc equipos auditorio\Novedades\"/>
    </mc:Choice>
  </mc:AlternateContent>
  <xr:revisionPtr revIDLastSave="0" documentId="8_{2419A56E-E9D2-44A1-BC2B-E5CDFB3320C4}" xr6:coauthVersionLast="47" xr6:coauthVersionMax="47" xr10:uidLastSave="{00000000-0000-0000-0000-000000000000}"/>
  <bookViews>
    <workbookView xWindow="-28920" yWindow="-120" windowWidth="29040" windowHeight="15720" xr2:uid="{AE17FBAA-2482-4B68-BC23-CB5D91FD95C0}"/>
  </bookViews>
  <sheets>
    <sheet name="Total Cotizaciones" sheetId="1" r:id="rId1"/>
    <sheet name="Mediana" sheetId="5" r:id="rId2"/>
    <sheet name="Media Geométrica" sheetId="6" r:id="rId3"/>
    <sheet name="Promedio" sheetId="2" r:id="rId4"/>
    <sheet name="Estimación del Presupuesto" sheetId="7" r:id="rId5"/>
    <sheet name="Total Cotizaciones_Impuestos In" sheetId="8" r:id="rId6"/>
    <sheet name="Precio máximo determinado" sheetId="9" r:id="rId7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9" l="1"/>
  <c r="F24" i="9"/>
  <c r="F23" i="9"/>
  <c r="F22" i="9"/>
  <c r="F21" i="9"/>
  <c r="F20" i="9"/>
  <c r="F19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6" i="9"/>
  <c r="F31" i="5"/>
  <c r="F30" i="5"/>
  <c r="F29" i="5"/>
  <c r="F28" i="5"/>
  <c r="F27" i="5"/>
  <c r="F26" i="5"/>
  <c r="F25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31" i="2"/>
  <c r="F30" i="2"/>
  <c r="F29" i="2"/>
  <c r="F28" i="2"/>
  <c r="F27" i="2"/>
  <c r="F26" i="2"/>
  <c r="F25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H4" i="8"/>
  <c r="J4" i="8"/>
  <c r="H5" i="8"/>
  <c r="J5" i="8"/>
  <c r="H6" i="8"/>
  <c r="J6" i="8"/>
  <c r="H7" i="8"/>
  <c r="J7" i="8"/>
  <c r="H8" i="8"/>
  <c r="J8" i="8"/>
  <c r="H9" i="8"/>
  <c r="J9" i="8"/>
  <c r="H10" i="8"/>
  <c r="J10" i="8"/>
  <c r="H11" i="8"/>
  <c r="J11" i="8"/>
  <c r="H12" i="8"/>
  <c r="J12" i="8"/>
  <c r="H13" i="8"/>
  <c r="J13" i="8"/>
  <c r="H14" i="8"/>
  <c r="J14" i="8"/>
  <c r="H15" i="8"/>
  <c r="J15" i="8"/>
  <c r="H16" i="8"/>
  <c r="J16" i="8"/>
  <c r="H17" i="8"/>
  <c r="J17" i="8"/>
  <c r="H18" i="8"/>
  <c r="J18" i="8"/>
  <c r="H20" i="8"/>
  <c r="J20" i="8"/>
  <c r="H21" i="8"/>
  <c r="J21" i="8"/>
  <c r="H22" i="8"/>
  <c r="J22" i="8"/>
  <c r="H23" i="8"/>
  <c r="J23" i="8"/>
  <c r="H24" i="8"/>
  <c r="J24" i="8"/>
  <c r="H25" i="8"/>
  <c r="J25" i="8"/>
  <c r="H26" i="8"/>
  <c r="J26" i="8"/>
  <c r="H27" i="8"/>
  <c r="J27" i="8"/>
  <c r="E4" i="8"/>
  <c r="F4" i="8"/>
  <c r="C9" i="2"/>
  <c r="E5" i="8"/>
  <c r="F5" i="8"/>
  <c r="C10" i="2"/>
  <c r="E6" i="8"/>
  <c r="F6" i="8"/>
  <c r="C11" i="2"/>
  <c r="E7" i="8"/>
  <c r="F7" i="8"/>
  <c r="C12" i="2"/>
  <c r="E8" i="8"/>
  <c r="F8" i="8"/>
  <c r="C13" i="2"/>
  <c r="E9" i="8"/>
  <c r="F9" i="8"/>
  <c r="C14" i="2"/>
  <c r="E10" i="8"/>
  <c r="F10" i="8"/>
  <c r="C15" i="2"/>
  <c r="E11" i="8"/>
  <c r="F11" i="8"/>
  <c r="C16" i="2"/>
  <c r="E12" i="8"/>
  <c r="F12" i="8"/>
  <c r="C17" i="2"/>
  <c r="E13" i="8"/>
  <c r="F13" i="8"/>
  <c r="C18" i="2"/>
  <c r="E14" i="8"/>
  <c r="F14" i="8"/>
  <c r="C19" i="2"/>
  <c r="E15" i="8"/>
  <c r="F15" i="8"/>
  <c r="C20" i="2"/>
  <c r="E16" i="8"/>
  <c r="F16" i="8"/>
  <c r="C21" i="2"/>
  <c r="E17" i="8"/>
  <c r="F17" i="8"/>
  <c r="C22" i="2"/>
  <c r="E18" i="8"/>
  <c r="F18" i="8"/>
  <c r="C23" i="2"/>
  <c r="C38" i="2"/>
  <c r="C10" i="5"/>
  <c r="D10" i="5"/>
  <c r="E10" i="5"/>
  <c r="G10" i="5"/>
  <c r="C11" i="5"/>
  <c r="D11" i="5"/>
  <c r="E11" i="5"/>
  <c r="G11" i="5"/>
  <c r="C12" i="5"/>
  <c r="D12" i="5"/>
  <c r="E12" i="5"/>
  <c r="G12" i="5"/>
  <c r="C13" i="5"/>
  <c r="D13" i="5"/>
  <c r="E13" i="5"/>
  <c r="G13" i="5"/>
  <c r="C14" i="5"/>
  <c r="D14" i="5"/>
  <c r="E14" i="5"/>
  <c r="G14" i="5"/>
  <c r="C15" i="5"/>
  <c r="D15" i="5"/>
  <c r="E15" i="5"/>
  <c r="G15" i="5"/>
  <c r="C16" i="5"/>
  <c r="D16" i="5"/>
  <c r="E16" i="5"/>
  <c r="G16" i="5"/>
  <c r="C17" i="5"/>
  <c r="D17" i="5"/>
  <c r="E17" i="5"/>
  <c r="G17" i="5"/>
  <c r="C18" i="5"/>
  <c r="D18" i="5"/>
  <c r="E18" i="5"/>
  <c r="G18" i="5"/>
  <c r="C19" i="5"/>
  <c r="D19" i="5"/>
  <c r="E19" i="5"/>
  <c r="G19" i="5"/>
  <c r="C20" i="5"/>
  <c r="D20" i="5"/>
  <c r="E20" i="5"/>
  <c r="G20" i="5"/>
  <c r="C21" i="5"/>
  <c r="D21" i="5"/>
  <c r="E21" i="5"/>
  <c r="G21" i="5"/>
  <c r="C22" i="5"/>
  <c r="D22" i="5"/>
  <c r="E22" i="5"/>
  <c r="G22" i="5"/>
  <c r="C23" i="5"/>
  <c r="D23" i="5"/>
  <c r="E23" i="5"/>
  <c r="G23" i="5"/>
  <c r="F20" i="8"/>
  <c r="C25" i="5"/>
  <c r="D25" i="5"/>
  <c r="E25" i="5"/>
  <c r="G25" i="5"/>
  <c r="F21" i="8"/>
  <c r="C26" i="5"/>
  <c r="D26" i="5"/>
  <c r="E26" i="5"/>
  <c r="G26" i="5"/>
  <c r="F22" i="8"/>
  <c r="C27" i="5"/>
  <c r="D27" i="5"/>
  <c r="E27" i="5"/>
  <c r="G27" i="5"/>
  <c r="F23" i="8"/>
  <c r="C28" i="5"/>
  <c r="D28" i="5"/>
  <c r="E28" i="5"/>
  <c r="G28" i="5"/>
  <c r="F24" i="8"/>
  <c r="C29" i="5"/>
  <c r="D29" i="5"/>
  <c r="E29" i="5"/>
  <c r="G29" i="5"/>
  <c r="F25" i="8"/>
  <c r="C30" i="5"/>
  <c r="D30" i="5"/>
  <c r="E30" i="5"/>
  <c r="G30" i="5"/>
  <c r="F26" i="8"/>
  <c r="C31" i="5"/>
  <c r="D31" i="5"/>
  <c r="E31" i="5"/>
  <c r="G31" i="5"/>
  <c r="C9" i="6"/>
  <c r="D9" i="6"/>
  <c r="E9" i="6"/>
  <c r="G9" i="6"/>
  <c r="C10" i="6"/>
  <c r="D10" i="6"/>
  <c r="E10" i="6"/>
  <c r="G10" i="6"/>
  <c r="C11" i="6"/>
  <c r="D11" i="6"/>
  <c r="E11" i="6"/>
  <c r="G11" i="6"/>
  <c r="C12" i="6"/>
  <c r="D12" i="6"/>
  <c r="E12" i="6"/>
  <c r="G12" i="6"/>
  <c r="C13" i="6"/>
  <c r="D13" i="6"/>
  <c r="E13" i="6"/>
  <c r="G13" i="6"/>
  <c r="C14" i="6"/>
  <c r="D14" i="6"/>
  <c r="E14" i="6"/>
  <c r="G14" i="6"/>
  <c r="C15" i="6"/>
  <c r="D15" i="6"/>
  <c r="E15" i="6"/>
  <c r="G15" i="6"/>
  <c r="C16" i="6"/>
  <c r="D16" i="6"/>
  <c r="E16" i="6"/>
  <c r="G16" i="6"/>
  <c r="C17" i="6"/>
  <c r="D17" i="6"/>
  <c r="E17" i="6"/>
  <c r="G17" i="6"/>
  <c r="C18" i="6"/>
  <c r="D18" i="6"/>
  <c r="E18" i="6"/>
  <c r="G18" i="6"/>
  <c r="C19" i="6"/>
  <c r="D19" i="6"/>
  <c r="E19" i="6"/>
  <c r="G19" i="6"/>
  <c r="C20" i="6"/>
  <c r="D20" i="6"/>
  <c r="E20" i="6"/>
  <c r="G20" i="6"/>
  <c r="C21" i="6"/>
  <c r="D21" i="6"/>
  <c r="E21" i="6"/>
  <c r="G21" i="6"/>
  <c r="C22" i="6"/>
  <c r="D22" i="6"/>
  <c r="E22" i="6"/>
  <c r="G22" i="6"/>
  <c r="C23" i="6"/>
  <c r="D23" i="6"/>
  <c r="E23" i="6"/>
  <c r="G23" i="6"/>
  <c r="C25" i="6"/>
  <c r="D25" i="6"/>
  <c r="E25" i="6"/>
  <c r="G25" i="6"/>
  <c r="C26" i="6"/>
  <c r="D26" i="6"/>
  <c r="E26" i="6"/>
  <c r="G26" i="6"/>
  <c r="C27" i="6"/>
  <c r="D27" i="6"/>
  <c r="E27" i="6"/>
  <c r="G27" i="6"/>
  <c r="C28" i="6"/>
  <c r="D28" i="6"/>
  <c r="E28" i="6"/>
  <c r="G28" i="6"/>
  <c r="C29" i="6"/>
  <c r="D29" i="6"/>
  <c r="E29" i="6"/>
  <c r="G29" i="6"/>
  <c r="C30" i="6"/>
  <c r="D30" i="6"/>
  <c r="E30" i="6"/>
  <c r="G30" i="6"/>
  <c r="C31" i="6"/>
  <c r="D31" i="6"/>
  <c r="E31" i="6"/>
  <c r="G31" i="6"/>
  <c r="C9" i="5"/>
  <c r="D9" i="5"/>
  <c r="E9" i="5"/>
  <c r="G9" i="5"/>
  <c r="C31" i="2"/>
  <c r="C30" i="2"/>
  <c r="C29" i="2"/>
  <c r="C28" i="2"/>
  <c r="C27" i="2"/>
  <c r="C26" i="2"/>
  <c r="C25" i="2"/>
  <c r="E31" i="2"/>
  <c r="E30" i="2"/>
  <c r="E29" i="2"/>
  <c r="E28" i="2"/>
  <c r="E27" i="2"/>
  <c r="E26" i="2"/>
  <c r="E25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D31" i="2"/>
  <c r="D30" i="2"/>
  <c r="D29" i="2"/>
  <c r="D28" i="2"/>
  <c r="D27" i="2"/>
  <c r="D26" i="2"/>
  <c r="D25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C33" i="2"/>
  <c r="F27" i="8"/>
  <c r="F25" i="6"/>
  <c r="E39" i="6"/>
  <c r="C39" i="6"/>
  <c r="E38" i="6"/>
  <c r="C38" i="6"/>
  <c r="E33" i="6"/>
  <c r="C33" i="6"/>
  <c r="F23" i="6"/>
  <c r="F20" i="6"/>
  <c r="F14" i="6"/>
  <c r="F12" i="6"/>
  <c r="E39" i="5"/>
  <c r="C39" i="5"/>
  <c r="E38" i="5"/>
  <c r="C38" i="5"/>
  <c r="E33" i="5"/>
  <c r="C33" i="5"/>
  <c r="G21" i="2"/>
  <c r="G20" i="2"/>
  <c r="F9" i="2"/>
  <c r="G12" i="2"/>
  <c r="G15" i="2"/>
  <c r="I15" i="2"/>
  <c r="G14" i="2"/>
  <c r="I14" i="2"/>
  <c r="G19" i="2"/>
  <c r="I27" i="1"/>
  <c r="I26" i="1"/>
  <c r="I25" i="1"/>
  <c r="I24" i="1"/>
  <c r="I23" i="1"/>
  <c r="I22" i="1"/>
  <c r="I19" i="1"/>
  <c r="I18" i="1"/>
  <c r="I17" i="1"/>
  <c r="I16" i="1"/>
  <c r="I15" i="1"/>
  <c r="I14" i="1"/>
  <c r="G18" i="2"/>
  <c r="I13" i="1"/>
  <c r="G17" i="2"/>
  <c r="I12" i="1"/>
  <c r="I11" i="1"/>
  <c r="I10" i="1"/>
  <c r="I9" i="1"/>
  <c r="I8" i="1"/>
  <c r="I7" i="1"/>
  <c r="I6" i="1"/>
  <c r="E39" i="2"/>
  <c r="C39" i="2"/>
  <c r="E38" i="2"/>
  <c r="K27" i="1"/>
  <c r="K26" i="1"/>
  <c r="K25" i="1"/>
  <c r="K24" i="1"/>
  <c r="K23" i="1"/>
  <c r="K22" i="1"/>
  <c r="K21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I21" i="1"/>
  <c r="I5" i="1"/>
  <c r="G17" i="1"/>
  <c r="G5" i="1"/>
  <c r="G25" i="1"/>
  <c r="G26" i="1"/>
  <c r="G27" i="1"/>
  <c r="G24" i="1"/>
  <c r="G23" i="1"/>
  <c r="G22" i="1"/>
  <c r="G21" i="1"/>
  <c r="G6" i="1"/>
  <c r="G7" i="1"/>
  <c r="G8" i="1"/>
  <c r="G9" i="1"/>
  <c r="G10" i="1"/>
  <c r="G11" i="1"/>
  <c r="G12" i="1"/>
  <c r="G13" i="1"/>
  <c r="G14" i="1"/>
  <c r="G15" i="1"/>
  <c r="G16" i="1"/>
  <c r="G18" i="1"/>
  <c r="G19" i="1"/>
  <c r="G16" i="2"/>
  <c r="I16" i="2"/>
  <c r="F21" i="6"/>
  <c r="G25" i="2"/>
  <c r="I25" i="2"/>
  <c r="H14" i="2"/>
  <c r="J14" i="2"/>
  <c r="D38" i="5"/>
  <c r="G22" i="2"/>
  <c r="H15" i="2"/>
  <c r="J15" i="2"/>
  <c r="D39" i="5"/>
  <c r="G26" i="2"/>
  <c r="F10" i="6"/>
  <c r="F11" i="6"/>
  <c r="I12" i="5"/>
  <c r="F30" i="6"/>
  <c r="F31" i="6"/>
  <c r="F9" i="5"/>
  <c r="G27" i="2"/>
  <c r="D39" i="6"/>
  <c r="I14" i="6"/>
  <c r="G29" i="2"/>
  <c r="G10" i="2"/>
  <c r="F16" i="6"/>
  <c r="F17" i="6"/>
  <c r="F18" i="6"/>
  <c r="H20" i="6"/>
  <c r="F19" i="6"/>
  <c r="G28" i="2"/>
  <c r="F13" i="6"/>
  <c r="G30" i="2"/>
  <c r="F15" i="6"/>
  <c r="H12" i="6"/>
  <c r="I12" i="6"/>
  <c r="I23" i="6"/>
  <c r="D38" i="6"/>
  <c r="H14" i="6"/>
  <c r="H21" i="5"/>
  <c r="H13" i="5"/>
  <c r="I13" i="5"/>
  <c r="H29" i="5"/>
  <c r="I29" i="5"/>
  <c r="I20" i="5"/>
  <c r="H20" i="5"/>
  <c r="J20" i="5" a="1"/>
  <c r="J20" i="5"/>
  <c r="D33" i="5"/>
  <c r="H15" i="5"/>
  <c r="I23" i="5"/>
  <c r="H27" i="5"/>
  <c r="I21" i="5"/>
  <c r="I28" i="5"/>
  <c r="G9" i="2"/>
  <c r="I9" i="2"/>
  <c r="H17" i="2"/>
  <c r="H18" i="2"/>
  <c r="H26" i="2"/>
  <c r="H28" i="2"/>
  <c r="H12" i="2"/>
  <c r="K28" i="1"/>
  <c r="K29" i="1"/>
  <c r="K30" i="1"/>
  <c r="E33" i="2"/>
  <c r="I28" i="1"/>
  <c r="G28" i="1"/>
  <c r="G13" i="2"/>
  <c r="I13" i="2"/>
  <c r="I31" i="6"/>
  <c r="D39" i="2"/>
  <c r="I28" i="2"/>
  <c r="J28" i="2"/>
  <c r="I27" i="2"/>
  <c r="I18" i="2"/>
  <c r="J18" i="2"/>
  <c r="J13" i="5" a="1"/>
  <c r="J13" i="5"/>
  <c r="J12" i="6" a="1"/>
  <c r="J12" i="6"/>
  <c r="F9" i="6"/>
  <c r="H9" i="6"/>
  <c r="G23" i="2"/>
  <c r="I17" i="2"/>
  <c r="J17" i="2"/>
  <c r="H27" i="2"/>
  <c r="I27" i="5"/>
  <c r="H12" i="5"/>
  <c r="J12" i="5" a="1"/>
  <c r="J12" i="5"/>
  <c r="H25" i="2"/>
  <c r="J25" i="2"/>
  <c r="H11" i="5"/>
  <c r="I11" i="5"/>
  <c r="J11" i="5" a="1"/>
  <c r="J11" i="5"/>
  <c r="I19" i="2"/>
  <c r="H19" i="2"/>
  <c r="J21" i="5" a="1"/>
  <c r="J21" i="5"/>
  <c r="I20" i="6"/>
  <c r="J20" i="6" a="1"/>
  <c r="J20" i="6"/>
  <c r="I10" i="5"/>
  <c r="I26" i="2"/>
  <c r="J26" i="2"/>
  <c r="F26" i="6"/>
  <c r="H26" i="6"/>
  <c r="J14" i="6" a="1"/>
  <c r="J14" i="6"/>
  <c r="F29" i="6"/>
  <c r="G31" i="2"/>
  <c r="F28" i="6"/>
  <c r="I22" i="5"/>
  <c r="D33" i="2"/>
  <c r="F22" i="6"/>
  <c r="D38" i="2"/>
  <c r="J29" i="5" a="1"/>
  <c r="J29" i="5"/>
  <c r="D33" i="6"/>
  <c r="F27" i="6"/>
  <c r="J27" i="5" a="1"/>
  <c r="J27" i="5"/>
  <c r="H31" i="6"/>
  <c r="J31" i="6" a="1"/>
  <c r="J31" i="6"/>
  <c r="H23" i="6"/>
  <c r="J23" i="6" a="1"/>
  <c r="J23" i="6"/>
  <c r="H10" i="2"/>
  <c r="G11" i="2"/>
  <c r="H16" i="2"/>
  <c r="J16" i="2"/>
  <c r="I13" i="6"/>
  <c r="H13" i="6"/>
  <c r="I27" i="6"/>
  <c r="H27" i="6"/>
  <c r="J27" i="6" a="1"/>
  <c r="J27" i="6"/>
  <c r="I10" i="6"/>
  <c r="H10" i="6"/>
  <c r="J10" i="6" a="1"/>
  <c r="J10" i="6"/>
  <c r="I15" i="6"/>
  <c r="H15" i="6"/>
  <c r="J15" i="6" a="1"/>
  <c r="J15" i="6"/>
  <c r="I28" i="6"/>
  <c r="H28" i="6"/>
  <c r="J28" i="6" a="1"/>
  <c r="J28" i="6"/>
  <c r="I19" i="6"/>
  <c r="H19" i="6"/>
  <c r="J19" i="6" a="1"/>
  <c r="J19" i="6"/>
  <c r="I11" i="6"/>
  <c r="H11" i="6"/>
  <c r="I25" i="6"/>
  <c r="H25" i="6"/>
  <c r="J25" i="6" a="1"/>
  <c r="J25" i="6"/>
  <c r="I18" i="6"/>
  <c r="H18" i="6"/>
  <c r="J18" i="6" a="1"/>
  <c r="J18" i="6"/>
  <c r="H17" i="6"/>
  <c r="I17" i="6"/>
  <c r="I16" i="6"/>
  <c r="H16" i="6"/>
  <c r="J16" i="6" a="1"/>
  <c r="J16" i="6"/>
  <c r="I30" i="6"/>
  <c r="H30" i="6"/>
  <c r="J30" i="6" a="1"/>
  <c r="J30" i="6"/>
  <c r="I21" i="6"/>
  <c r="H21" i="6"/>
  <c r="J21" i="6" a="1"/>
  <c r="J21" i="6"/>
  <c r="H26" i="5"/>
  <c r="I26" i="5"/>
  <c r="H17" i="5"/>
  <c r="I17" i="5"/>
  <c r="J17" i="5" a="1"/>
  <c r="J17" i="5"/>
  <c r="H23" i="5"/>
  <c r="J23" i="5" a="1"/>
  <c r="J23" i="5"/>
  <c r="H9" i="5"/>
  <c r="I9" i="5"/>
  <c r="I31" i="5"/>
  <c r="H31" i="5"/>
  <c r="J31" i="5" a="1"/>
  <c r="J31" i="5"/>
  <c r="I15" i="5"/>
  <c r="J15" i="5" a="1"/>
  <c r="J15" i="5"/>
  <c r="I14" i="5"/>
  <c r="H14" i="5"/>
  <c r="J14" i="5" a="1"/>
  <c r="J14" i="5"/>
  <c r="H19" i="5"/>
  <c r="I19" i="5"/>
  <c r="H28" i="5"/>
  <c r="J28" i="5" a="1"/>
  <c r="J28" i="5"/>
  <c r="I25" i="5"/>
  <c r="H25" i="5"/>
  <c r="J25" i="5" a="1"/>
  <c r="J25" i="5"/>
  <c r="I16" i="5"/>
  <c r="H16" i="5"/>
  <c r="J16" i="5" a="1"/>
  <c r="J16" i="5"/>
  <c r="I30" i="5"/>
  <c r="H30" i="5"/>
  <c r="J30" i="5" a="1"/>
  <c r="J30" i="5"/>
  <c r="I18" i="5"/>
  <c r="H18" i="5"/>
  <c r="J18" i="5" a="1"/>
  <c r="J18" i="5"/>
  <c r="H22" i="2"/>
  <c r="I22" i="2"/>
  <c r="J22" i="2"/>
  <c r="H9" i="2"/>
  <c r="J9" i="2"/>
  <c r="H21" i="2"/>
  <c r="I21" i="2"/>
  <c r="H20" i="2"/>
  <c r="I20" i="2"/>
  <c r="I12" i="2"/>
  <c r="J12" i="2"/>
  <c r="I29" i="1"/>
  <c r="I30" i="1"/>
  <c r="G29" i="1"/>
  <c r="G30" i="1"/>
  <c r="I23" i="2"/>
  <c r="H23" i="2"/>
  <c r="J19" i="5" a="1"/>
  <c r="J19" i="5"/>
  <c r="J26" i="5" a="1"/>
  <c r="J26" i="5"/>
  <c r="J9" i="5" a="1"/>
  <c r="J9" i="5"/>
  <c r="H10" i="5"/>
  <c r="J10" i="5" a="1"/>
  <c r="J10" i="5"/>
  <c r="H22" i="5"/>
  <c r="J22" i="5" a="1"/>
  <c r="J22" i="5"/>
  <c r="J33" i="5"/>
  <c r="B3" i="7"/>
  <c r="H11" i="2"/>
  <c r="I11" i="2"/>
  <c r="J11" i="2"/>
  <c r="I22" i="6"/>
  <c r="H22" i="6"/>
  <c r="J22" i="6" a="1"/>
  <c r="J22" i="6"/>
  <c r="I29" i="2"/>
  <c r="H29" i="2"/>
  <c r="J29" i="2"/>
  <c r="I10" i="2"/>
  <c r="J10" i="2"/>
  <c r="I9" i="6"/>
  <c r="J9" i="6" a="1"/>
  <c r="J9" i="6"/>
  <c r="J19" i="2"/>
  <c r="H31" i="2"/>
  <c r="I31" i="2"/>
  <c r="J17" i="6" a="1"/>
  <c r="J17" i="6"/>
  <c r="I29" i="6"/>
  <c r="H29" i="6"/>
  <c r="J29" i="6" a="1"/>
  <c r="J29" i="6"/>
  <c r="I26" i="6"/>
  <c r="J26" i="6" a="1"/>
  <c r="J26" i="6"/>
  <c r="H13" i="2"/>
  <c r="J13" i="2"/>
  <c r="J27" i="2"/>
  <c r="I30" i="2"/>
  <c r="H30" i="2"/>
  <c r="J30" i="2"/>
  <c r="J11" i="6" a="1"/>
  <c r="J11" i="6"/>
  <c r="J13" i="6" a="1"/>
  <c r="J13" i="6"/>
  <c r="J21" i="2"/>
  <c r="J20" i="2"/>
  <c r="J23" i="2"/>
  <c r="J31" i="2"/>
  <c r="J33" i="6"/>
  <c r="D3" i="7"/>
  <c r="J33" i="2"/>
  <c r="C3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<sst xmlns="http://schemas.openxmlformats.org/spreadsheetml/2006/main" count="258" uniqueCount="79">
  <si>
    <t>UNIDAD</t>
  </si>
  <si>
    <t>CANTIDAD</t>
  </si>
  <si>
    <t>SUBTOTAL</t>
  </si>
  <si>
    <t>IVA</t>
  </si>
  <si>
    <t>TOTAL</t>
  </si>
  <si>
    <t>ÍTEM</t>
  </si>
  <si>
    <t>DESCRIPCIÓN TÉCNICA DE LAS PARTES ELÉCTRICAS, ELECTROMECÁNICAS Y AUDIOVISUALES</t>
  </si>
  <si>
    <t>DESCRIPCIÓN DEL MANTENIMIENTO CORRECTIVO</t>
  </si>
  <si>
    <t>SEDE NACIONAL</t>
  </si>
  <si>
    <t>VIDEO PROYECTOR EPSON PRO L1100U - MARCA EPSON</t>
  </si>
  <si>
    <t>Mantenimiento interno general de circuitos, verificación de soldaduras y lubricación general, cambio de lámpara, de ser necesario, (incluye suministro, instalación y limpieza de partes, verificación de impedancias y resistencias, puntos de soldadura interna en tarjetas electrónicas, verificación de conexión interna y externa)</t>
  </si>
  <si>
    <t xml:space="preserve">UN </t>
  </si>
  <si>
    <t>ASCENSOR ELÉCTRICO PARA VIDEO PROYECTOR</t>
  </si>
  <si>
    <t>Reemplazo de las partes electromecánicas y electrónicas del ascensor de techo (Incluye desmonte y reinstalación, cambio de piezas, lubricación de piezas móviles, verificación de entradas y salidas de control remoto)</t>
  </si>
  <si>
    <t>UN</t>
  </si>
  <si>
    <t>TELÓN ELÉCTRICO PARA VIDEOPROYECTOR DE 123</t>
  </si>
  <si>
    <t>Mantenimiento preventivo y correctivo, de ser necesario, de partes electromecánicas y electrónicas del módulo de control del telón. (incluye lubricación de partes móviles, verificación de conexiones de entrada y salida de control y de potencia. Mantenimiento general de sus partes internas)</t>
  </si>
  <si>
    <t>4x4 HDMI MATRIX SWITCHER ATLONA</t>
  </si>
  <si>
    <t>Este dispositivo ha venido presentando fallas en su funcionamiento se requiere el suministro de una matriz para transmisión en vivo que controle hasta 4 cámaras PTZ, la referencia puede ser Feelworld L4, RGBlink Mini-Edge o Black Magic ATEM MINI PRO (incluye instalación, configuración, capacitación para el manejo del mismo y garantía). Este elemento es esencial y tiene como fin garantizar el funcionamiento ininterrumpido de las proyecciones y transmisiones en vivo de los eventos que se llevan a cabo en el auditorio. La trasmisión en vivo permite tener cobertura y acercamiento con las poblaciones a nivel nacional e internacional y dar a conocer la gestión y procesos que se desarrollan en las actividades de la Defensoria del pueblo.</t>
  </si>
  <si>
    <t>CABINAS DE SONIDO QSC LINE ARRAY KLA12</t>
  </si>
  <si>
    <t>Mantenimiento general de las cuatro (4) cabinas de sonido. (incluye desarmar, verificar impedancias, soldaduras y conexiones internas y externas y calibración de sonido).</t>
  </si>
  <si>
    <t>SUBWOOFER ACTIVO QSC KLA181</t>
  </si>
  <si>
    <t>Mantenimiento interno general de los tres (3) subwoofer (Incluye desarmar, verificar impedancias, soldaduras y conexiones internas y externas y calibración de sonido)</t>
  </si>
  <si>
    <t>MIXER DIGITAL 32 CANALES PRESONUS STUDIO</t>
  </si>
  <si>
    <t>Mantenimiento de los componentes internos de la consola de sonido, verificación de impedancias, soldaduras internas, verificación de conexiones internas y externas. (incluye desmonte y armado, lubricación de las partes móviles y verificación de entrada y salida de potencia al igual que la configuración del sonido).</t>
  </si>
  <si>
    <t>RACK PARA EQUIPOS DE SONIDO 19" 12U FRON</t>
  </si>
  <si>
    <t>Mantenimiento de los componentes internos del RACK de sonido, haciendo una verificación del estado de los cables y conectores de las entradas y salidas de audio, de todo el sistema. De ser requerido, cambiar conexiones, conectores, cables. Realizar verificación de impedancias, soldaduras internas, verificación de conexiones internas y externas. (incluye desmonte y armado, lubricación de las partes móviles y verificación de entrada y salida de potencia al igual que la configuración del sonido).</t>
  </si>
  <si>
    <t>MICROFONO DINAMICO SHURE CARDIOIDE</t>
  </si>
  <si>
    <t>Mantenimiento preventivo de cuatro (4) micrófonos inalámbricos (Incluye desarmar, verificar impedancias, soldaduras y conexiones internas y externas y calibración de sonido)</t>
  </si>
  <si>
    <t>MICROFONO INALAMBRICO DE SOLAPA</t>
  </si>
  <si>
    <t>Mantenimiento preventivo de cuatro (4) micrófonos inalámbricos de solapa (Incluye desarmar, verificar impedancias, soldaduras y conexiones internas y externas y calibración de sonido)</t>
  </si>
  <si>
    <t>CABLES Y CONECTORES DE LAS ENTRADAS Y SALIDAS DE AUDIO Y VIDEO DE TODO EL SISTEMA</t>
  </si>
  <si>
    <t>Verificación del estado de los cables y conectores de las entradas y salidas de audio y video de todo el sistema. De ser requerido, cambiar conexiones, conectores, cables (marquillados e identificación).</t>
  </si>
  <si>
    <t>GLB</t>
  </si>
  <si>
    <t>SISTEMA DE LUCES</t>
  </si>
  <si>
    <t>Revisión y corrección del sistema de reflectores y luces del auditorio. Instalación de un sistema de luces dimerizables que se puedan configurar con un CONTROLADOR DMX OBEY 70</t>
  </si>
  <si>
    <t>SISTEMA DE LUCES DEL TECHO</t>
  </si>
  <si>
    <t>Reparación y cambio de Led´s defectuosos de las luces Led del techo (incluye además alquiler de andamios especiales para su instalación).</t>
  </si>
  <si>
    <t>UPS 10 KVA TRIFASICA</t>
  </si>
  <si>
    <t>Reparación y mantenimiento del sistema de UPS NETION 10 KVA por presentar fallas en su funcionamiento.</t>
  </si>
  <si>
    <t>Cámaras PTZ</t>
  </si>
  <si>
    <t>Mantenimiento preventivo y reubicación de tres (3) cámaras PTZ</t>
  </si>
  <si>
    <t>SEDE CENTRO</t>
  </si>
  <si>
    <t>VIDEO PROYECTOR EPSON LITE PRO Z11005NL H6 - MARCA EPSON</t>
  </si>
  <si>
    <t>Cambio de lámpara (incluye suministro, instalación y mantenimiento general desarme, limpieza de partes, verificación de impedancias y resistencias, puntos de soldadura interna en tarjetas electrónicas, verificación de conexionado interno y externo)</t>
  </si>
  <si>
    <t>Mantenimiento de Ttres (3) video proyectores (desarme, limpieza de partes, verificación de impedancias y resistencias, puntos de soldadura internas en tarjetas electrónicas, verificación de conexionado interno y externo).</t>
  </si>
  <si>
    <t>Mantenimiento interno general de los seis (6) retornos, desarme, verificación de impedancias, soldaduras y conexiones internas y externas.</t>
  </si>
  <si>
    <t>Mantenimiento interno general de las cuatro (4) torres de sonido, desarme, verificación de impedancias, soldaduras y conexiones internas y externas</t>
  </si>
  <si>
    <t>MEZCLADORA DIGITAL QU-32 DE 38 ENTRADAS – MARCA ALLEN &amp; HEATH</t>
  </si>
  <si>
    <t>Mantenimiento de los componentes internos de la (1) consola de sonido, verificación de impedancias, soldaduras internas, verificación de conexiones internas y externas. (incluye desmonte y armado, lubricación de las partes móviles y verificación de entrada y salida de potencia).</t>
  </si>
  <si>
    <t>SISTEMA DE CONTROL DOMÓTICO Y AUTOMATIZACIÓN – MARCA CRESTON</t>
  </si>
  <si>
    <t>Configuración de software y verificación de las conexiones internas de control de potencia, Modulo de control domótico CRESTRON. Incluye mantenimiento preventivo y correctivo verificación del estado de los sistemas de control de potencia conectados a los diferentes dispositivos, verificación de soldaduras, conexiones, entradas y salidas de potencia y de control (no es necesaria una licencia de software)</t>
  </si>
  <si>
    <t>VIDEO PROYECTOR EPSON LITE PRO Z11005NL H6 MARCA EPSON.
VIDEO PROYECTOR EPSON POWER LITE PRO G6870 – MARCA EPSON.
VIDEO PROYECTOR EPSON POWER LITE PRO G6870 – MARCA EPSON</t>
  </si>
  <si>
    <t>ALTAVOZ BI AMPLIFICADOR - MARCA: JBL
ALTAVOZ BI-AMPLIFICADOR- MARCA: JBL
RETORNO 1KW 90 ACTIVE LOUDSPEAKER – MARCA QSC
RETORNO 1KW 90 ACTIVE LOUDSPEAKER – MARCA QSC
RETORNO 1KW 90 ACTIVE LOUDSPEAKER – MARCA QSC
RETORNO 1KW 90 ACTIVE LOUDSPEAKER –  MARCA QSC</t>
  </si>
  <si>
    <t>SISTEMA DE POTENCIA JBL-VRX932LAP 12"
SISTEMA DE POTENCIA JBL-VRX932LAP 12"
SISTEMA DE POTENCIA JBL-VRX932LAP 12"
SISTEMA DE POTENCIA JBL- VRX932LAP12"</t>
  </si>
  <si>
    <t>Cotizacion 01_Sazrtech</t>
  </si>
  <si>
    <t>Mediana</t>
  </si>
  <si>
    <t>Desviación estándar</t>
  </si>
  <si>
    <t>Cotizacion 02_Aiwasony</t>
  </si>
  <si>
    <t>Cotizacion 03_Stream NG</t>
  </si>
  <si>
    <t>Cotización 01_Sazrtech</t>
  </si>
  <si>
    <t>Cotización 02_Aiwasony</t>
  </si>
  <si>
    <t>Cotización 03_Stream NG</t>
  </si>
  <si>
    <t>SEDE</t>
  </si>
  <si>
    <t>Nacional</t>
  </si>
  <si>
    <t>Centro</t>
  </si>
  <si>
    <t>Límite Inferior</t>
  </si>
  <si>
    <t>Límite Superior</t>
  </si>
  <si>
    <t>Promedio Podado</t>
  </si>
  <si>
    <t>Promedio</t>
  </si>
  <si>
    <t>Media Geométrica</t>
  </si>
  <si>
    <t>Media Geométrica Podada</t>
  </si>
  <si>
    <t>Total</t>
  </si>
  <si>
    <t>DESRIPCIÓN</t>
  </si>
  <si>
    <t>VALOR TOTAL IMPUESTOS INCLUIDOS</t>
  </si>
  <si>
    <t>VALOR UNITARIO IMPUESTOS INCLUIDOS</t>
  </si>
  <si>
    <t>VALOR TOTAL PRESUPUESTO ESTIMADO IMPUESTOS INCLUIDOS</t>
  </si>
  <si>
    <t>VALOR UNITARIO INCLUIDO TODOS LOS IMPUESTOS A QUE HAYA LUGAR</t>
  </si>
  <si>
    <t>VALOR TOTAL INCLUIDO TODOS LOS IMPUESTOS A QUE HAYA LUGAR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</si>
</sst>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rebuchet MS"/>
      <family val="2"/>
    </font>
    <font>
      <sz val="10"/>
      <color rgb="FF000000"/>
      <name val="Trebuchet MS"/>
      <family val="2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Trebuchet MS"/>
      <family val="2"/>
    </font>
    <font>
      <sz val="8"/>
      <color rgb="FF0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0" fillId="0" borderId="1" xfId="0" applyNumberFormat="1" applyBorder="1" applyAlignment="1" applyProtection="1">
      <alignment vertical="center" wrapText="1"/>
      <protection locked="0"/>
    </xf>
    <xf numFmtId="44" fontId="0" fillId="0" borderId="1" xfId="1" applyFont="1" applyBorder="1" applyAlignment="1" applyProtection="1">
      <alignment horizontal="center" vertical="center" wrapText="1"/>
    </xf>
    <xf numFmtId="44" fontId="0" fillId="0" borderId="9" xfId="1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44" fontId="0" fillId="0" borderId="1" xfId="1" applyFont="1" applyFill="1" applyBorder="1" applyAlignment="1" applyProtection="1">
      <alignment horizontal="center" vertical="center" wrapText="1"/>
    </xf>
    <xf numFmtId="43" fontId="0" fillId="0" borderId="0" xfId="2" applyFont="1" applyAlignment="1" applyProtection="1">
      <alignment horizontal="center" vertical="center" wrapText="1"/>
      <protection locked="0"/>
    </xf>
    <xf numFmtId="43" fontId="0" fillId="0" borderId="0" xfId="0" applyNumberFormat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44" fontId="0" fillId="0" borderId="9" xfId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0" xfId="0" applyFont="1"/>
    <xf numFmtId="165" fontId="5" fillId="0" borderId="1" xfId="2" applyNumberFormat="1" applyFont="1" applyBorder="1" applyAlignment="1">
      <alignment horizontal="left" vertical="top"/>
    </xf>
    <xf numFmtId="165" fontId="5" fillId="0" borderId="1" xfId="2" applyNumberFormat="1" applyFont="1" applyFill="1" applyBorder="1" applyAlignment="1">
      <alignment horizontal="left" vertical="top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44" fontId="7" fillId="0" borderId="1" xfId="1" applyFont="1" applyBorder="1" applyAlignment="1" applyProtection="1">
      <alignment horizontal="center" vertical="center" wrapText="1"/>
    </xf>
    <xf numFmtId="44" fontId="7" fillId="0" borderId="1" xfId="0" applyNumberFormat="1" applyFont="1" applyBorder="1" applyAlignment="1" applyProtection="1">
      <alignment horizontal="center" vertical="center" wrapText="1"/>
      <protection locked="0"/>
    </xf>
    <xf numFmtId="43" fontId="7" fillId="0" borderId="1" xfId="2" applyFont="1" applyBorder="1" applyAlignment="1" applyProtection="1">
      <alignment horizontal="center" vertical="center" wrapText="1"/>
      <protection locked="0"/>
    </xf>
    <xf numFmtId="43" fontId="7" fillId="0" borderId="0" xfId="2" applyFont="1" applyAlignment="1" applyProtection="1">
      <alignment horizontal="center" vertical="center" wrapText="1"/>
      <protection locked="0"/>
    </xf>
    <xf numFmtId="44" fontId="7" fillId="0" borderId="0" xfId="0" applyNumberFormat="1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right" vertical="center" wrapText="1"/>
      <protection locked="0"/>
    </xf>
    <xf numFmtId="164" fontId="7" fillId="0" borderId="1" xfId="0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8" xfId="0" applyNumberForma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0" fillId="0" borderId="5" xfId="0" applyNumberFormat="1" applyBorder="1" applyAlignment="1" applyProtection="1">
      <alignment vertical="center" wrapText="1"/>
      <protection locked="0"/>
    </xf>
    <xf numFmtId="164" fontId="0" fillId="0" borderId="10" xfId="0" applyNumberFormat="1" applyBorder="1" applyAlignment="1" applyProtection="1">
      <alignment vertical="center" wrapText="1"/>
      <protection locked="0"/>
    </xf>
    <xf numFmtId="0" fontId="3" fillId="4" borderId="1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165" fontId="9" fillId="0" borderId="11" xfId="2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165" fontId="10" fillId="3" borderId="1" xfId="2" applyNumberFormat="1" applyFont="1" applyFill="1" applyBorder="1" applyAlignment="1">
      <alignment horizontal="center" vertical="center" wrapText="1"/>
    </xf>
    <xf numFmtId="165" fontId="9" fillId="3" borderId="1" xfId="2" applyNumberFormat="1" applyFont="1" applyFill="1" applyBorder="1" applyAlignment="1" applyProtection="1">
      <alignment horizontal="center" vertical="center" wrapText="1"/>
      <protection locked="0"/>
    </xf>
    <xf numFmtId="165" fontId="10" fillId="2" borderId="1" xfId="2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horizontal="center" vertical="center" wrapText="1"/>
    </xf>
    <xf numFmtId="165" fontId="8" fillId="0" borderId="1" xfId="2" applyNumberFormat="1" applyFont="1" applyBorder="1" applyAlignment="1" applyProtection="1">
      <alignment horizontal="center" vertical="center" wrapText="1"/>
    </xf>
    <xf numFmtId="165" fontId="8" fillId="0" borderId="1" xfId="2" applyNumberFormat="1" applyFont="1" applyFill="1" applyBorder="1" applyAlignment="1" applyProtection="1">
      <alignment horizontal="center" vertical="center" wrapText="1"/>
    </xf>
    <xf numFmtId="165" fontId="10" fillId="2" borderId="7" xfId="2" applyNumberFormat="1" applyFont="1" applyFill="1" applyBorder="1" applyAlignment="1">
      <alignment vertical="center" wrapText="1"/>
    </xf>
    <xf numFmtId="165" fontId="10" fillId="2" borderId="8" xfId="2" applyNumberFormat="1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5" fontId="8" fillId="0" borderId="9" xfId="2" applyNumberFormat="1" applyFont="1" applyBorder="1" applyAlignment="1" applyProtection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65" fontId="8" fillId="0" borderId="9" xfId="2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9" fillId="0" borderId="10" xfId="0" applyFont="1" applyBorder="1" applyAlignment="1" applyProtection="1">
      <alignment vertical="center" wrapText="1"/>
      <protection locked="0"/>
    </xf>
    <xf numFmtId="165" fontId="9" fillId="0" borderId="0" xfId="2" applyNumberFormat="1" applyFont="1" applyAlignment="1" applyProtection="1">
      <alignment vertical="center" wrapText="1"/>
      <protection locked="0"/>
    </xf>
    <xf numFmtId="165" fontId="8" fillId="0" borderId="1" xfId="2" applyNumberFormat="1" applyFont="1" applyBorder="1" applyAlignment="1" applyProtection="1">
      <alignment vertical="center" wrapText="1"/>
      <protection locked="0"/>
    </xf>
    <xf numFmtId="165" fontId="8" fillId="0" borderId="0" xfId="2" applyNumberFormat="1" applyFont="1" applyAlignment="1" applyProtection="1">
      <alignment horizontal="center" vertical="center" wrapText="1"/>
      <protection locked="0"/>
    </xf>
    <xf numFmtId="165" fontId="8" fillId="0" borderId="10" xfId="2" applyNumberFormat="1" applyFont="1" applyBorder="1" applyAlignment="1" applyProtection="1">
      <alignment vertical="center" wrapText="1"/>
      <protection locked="0"/>
    </xf>
    <xf numFmtId="165" fontId="0" fillId="0" borderId="0" xfId="2" applyNumberFormat="1" applyFont="1"/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5" fontId="9" fillId="0" borderId="6" xfId="2" applyNumberFormat="1" applyFont="1" applyBorder="1" applyAlignment="1" applyProtection="1">
      <alignment horizontal="center" vertical="center" wrapText="1"/>
      <protection locked="0"/>
    </xf>
    <xf numFmtId="165" fontId="9" fillId="0" borderId="8" xfId="2" applyNumberFormat="1" applyFont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65" fontId="9" fillId="0" borderId="1" xfId="2" applyNumberFormat="1" applyFont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r>
              <a:rPr lang="es-CO" sz="1200"/>
              <a:t>Dispersión de valores cotizados por ítem – Sede Nacional</a:t>
            </a:r>
          </a:p>
        </c:rich>
      </c:tx>
      <c:layout>
        <c:manualLayout>
          <c:xMode val="edge"/>
          <c:yMode val="edge"/>
          <c:x val="0.11719373016105099"/>
          <c:y val="1.89461184326338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Mediana!$C$7</c:f>
              <c:strCache>
                <c:ptCount val="1"/>
                <c:pt idx="0">
                  <c:v>Cotización 01_Sazrtech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2">
                  <a:alpha val="85000"/>
                </a:schemeClr>
              </a:solidFill>
              <a:ln>
                <a:noFill/>
              </a:ln>
              <a:effectLst/>
            </c:spPr>
          </c:marker>
          <c:yVal>
            <c:numRef>
              <c:f>Mediana!$C$8:$C$23</c:f>
              <c:numCache>
                <c:formatCode>_("$"* #,##0.00_);_("$"* \(#,##0.00\);_("$"* "-"??_);_(@_)</c:formatCode>
                <c:ptCount val="16"/>
                <c:pt idx="1">
                  <c:v>805630</c:v>
                </c:pt>
                <c:pt idx="2">
                  <c:v>487900</c:v>
                </c:pt>
                <c:pt idx="3">
                  <c:v>416500</c:v>
                </c:pt>
                <c:pt idx="4">
                  <c:v>5150888.8199999994</c:v>
                </c:pt>
                <c:pt idx="5">
                  <c:v>1904000</c:v>
                </c:pt>
                <c:pt idx="6">
                  <c:v>1785000</c:v>
                </c:pt>
                <c:pt idx="7">
                  <c:v>654500</c:v>
                </c:pt>
                <c:pt idx="8">
                  <c:v>1309000</c:v>
                </c:pt>
                <c:pt idx="9">
                  <c:v>1190000</c:v>
                </c:pt>
                <c:pt idx="10">
                  <c:v>1190000</c:v>
                </c:pt>
                <c:pt idx="11">
                  <c:v>1166200</c:v>
                </c:pt>
                <c:pt idx="12">
                  <c:v>7723100</c:v>
                </c:pt>
                <c:pt idx="13">
                  <c:v>6902000</c:v>
                </c:pt>
                <c:pt idx="14">
                  <c:v>4998000</c:v>
                </c:pt>
                <c:pt idx="15">
                  <c:v>3510498.81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8FD-4198-8F87-472D8580FF39}"/>
            </c:ext>
          </c:extLst>
        </c:ser>
        <c:ser>
          <c:idx val="2"/>
          <c:order val="1"/>
          <c:tx>
            <c:strRef>
              <c:f>Mediana!$D$7</c:f>
              <c:strCache>
                <c:ptCount val="1"/>
                <c:pt idx="0">
                  <c:v>Cotización 02_Aiwasony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3">
                  <a:alpha val="85000"/>
                </a:schemeClr>
              </a:solidFill>
              <a:ln>
                <a:noFill/>
              </a:ln>
              <a:effectLst/>
            </c:spPr>
          </c:marker>
          <c:yVal>
            <c:numRef>
              <c:f>Mediana!$D$8:$D$23</c:f>
              <c:numCache>
                <c:formatCode>_("$"* #,##0.00_);_("$"* \(#,##0.00\);_("$"* "-"??_);_(@_)</c:formatCode>
                <c:ptCount val="16"/>
                <c:pt idx="1">
                  <c:v>4165000</c:v>
                </c:pt>
                <c:pt idx="2">
                  <c:v>773500</c:v>
                </c:pt>
                <c:pt idx="3">
                  <c:v>416500</c:v>
                </c:pt>
                <c:pt idx="4">
                  <c:v>3451000</c:v>
                </c:pt>
                <c:pt idx="5">
                  <c:v>2380000</c:v>
                </c:pt>
                <c:pt idx="6">
                  <c:v>1606500</c:v>
                </c:pt>
                <c:pt idx="7">
                  <c:v>1666000</c:v>
                </c:pt>
                <c:pt idx="8">
                  <c:v>1547000</c:v>
                </c:pt>
                <c:pt idx="9">
                  <c:v>1332800</c:v>
                </c:pt>
                <c:pt idx="10">
                  <c:v>1332800</c:v>
                </c:pt>
                <c:pt idx="11">
                  <c:v>1666000</c:v>
                </c:pt>
                <c:pt idx="12">
                  <c:v>6188000</c:v>
                </c:pt>
                <c:pt idx="13">
                  <c:v>8568000</c:v>
                </c:pt>
                <c:pt idx="14">
                  <c:v>4522000</c:v>
                </c:pt>
                <c:pt idx="15">
                  <c:v>2320500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FD-4198-8F87-472D8580FF39}"/>
            </c:ext>
          </c:extLst>
        </c:ser>
        <c:ser>
          <c:idx val="3"/>
          <c:order val="2"/>
          <c:tx>
            <c:strRef>
              <c:f>Mediana!$E$7</c:f>
              <c:strCache>
                <c:ptCount val="1"/>
                <c:pt idx="0">
                  <c:v>Cotización 03_Stream 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4">
                  <a:alpha val="85000"/>
                </a:schemeClr>
              </a:solidFill>
              <a:ln>
                <a:noFill/>
              </a:ln>
              <a:effectLst/>
            </c:spPr>
          </c:marker>
          <c:yVal>
            <c:numRef>
              <c:f>Mediana!$E$8:$E$23</c:f>
              <c:numCache>
                <c:formatCode>_("$"* #,##0.00_);_("$"* \(#,##0.00\);_("$"* "-"??_);_(@_)</c:formatCode>
                <c:ptCount val="16"/>
                <c:pt idx="1">
                  <c:v>3604510</c:v>
                </c:pt>
                <c:pt idx="2">
                  <c:v>2552550</c:v>
                </c:pt>
                <c:pt idx="3">
                  <c:v>464100</c:v>
                </c:pt>
                <c:pt idx="4">
                  <c:v>5267535</c:v>
                </c:pt>
                <c:pt idx="5">
                  <c:v>3712800</c:v>
                </c:pt>
                <c:pt idx="6">
                  <c:v>1624350</c:v>
                </c:pt>
                <c:pt idx="7">
                  <c:v>1423240</c:v>
                </c:pt>
                <c:pt idx="8">
                  <c:v>1392300</c:v>
                </c:pt>
                <c:pt idx="9">
                  <c:v>402220</c:v>
                </c:pt>
                <c:pt idx="10">
                  <c:v>402220</c:v>
                </c:pt>
                <c:pt idx="11">
                  <c:v>1933750</c:v>
                </c:pt>
                <c:pt idx="12">
                  <c:v>21023730</c:v>
                </c:pt>
                <c:pt idx="13">
                  <c:v>3558100</c:v>
                </c:pt>
                <c:pt idx="14">
                  <c:v>35477978.129999995</c:v>
                </c:pt>
                <c:pt idx="15">
                  <c:v>1995630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8FD-4198-8F87-472D8580F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116687"/>
        <c:axId val="298114287"/>
      </c:scatterChart>
      <c:valAx>
        <c:axId val="29811668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8114287"/>
        <c:crosses val="autoZero"/>
        <c:crossBetween val="midCat"/>
      </c:valAx>
      <c:valAx>
        <c:axId val="2981142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1166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r>
              <a:rPr lang="es-CO" sz="12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Dispersión de valores cotizados por ítem - Sede Centro</a:t>
            </a:r>
            <a:endParaRPr lang="es-CO" sz="1200"/>
          </a:p>
        </c:rich>
      </c:tx>
      <c:layout>
        <c:manualLayout>
          <c:xMode val="edge"/>
          <c:yMode val="edge"/>
          <c:x val="0.12397421604173446"/>
          <c:y val="2.42676426717642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Mediana!$C$7</c:f>
              <c:strCache>
                <c:ptCount val="1"/>
                <c:pt idx="0">
                  <c:v>Cotización 01_Sazrtech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alpha val="85000"/>
                </a:schemeClr>
              </a:solidFill>
              <a:ln>
                <a:noFill/>
              </a:ln>
              <a:effectLst/>
            </c:spPr>
          </c:marker>
          <c:xVal>
            <c:numRef>
              <c:f>Mediana!$B$25:$B$31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Mediana!$C$25:$C$31</c:f>
              <c:numCache>
                <c:formatCode>_("$"* #,##0.00_);_("$"* \(#,##0.00\);_("$"* "-"??_);_(@_)</c:formatCode>
                <c:ptCount val="7"/>
                <c:pt idx="0">
                  <c:v>805630</c:v>
                </c:pt>
                <c:pt idx="1">
                  <c:v>1535100</c:v>
                </c:pt>
                <c:pt idx="2">
                  <c:v>2713200</c:v>
                </c:pt>
                <c:pt idx="3">
                  <c:v>1808800</c:v>
                </c:pt>
                <c:pt idx="4">
                  <c:v>690200</c:v>
                </c:pt>
                <c:pt idx="5">
                  <c:v>1166200</c:v>
                </c:pt>
                <c:pt idx="6">
                  <c:v>1011500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F0-45C8-B111-960C85A8AB54}"/>
            </c:ext>
          </c:extLst>
        </c:ser>
        <c:ser>
          <c:idx val="1"/>
          <c:order val="1"/>
          <c:tx>
            <c:strRef>
              <c:f>Mediana!$D$7</c:f>
              <c:strCache>
                <c:ptCount val="1"/>
                <c:pt idx="0">
                  <c:v>Cotización 02_Aiwasony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2">
                  <a:alpha val="85000"/>
                </a:schemeClr>
              </a:solidFill>
              <a:ln>
                <a:noFill/>
              </a:ln>
              <a:effectLst/>
            </c:spPr>
          </c:marker>
          <c:xVal>
            <c:numRef>
              <c:f>Mediana!$B$25:$B$31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Mediana!$D$25:$D$31</c:f>
              <c:numCache>
                <c:formatCode>_("$"* #,##0.00_);_("$"* \(#,##0.00\);_("$"* "-"??_);_(@_)</c:formatCode>
                <c:ptCount val="7"/>
                <c:pt idx="0">
                  <c:v>4165000</c:v>
                </c:pt>
                <c:pt idx="1">
                  <c:v>1785000</c:v>
                </c:pt>
                <c:pt idx="2">
                  <c:v>4676700</c:v>
                </c:pt>
                <c:pt idx="3">
                  <c:v>3808000</c:v>
                </c:pt>
                <c:pt idx="4">
                  <c:v>3451000</c:v>
                </c:pt>
                <c:pt idx="5">
                  <c:v>1725500</c:v>
                </c:pt>
                <c:pt idx="6">
                  <c:v>2023000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F0-45C8-B111-960C85A8AB54}"/>
            </c:ext>
          </c:extLst>
        </c:ser>
        <c:ser>
          <c:idx val="2"/>
          <c:order val="2"/>
          <c:tx>
            <c:strRef>
              <c:f>Mediana!$E$7</c:f>
              <c:strCache>
                <c:ptCount val="1"/>
                <c:pt idx="0">
                  <c:v>Cotización 03_Stream NG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3">
                  <a:alpha val="85000"/>
                </a:schemeClr>
              </a:solidFill>
              <a:ln>
                <a:noFill/>
              </a:ln>
              <a:effectLst/>
            </c:spPr>
          </c:marker>
          <c:xVal>
            <c:numRef>
              <c:f>Mediana!$B$25:$B$31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Mediana!$E$25:$E$31</c:f>
              <c:numCache>
                <c:formatCode>_("$"* #,##0.00_);_("$"* \(#,##0.00\);_("$"* "-"??_);_(@_)</c:formatCode>
                <c:ptCount val="7"/>
                <c:pt idx="0">
                  <c:v>9538593.75</c:v>
                </c:pt>
                <c:pt idx="1">
                  <c:v>11229435</c:v>
                </c:pt>
                <c:pt idx="2">
                  <c:v>5662020</c:v>
                </c:pt>
                <c:pt idx="3">
                  <c:v>3712800</c:v>
                </c:pt>
                <c:pt idx="4">
                  <c:v>1732640</c:v>
                </c:pt>
                <c:pt idx="5">
                  <c:v>2552550</c:v>
                </c:pt>
                <c:pt idx="6">
                  <c:v>6961500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DF0-45C8-B111-960C85A8AB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103727"/>
        <c:axId val="298095087"/>
      </c:scatterChart>
      <c:valAx>
        <c:axId val="29810372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095087"/>
        <c:crosses val="autoZero"/>
        <c:crossBetween val="midCat"/>
      </c:valAx>
      <c:valAx>
        <c:axId val="2980950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1037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r>
              <a:rPr lang="es-CO" sz="12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Título del gráfico</a:t>
            </a:r>
            <a:endParaRPr lang="es-CO" sz="1200"/>
          </a:p>
        </c:rich>
      </c:tx>
      <c:layout>
        <c:manualLayout>
          <c:xMode val="edge"/>
          <c:yMode val="edge"/>
          <c:x val="0.12397421604173446"/>
          <c:y val="2.42676426717642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Mediana!$C$7</c:f>
              <c:strCache>
                <c:ptCount val="1"/>
                <c:pt idx="0">
                  <c:v>Cotización 01_Sazrtech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2">
                  <a:alpha val="85000"/>
                </a:schemeClr>
              </a:solidFill>
              <a:ln>
                <a:noFill/>
              </a:ln>
              <a:effectLst/>
            </c:spPr>
          </c:marker>
          <c:yVal>
            <c:numRef>
              <c:f>Mediana!$C$8:$C$23</c:f>
              <c:numCache>
                <c:formatCode>_("$"* #,##0.00_);_("$"* \(#,##0.00\);_("$"* "-"??_);_(@_)</c:formatCode>
                <c:ptCount val="16"/>
                <c:pt idx="1">
                  <c:v>805630</c:v>
                </c:pt>
                <c:pt idx="2">
                  <c:v>487900</c:v>
                </c:pt>
                <c:pt idx="3">
                  <c:v>416500</c:v>
                </c:pt>
                <c:pt idx="4">
                  <c:v>5150888.8199999994</c:v>
                </c:pt>
                <c:pt idx="5">
                  <c:v>1904000</c:v>
                </c:pt>
                <c:pt idx="6">
                  <c:v>1785000</c:v>
                </c:pt>
                <c:pt idx="7">
                  <c:v>654500</c:v>
                </c:pt>
                <c:pt idx="8">
                  <c:v>1309000</c:v>
                </c:pt>
                <c:pt idx="9">
                  <c:v>1190000</c:v>
                </c:pt>
                <c:pt idx="10">
                  <c:v>1190000</c:v>
                </c:pt>
                <c:pt idx="11">
                  <c:v>1166200</c:v>
                </c:pt>
                <c:pt idx="12">
                  <c:v>7723100</c:v>
                </c:pt>
                <c:pt idx="13">
                  <c:v>6902000</c:v>
                </c:pt>
                <c:pt idx="14">
                  <c:v>4998000</c:v>
                </c:pt>
                <c:pt idx="15">
                  <c:v>3510498.81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C6A3-4E97-B560-511512EE786E}"/>
            </c:ext>
          </c:extLst>
        </c:ser>
        <c:ser>
          <c:idx val="2"/>
          <c:order val="1"/>
          <c:tx>
            <c:strRef>
              <c:f>Mediana!$D$7</c:f>
              <c:strCache>
                <c:ptCount val="1"/>
                <c:pt idx="0">
                  <c:v>Cotización 02_Aiwasony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3">
                  <a:alpha val="85000"/>
                </a:schemeClr>
              </a:solidFill>
              <a:ln>
                <a:noFill/>
              </a:ln>
              <a:effectLst/>
            </c:spPr>
          </c:marker>
          <c:yVal>
            <c:numRef>
              <c:f>Mediana!$D$8:$D$23</c:f>
              <c:numCache>
                <c:formatCode>_("$"* #,##0.00_);_("$"* \(#,##0.00\);_("$"* "-"??_);_(@_)</c:formatCode>
                <c:ptCount val="16"/>
                <c:pt idx="1">
                  <c:v>4165000</c:v>
                </c:pt>
                <c:pt idx="2">
                  <c:v>773500</c:v>
                </c:pt>
                <c:pt idx="3">
                  <c:v>416500</c:v>
                </c:pt>
                <c:pt idx="4">
                  <c:v>3451000</c:v>
                </c:pt>
                <c:pt idx="5">
                  <c:v>2380000</c:v>
                </c:pt>
                <c:pt idx="6">
                  <c:v>1606500</c:v>
                </c:pt>
                <c:pt idx="7">
                  <c:v>1666000</c:v>
                </c:pt>
                <c:pt idx="8">
                  <c:v>1547000</c:v>
                </c:pt>
                <c:pt idx="9">
                  <c:v>1332800</c:v>
                </c:pt>
                <c:pt idx="10">
                  <c:v>1332800</c:v>
                </c:pt>
                <c:pt idx="11">
                  <c:v>1666000</c:v>
                </c:pt>
                <c:pt idx="12">
                  <c:v>6188000</c:v>
                </c:pt>
                <c:pt idx="13">
                  <c:v>8568000</c:v>
                </c:pt>
                <c:pt idx="14">
                  <c:v>4522000</c:v>
                </c:pt>
                <c:pt idx="15">
                  <c:v>2320500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C6A3-4E97-B560-511512EE786E}"/>
            </c:ext>
          </c:extLst>
        </c:ser>
        <c:ser>
          <c:idx val="3"/>
          <c:order val="2"/>
          <c:tx>
            <c:strRef>
              <c:f>Mediana!$E$7</c:f>
              <c:strCache>
                <c:ptCount val="1"/>
                <c:pt idx="0">
                  <c:v>Cotización 03_Stream NG</c:v>
                </c:pt>
              </c:strCache>
            </c:strRef>
          </c:tx>
          <c:spPr>
            <a:ln w="31750" cap="rnd">
              <a:solidFill>
                <a:schemeClr val="accent4">
                  <a:alpha val="8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4">
                  <a:alpha val="85000"/>
                </a:schemeClr>
              </a:solidFill>
              <a:ln>
                <a:noFill/>
              </a:ln>
              <a:effectLst/>
            </c:spPr>
          </c:marker>
          <c:yVal>
            <c:numRef>
              <c:f>Mediana!$E$8:$E$23</c:f>
              <c:numCache>
                <c:formatCode>_("$"* #,##0.00_);_("$"* \(#,##0.00\);_("$"* "-"??_);_(@_)</c:formatCode>
                <c:ptCount val="16"/>
                <c:pt idx="1">
                  <c:v>3604510</c:v>
                </c:pt>
                <c:pt idx="2">
                  <c:v>2552550</c:v>
                </c:pt>
                <c:pt idx="3">
                  <c:v>464100</c:v>
                </c:pt>
                <c:pt idx="4">
                  <c:v>5267535</c:v>
                </c:pt>
                <c:pt idx="5">
                  <c:v>3712800</c:v>
                </c:pt>
                <c:pt idx="6">
                  <c:v>1624350</c:v>
                </c:pt>
                <c:pt idx="7">
                  <c:v>1423240</c:v>
                </c:pt>
                <c:pt idx="8">
                  <c:v>1392300</c:v>
                </c:pt>
                <c:pt idx="9">
                  <c:v>402220</c:v>
                </c:pt>
                <c:pt idx="10">
                  <c:v>402220</c:v>
                </c:pt>
                <c:pt idx="11">
                  <c:v>1933750</c:v>
                </c:pt>
                <c:pt idx="12">
                  <c:v>21023730</c:v>
                </c:pt>
                <c:pt idx="13">
                  <c:v>3558100</c:v>
                </c:pt>
                <c:pt idx="14">
                  <c:v>35477978.129999995</c:v>
                </c:pt>
                <c:pt idx="15">
                  <c:v>1995630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C6A3-4E97-B560-511512EE7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103727"/>
        <c:axId val="298095087"/>
      </c:scatterChart>
      <c:valAx>
        <c:axId val="29810372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095087"/>
        <c:crosses val="autoZero"/>
        <c:crossBetween val="midCat"/>
      </c:valAx>
      <c:valAx>
        <c:axId val="2980950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1037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r>
              <a:rPr lang="es-CO" sz="1600"/>
              <a:t>Medidas de tendencia central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rebuchet MS" panose="020B0603020202020204" pitchFamily="34" charset="0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ADAF-480C-935C-42783F1684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Trebuchet MS" panose="020B0603020202020204" pitchFamily="34" charset="0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'Estimación del Presupuesto'!$B$2:$D$2</c:f>
              <c:strCache>
                <c:ptCount val="3"/>
                <c:pt idx="0">
                  <c:v>Mediana</c:v>
                </c:pt>
                <c:pt idx="1">
                  <c:v>Promedio</c:v>
                </c:pt>
                <c:pt idx="2">
                  <c:v>Media Geométrica</c:v>
                </c:pt>
              </c:strCache>
            </c:strRef>
          </c:cat>
          <c:val>
            <c:numRef>
              <c:f>'Estimación del Presupuesto'!$B$3:$D$3</c:f>
              <c:numCache>
                <c:formatCode>_-* #,##0_-;\-* #,##0_-;_-* "-"??_-;_-@_-</c:formatCode>
                <c:ptCount val="3"/>
                <c:pt idx="0">
                  <c:v>59974796.909999996</c:v>
                </c:pt>
                <c:pt idx="1">
                  <c:v>59974796.909999996</c:v>
                </c:pt>
                <c:pt idx="2">
                  <c:v>50998594.657697946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AF-480C-935C-42783F16844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98213167"/>
        <c:axId val="298216047"/>
      </c:barChart>
      <c:catAx>
        <c:axId val="29821316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216047"/>
        <c:crosses val="autoZero"/>
        <c:auto val="1"/>
        <c:lblAlgn val="ctr"/>
        <c:lblOffset val="100"/>
        <c:noMultiLvlLbl val="0"/>
      </c:catAx>
      <c:valAx>
        <c:axId val="29821604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Trebuchet MS" panose="020B0603020202020204" pitchFamily="34" charset="0"/>
                <a:ea typeface="+mn-ea"/>
                <a:cs typeface="+mn-cs"/>
              </a:defRPr>
            </a:pPr>
            <a:endParaRPr lang="es-CO"/>
          </a:p>
        </c:txPr>
        <c:crossAx val="2982131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latin typeface="Trebuchet MS" panose="020B0603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19049</xdr:rowOff>
    </xdr:from>
    <xdr:to>
      <xdr:col>1</xdr:col>
      <xdr:colOff>800100</xdr:colOff>
      <xdr:row>3</xdr:row>
      <xdr:rowOff>172128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870070-1151-4198-BC18-1B823C15A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8" y="19049"/>
          <a:ext cx="800100" cy="676955"/>
        </a:xfrm>
        <a:prstGeom prst="rect">
          <a:avLst/>
        </a:prstGeom>
      </xdr:spPr>
    </xdr:pic>
    <xdr:clientData/>
  </xdr:twoCellAnchor>
  <xdr:twoCellAnchor>
    <xdr:from>
      <xdr:col>10</xdr:col>
      <xdr:colOff>209549</xdr:colOff>
      <xdr:row>6</xdr:row>
      <xdr:rowOff>4761</xdr:rowOff>
    </xdr:from>
    <xdr:to>
      <xdr:col>15</xdr:col>
      <xdr:colOff>685799</xdr:colOff>
      <xdr:row>20</xdr:row>
      <xdr:rowOff>42861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8880A3A-B158-C4E8-8223-F839B71478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166684</xdr:colOff>
      <xdr:row>20</xdr:row>
      <xdr:rowOff>138794</xdr:rowOff>
    </xdr:from>
    <xdr:to>
      <xdr:col>15</xdr:col>
      <xdr:colOff>741588</xdr:colOff>
      <xdr:row>33</xdr:row>
      <xdr:rowOff>68037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149B81AD-C977-A9AE-2725-31D49C4297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142873</xdr:colOff>
      <xdr:row>34</xdr:row>
      <xdr:rowOff>7483</xdr:rowOff>
    </xdr:from>
    <xdr:to>
      <xdr:col>15</xdr:col>
      <xdr:colOff>721177</xdr:colOff>
      <xdr:row>49</xdr:row>
      <xdr:rowOff>13607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F124E408-EC44-A386-7BD1-46BB9AE5DB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19049</xdr:rowOff>
    </xdr:from>
    <xdr:to>
      <xdr:col>1</xdr:col>
      <xdr:colOff>800100</xdr:colOff>
      <xdr:row>3</xdr:row>
      <xdr:rowOff>167366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B8C665-B150-48A3-9D58-12A0A2A77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8" y="19049"/>
          <a:ext cx="800100" cy="6769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19049</xdr:rowOff>
    </xdr:from>
    <xdr:to>
      <xdr:col>1</xdr:col>
      <xdr:colOff>800100</xdr:colOff>
      <xdr:row>3</xdr:row>
      <xdr:rowOff>172128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A79693-C64D-4801-A662-EA7B55869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49"/>
          <a:ext cx="800100" cy="6769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</xdr:colOff>
      <xdr:row>3</xdr:row>
      <xdr:rowOff>171449</xdr:rowOff>
    </xdr:from>
    <xdr:to>
      <xdr:col>5</xdr:col>
      <xdr:colOff>35718</xdr:colOff>
      <xdr:row>19</xdr:row>
      <xdr:rowOff>19049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90D5FE9-B3A9-3C99-7F8A-238397C6A0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1A257-F333-4018-9EC4-C3988F17688D}">
  <sheetPr codeName="Hoja1"/>
  <dimension ref="A1:K37"/>
  <sheetViews>
    <sheetView showGridLines="0" tabSelected="1" zoomScale="70" zoomScaleNormal="70" workbookViewId="0">
      <selection sqref="A1:B1"/>
    </sheetView>
  </sheetViews>
  <sheetFormatPr baseColWidth="10" defaultColWidth="11.3984375" defaultRowHeight="14.25" x14ac:dyDescent="0.45"/>
  <cols>
    <col min="1" max="1" width="5.86328125" style="1" customWidth="1"/>
    <col min="2" max="2" width="35.1328125" style="1" customWidth="1"/>
    <col min="3" max="3" width="51" style="1" customWidth="1"/>
    <col min="4" max="4" width="7.265625" style="1" customWidth="1"/>
    <col min="5" max="5" width="9.3984375" style="1" customWidth="1"/>
    <col min="6" max="6" width="29.73046875" style="1" customWidth="1"/>
    <col min="7" max="7" width="28.86328125" style="1" customWidth="1"/>
    <col min="8" max="8" width="29.73046875" style="1" customWidth="1"/>
    <col min="9" max="9" width="29.59765625" style="1" customWidth="1"/>
    <col min="10" max="10" width="30" style="1" customWidth="1"/>
    <col min="11" max="11" width="31.3984375" style="1" customWidth="1"/>
    <col min="12" max="16384" width="11.3984375" style="1"/>
  </cols>
  <sheetData>
    <row r="1" spans="1:11" ht="18" customHeight="1" x14ac:dyDescent="0.45">
      <c r="A1" s="87"/>
      <c r="B1" s="88"/>
      <c r="C1" s="84"/>
      <c r="D1" s="85"/>
      <c r="E1" s="85"/>
      <c r="F1" s="85"/>
      <c r="G1" s="86"/>
    </row>
    <row r="2" spans="1:11" ht="26.25" customHeight="1" x14ac:dyDescent="0.45">
      <c r="A2" s="15"/>
      <c r="B2" s="16"/>
      <c r="C2" s="13"/>
      <c r="D2" s="14"/>
      <c r="E2" s="14"/>
      <c r="F2" s="79" t="s">
        <v>55</v>
      </c>
      <c r="G2" s="80"/>
      <c r="H2" s="79" t="s">
        <v>58</v>
      </c>
      <c r="I2" s="80"/>
      <c r="J2" s="79" t="s">
        <v>59</v>
      </c>
      <c r="K2" s="80"/>
    </row>
    <row r="3" spans="1:11" ht="54.75" customHeight="1" x14ac:dyDescent="0.45">
      <c r="A3" s="2" t="s">
        <v>5</v>
      </c>
      <c r="B3" s="2" t="s">
        <v>6</v>
      </c>
      <c r="C3" s="2" t="s">
        <v>7</v>
      </c>
      <c r="D3" s="2" t="s">
        <v>0</v>
      </c>
      <c r="E3" s="3" t="s">
        <v>1</v>
      </c>
      <c r="F3" s="4" t="s">
        <v>77</v>
      </c>
      <c r="G3" s="4" t="s">
        <v>78</v>
      </c>
      <c r="H3" s="4" t="s">
        <v>77</v>
      </c>
      <c r="I3" s="4" t="s">
        <v>78</v>
      </c>
      <c r="J3" s="4" t="s">
        <v>77</v>
      </c>
      <c r="K3" s="4" t="s">
        <v>78</v>
      </c>
    </row>
    <row r="4" spans="1:11" ht="15.75" customHeight="1" x14ac:dyDescent="0.45">
      <c r="A4" s="81" t="s">
        <v>8</v>
      </c>
      <c r="B4" s="82"/>
      <c r="C4" s="83"/>
      <c r="D4" s="17"/>
      <c r="E4" s="17"/>
      <c r="F4" s="17"/>
      <c r="G4" s="17"/>
      <c r="H4" s="17"/>
      <c r="I4" s="17"/>
      <c r="J4" s="17"/>
      <c r="K4" s="17"/>
    </row>
    <row r="5" spans="1:11" ht="83.25" x14ac:dyDescent="0.45">
      <c r="A5" s="5">
        <v>1</v>
      </c>
      <c r="B5" s="5" t="s">
        <v>9</v>
      </c>
      <c r="C5" s="5" t="s">
        <v>10</v>
      </c>
      <c r="D5" s="5" t="s">
        <v>11</v>
      </c>
      <c r="E5" s="5">
        <v>1</v>
      </c>
      <c r="F5" s="11">
        <v>677000</v>
      </c>
      <c r="G5" s="11">
        <f>+E5*F5</f>
        <v>677000</v>
      </c>
      <c r="H5" s="11">
        <v>3500000</v>
      </c>
      <c r="I5" s="11">
        <f>+E5*H5</f>
        <v>3500000</v>
      </c>
      <c r="J5" s="11">
        <v>3029000</v>
      </c>
      <c r="K5" s="11">
        <f>+J5*E5</f>
        <v>3029000</v>
      </c>
    </row>
    <row r="6" spans="1:11" ht="55.5" x14ac:dyDescent="0.45">
      <c r="A6" s="5">
        <v>2</v>
      </c>
      <c r="B6" s="5" t="s">
        <v>12</v>
      </c>
      <c r="C6" s="5" t="s">
        <v>13</v>
      </c>
      <c r="D6" s="5" t="s">
        <v>14</v>
      </c>
      <c r="E6" s="5">
        <v>1</v>
      </c>
      <c r="F6" s="11">
        <v>410000</v>
      </c>
      <c r="G6" s="11">
        <f t="shared" ref="G6:G27" si="0">+E6*F6</f>
        <v>410000</v>
      </c>
      <c r="H6" s="11">
        <v>650000</v>
      </c>
      <c r="I6" s="11">
        <f t="shared" ref="I6:I19" si="1">+E6*H6</f>
        <v>650000</v>
      </c>
      <c r="J6" s="11">
        <v>2145000</v>
      </c>
      <c r="K6" s="11">
        <f t="shared" ref="K6:K27" si="2">+J6*E6</f>
        <v>2145000</v>
      </c>
    </row>
    <row r="7" spans="1:11" ht="69.400000000000006" x14ac:dyDescent="0.45">
      <c r="A7" s="5">
        <v>3</v>
      </c>
      <c r="B7" s="5" t="s">
        <v>15</v>
      </c>
      <c r="C7" s="5" t="s">
        <v>16</v>
      </c>
      <c r="D7" s="5" t="s">
        <v>14</v>
      </c>
      <c r="E7" s="5">
        <v>1</v>
      </c>
      <c r="F7" s="11">
        <v>350000</v>
      </c>
      <c r="G7" s="11">
        <f t="shared" si="0"/>
        <v>350000</v>
      </c>
      <c r="H7" s="11">
        <v>350000</v>
      </c>
      <c r="I7" s="11">
        <f t="shared" si="1"/>
        <v>350000</v>
      </c>
      <c r="J7" s="11">
        <v>390000</v>
      </c>
      <c r="K7" s="11">
        <f t="shared" si="2"/>
        <v>390000</v>
      </c>
    </row>
    <row r="8" spans="1:11" ht="194.25" x14ac:dyDescent="0.45">
      <c r="A8" s="5">
        <v>4</v>
      </c>
      <c r="B8" s="5" t="s">
        <v>17</v>
      </c>
      <c r="C8" s="5" t="s">
        <v>18</v>
      </c>
      <c r="D8" s="5" t="s">
        <v>14</v>
      </c>
      <c r="E8" s="5">
        <v>1</v>
      </c>
      <c r="F8" s="11">
        <v>4328478</v>
      </c>
      <c r="G8" s="11">
        <f t="shared" si="0"/>
        <v>4328478</v>
      </c>
      <c r="H8" s="11">
        <v>2900000</v>
      </c>
      <c r="I8" s="11">
        <f t="shared" si="1"/>
        <v>2900000</v>
      </c>
      <c r="J8" s="11">
        <v>4426500</v>
      </c>
      <c r="K8" s="11">
        <f t="shared" si="2"/>
        <v>4426500</v>
      </c>
    </row>
    <row r="9" spans="1:11" ht="41.65" x14ac:dyDescent="0.45">
      <c r="A9" s="5">
        <v>5</v>
      </c>
      <c r="B9" s="5" t="s">
        <v>19</v>
      </c>
      <c r="C9" s="5" t="s">
        <v>20</v>
      </c>
      <c r="D9" s="5" t="s">
        <v>14</v>
      </c>
      <c r="E9" s="5">
        <v>4</v>
      </c>
      <c r="F9" s="11">
        <v>400000</v>
      </c>
      <c r="G9" s="11">
        <f t="shared" si="0"/>
        <v>1600000</v>
      </c>
      <c r="H9" s="20">
        <v>500000</v>
      </c>
      <c r="I9" s="11">
        <f t="shared" si="1"/>
        <v>2000000</v>
      </c>
      <c r="J9" s="11">
        <v>780000</v>
      </c>
      <c r="K9" s="11">
        <f t="shared" si="2"/>
        <v>3120000</v>
      </c>
    </row>
    <row r="10" spans="1:11" ht="41.65" x14ac:dyDescent="0.45">
      <c r="A10" s="5">
        <v>6</v>
      </c>
      <c r="B10" s="5" t="s">
        <v>21</v>
      </c>
      <c r="C10" s="5" t="s">
        <v>22</v>
      </c>
      <c r="D10" s="5" t="s">
        <v>14</v>
      </c>
      <c r="E10" s="5">
        <v>3</v>
      </c>
      <c r="F10" s="11">
        <v>500000</v>
      </c>
      <c r="G10" s="11">
        <f t="shared" si="0"/>
        <v>1500000</v>
      </c>
      <c r="H10" s="11">
        <v>450000</v>
      </c>
      <c r="I10" s="11">
        <f t="shared" si="1"/>
        <v>1350000</v>
      </c>
      <c r="J10" s="11">
        <v>455000</v>
      </c>
      <c r="K10" s="11">
        <f t="shared" si="2"/>
        <v>1365000</v>
      </c>
    </row>
    <row r="11" spans="1:11" ht="83.25" x14ac:dyDescent="0.45">
      <c r="A11" s="5">
        <v>7</v>
      </c>
      <c r="B11" s="5" t="s">
        <v>23</v>
      </c>
      <c r="C11" s="5" t="s">
        <v>24</v>
      </c>
      <c r="D11" s="5" t="s">
        <v>14</v>
      </c>
      <c r="E11" s="5">
        <v>1</v>
      </c>
      <c r="F11" s="11">
        <v>550000</v>
      </c>
      <c r="G11" s="11">
        <f t="shared" si="0"/>
        <v>550000</v>
      </c>
      <c r="H11" s="11">
        <v>1400000</v>
      </c>
      <c r="I11" s="11">
        <f t="shared" si="1"/>
        <v>1400000</v>
      </c>
      <c r="J11" s="11">
        <v>1196000</v>
      </c>
      <c r="K11" s="11">
        <f t="shared" si="2"/>
        <v>1196000</v>
      </c>
    </row>
    <row r="12" spans="1:11" ht="124.9" x14ac:dyDescent="0.45">
      <c r="A12" s="5">
        <v>8</v>
      </c>
      <c r="B12" s="5" t="s">
        <v>25</v>
      </c>
      <c r="C12" s="5" t="s">
        <v>26</v>
      </c>
      <c r="D12" s="5" t="s">
        <v>14</v>
      </c>
      <c r="E12" s="5">
        <v>1</v>
      </c>
      <c r="F12" s="11">
        <v>1100000</v>
      </c>
      <c r="G12" s="11">
        <f t="shared" si="0"/>
        <v>1100000</v>
      </c>
      <c r="H12" s="11">
        <v>1300000</v>
      </c>
      <c r="I12" s="11">
        <f t="shared" si="1"/>
        <v>1300000</v>
      </c>
      <c r="J12" s="11">
        <v>1170000</v>
      </c>
      <c r="K12" s="11">
        <f t="shared" si="2"/>
        <v>1170000</v>
      </c>
    </row>
    <row r="13" spans="1:11" ht="55.5" x14ac:dyDescent="0.45">
      <c r="A13" s="5">
        <v>9</v>
      </c>
      <c r="B13" s="5" t="s">
        <v>27</v>
      </c>
      <c r="C13" s="5" t="s">
        <v>28</v>
      </c>
      <c r="D13" s="5" t="s">
        <v>14</v>
      </c>
      <c r="E13" s="5">
        <v>4</v>
      </c>
      <c r="F13" s="11">
        <v>250000</v>
      </c>
      <c r="G13" s="11">
        <f t="shared" si="0"/>
        <v>1000000</v>
      </c>
      <c r="H13" s="11">
        <v>280000</v>
      </c>
      <c r="I13" s="11">
        <f t="shared" si="1"/>
        <v>1120000</v>
      </c>
      <c r="J13" s="11">
        <v>84500</v>
      </c>
      <c r="K13" s="11">
        <f t="shared" si="2"/>
        <v>338000</v>
      </c>
    </row>
    <row r="14" spans="1:11" ht="55.5" x14ac:dyDescent="0.45">
      <c r="A14" s="5">
        <v>10</v>
      </c>
      <c r="B14" s="5" t="s">
        <v>29</v>
      </c>
      <c r="C14" s="5" t="s">
        <v>30</v>
      </c>
      <c r="D14" s="5" t="s">
        <v>14</v>
      </c>
      <c r="E14" s="5">
        <v>4</v>
      </c>
      <c r="F14" s="11">
        <v>250000</v>
      </c>
      <c r="G14" s="11">
        <f t="shared" si="0"/>
        <v>1000000</v>
      </c>
      <c r="H14" s="11">
        <v>280000</v>
      </c>
      <c r="I14" s="11">
        <f t="shared" si="1"/>
        <v>1120000</v>
      </c>
      <c r="J14" s="11">
        <v>84500</v>
      </c>
      <c r="K14" s="11">
        <f t="shared" si="2"/>
        <v>338000</v>
      </c>
    </row>
    <row r="15" spans="1:11" ht="55.5" x14ac:dyDescent="0.45">
      <c r="A15" s="5">
        <v>11</v>
      </c>
      <c r="B15" s="5" t="s">
        <v>31</v>
      </c>
      <c r="C15" s="5" t="s">
        <v>32</v>
      </c>
      <c r="D15" s="5" t="s">
        <v>33</v>
      </c>
      <c r="E15" s="5">
        <v>1</v>
      </c>
      <c r="F15" s="11">
        <v>980000</v>
      </c>
      <c r="G15" s="11">
        <f t="shared" si="0"/>
        <v>980000</v>
      </c>
      <c r="H15" s="11">
        <v>1400000</v>
      </c>
      <c r="I15" s="11">
        <f t="shared" si="1"/>
        <v>1400000</v>
      </c>
      <c r="J15" s="11">
        <v>1625000</v>
      </c>
      <c r="K15" s="11">
        <f t="shared" si="2"/>
        <v>1625000</v>
      </c>
    </row>
    <row r="16" spans="1:11" ht="55.5" x14ac:dyDescent="0.45">
      <c r="A16" s="5">
        <v>12</v>
      </c>
      <c r="B16" s="5" t="s">
        <v>34</v>
      </c>
      <c r="C16" s="5" t="s">
        <v>35</v>
      </c>
      <c r="D16" s="5" t="s">
        <v>33</v>
      </c>
      <c r="E16" s="5">
        <v>1</v>
      </c>
      <c r="F16" s="11">
        <v>6490000</v>
      </c>
      <c r="G16" s="11">
        <f t="shared" si="0"/>
        <v>6490000</v>
      </c>
      <c r="H16" s="11">
        <v>5200000</v>
      </c>
      <c r="I16" s="11">
        <f t="shared" si="1"/>
        <v>5200000</v>
      </c>
      <c r="J16" s="11">
        <v>17667000</v>
      </c>
      <c r="K16" s="11">
        <f t="shared" si="2"/>
        <v>17667000</v>
      </c>
    </row>
    <row r="17" spans="1:11" ht="41.65" x14ac:dyDescent="0.45">
      <c r="A17" s="5">
        <v>13</v>
      </c>
      <c r="B17" s="5" t="s">
        <v>36</v>
      </c>
      <c r="C17" s="5" t="s">
        <v>37</v>
      </c>
      <c r="D17" s="5" t="s">
        <v>33</v>
      </c>
      <c r="E17" s="5">
        <v>1</v>
      </c>
      <c r="F17" s="11">
        <v>5800000</v>
      </c>
      <c r="G17" s="11">
        <f t="shared" si="0"/>
        <v>5800000</v>
      </c>
      <c r="H17" s="11">
        <v>7200000</v>
      </c>
      <c r="I17" s="11">
        <f t="shared" si="1"/>
        <v>7200000</v>
      </c>
      <c r="J17" s="11">
        <v>2990000</v>
      </c>
      <c r="K17" s="11">
        <f t="shared" si="2"/>
        <v>2990000</v>
      </c>
    </row>
    <row r="18" spans="1:11" ht="27.75" x14ac:dyDescent="0.45">
      <c r="A18" s="5">
        <v>14</v>
      </c>
      <c r="B18" s="5" t="s">
        <v>38</v>
      </c>
      <c r="C18" s="5" t="s">
        <v>39</v>
      </c>
      <c r="D18" s="5"/>
      <c r="E18" s="5">
        <v>1</v>
      </c>
      <c r="F18" s="11">
        <v>4200000</v>
      </c>
      <c r="G18" s="11">
        <f t="shared" si="0"/>
        <v>4200000</v>
      </c>
      <c r="H18" s="11">
        <v>3800000</v>
      </c>
      <c r="I18" s="11">
        <f t="shared" si="1"/>
        <v>3800000</v>
      </c>
      <c r="J18" s="11">
        <v>29813427</v>
      </c>
      <c r="K18" s="11">
        <f t="shared" si="2"/>
        <v>29813427</v>
      </c>
    </row>
    <row r="19" spans="1:11" ht="27.75" x14ac:dyDescent="0.45">
      <c r="A19" s="5">
        <v>15</v>
      </c>
      <c r="B19" s="5" t="s">
        <v>40</v>
      </c>
      <c r="C19" s="5" t="s">
        <v>41</v>
      </c>
      <c r="D19" s="5"/>
      <c r="E19" s="5">
        <v>3</v>
      </c>
      <c r="F19" s="11">
        <v>983333</v>
      </c>
      <c r="G19" s="11">
        <f t="shared" si="0"/>
        <v>2949999</v>
      </c>
      <c r="H19" s="11">
        <v>650000</v>
      </c>
      <c r="I19" s="11">
        <f t="shared" si="1"/>
        <v>1950000</v>
      </c>
      <c r="J19" s="11">
        <v>559000</v>
      </c>
      <c r="K19" s="11">
        <f t="shared" si="2"/>
        <v>1677000</v>
      </c>
    </row>
    <row r="20" spans="1:11" ht="24" customHeight="1" x14ac:dyDescent="0.45">
      <c r="A20" s="81" t="s">
        <v>42</v>
      </c>
      <c r="B20" s="82"/>
      <c r="C20" s="82"/>
      <c r="D20" s="18"/>
      <c r="E20" s="18"/>
      <c r="F20" s="18"/>
      <c r="G20" s="19"/>
      <c r="H20" s="18"/>
      <c r="I20" s="19"/>
      <c r="J20" s="18"/>
      <c r="K20" s="19"/>
    </row>
    <row r="21" spans="1:11" ht="69.400000000000006" x14ac:dyDescent="0.45">
      <c r="A21" s="5">
        <v>1</v>
      </c>
      <c r="B21" s="6" t="s">
        <v>43</v>
      </c>
      <c r="C21" s="5" t="s">
        <v>44</v>
      </c>
      <c r="D21" s="5" t="s">
        <v>11</v>
      </c>
      <c r="E21" s="5">
        <v>1</v>
      </c>
      <c r="F21" s="11">
        <v>677000</v>
      </c>
      <c r="G21" s="11">
        <f t="shared" si="0"/>
        <v>677000</v>
      </c>
      <c r="H21" s="11">
        <v>3500000</v>
      </c>
      <c r="I21" s="11">
        <f t="shared" ref="I21:I27" si="3">+E21*H21</f>
        <v>3500000</v>
      </c>
      <c r="J21" s="11">
        <v>8015625</v>
      </c>
      <c r="K21" s="11">
        <f t="shared" si="2"/>
        <v>8015625</v>
      </c>
    </row>
    <row r="22" spans="1:11" ht="163.5" customHeight="1" x14ac:dyDescent="0.45">
      <c r="A22" s="8">
        <v>2</v>
      </c>
      <c r="B22" s="6" t="s">
        <v>52</v>
      </c>
      <c r="C22" s="9" t="s">
        <v>45</v>
      </c>
      <c r="D22" s="5" t="s">
        <v>14</v>
      </c>
      <c r="E22" s="5">
        <v>3</v>
      </c>
      <c r="F22" s="12">
        <v>430000</v>
      </c>
      <c r="G22" s="11">
        <f t="shared" si="0"/>
        <v>1290000</v>
      </c>
      <c r="H22" s="12">
        <v>500000</v>
      </c>
      <c r="I22" s="11">
        <f t="shared" si="3"/>
        <v>1500000</v>
      </c>
      <c r="J22" s="12">
        <v>3145500</v>
      </c>
      <c r="K22" s="11">
        <f t="shared" si="2"/>
        <v>9436500</v>
      </c>
    </row>
    <row r="23" spans="1:11" ht="208.15" x14ac:dyDescent="0.45">
      <c r="A23" s="8">
        <v>3</v>
      </c>
      <c r="B23" s="6" t="s">
        <v>53</v>
      </c>
      <c r="C23" s="9" t="s">
        <v>46</v>
      </c>
      <c r="D23" s="5" t="s">
        <v>14</v>
      </c>
      <c r="E23" s="5">
        <v>6</v>
      </c>
      <c r="F23" s="12">
        <v>380000</v>
      </c>
      <c r="G23" s="11">
        <f t="shared" si="0"/>
        <v>2280000</v>
      </c>
      <c r="H23" s="12">
        <v>655000</v>
      </c>
      <c r="I23" s="11">
        <f t="shared" si="3"/>
        <v>3930000</v>
      </c>
      <c r="J23" s="12">
        <v>793000</v>
      </c>
      <c r="K23" s="11">
        <f t="shared" si="2"/>
        <v>4758000</v>
      </c>
    </row>
    <row r="24" spans="1:11" ht="214.5" customHeight="1" x14ac:dyDescent="0.45">
      <c r="A24" s="5">
        <v>4</v>
      </c>
      <c r="B24" s="7" t="s">
        <v>54</v>
      </c>
      <c r="C24" s="5" t="s">
        <v>47</v>
      </c>
      <c r="D24" s="5" t="s">
        <v>14</v>
      </c>
      <c r="E24" s="5">
        <v>4</v>
      </c>
      <c r="F24" s="12">
        <v>380000</v>
      </c>
      <c r="G24" s="11">
        <f t="shared" si="0"/>
        <v>1520000</v>
      </c>
      <c r="H24" s="24">
        <v>800000</v>
      </c>
      <c r="I24" s="11">
        <f t="shared" si="3"/>
        <v>3200000</v>
      </c>
      <c r="J24" s="12">
        <v>780000</v>
      </c>
      <c r="K24" s="11">
        <f t="shared" si="2"/>
        <v>3120000</v>
      </c>
    </row>
    <row r="25" spans="1:11" ht="69.400000000000006" x14ac:dyDescent="0.45">
      <c r="A25" s="5">
        <v>5</v>
      </c>
      <c r="B25" s="5" t="s">
        <v>48</v>
      </c>
      <c r="C25" s="5" t="s">
        <v>49</v>
      </c>
      <c r="D25" s="5" t="s">
        <v>14</v>
      </c>
      <c r="E25" s="5">
        <v>1</v>
      </c>
      <c r="F25" s="11">
        <v>580000</v>
      </c>
      <c r="G25" s="11">
        <f t="shared" si="0"/>
        <v>580000</v>
      </c>
      <c r="H25" s="20">
        <v>2900000</v>
      </c>
      <c r="I25" s="11">
        <f t="shared" si="3"/>
        <v>2900000</v>
      </c>
      <c r="J25" s="11">
        <v>1456000</v>
      </c>
      <c r="K25" s="11">
        <f t="shared" si="2"/>
        <v>1456000</v>
      </c>
    </row>
    <row r="26" spans="1:11" ht="55.5" x14ac:dyDescent="0.45">
      <c r="A26" s="5">
        <v>6</v>
      </c>
      <c r="B26" s="5" t="s">
        <v>31</v>
      </c>
      <c r="C26" s="5" t="s">
        <v>32</v>
      </c>
      <c r="D26" s="5" t="s">
        <v>33</v>
      </c>
      <c r="E26" s="5">
        <v>1</v>
      </c>
      <c r="F26" s="11">
        <v>980000</v>
      </c>
      <c r="G26" s="11">
        <f t="shared" si="0"/>
        <v>980000</v>
      </c>
      <c r="H26" s="11">
        <v>1450000</v>
      </c>
      <c r="I26" s="11">
        <f t="shared" si="3"/>
        <v>1450000</v>
      </c>
      <c r="J26" s="11">
        <v>2145000</v>
      </c>
      <c r="K26" s="11">
        <f t="shared" si="2"/>
        <v>2145000</v>
      </c>
    </row>
    <row r="27" spans="1:11" ht="111" x14ac:dyDescent="0.45">
      <c r="A27" s="5">
        <v>7</v>
      </c>
      <c r="B27" s="5" t="s">
        <v>50</v>
      </c>
      <c r="C27" s="5" t="s">
        <v>51</v>
      </c>
      <c r="D27" s="5" t="s">
        <v>33</v>
      </c>
      <c r="E27" s="5">
        <v>1</v>
      </c>
      <c r="F27" s="11">
        <v>850000</v>
      </c>
      <c r="G27" s="11">
        <f t="shared" si="0"/>
        <v>850000</v>
      </c>
      <c r="H27" s="11">
        <v>1700000</v>
      </c>
      <c r="I27" s="11">
        <f t="shared" si="3"/>
        <v>1700000</v>
      </c>
      <c r="J27" s="11">
        <v>5850000</v>
      </c>
      <c r="K27" s="11">
        <f t="shared" si="2"/>
        <v>5850000</v>
      </c>
    </row>
    <row r="28" spans="1:11" ht="15" customHeight="1" x14ac:dyDescent="0.45">
      <c r="A28" s="43"/>
      <c r="B28" s="43"/>
      <c r="C28" s="44" t="s">
        <v>2</v>
      </c>
      <c r="D28" s="43"/>
      <c r="E28" s="43"/>
      <c r="F28" s="43"/>
      <c r="G28" s="46">
        <f>SUM(G21:G27,G5:G19)</f>
        <v>41112477</v>
      </c>
      <c r="I28" s="47">
        <f>SUM(I21:I27,I5:I19)</f>
        <v>53420000</v>
      </c>
      <c r="J28" s="21"/>
      <c r="K28" s="47">
        <f>SUM(K21:K27,K5:K19)</f>
        <v>106071052</v>
      </c>
    </row>
    <row r="29" spans="1:11" x14ac:dyDescent="0.45">
      <c r="A29" s="43"/>
      <c r="B29" s="43"/>
      <c r="C29" s="45" t="s">
        <v>3</v>
      </c>
      <c r="D29" s="43"/>
      <c r="E29" s="43"/>
      <c r="F29" s="43"/>
      <c r="G29" s="42">
        <f>G28*0.19</f>
        <v>7811370.6299999999</v>
      </c>
      <c r="I29" s="10">
        <f>I28*0.19</f>
        <v>10149800</v>
      </c>
      <c r="J29" s="21"/>
      <c r="K29" s="10">
        <f>K28*0.19</f>
        <v>20153499.879999999</v>
      </c>
    </row>
    <row r="30" spans="1:11" ht="15" customHeight="1" x14ac:dyDescent="0.45">
      <c r="A30" s="43"/>
      <c r="B30" s="43"/>
      <c r="C30" s="45" t="s">
        <v>4</v>
      </c>
      <c r="D30" s="43"/>
      <c r="E30" s="43"/>
      <c r="F30" s="43"/>
      <c r="G30" s="42">
        <f>SUM(G28:G29)</f>
        <v>48923847.630000003</v>
      </c>
      <c r="I30" s="10">
        <f>SUM(I28:I29)</f>
        <v>63569800</v>
      </c>
      <c r="J30" s="22"/>
      <c r="K30" s="10">
        <f>SUM(K28:K29)</f>
        <v>126224551.88</v>
      </c>
    </row>
    <row r="37" spans="9:9" x14ac:dyDescent="0.45">
      <c r="I37" s="23"/>
    </row>
  </sheetData>
  <mergeCells count="7">
    <mergeCell ref="H2:I2"/>
    <mergeCell ref="J2:K2"/>
    <mergeCell ref="A20:C20"/>
    <mergeCell ref="A4:C4"/>
    <mergeCell ref="C1:G1"/>
    <mergeCell ref="A1:B1"/>
    <mergeCell ref="F2:G2"/>
  </mergeCells>
  <pageMargins left="0.7" right="0.7" top="0.75" bottom="0.75" header="0.3" footer="0.3"/>
  <ignoredErrors>
    <ignoredError sqref="G28:K3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16E9-6574-4D26-BDDD-3BB565874633}">
  <sheetPr codeName="Hoja2"/>
  <dimension ref="B7:J39"/>
  <sheetViews>
    <sheetView zoomScaleNormal="100" workbookViewId="0">
      <selection activeCell="G9" sqref="G9"/>
    </sheetView>
  </sheetViews>
  <sheetFormatPr baseColWidth="10" defaultColWidth="11.3984375" defaultRowHeight="13.9" x14ac:dyDescent="0.45"/>
  <cols>
    <col min="1" max="1" width="11.3984375" style="32"/>
    <col min="2" max="2" width="16.265625" style="32" customWidth="1"/>
    <col min="3" max="3" width="18.59765625" style="32" customWidth="1"/>
    <col min="4" max="4" width="17.73046875" style="32" customWidth="1"/>
    <col min="5" max="5" width="16.1328125" style="32" customWidth="1"/>
    <col min="6" max="6" width="14.73046875" style="32" bestFit="1" customWidth="1"/>
    <col min="7" max="7" width="14.1328125" style="32" bestFit="1" customWidth="1"/>
    <col min="8" max="8" width="14.265625" style="32" bestFit="1" customWidth="1"/>
    <col min="9" max="10" width="14.1328125" style="32" bestFit="1" customWidth="1"/>
    <col min="11" max="16384" width="11.3984375" style="32"/>
  </cols>
  <sheetData>
    <row r="7" spans="2:10" ht="27.75" x14ac:dyDescent="0.45">
      <c r="B7" s="25" t="s">
        <v>5</v>
      </c>
      <c r="C7" s="31" t="s">
        <v>60</v>
      </c>
      <c r="D7" s="31" t="s">
        <v>61</v>
      </c>
      <c r="E7" s="31" t="s">
        <v>62</v>
      </c>
      <c r="F7" s="31" t="s">
        <v>56</v>
      </c>
      <c r="G7" s="31" t="s">
        <v>57</v>
      </c>
      <c r="H7" s="31" t="s">
        <v>66</v>
      </c>
      <c r="I7" s="31" t="s">
        <v>67</v>
      </c>
      <c r="J7" s="31" t="s">
        <v>68</v>
      </c>
    </row>
    <row r="8" spans="2:10" x14ac:dyDescent="0.45">
      <c r="B8" s="49" t="s">
        <v>8</v>
      </c>
      <c r="C8" s="50"/>
      <c r="D8" s="50"/>
      <c r="E8" s="50"/>
      <c r="F8" s="50"/>
      <c r="G8" s="50"/>
      <c r="H8" s="50"/>
      <c r="I8" s="50"/>
      <c r="J8" s="50"/>
    </row>
    <row r="9" spans="2:10" x14ac:dyDescent="0.45">
      <c r="B9" s="5">
        <v>1</v>
      </c>
      <c r="C9" s="33">
        <f>+'Total Cotizaciones_Impuestos In'!F4</f>
        <v>805630</v>
      </c>
      <c r="D9" s="33">
        <f>+'Total Cotizaciones_Impuestos In'!H4</f>
        <v>4165000</v>
      </c>
      <c r="E9" s="33">
        <f>+'Total Cotizaciones_Impuestos In'!J4</f>
        <v>3604510</v>
      </c>
      <c r="F9" s="34">
        <f>+MEDIAN(C9:E9)</f>
        <v>3604510</v>
      </c>
      <c r="G9" s="35">
        <f>+_xlfn.STDEV.P(C9:E9)</f>
        <v>1469438.482754552</v>
      </c>
      <c r="H9" s="35">
        <f>+F9-G9</f>
        <v>2135071.5172454482</v>
      </c>
      <c r="I9" s="35">
        <f>+F9+G9</f>
        <v>5073948.4827545518</v>
      </c>
      <c r="J9" s="35" cm="1">
        <f t="array" ref="J9">+IFERROR(MEDIAN(_xlfn._xlws.FILTER(C9:E9,(C9:E9&gt;=H9)*(C9:E9&lt;=I9))),"Sin datos Válidos")</f>
        <v>3884755</v>
      </c>
    </row>
    <row r="10" spans="2:10" x14ac:dyDescent="0.45">
      <c r="B10" s="5">
        <v>2</v>
      </c>
      <c r="C10" s="33">
        <f>+'Total Cotizaciones_Impuestos In'!F5</f>
        <v>487900</v>
      </c>
      <c r="D10" s="33">
        <f>+'Total Cotizaciones_Impuestos In'!H5</f>
        <v>773500</v>
      </c>
      <c r="E10" s="33">
        <f>+'Total Cotizaciones_Impuestos In'!J5</f>
        <v>2552550</v>
      </c>
      <c r="F10" s="34">
        <f t="shared" ref="F10:F31" si="0">+MEDIAN(C10:E10)</f>
        <v>773500</v>
      </c>
      <c r="G10" s="35">
        <f t="shared" ref="G10:G31" si="1">+_xlfn.STDEV.S(C10:E10)</f>
        <v>1118731.8627952514</v>
      </c>
      <c r="H10" s="35">
        <f t="shared" ref="H10:H31" si="2">+F10-G10</f>
        <v>-345231.86279525142</v>
      </c>
      <c r="I10" s="35">
        <f t="shared" ref="I10:I31" si="3">+F10+G10</f>
        <v>1892231.8627952514</v>
      </c>
      <c r="J10" s="35" cm="1">
        <f t="array" ref="J10">+IFERROR(MEDIAN(_xlfn._xlws.FILTER(C10:E10,(C10:E10&gt;=H10)*(C10:E10&lt;=I10))),"Sin datos Válidos")</f>
        <v>630700</v>
      </c>
    </row>
    <row r="11" spans="2:10" x14ac:dyDescent="0.45">
      <c r="B11" s="5">
        <v>3</v>
      </c>
      <c r="C11" s="33">
        <f>+'Total Cotizaciones_Impuestos In'!F6</f>
        <v>416500</v>
      </c>
      <c r="D11" s="33">
        <f>+'Total Cotizaciones_Impuestos In'!H6</f>
        <v>416500</v>
      </c>
      <c r="E11" s="33">
        <f>+'Total Cotizaciones_Impuestos In'!J6</f>
        <v>464100</v>
      </c>
      <c r="F11" s="34">
        <f t="shared" si="0"/>
        <v>416500</v>
      </c>
      <c r="G11" s="35">
        <f t="shared" si="1"/>
        <v>27481.872813426187</v>
      </c>
      <c r="H11" s="35">
        <f t="shared" si="2"/>
        <v>389018.12718657381</v>
      </c>
      <c r="I11" s="35">
        <f t="shared" si="3"/>
        <v>443981.87281342619</v>
      </c>
      <c r="J11" s="35" cm="1">
        <f t="array" ref="J11">+IFERROR(MEDIAN(_xlfn._xlws.FILTER(C11:E11,(C11:E11&gt;=H11)*(C11:E11&lt;=I11))),"Sin datos Válidos")</f>
        <v>416500</v>
      </c>
    </row>
    <row r="12" spans="2:10" x14ac:dyDescent="0.45">
      <c r="B12" s="5">
        <v>4</v>
      </c>
      <c r="C12" s="33">
        <f>+'Total Cotizaciones_Impuestos In'!F7</f>
        <v>5150888.8199999994</v>
      </c>
      <c r="D12" s="33">
        <f>+'Total Cotizaciones_Impuestos In'!H7</f>
        <v>3451000</v>
      </c>
      <c r="E12" s="33">
        <f>+'Total Cotizaciones_Impuestos In'!J7</f>
        <v>5267535</v>
      </c>
      <c r="F12" s="34">
        <f t="shared" si="0"/>
        <v>5150888.8199999994</v>
      </c>
      <c r="G12" s="35">
        <f t="shared" si="1"/>
        <v>1016778.223761582</v>
      </c>
      <c r="H12" s="35">
        <f t="shared" si="2"/>
        <v>4134110.5962384176</v>
      </c>
      <c r="I12" s="35">
        <f t="shared" si="3"/>
        <v>6167667.0437615812</v>
      </c>
      <c r="J12" s="35" cm="1">
        <f t="array" ref="J12">+IFERROR(MEDIAN(_xlfn._xlws.FILTER(C12:E12,(C12:E12&gt;=H12)*(C12:E12&lt;=I12))),"Sin datos Válidos")</f>
        <v>5209211.91</v>
      </c>
    </row>
    <row r="13" spans="2:10" x14ac:dyDescent="0.45">
      <c r="B13" s="5">
        <v>5</v>
      </c>
      <c r="C13" s="33">
        <f>+'Total Cotizaciones_Impuestos In'!F8</f>
        <v>1904000</v>
      </c>
      <c r="D13" s="33">
        <f>+'Total Cotizaciones_Impuestos In'!H8</f>
        <v>2380000</v>
      </c>
      <c r="E13" s="33">
        <f>+'Total Cotizaciones_Impuestos In'!J8</f>
        <v>3712800</v>
      </c>
      <c r="F13" s="34">
        <f t="shared" si="0"/>
        <v>2380000</v>
      </c>
      <c r="G13" s="35">
        <f t="shared" si="1"/>
        <v>937611.26273098914</v>
      </c>
      <c r="H13" s="35">
        <f t="shared" si="2"/>
        <v>1442388.7372690109</v>
      </c>
      <c r="I13" s="35">
        <f t="shared" si="3"/>
        <v>3317611.2627309891</v>
      </c>
      <c r="J13" s="35" cm="1">
        <f t="array" ref="J13">+IFERROR(MEDIAN(_xlfn._xlws.FILTER(C13:E13,(C13:E13&gt;=H13)*(C13:E13&lt;=I13))),"Sin datos Válidos")</f>
        <v>2142000</v>
      </c>
    </row>
    <row r="14" spans="2:10" x14ac:dyDescent="0.45">
      <c r="B14" s="5">
        <v>6</v>
      </c>
      <c r="C14" s="33">
        <f>+'Total Cotizaciones_Impuestos In'!F9</f>
        <v>1785000</v>
      </c>
      <c r="D14" s="33">
        <f>+'Total Cotizaciones_Impuestos In'!H9</f>
        <v>1606500</v>
      </c>
      <c r="E14" s="33">
        <f>+'Total Cotizaciones_Impuestos In'!J9</f>
        <v>1624350</v>
      </c>
      <c r="F14" s="34">
        <f t="shared" si="0"/>
        <v>1624350</v>
      </c>
      <c r="G14" s="35">
        <f t="shared" si="1"/>
        <v>98310.134269056914</v>
      </c>
      <c r="H14" s="35">
        <f t="shared" si="2"/>
        <v>1526039.8657309432</v>
      </c>
      <c r="I14" s="35">
        <f t="shared" si="3"/>
        <v>1722660.1342690568</v>
      </c>
      <c r="J14" s="35" cm="1">
        <f t="array" ref="J14">+IFERROR(MEDIAN(_xlfn._xlws.FILTER(C14:E14,(C14:E14&gt;=H14)*(C14:E14&lt;=I14))),"Sin datos Válidos")</f>
        <v>1615425</v>
      </c>
    </row>
    <row r="15" spans="2:10" x14ac:dyDescent="0.45">
      <c r="B15" s="5">
        <v>7</v>
      </c>
      <c r="C15" s="33">
        <f>+'Total Cotizaciones_Impuestos In'!F10</f>
        <v>654500</v>
      </c>
      <c r="D15" s="33">
        <f>+'Total Cotizaciones_Impuestos In'!H10</f>
        <v>1666000</v>
      </c>
      <c r="E15" s="33">
        <f>+'Total Cotizaciones_Impuestos In'!J10</f>
        <v>1423240</v>
      </c>
      <c r="F15" s="34">
        <f t="shared" si="0"/>
        <v>1423240</v>
      </c>
      <c r="G15" s="35">
        <f t="shared" si="1"/>
        <v>528050.7954101892</v>
      </c>
      <c r="H15" s="35">
        <f t="shared" si="2"/>
        <v>895189.2045898108</v>
      </c>
      <c r="I15" s="35">
        <f t="shared" si="3"/>
        <v>1951290.7954101893</v>
      </c>
      <c r="J15" s="35" cm="1">
        <f t="array" ref="J15">+IFERROR(MEDIAN(_xlfn._xlws.FILTER(C15:E15,(C15:E15&gt;=H15)*(C15:E15&lt;=I15))),"Sin datos Válidos")</f>
        <v>1544620</v>
      </c>
    </row>
    <row r="16" spans="2:10" x14ac:dyDescent="0.45">
      <c r="B16" s="5">
        <v>8</v>
      </c>
      <c r="C16" s="33">
        <f>+'Total Cotizaciones_Impuestos In'!F11</f>
        <v>1309000</v>
      </c>
      <c r="D16" s="33">
        <f>+'Total Cotizaciones_Impuestos In'!H11</f>
        <v>1547000</v>
      </c>
      <c r="E16" s="33">
        <f>+'Total Cotizaciones_Impuestos In'!J11</f>
        <v>1392300</v>
      </c>
      <c r="F16" s="34">
        <f t="shared" si="0"/>
        <v>1392300</v>
      </c>
      <c r="G16" s="35">
        <f t="shared" si="1"/>
        <v>120771.80962459742</v>
      </c>
      <c r="H16" s="35">
        <f t="shared" si="2"/>
        <v>1271528.1903754026</v>
      </c>
      <c r="I16" s="35">
        <f t="shared" si="3"/>
        <v>1513071.8096245974</v>
      </c>
      <c r="J16" s="35" cm="1">
        <f t="array" ref="J16">+IFERROR(MEDIAN(_xlfn._xlws.FILTER(C16:E16,(C16:E16&gt;=H16)*(C16:E16&lt;=I16))),"Sin datos Válidos")</f>
        <v>1350650</v>
      </c>
    </row>
    <row r="17" spans="2:10" x14ac:dyDescent="0.45">
      <c r="B17" s="5">
        <v>9</v>
      </c>
      <c r="C17" s="33">
        <f>+'Total Cotizaciones_Impuestos In'!F12</f>
        <v>1190000</v>
      </c>
      <c r="D17" s="33">
        <f>+'Total Cotizaciones_Impuestos In'!H12</f>
        <v>1332800</v>
      </c>
      <c r="E17" s="33">
        <f>+'Total Cotizaciones_Impuestos In'!J12</f>
        <v>402220</v>
      </c>
      <c r="F17" s="34">
        <f t="shared" si="0"/>
        <v>1190000</v>
      </c>
      <c r="G17" s="35">
        <f t="shared" si="1"/>
        <v>501160.03844414139</v>
      </c>
      <c r="H17" s="35">
        <f t="shared" si="2"/>
        <v>688839.96155585861</v>
      </c>
      <c r="I17" s="35">
        <f t="shared" si="3"/>
        <v>1691160.0384441414</v>
      </c>
      <c r="J17" s="35" cm="1">
        <f t="array" ref="J17">+IFERROR(MEDIAN(_xlfn._xlws.FILTER(C17:E17,(C17:E17&gt;=H17)*(C17:E17&lt;=I17))),"Sin datos Válidos")</f>
        <v>1261400</v>
      </c>
    </row>
    <row r="18" spans="2:10" x14ac:dyDescent="0.45">
      <c r="B18" s="5">
        <v>10</v>
      </c>
      <c r="C18" s="33">
        <f>+'Total Cotizaciones_Impuestos In'!F13</f>
        <v>1190000</v>
      </c>
      <c r="D18" s="33">
        <f>+'Total Cotizaciones_Impuestos In'!H13</f>
        <v>1332800</v>
      </c>
      <c r="E18" s="33">
        <f>+'Total Cotizaciones_Impuestos In'!J13</f>
        <v>402220</v>
      </c>
      <c r="F18" s="34">
        <f t="shared" si="0"/>
        <v>1190000</v>
      </c>
      <c r="G18" s="35">
        <f t="shared" si="1"/>
        <v>501160.03844414139</v>
      </c>
      <c r="H18" s="35">
        <f t="shared" si="2"/>
        <v>688839.96155585861</v>
      </c>
      <c r="I18" s="35">
        <f t="shared" si="3"/>
        <v>1691160.0384441414</v>
      </c>
      <c r="J18" s="35" cm="1">
        <f t="array" ref="J18">+IFERROR(MEDIAN(_xlfn._xlws.FILTER(C18:E18,(C18:E18&gt;=H18)*(C18:E18&lt;=I18))),"Sin datos Válidos")</f>
        <v>1261400</v>
      </c>
    </row>
    <row r="19" spans="2:10" x14ac:dyDescent="0.45">
      <c r="B19" s="5">
        <v>11</v>
      </c>
      <c r="C19" s="33">
        <f>+'Total Cotizaciones_Impuestos In'!F14</f>
        <v>1166200</v>
      </c>
      <c r="D19" s="33">
        <f>+'Total Cotizaciones_Impuestos In'!H14</f>
        <v>1666000</v>
      </c>
      <c r="E19" s="33">
        <f>+'Total Cotizaciones_Impuestos In'!J14</f>
        <v>1933750</v>
      </c>
      <c r="F19" s="34">
        <f t="shared" si="0"/>
        <v>1666000</v>
      </c>
      <c r="G19" s="35">
        <f t="shared" si="1"/>
        <v>389577.35752992629</v>
      </c>
      <c r="H19" s="35">
        <f t="shared" si="2"/>
        <v>1276422.6424700737</v>
      </c>
      <c r="I19" s="35">
        <f t="shared" si="3"/>
        <v>2055577.3575299263</v>
      </c>
      <c r="J19" s="35" cm="1">
        <f t="array" ref="J19">+IFERROR(MEDIAN(_xlfn._xlws.FILTER(C19:E19,(C19:E19&gt;=H19)*(C19:E19&lt;=I19))),"Sin datos Válidos")</f>
        <v>1799875</v>
      </c>
    </row>
    <row r="20" spans="2:10" x14ac:dyDescent="0.45">
      <c r="B20" s="5">
        <v>12</v>
      </c>
      <c r="C20" s="33">
        <f>+'Total Cotizaciones_Impuestos In'!F15</f>
        <v>7723100</v>
      </c>
      <c r="D20" s="33">
        <f>+'Total Cotizaciones_Impuestos In'!H15</f>
        <v>6188000</v>
      </c>
      <c r="E20" s="33">
        <f>+'Total Cotizaciones_Impuestos In'!J15</f>
        <v>21023730</v>
      </c>
      <c r="F20" s="34">
        <f t="shared" si="0"/>
        <v>7723100</v>
      </c>
      <c r="G20" s="35">
        <f t="shared" si="1"/>
        <v>8158453.438405673</v>
      </c>
      <c r="H20" s="35">
        <f t="shared" si="2"/>
        <v>-435353.43840567302</v>
      </c>
      <c r="I20" s="35">
        <f t="shared" si="3"/>
        <v>15881553.438405674</v>
      </c>
      <c r="J20" s="35" cm="1">
        <f t="array" ref="J20">+IFERROR(MEDIAN(_xlfn._xlws.FILTER(C20:E20,(C20:E20&gt;=H20)*(C20:E20&lt;=I20))),"Sin datos Válidos")</f>
        <v>6955550</v>
      </c>
    </row>
    <row r="21" spans="2:10" x14ac:dyDescent="0.45">
      <c r="B21" s="5">
        <v>13</v>
      </c>
      <c r="C21" s="33">
        <f>+'Total Cotizaciones_Impuestos In'!F16</f>
        <v>6902000</v>
      </c>
      <c r="D21" s="33">
        <f>+'Total Cotizaciones_Impuestos In'!H16</f>
        <v>8568000</v>
      </c>
      <c r="E21" s="33">
        <f>+'Total Cotizaciones_Impuestos In'!J16</f>
        <v>3558100</v>
      </c>
      <c r="F21" s="34">
        <f t="shared" si="0"/>
        <v>6902000</v>
      </c>
      <c r="G21" s="35">
        <f t="shared" si="1"/>
        <v>2551350.0093087973</v>
      </c>
      <c r="H21" s="35">
        <f t="shared" si="2"/>
        <v>4350649.9906912027</v>
      </c>
      <c r="I21" s="35">
        <f t="shared" si="3"/>
        <v>9453350.0093087964</v>
      </c>
      <c r="J21" s="35" cm="1">
        <f t="array" ref="J21">+IFERROR(MEDIAN(_xlfn._xlws.FILTER(C21:E21,(C21:E21&gt;=H21)*(C21:E21&lt;=I21))),"Sin datos Válidos")</f>
        <v>7735000</v>
      </c>
    </row>
    <row r="22" spans="2:10" x14ac:dyDescent="0.45">
      <c r="B22" s="5">
        <v>14</v>
      </c>
      <c r="C22" s="33">
        <f>+'Total Cotizaciones_Impuestos In'!F17</f>
        <v>4998000</v>
      </c>
      <c r="D22" s="33">
        <f>+'Total Cotizaciones_Impuestos In'!H17</f>
        <v>4522000</v>
      </c>
      <c r="E22" s="33">
        <f>+'Total Cotizaciones_Impuestos In'!J17</f>
        <v>35477978.129999995</v>
      </c>
      <c r="F22" s="34">
        <f t="shared" si="0"/>
        <v>4998000</v>
      </c>
      <c r="G22" s="35">
        <f t="shared" si="1"/>
        <v>17736629.822631262</v>
      </c>
      <c r="H22" s="35">
        <f t="shared" si="2"/>
        <v>-12738629.822631262</v>
      </c>
      <c r="I22" s="35">
        <f t="shared" si="3"/>
        <v>22734629.822631262</v>
      </c>
      <c r="J22" s="35" cm="1">
        <f t="array" ref="J22">+IFERROR(MEDIAN(_xlfn._xlws.FILTER(C22:E22,(C22:E22&gt;=H22)*(C22:E22&lt;=I22))),"Sin datos Válidos")</f>
        <v>4760000</v>
      </c>
    </row>
    <row r="23" spans="2:10" x14ac:dyDescent="0.45">
      <c r="B23" s="5">
        <v>15</v>
      </c>
      <c r="C23" s="33">
        <f>+'Total Cotizaciones_Impuestos In'!F18</f>
        <v>3510498.81</v>
      </c>
      <c r="D23" s="33">
        <f>+'Total Cotizaciones_Impuestos In'!H18</f>
        <v>2320500</v>
      </c>
      <c r="E23" s="33">
        <f>+'Total Cotizaciones_Impuestos In'!J18</f>
        <v>1995630</v>
      </c>
      <c r="F23" s="34">
        <f t="shared" si="0"/>
        <v>2320500</v>
      </c>
      <c r="G23" s="35">
        <f t="shared" si="1"/>
        <v>797544.69009707356</v>
      </c>
      <c r="H23" s="35">
        <f t="shared" si="2"/>
        <v>1522955.3099029264</v>
      </c>
      <c r="I23" s="35">
        <f t="shared" si="3"/>
        <v>3118044.6900970736</v>
      </c>
      <c r="J23" s="35" cm="1">
        <f t="array" ref="J23">+IFERROR(MEDIAN(_xlfn._xlws.FILTER(C23:E23,(C23:E23&gt;=H23)*(C23:E23&lt;=I23))),"Sin datos Válidos")</f>
        <v>2158065</v>
      </c>
    </row>
    <row r="24" spans="2:10" x14ac:dyDescent="0.45">
      <c r="B24" s="48" t="s">
        <v>42</v>
      </c>
      <c r="C24" s="48"/>
      <c r="D24" s="48"/>
      <c r="E24" s="48"/>
      <c r="F24" s="48"/>
      <c r="G24" s="48"/>
      <c r="H24" s="48"/>
      <c r="I24" s="48"/>
      <c r="J24" s="36"/>
    </row>
    <row r="25" spans="2:10" x14ac:dyDescent="0.45">
      <c r="B25" s="5">
        <v>1</v>
      </c>
      <c r="C25" s="33">
        <f>+'Total Cotizaciones_Impuestos In'!F20</f>
        <v>805630</v>
      </c>
      <c r="D25" s="33">
        <f>+'Total Cotizaciones_Impuestos In'!H20</f>
        <v>4165000</v>
      </c>
      <c r="E25" s="33">
        <f>+'Total Cotizaciones_Impuestos In'!J20</f>
        <v>9538593.75</v>
      </c>
      <c r="F25" s="34">
        <f t="shared" si="0"/>
        <v>4165000</v>
      </c>
      <c r="G25" s="35">
        <f t="shared" si="1"/>
        <v>4405026.1528878035</v>
      </c>
      <c r="H25" s="35">
        <f t="shared" si="2"/>
        <v>-240026.1528878035</v>
      </c>
      <c r="I25" s="35">
        <f t="shared" si="3"/>
        <v>8570026.1528878026</v>
      </c>
      <c r="J25" s="35" cm="1">
        <f t="array" ref="J25">+IFERROR(MEDIAN(_xlfn._xlws.FILTER(C25:E25,(C25:E25&gt;=H25)*(C25:E25&lt;=I25))),"Sin datos Válidos")</f>
        <v>2485315</v>
      </c>
    </row>
    <row r="26" spans="2:10" x14ac:dyDescent="0.45">
      <c r="B26" s="5">
        <v>2</v>
      </c>
      <c r="C26" s="33">
        <f>+'Total Cotizaciones_Impuestos In'!F21</f>
        <v>1535100</v>
      </c>
      <c r="D26" s="33">
        <f>+'Total Cotizaciones_Impuestos In'!H21</f>
        <v>1785000</v>
      </c>
      <c r="E26" s="33">
        <f>+'Total Cotizaciones_Impuestos In'!J21</f>
        <v>11229435</v>
      </c>
      <c r="F26" s="34">
        <f t="shared" si="0"/>
        <v>1785000</v>
      </c>
      <c r="G26" s="35">
        <f t="shared" si="1"/>
        <v>5526299.7501560664</v>
      </c>
      <c r="H26" s="35">
        <f t="shared" si="2"/>
        <v>-3741299.7501560664</v>
      </c>
      <c r="I26" s="35">
        <f t="shared" si="3"/>
        <v>7311299.7501560664</v>
      </c>
      <c r="J26" s="35" cm="1">
        <f t="array" ref="J26">+IFERROR(MEDIAN(_xlfn._xlws.FILTER(C26:E26,(C26:E26&gt;=H26)*(C26:E26&lt;=I26))),"Sin datos Válidos")</f>
        <v>1660050</v>
      </c>
    </row>
    <row r="27" spans="2:10" x14ac:dyDescent="0.45">
      <c r="B27" s="5">
        <v>3</v>
      </c>
      <c r="C27" s="33">
        <f>+'Total Cotizaciones_Impuestos In'!F22</f>
        <v>2713200</v>
      </c>
      <c r="D27" s="33">
        <f>+'Total Cotizaciones_Impuestos In'!H22</f>
        <v>4676700</v>
      </c>
      <c r="E27" s="33">
        <f>+'Total Cotizaciones_Impuestos In'!J22</f>
        <v>5662020</v>
      </c>
      <c r="F27" s="34">
        <f t="shared" si="0"/>
        <v>4676700</v>
      </c>
      <c r="G27" s="35">
        <f t="shared" si="1"/>
        <v>1501206.578322917</v>
      </c>
      <c r="H27" s="35">
        <f t="shared" si="2"/>
        <v>3175493.4216770828</v>
      </c>
      <c r="I27" s="35">
        <f t="shared" si="3"/>
        <v>6177906.5783229172</v>
      </c>
      <c r="J27" s="35" cm="1">
        <f t="array" ref="J27">+IFERROR(MEDIAN(_xlfn._xlws.FILTER(C27:E27,(C27:E27&gt;=H27)*(C27:E27&lt;=I27))),"Sin datos Válidos")</f>
        <v>5169360</v>
      </c>
    </row>
    <row r="28" spans="2:10" x14ac:dyDescent="0.45">
      <c r="B28" s="5">
        <v>4</v>
      </c>
      <c r="C28" s="33">
        <f>+'Total Cotizaciones_Impuestos In'!F23</f>
        <v>1808800</v>
      </c>
      <c r="D28" s="33">
        <f>+'Total Cotizaciones_Impuestos In'!H23</f>
        <v>3808000</v>
      </c>
      <c r="E28" s="33">
        <f>+'Total Cotizaciones_Impuestos In'!J23</f>
        <v>3712800</v>
      </c>
      <c r="F28" s="34">
        <f t="shared" si="0"/>
        <v>3712800</v>
      </c>
      <c r="G28" s="35">
        <f t="shared" si="1"/>
        <v>1127761.7715339237</v>
      </c>
      <c r="H28" s="35">
        <f t="shared" si="2"/>
        <v>2585038.2284660763</v>
      </c>
      <c r="I28" s="35">
        <f t="shared" si="3"/>
        <v>4840561.7715339232</v>
      </c>
      <c r="J28" s="35" cm="1">
        <f t="array" ref="J28">+IFERROR(MEDIAN(_xlfn._xlws.FILTER(C28:E28,(C28:E28&gt;=H28)*(C28:E28&lt;=I28))),"Sin datos Válidos")</f>
        <v>3760400</v>
      </c>
    </row>
    <row r="29" spans="2:10" x14ac:dyDescent="0.45">
      <c r="B29" s="5">
        <v>5</v>
      </c>
      <c r="C29" s="33">
        <f>+'Total Cotizaciones_Impuestos In'!F24</f>
        <v>690200</v>
      </c>
      <c r="D29" s="33">
        <f>+'Total Cotizaciones_Impuestos In'!H24</f>
        <v>3451000</v>
      </c>
      <c r="E29" s="33">
        <f>+'Total Cotizaciones_Impuestos In'!J24</f>
        <v>1732640</v>
      </c>
      <c r="F29" s="34">
        <f t="shared" si="0"/>
        <v>1732640</v>
      </c>
      <c r="G29" s="35">
        <f t="shared" si="1"/>
        <v>1394122.1182282895</v>
      </c>
      <c r="H29" s="35">
        <f t="shared" si="2"/>
        <v>338517.88177171047</v>
      </c>
      <c r="I29" s="35">
        <f t="shared" si="3"/>
        <v>3126762.1182282893</v>
      </c>
      <c r="J29" s="35" cm="1">
        <f t="array" ref="J29">+IFERROR(MEDIAN(_xlfn._xlws.FILTER(C29:E29,(C29:E29&gt;=H29)*(C29:E29&lt;=I29))),"Sin datos Válidos")</f>
        <v>1211420</v>
      </c>
    </row>
    <row r="30" spans="2:10" x14ac:dyDescent="0.45">
      <c r="B30" s="5">
        <v>6</v>
      </c>
      <c r="C30" s="33">
        <f>+'Total Cotizaciones_Impuestos In'!F25</f>
        <v>1166200</v>
      </c>
      <c r="D30" s="33">
        <f>+'Total Cotizaciones_Impuestos In'!H25</f>
        <v>1725500</v>
      </c>
      <c r="E30" s="33">
        <f>+'Total Cotizaciones_Impuestos In'!J25</f>
        <v>2552550</v>
      </c>
      <c r="F30" s="34">
        <f t="shared" si="0"/>
        <v>1725500</v>
      </c>
      <c r="G30" s="35">
        <f t="shared" si="1"/>
        <v>697470.96892989031</v>
      </c>
      <c r="H30" s="35">
        <f t="shared" si="2"/>
        <v>1028029.0310701097</v>
      </c>
      <c r="I30" s="35">
        <f t="shared" si="3"/>
        <v>2422970.9689298905</v>
      </c>
      <c r="J30" s="35" cm="1">
        <f t="array" ref="J30">+IFERROR(MEDIAN(_xlfn._xlws.FILTER(C30:E30,(C30:E30&gt;=H30)*(C30:E30&lt;=I30))),"Sin datos Válidos")</f>
        <v>1445850</v>
      </c>
    </row>
    <row r="31" spans="2:10" x14ac:dyDescent="0.45">
      <c r="B31" s="5">
        <v>7</v>
      </c>
      <c r="C31" s="33">
        <f>+'Total Cotizaciones_Impuestos In'!F26</f>
        <v>1011500</v>
      </c>
      <c r="D31" s="33">
        <f>+'Total Cotizaciones_Impuestos In'!H26</f>
        <v>2023000</v>
      </c>
      <c r="E31" s="33">
        <f>+'Total Cotizaciones_Impuestos In'!J26</f>
        <v>6961500</v>
      </c>
      <c r="F31" s="34">
        <f t="shared" si="0"/>
        <v>2023000</v>
      </c>
      <c r="G31" s="35">
        <f t="shared" si="1"/>
        <v>3183667.0287578758</v>
      </c>
      <c r="H31" s="35">
        <f t="shared" si="2"/>
        <v>-1160667.0287578758</v>
      </c>
      <c r="I31" s="35">
        <f t="shared" si="3"/>
        <v>5206667.0287578758</v>
      </c>
      <c r="J31" s="35" cm="1">
        <f t="array" ref="J31">+IFERROR(MEDIAN(_xlfn._xlws.FILTER(C31:E31,(C31:E31&gt;=H31)*(C31:E31&lt;=I31))),"Sin datos Válidos")</f>
        <v>1517250</v>
      </c>
    </row>
    <row r="32" spans="2:10" x14ac:dyDescent="0.45">
      <c r="F32" s="37"/>
      <c r="G32" s="36"/>
      <c r="H32" s="36"/>
      <c r="I32" s="36"/>
      <c r="J32" s="36"/>
    </row>
    <row r="33" spans="2:10" ht="15" customHeight="1" x14ac:dyDescent="0.45">
      <c r="B33" s="38" t="s">
        <v>4</v>
      </c>
      <c r="C33" s="39">
        <f>SUM(C25:C31,C9:C23)</f>
        <v>48923847.630000003</v>
      </c>
      <c r="D33" s="39">
        <f>SUM(D25:D31,D9:D23)</f>
        <v>63569800</v>
      </c>
      <c r="E33" s="39">
        <f>SUM(E25:E31,E9:E23)</f>
        <v>126224551.88</v>
      </c>
      <c r="I33" s="40" t="s">
        <v>72</v>
      </c>
      <c r="J33" s="35">
        <f>+SUM(J25:J31,J9:J23)</f>
        <v>59974796.909999996</v>
      </c>
    </row>
    <row r="37" spans="2:10" ht="27.75" x14ac:dyDescent="0.45">
      <c r="B37" s="40" t="s">
        <v>63</v>
      </c>
      <c r="C37" s="31" t="s">
        <v>60</v>
      </c>
      <c r="D37" s="31" t="s">
        <v>61</v>
      </c>
      <c r="E37" s="31" t="s">
        <v>62</v>
      </c>
    </row>
    <row r="38" spans="2:10" x14ac:dyDescent="0.45">
      <c r="B38" s="40" t="s">
        <v>64</v>
      </c>
      <c r="C38" s="41">
        <f>+SUM(C9:C23)</f>
        <v>39193217.630000003</v>
      </c>
      <c r="D38" s="41">
        <f>+SUM(D9:D23)</f>
        <v>41935600</v>
      </c>
      <c r="E38" s="41">
        <f>+SUM(E9:E23)</f>
        <v>84835013.129999995</v>
      </c>
    </row>
    <row r="39" spans="2:10" x14ac:dyDescent="0.45">
      <c r="B39" s="40" t="s">
        <v>65</v>
      </c>
      <c r="C39" s="34">
        <f>+SUM(C25:C31)</f>
        <v>9730630</v>
      </c>
      <c r="D39" s="34">
        <f>+SUM(D25:D31)</f>
        <v>21634200</v>
      </c>
      <c r="E39" s="34">
        <f>+SUM(E25:E31)</f>
        <v>41389538.75</v>
      </c>
    </row>
  </sheetData>
  <pageMargins left="0.7" right="0.7" top="0.75" bottom="0.75" header="0.3" footer="0.3"/>
  <ignoredErrors>
    <ignoredError sqref="G10:J23 F32:J32 C33:E33 C38:E39 J33 H9:J9 G25:J31" unlocked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6094-9A40-417C-8F05-3BFB78097154}">
  <sheetPr codeName="Hoja4"/>
  <dimension ref="B7:J39"/>
  <sheetViews>
    <sheetView workbookViewId="0">
      <selection activeCell="I9" sqref="I9"/>
    </sheetView>
  </sheetViews>
  <sheetFormatPr baseColWidth="10" defaultColWidth="11.3984375" defaultRowHeight="13.9" x14ac:dyDescent="0.45"/>
  <cols>
    <col min="1" max="1" width="11.3984375" style="32"/>
    <col min="2" max="2" width="16.265625" style="32" customWidth="1"/>
    <col min="3" max="3" width="18.59765625" style="32" customWidth="1"/>
    <col min="4" max="4" width="17.73046875" style="32" customWidth="1"/>
    <col min="5" max="5" width="16.1328125" style="32" customWidth="1"/>
    <col min="6" max="6" width="16.73046875" style="32" bestFit="1" customWidth="1"/>
    <col min="7" max="7" width="16" style="32" bestFit="1" customWidth="1"/>
    <col min="8" max="9" width="13" style="32" customWidth="1"/>
    <col min="10" max="10" width="16" style="32" bestFit="1" customWidth="1"/>
    <col min="11" max="16384" width="11.3984375" style="32"/>
  </cols>
  <sheetData>
    <row r="7" spans="2:10" ht="41.65" x14ac:dyDescent="0.45">
      <c r="B7" s="25" t="s">
        <v>5</v>
      </c>
      <c r="C7" s="31" t="s">
        <v>60</v>
      </c>
      <c r="D7" s="31" t="s">
        <v>61</v>
      </c>
      <c r="E7" s="31" t="s">
        <v>62</v>
      </c>
      <c r="F7" s="31" t="s">
        <v>70</v>
      </c>
      <c r="G7" s="31" t="s">
        <v>57</v>
      </c>
      <c r="H7" s="31" t="s">
        <v>66</v>
      </c>
      <c r="I7" s="31" t="s">
        <v>67</v>
      </c>
      <c r="J7" s="31" t="s">
        <v>71</v>
      </c>
    </row>
    <row r="8" spans="2:10" x14ac:dyDescent="0.45">
      <c r="B8" s="89" t="s">
        <v>8</v>
      </c>
      <c r="C8" s="89"/>
      <c r="D8" s="89"/>
      <c r="E8" s="89"/>
      <c r="F8" s="89"/>
      <c r="G8" s="89"/>
      <c r="H8" s="89"/>
      <c r="I8" s="89"/>
    </row>
    <row r="9" spans="2:10" x14ac:dyDescent="0.45">
      <c r="B9" s="5">
        <v>1</v>
      </c>
      <c r="C9" s="33">
        <f>+'Total Cotizaciones_Impuestos In'!F4</f>
        <v>805630</v>
      </c>
      <c r="D9" s="33">
        <f>+'Total Cotizaciones_Impuestos In'!H4</f>
        <v>4165000</v>
      </c>
      <c r="E9" s="33">
        <f>+'Total Cotizaciones_Impuestos In'!J4</f>
        <v>3604510</v>
      </c>
      <c r="F9" s="34">
        <f>+GEOMEAN(C9:E9)</f>
        <v>2295438.2991049513</v>
      </c>
      <c r="G9" s="35">
        <f>+_xlfn.STDEV.S(C9:E9)</f>
        <v>1799687.2455790755</v>
      </c>
      <c r="H9" s="35">
        <f>+F9-G9</f>
        <v>495751.05352587579</v>
      </c>
      <c r="I9" s="35">
        <f>+F9+G9</f>
        <v>4095125.5446840269</v>
      </c>
      <c r="J9" s="35" cm="1">
        <f t="array" ref="J9">+IFERROR(GEOMEAN(_xlfn._xlws.FILTER(C9:E9,(C9:E9&gt;=H9)*(C9:E9&lt;=I9))),"Sin datos Válidos")</f>
        <v>1704083.7395210366</v>
      </c>
    </row>
    <row r="10" spans="2:10" x14ac:dyDescent="0.45">
      <c r="B10" s="5">
        <v>2</v>
      </c>
      <c r="C10" s="33">
        <f>+'Total Cotizaciones_Impuestos In'!F5</f>
        <v>487900</v>
      </c>
      <c r="D10" s="33">
        <f>+'Total Cotizaciones_Impuestos In'!H5</f>
        <v>773500</v>
      </c>
      <c r="E10" s="33">
        <f>+'Total Cotizaciones_Impuestos In'!J5</f>
        <v>2552550</v>
      </c>
      <c r="F10" s="34">
        <f t="shared" ref="F10:F31" si="0">+GEOMEAN(C10:E10)</f>
        <v>987616.79029983957</v>
      </c>
      <c r="G10" s="35">
        <f t="shared" ref="G10:G31" si="1">+_xlfn.STDEV.S(C10:E10)</f>
        <v>1118731.8627952514</v>
      </c>
      <c r="H10" s="35">
        <f t="shared" ref="H10:H31" si="2">+F10-G10</f>
        <v>-131115.07249541185</v>
      </c>
      <c r="I10" s="35">
        <f t="shared" ref="I10:I31" si="3">+F10+G10</f>
        <v>2106348.6530950908</v>
      </c>
      <c r="J10" s="35" cm="1">
        <f t="array" ref="J10">+IFERROR(GEOMEAN(_xlfn._xlws.FILTER(C10:E10,(C10:E10&gt;=H10)*(C10:E10&lt;=I10))),"Sin datos Válidos")</f>
        <v>614321.29215907864</v>
      </c>
    </row>
    <row r="11" spans="2:10" x14ac:dyDescent="0.45">
      <c r="B11" s="5">
        <v>3</v>
      </c>
      <c r="C11" s="33">
        <f>+'Total Cotizaciones_Impuestos In'!F6</f>
        <v>416500</v>
      </c>
      <c r="D11" s="33">
        <f>+'Total Cotizaciones_Impuestos In'!H6</f>
        <v>416500</v>
      </c>
      <c r="E11" s="33">
        <f>+'Total Cotizaciones_Impuestos In'!J6</f>
        <v>464100</v>
      </c>
      <c r="F11" s="34">
        <f t="shared" si="0"/>
        <v>431797.90076892928</v>
      </c>
      <c r="G11" s="35">
        <f t="shared" si="1"/>
        <v>27481.872813426187</v>
      </c>
      <c r="H11" s="35">
        <f t="shared" si="2"/>
        <v>404316.02795550309</v>
      </c>
      <c r="I11" s="35">
        <f t="shared" si="3"/>
        <v>459279.77358235547</v>
      </c>
      <c r="J11" s="35" cm="1">
        <f t="array" ref="J11">+IFERROR(GEOMEAN(_xlfn._xlws.FILTER(C11:E11,(C11:E11&gt;=H11)*(C11:E11&lt;=I11))),"Sin datos Válidos")</f>
        <v>416500</v>
      </c>
    </row>
    <row r="12" spans="2:10" x14ac:dyDescent="0.45">
      <c r="B12" s="5">
        <v>4</v>
      </c>
      <c r="C12" s="33">
        <f>+'Total Cotizaciones_Impuestos In'!F7</f>
        <v>5150888.8199999994</v>
      </c>
      <c r="D12" s="33">
        <f>+'Total Cotizaciones_Impuestos In'!H7</f>
        <v>3451000</v>
      </c>
      <c r="E12" s="33">
        <f>+'Total Cotizaciones_Impuestos In'!J7</f>
        <v>5267535</v>
      </c>
      <c r="F12" s="34">
        <f t="shared" si="0"/>
        <v>4540930.5007583117</v>
      </c>
      <c r="G12" s="35">
        <f t="shared" si="1"/>
        <v>1016778.223761582</v>
      </c>
      <c r="H12" s="35">
        <f t="shared" si="2"/>
        <v>3524152.2769967299</v>
      </c>
      <c r="I12" s="35">
        <f t="shared" si="3"/>
        <v>5557708.7245198935</v>
      </c>
      <c r="J12" s="35" cm="1">
        <f t="array" ref="J12">+IFERROR(GEOMEAN(_xlfn._xlws.FILTER(C12:E12,(C12:E12&gt;=H12)*(C12:E12&lt;=I12))),"Sin datos Válidos")</f>
        <v>5208885.4028917449</v>
      </c>
    </row>
    <row r="13" spans="2:10" x14ac:dyDescent="0.45">
      <c r="B13" s="5">
        <v>5</v>
      </c>
      <c r="C13" s="33">
        <f>+'Total Cotizaciones_Impuestos In'!F8</f>
        <v>1904000</v>
      </c>
      <c r="D13" s="33">
        <f>+'Total Cotizaciones_Impuestos In'!H8</f>
        <v>2380000</v>
      </c>
      <c r="E13" s="33">
        <f>+'Total Cotizaciones_Impuestos In'!J8</f>
        <v>3712800</v>
      </c>
      <c r="F13" s="34">
        <f t="shared" si="0"/>
        <v>2562409.203353547</v>
      </c>
      <c r="G13" s="35">
        <f t="shared" si="1"/>
        <v>937611.26273098914</v>
      </c>
      <c r="H13" s="35">
        <f t="shared" si="2"/>
        <v>1624797.9406225579</v>
      </c>
      <c r="I13" s="35">
        <f t="shared" si="3"/>
        <v>3500020.4660845362</v>
      </c>
      <c r="J13" s="35" cm="1">
        <f t="array" ref="J13">+IFERROR(GEOMEAN(_xlfn._xlws.FILTER(C13:E13,(C13:E13&gt;=H13)*(C13:E13&lt;=I13))),"Sin datos Válidos")</f>
        <v>2128736.7145797997</v>
      </c>
    </row>
    <row r="14" spans="2:10" x14ac:dyDescent="0.45">
      <c r="B14" s="5">
        <v>6</v>
      </c>
      <c r="C14" s="33">
        <f>+'Total Cotizaciones_Impuestos In'!F9</f>
        <v>1785000</v>
      </c>
      <c r="D14" s="33">
        <f>+'Total Cotizaciones_Impuestos In'!H9</f>
        <v>1606500</v>
      </c>
      <c r="E14" s="33">
        <f>+'Total Cotizaciones_Impuestos In'!J9</f>
        <v>1624350</v>
      </c>
      <c r="F14" s="34">
        <f t="shared" si="0"/>
        <v>1670062.9998673482</v>
      </c>
      <c r="G14" s="35">
        <f t="shared" si="1"/>
        <v>98310.134269056914</v>
      </c>
      <c r="H14" s="35">
        <f t="shared" si="2"/>
        <v>1571752.8655982914</v>
      </c>
      <c r="I14" s="35">
        <f t="shared" si="3"/>
        <v>1768373.1341364051</v>
      </c>
      <c r="J14" s="35" cm="1">
        <f t="array" ref="J14">+IFERROR(GEOMEAN(_xlfn._xlws.FILTER(C14:E14,(C14:E14&gt;=H14)*(C14:E14&lt;=I14))),"Sin datos Válidos")</f>
        <v>1615400.345115724</v>
      </c>
    </row>
    <row r="15" spans="2:10" x14ac:dyDescent="0.45">
      <c r="B15" s="5">
        <v>7</v>
      </c>
      <c r="C15" s="33">
        <f>+'Total Cotizaciones_Impuestos In'!F10</f>
        <v>654500</v>
      </c>
      <c r="D15" s="33">
        <f>+'Total Cotizaciones_Impuestos In'!H10</f>
        <v>1666000</v>
      </c>
      <c r="E15" s="33">
        <f>+'Total Cotizaciones_Impuestos In'!J10</f>
        <v>1423240</v>
      </c>
      <c r="F15" s="34">
        <f t="shared" si="0"/>
        <v>1157766.3682417118</v>
      </c>
      <c r="G15" s="35">
        <f t="shared" si="1"/>
        <v>528050.7954101892</v>
      </c>
      <c r="H15" s="35">
        <f t="shared" si="2"/>
        <v>629715.57283152256</v>
      </c>
      <c r="I15" s="35">
        <f t="shared" si="3"/>
        <v>1685817.1636519008</v>
      </c>
      <c r="J15" s="35" cm="1">
        <f t="array" ref="J15">+IFERROR(GEOMEAN(_xlfn._xlws.FILTER(C15:E15,(C15:E15&gt;=H15)*(C15:E15&lt;=I15))),"Sin datos Válidos")</f>
        <v>1157766.3682417118</v>
      </c>
    </row>
    <row r="16" spans="2:10" x14ac:dyDescent="0.45">
      <c r="B16" s="5">
        <v>8</v>
      </c>
      <c r="C16" s="33">
        <f>+'Total Cotizaciones_Impuestos In'!F11</f>
        <v>1309000</v>
      </c>
      <c r="D16" s="33">
        <f>+'Total Cotizaciones_Impuestos In'!H11</f>
        <v>1547000</v>
      </c>
      <c r="E16" s="33">
        <f>+'Total Cotizaciones_Impuestos In'!J11</f>
        <v>1392300</v>
      </c>
      <c r="F16" s="34">
        <f t="shared" si="0"/>
        <v>1412714.0393153557</v>
      </c>
      <c r="G16" s="35">
        <f t="shared" si="1"/>
        <v>120771.80962459742</v>
      </c>
      <c r="H16" s="35">
        <f t="shared" si="2"/>
        <v>1291942.2296907583</v>
      </c>
      <c r="I16" s="35">
        <f t="shared" si="3"/>
        <v>1533485.8489399531</v>
      </c>
      <c r="J16" s="35" cm="1">
        <f t="array" ref="J16">+IFERROR(GEOMEAN(_xlfn._xlws.FILTER(C16:E16,(C16:E16&gt;=H16)*(C16:E16&lt;=I16))),"Sin datos Válidos")</f>
        <v>1350007.6666448973</v>
      </c>
    </row>
    <row r="17" spans="2:10" x14ac:dyDescent="0.45">
      <c r="B17" s="5">
        <v>9</v>
      </c>
      <c r="C17" s="33">
        <f>+'Total Cotizaciones_Impuestos In'!F12</f>
        <v>1190000</v>
      </c>
      <c r="D17" s="33">
        <f>+'Total Cotizaciones_Impuestos In'!H12</f>
        <v>1332800</v>
      </c>
      <c r="E17" s="33">
        <f>+'Total Cotizaciones_Impuestos In'!J12</f>
        <v>402220</v>
      </c>
      <c r="F17" s="34">
        <f t="shared" si="0"/>
        <v>860845.47781106178</v>
      </c>
      <c r="G17" s="35">
        <f t="shared" si="1"/>
        <v>501160.03844414139</v>
      </c>
      <c r="H17" s="35">
        <f t="shared" si="2"/>
        <v>359685.43936692039</v>
      </c>
      <c r="I17" s="35">
        <f t="shared" si="3"/>
        <v>1362005.5162552032</v>
      </c>
      <c r="J17" s="35" cm="1">
        <f t="array" ref="J17">+IFERROR(GEOMEAN(_xlfn._xlws.FILTER(C17:E17,(C17:E17&gt;=H17)*(C17:E17&lt;=I17))),"Sin datos Válidos")</f>
        <v>860845.47781106178</v>
      </c>
    </row>
    <row r="18" spans="2:10" x14ac:dyDescent="0.45">
      <c r="B18" s="5">
        <v>10</v>
      </c>
      <c r="C18" s="33">
        <f>+'Total Cotizaciones_Impuestos In'!F13</f>
        <v>1190000</v>
      </c>
      <c r="D18" s="33">
        <f>+'Total Cotizaciones_Impuestos In'!H13</f>
        <v>1332800</v>
      </c>
      <c r="E18" s="33">
        <f>+'Total Cotizaciones_Impuestos In'!J13</f>
        <v>402220</v>
      </c>
      <c r="F18" s="34">
        <f t="shared" si="0"/>
        <v>860845.47781106178</v>
      </c>
      <c r="G18" s="35">
        <f t="shared" si="1"/>
        <v>501160.03844414139</v>
      </c>
      <c r="H18" s="35">
        <f t="shared" si="2"/>
        <v>359685.43936692039</v>
      </c>
      <c r="I18" s="35">
        <f t="shared" si="3"/>
        <v>1362005.5162552032</v>
      </c>
      <c r="J18" s="35" cm="1">
        <f t="array" ref="J18">+IFERROR(GEOMEAN(_xlfn._xlws.FILTER(C18:E18,(C18:E18&gt;=H18)*(C18:E18&lt;=I18))),"Sin datos Válidos")</f>
        <v>860845.47781106178</v>
      </c>
    </row>
    <row r="19" spans="2:10" x14ac:dyDescent="0.45">
      <c r="B19" s="5">
        <v>11</v>
      </c>
      <c r="C19" s="33">
        <f>+'Total Cotizaciones_Impuestos In'!F14</f>
        <v>1166200</v>
      </c>
      <c r="D19" s="33">
        <f>+'Total Cotizaciones_Impuestos In'!H14</f>
        <v>1666000</v>
      </c>
      <c r="E19" s="33">
        <f>+'Total Cotizaciones_Impuestos In'!J14</f>
        <v>1933750</v>
      </c>
      <c r="F19" s="34">
        <f t="shared" si="0"/>
        <v>1554590.8968143838</v>
      </c>
      <c r="G19" s="35">
        <f t="shared" si="1"/>
        <v>389577.35752992629</v>
      </c>
      <c r="H19" s="35">
        <f t="shared" si="2"/>
        <v>1165013.5392844575</v>
      </c>
      <c r="I19" s="35">
        <f t="shared" si="3"/>
        <v>1944168.2543443101</v>
      </c>
      <c r="J19" s="35" cm="1">
        <f t="array" ref="J19">+IFERROR(GEOMEAN(_xlfn._xlws.FILTER(C19:E19,(C19:E19&gt;=H19)*(C19:E19&lt;=I19))),"Sin datos Válidos")</f>
        <v>1554590.8968143838</v>
      </c>
    </row>
    <row r="20" spans="2:10" x14ac:dyDescent="0.45">
      <c r="B20" s="5">
        <v>12</v>
      </c>
      <c r="C20" s="33">
        <f>+'Total Cotizaciones_Impuestos In'!F15</f>
        <v>7723100</v>
      </c>
      <c r="D20" s="33">
        <f>+'Total Cotizaciones_Impuestos In'!H15</f>
        <v>6188000</v>
      </c>
      <c r="E20" s="33">
        <f>+'Total Cotizaciones_Impuestos In'!J15</f>
        <v>21023730</v>
      </c>
      <c r="F20" s="34">
        <f t="shared" si="0"/>
        <v>10015760.043656331</v>
      </c>
      <c r="G20" s="35">
        <f t="shared" si="1"/>
        <v>8158453.438405673</v>
      </c>
      <c r="H20" s="35">
        <f t="shared" si="2"/>
        <v>1857306.6052506575</v>
      </c>
      <c r="I20" s="35">
        <f t="shared" si="3"/>
        <v>18174213.482062005</v>
      </c>
      <c r="J20" s="35" cm="1">
        <f t="array" ref="J20">+IFERROR(GEOMEAN(_xlfn._xlws.FILTER(C20:E20,(C20:E20&gt;=H20)*(C20:E20&lt;=I20))),"Sin datos Válidos")</f>
        <v>6913070.4321596492</v>
      </c>
    </row>
    <row r="21" spans="2:10" x14ac:dyDescent="0.45">
      <c r="B21" s="5">
        <v>13</v>
      </c>
      <c r="C21" s="33">
        <f>+'Total Cotizaciones_Impuestos In'!F16</f>
        <v>6902000</v>
      </c>
      <c r="D21" s="33">
        <f>+'Total Cotizaciones_Impuestos In'!H16</f>
        <v>8568000</v>
      </c>
      <c r="E21" s="33">
        <f>+'Total Cotizaciones_Impuestos In'!J16</f>
        <v>3558100</v>
      </c>
      <c r="F21" s="34">
        <f t="shared" si="0"/>
        <v>5947815.9450679617</v>
      </c>
      <c r="G21" s="35">
        <f t="shared" si="1"/>
        <v>2551350.0093087973</v>
      </c>
      <c r="H21" s="35">
        <f t="shared" si="2"/>
        <v>3396465.9357591644</v>
      </c>
      <c r="I21" s="35">
        <f t="shared" si="3"/>
        <v>8499165.954376759</v>
      </c>
      <c r="J21" s="35" cm="1">
        <f t="array" ref="J21">+IFERROR(GEOMEAN(_xlfn._xlws.FILTER(C21:E21,(C21:E21&gt;=H21)*(C21:E21&lt;=I21))),"Sin datos Válidos")</f>
        <v>4955603.515213863</v>
      </c>
    </row>
    <row r="22" spans="2:10" x14ac:dyDescent="0.45">
      <c r="B22" s="5">
        <v>14</v>
      </c>
      <c r="C22" s="33">
        <f>+'Total Cotizaciones_Impuestos In'!F17</f>
        <v>4998000</v>
      </c>
      <c r="D22" s="33">
        <f>+'Total Cotizaciones_Impuestos In'!H17</f>
        <v>4522000</v>
      </c>
      <c r="E22" s="33">
        <f>+'Total Cotizaciones_Impuestos In'!J17</f>
        <v>35477978.129999995</v>
      </c>
      <c r="F22" s="34">
        <f t="shared" si="0"/>
        <v>9290274.7323379517</v>
      </c>
      <c r="G22" s="35">
        <f t="shared" si="1"/>
        <v>17736629.822631262</v>
      </c>
      <c r="H22" s="35">
        <f t="shared" si="2"/>
        <v>-8446355.0902933106</v>
      </c>
      <c r="I22" s="35">
        <f t="shared" si="3"/>
        <v>27026904.554969214</v>
      </c>
      <c r="J22" s="35" cm="1">
        <f t="array" ref="J22">+IFERROR(GEOMEAN(_xlfn._xlws.FILTER(C22:E22,(C22:E22&gt;=H22)*(C22:E22&lt;=I22))),"Sin datos Válidos")</f>
        <v>4754046.2765942868</v>
      </c>
    </row>
    <row r="23" spans="2:10" x14ac:dyDescent="0.45">
      <c r="B23" s="5">
        <v>15</v>
      </c>
      <c r="C23" s="33">
        <f>+'Total Cotizaciones_Impuestos In'!F18</f>
        <v>3510498.81</v>
      </c>
      <c r="D23" s="33">
        <f>+'Total Cotizaciones_Impuestos In'!H18</f>
        <v>2320500</v>
      </c>
      <c r="E23" s="33">
        <f>+'Total Cotizaciones_Impuestos In'!J18</f>
        <v>1995630</v>
      </c>
      <c r="F23" s="34">
        <f t="shared" si="0"/>
        <v>2533242.7533251527</v>
      </c>
      <c r="G23" s="35">
        <f t="shared" si="1"/>
        <v>797544.69009707356</v>
      </c>
      <c r="H23" s="35">
        <f t="shared" si="2"/>
        <v>1735698.0632280791</v>
      </c>
      <c r="I23" s="35">
        <f t="shared" si="3"/>
        <v>3330787.4434222262</v>
      </c>
      <c r="J23" s="35" cm="1">
        <f t="array" ref="J23">+IFERROR(GEOMEAN(_xlfn._xlws.FILTER(C23:E23,(C23:E23&gt;=H23)*(C23:E23&lt;=I23))),"Sin datos Válidos")</f>
        <v>2151943.1718797782</v>
      </c>
    </row>
    <row r="24" spans="2:10" x14ac:dyDescent="0.45">
      <c r="B24" s="89" t="s">
        <v>42</v>
      </c>
      <c r="C24" s="89"/>
      <c r="D24" s="89"/>
      <c r="E24" s="89"/>
      <c r="F24" s="89"/>
      <c r="G24" s="89"/>
      <c r="H24" s="89"/>
      <c r="I24" s="89"/>
      <c r="J24" s="36"/>
    </row>
    <row r="25" spans="2:10" x14ac:dyDescent="0.45">
      <c r="B25" s="5">
        <v>1</v>
      </c>
      <c r="C25" s="33">
        <f>+'Total Cotizaciones_Impuestos In'!F20</f>
        <v>805630</v>
      </c>
      <c r="D25" s="33">
        <f>+'Total Cotizaciones_Impuestos In'!H20</f>
        <v>4165000</v>
      </c>
      <c r="E25" s="33">
        <f>+'Total Cotizaciones_Impuestos In'!J20</f>
        <v>9538593.75</v>
      </c>
      <c r="F25" s="34">
        <f t="shared" si="0"/>
        <v>3175009.2589198751</v>
      </c>
      <c r="G25" s="35">
        <f t="shared" si="1"/>
        <v>4405026.1528878035</v>
      </c>
      <c r="H25" s="35">
        <f t="shared" si="2"/>
        <v>-1230016.8939679284</v>
      </c>
      <c r="I25" s="35">
        <f t="shared" si="3"/>
        <v>7580035.4118076786</v>
      </c>
      <c r="J25" s="35" cm="1">
        <f t="array" ref="J25">+IFERROR(GEOMEAN(_xlfn._xlws.FILTER(C25:E25,(C25:E25&gt;=H25)*(C25:E25&lt;=I25))),"Sin datos Válidos")</f>
        <v>1831788.4566728768</v>
      </c>
    </row>
    <row r="26" spans="2:10" x14ac:dyDescent="0.45">
      <c r="B26" s="5">
        <v>2</v>
      </c>
      <c r="C26" s="33">
        <f>+'Total Cotizaciones_Impuestos In'!F21</f>
        <v>1535100</v>
      </c>
      <c r="D26" s="33">
        <f>+'Total Cotizaciones_Impuestos In'!H21</f>
        <v>1785000</v>
      </c>
      <c r="E26" s="33">
        <f>+'Total Cotizaciones_Impuestos In'!J21</f>
        <v>11229435</v>
      </c>
      <c r="F26" s="34">
        <f t="shared" si="0"/>
        <v>3133605.1040532659</v>
      </c>
      <c r="G26" s="35">
        <f t="shared" si="1"/>
        <v>5526299.7501560664</v>
      </c>
      <c r="H26" s="35">
        <f t="shared" si="2"/>
        <v>-2392694.6461028005</v>
      </c>
      <c r="I26" s="35">
        <f t="shared" si="3"/>
        <v>8659904.8542093318</v>
      </c>
      <c r="J26" s="35" cm="1">
        <f t="array" ref="J26">+IFERROR(GEOMEAN(_xlfn._xlws.FILTER(C26:E26,(C26:E26&gt;=H26)*(C26:E26&lt;=I26))),"Sin datos Válidos")</f>
        <v>1655340.9014459832</v>
      </c>
    </row>
    <row r="27" spans="2:10" x14ac:dyDescent="0.45">
      <c r="B27" s="5">
        <v>3</v>
      </c>
      <c r="C27" s="33">
        <f>+'Total Cotizaciones_Impuestos In'!F22</f>
        <v>2713200</v>
      </c>
      <c r="D27" s="33">
        <f>+'Total Cotizaciones_Impuestos In'!H22</f>
        <v>4676700</v>
      </c>
      <c r="E27" s="33">
        <f>+'Total Cotizaciones_Impuestos In'!J22</f>
        <v>5662020</v>
      </c>
      <c r="F27" s="34">
        <f t="shared" si="0"/>
        <v>4157167.9756905045</v>
      </c>
      <c r="G27" s="35">
        <f t="shared" si="1"/>
        <v>1501206.578322917</v>
      </c>
      <c r="H27" s="35">
        <f t="shared" si="2"/>
        <v>2655961.3973675873</v>
      </c>
      <c r="I27" s="35">
        <f t="shared" si="3"/>
        <v>5658374.5540134218</v>
      </c>
      <c r="J27" s="35" cm="1">
        <f t="array" ref="J27">+IFERROR(GEOMEAN(_xlfn._xlws.FILTER(C27:E27,(C27:E27&gt;=H27)*(C27:E27&lt;=I27))),"Sin datos Válidos")</f>
        <v>3562137.3415408903</v>
      </c>
    </row>
    <row r="28" spans="2:10" x14ac:dyDescent="0.45">
      <c r="B28" s="5">
        <v>4</v>
      </c>
      <c r="C28" s="33">
        <f>+'Total Cotizaciones_Impuestos In'!F23</f>
        <v>1808800</v>
      </c>
      <c r="D28" s="33">
        <f>+'Total Cotizaciones_Impuestos In'!H23</f>
        <v>3808000</v>
      </c>
      <c r="E28" s="33">
        <f>+'Total Cotizaciones_Impuestos In'!J23</f>
        <v>3712800</v>
      </c>
      <c r="F28" s="34">
        <f t="shared" si="0"/>
        <v>2946205.3568441113</v>
      </c>
      <c r="G28" s="35">
        <f t="shared" si="1"/>
        <v>1127761.7715339237</v>
      </c>
      <c r="H28" s="35">
        <f t="shared" si="2"/>
        <v>1818443.5853101877</v>
      </c>
      <c r="I28" s="35">
        <f t="shared" si="3"/>
        <v>4073967.128378035</v>
      </c>
      <c r="J28" s="35" cm="1">
        <f t="array" ref="J28">+IFERROR(GEOMEAN(_xlfn._xlws.FILTER(C28:E28,(C28:E28&gt;=H28)*(C28:E28&lt;=I28))),"Sin datos Válidos")</f>
        <v>3760098.7221082374</v>
      </c>
    </row>
    <row r="29" spans="2:10" x14ac:dyDescent="0.45">
      <c r="B29" s="5">
        <v>5</v>
      </c>
      <c r="C29" s="33">
        <f>+'Total Cotizaciones_Impuestos In'!F24</f>
        <v>690200</v>
      </c>
      <c r="D29" s="33">
        <f>+'Total Cotizaciones_Impuestos In'!H24</f>
        <v>3451000</v>
      </c>
      <c r="E29" s="33">
        <f>+'Total Cotizaciones_Impuestos In'!J24</f>
        <v>1732640</v>
      </c>
      <c r="F29" s="34">
        <f t="shared" si="0"/>
        <v>1604018.6623077672</v>
      </c>
      <c r="G29" s="35">
        <f t="shared" si="1"/>
        <v>1394122.1182282895</v>
      </c>
      <c r="H29" s="35">
        <f t="shared" si="2"/>
        <v>209896.54407947767</v>
      </c>
      <c r="I29" s="35">
        <f t="shared" si="3"/>
        <v>2998140.7805360565</v>
      </c>
      <c r="J29" s="35" cm="1">
        <f t="array" ref="J29">+IFERROR(GEOMEAN(_xlfn._xlws.FILTER(C29:E29,(C29:E29&gt;=H29)*(C29:E29&lt;=I29))),"Sin datos Válidos")</f>
        <v>1093557.5558698317</v>
      </c>
    </row>
    <row r="30" spans="2:10" x14ac:dyDescent="0.45">
      <c r="B30" s="5">
        <v>6</v>
      </c>
      <c r="C30" s="33">
        <f>+'Total Cotizaciones_Impuestos In'!F25</f>
        <v>1166200</v>
      </c>
      <c r="D30" s="33">
        <f>+'Total Cotizaciones_Impuestos In'!H25</f>
        <v>1725500</v>
      </c>
      <c r="E30" s="33">
        <f>+'Total Cotizaciones_Impuestos In'!J25</f>
        <v>2552550</v>
      </c>
      <c r="F30" s="34">
        <f t="shared" si="0"/>
        <v>1725390.567772534</v>
      </c>
      <c r="G30" s="35">
        <f t="shared" si="1"/>
        <v>697470.96892989031</v>
      </c>
      <c r="H30" s="35">
        <f t="shared" si="2"/>
        <v>1027919.5988426437</v>
      </c>
      <c r="I30" s="35">
        <f t="shared" si="3"/>
        <v>2422861.5367024243</v>
      </c>
      <c r="J30" s="35" cm="1">
        <f t="array" ref="J30">+IFERROR(GEOMEAN(_xlfn._xlws.FILTER(C30:E30,(C30:E30&gt;=H30)*(C30:E30&lt;=I30))),"Sin datos Válidos")</f>
        <v>1418547.8842816693</v>
      </c>
    </row>
    <row r="31" spans="2:10" x14ac:dyDescent="0.45">
      <c r="B31" s="5">
        <v>7</v>
      </c>
      <c r="C31" s="33">
        <f>+'Total Cotizaciones_Impuestos In'!F26</f>
        <v>1011500</v>
      </c>
      <c r="D31" s="33">
        <f>+'Total Cotizaciones_Impuestos In'!H26</f>
        <v>2023000</v>
      </c>
      <c r="E31" s="33">
        <f>+'Total Cotizaciones_Impuestos In'!J26</f>
        <v>6961500</v>
      </c>
      <c r="F31" s="34">
        <f t="shared" si="0"/>
        <v>2424124.1924236342</v>
      </c>
      <c r="G31" s="35">
        <f t="shared" si="1"/>
        <v>3183667.0287578758</v>
      </c>
      <c r="H31" s="35">
        <f t="shared" si="2"/>
        <v>-759542.83633424155</v>
      </c>
      <c r="I31" s="35">
        <f t="shared" si="3"/>
        <v>5607791.22118151</v>
      </c>
      <c r="J31" s="35" cm="1">
        <f t="array" ref="J31">+IFERROR(GEOMEAN(_xlfn._xlws.FILTER(C31:E31,(C31:E31&gt;=H31)*(C31:E31&lt;=I31))),"Sin datos Válidos")</f>
        <v>1430477.0183403858</v>
      </c>
    </row>
    <row r="32" spans="2:10" x14ac:dyDescent="0.45">
      <c r="F32" s="37"/>
      <c r="G32" s="36"/>
      <c r="H32" s="36"/>
      <c r="I32" s="36"/>
      <c r="J32" s="36"/>
    </row>
    <row r="33" spans="2:10" ht="15" customHeight="1" x14ac:dyDescent="0.45">
      <c r="B33" s="38" t="s">
        <v>2</v>
      </c>
      <c r="C33" s="39">
        <f>SUM(C25:C31,C9:C23)</f>
        <v>48923847.630000003</v>
      </c>
      <c r="D33" s="39">
        <f>SUM(D25:D31,D9:D23)</f>
        <v>63569800</v>
      </c>
      <c r="E33" s="39">
        <f>SUM(E25:E31,E9:E23)</f>
        <v>126224551.88</v>
      </c>
      <c r="I33" s="40" t="s">
        <v>72</v>
      </c>
      <c r="J33" s="35">
        <f>+SUM(J25:J31,J9:J23)</f>
        <v>50998594.657697946</v>
      </c>
    </row>
    <row r="37" spans="2:10" ht="27.75" x14ac:dyDescent="0.45">
      <c r="B37" s="40" t="s">
        <v>63</v>
      </c>
      <c r="C37" s="31" t="s">
        <v>60</v>
      </c>
      <c r="D37" s="31" t="s">
        <v>61</v>
      </c>
      <c r="E37" s="31" t="s">
        <v>62</v>
      </c>
    </row>
    <row r="38" spans="2:10" x14ac:dyDescent="0.45">
      <c r="B38" s="40" t="s">
        <v>64</v>
      </c>
      <c r="C38" s="41">
        <f>+SUM(C9:C23)</f>
        <v>39193217.630000003</v>
      </c>
      <c r="D38" s="41">
        <f>+SUM(D9:D23)</f>
        <v>41935600</v>
      </c>
      <c r="E38" s="41">
        <f>+SUM(E9:E23)</f>
        <v>84835013.129999995</v>
      </c>
    </row>
    <row r="39" spans="2:10" x14ac:dyDescent="0.45">
      <c r="B39" s="40" t="s">
        <v>65</v>
      </c>
      <c r="C39" s="34">
        <f>+SUM(C25:C31)</f>
        <v>9730630</v>
      </c>
      <c r="D39" s="34">
        <f>+SUM(D25:D31)</f>
        <v>21634200</v>
      </c>
      <c r="E39" s="34">
        <f>+SUM(E25:E31)</f>
        <v>41389538.75</v>
      </c>
    </row>
  </sheetData>
  <mergeCells count="2">
    <mergeCell ref="B8:I8"/>
    <mergeCell ref="B24:I24"/>
  </mergeCells>
  <pageMargins left="0.7" right="0.7" top="0.75" bottom="0.75" header="0.3" footer="0.3"/>
  <ignoredErrors>
    <ignoredError sqref="B24:J24 B33:H33 J33 B9 F9:J9 B10:B23 F10:J23 B32:J32 B25:B31 F25:J31" unlocked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4551F-49DB-4881-9F34-311204E89E18}">
  <sheetPr codeName="Hoja3"/>
  <dimension ref="B7:J39"/>
  <sheetViews>
    <sheetView topLeftCell="B1" workbookViewId="0">
      <selection activeCell="G37" sqref="G37"/>
    </sheetView>
  </sheetViews>
  <sheetFormatPr baseColWidth="10" defaultColWidth="11.3984375" defaultRowHeight="13.9" x14ac:dyDescent="0.45"/>
  <cols>
    <col min="1" max="1" width="11.3984375" style="32"/>
    <col min="2" max="2" width="16.265625" style="32" customWidth="1"/>
    <col min="3" max="3" width="18.59765625" style="32" customWidth="1"/>
    <col min="4" max="4" width="17.73046875" style="32" customWidth="1"/>
    <col min="5" max="5" width="16.1328125" style="32" customWidth="1"/>
    <col min="6" max="6" width="15.86328125" style="32" bestFit="1" customWidth="1"/>
    <col min="7" max="7" width="14.1328125" style="32" bestFit="1" customWidth="1"/>
    <col min="8" max="8" width="13.3984375" style="32" bestFit="1" customWidth="1"/>
    <col min="9" max="9" width="14.265625" style="32" bestFit="1" customWidth="1"/>
    <col min="10" max="10" width="14.1328125" style="32" bestFit="1" customWidth="1"/>
    <col min="11" max="16384" width="11.3984375" style="32"/>
  </cols>
  <sheetData>
    <row r="7" spans="2:10" ht="27.75" x14ac:dyDescent="0.45">
      <c r="B7" s="25" t="s">
        <v>5</v>
      </c>
      <c r="C7" s="31" t="s">
        <v>60</v>
      </c>
      <c r="D7" s="31" t="s">
        <v>61</v>
      </c>
      <c r="E7" s="31" t="s">
        <v>62</v>
      </c>
      <c r="F7" s="31" t="s">
        <v>69</v>
      </c>
      <c r="G7" s="31" t="s">
        <v>57</v>
      </c>
      <c r="H7" s="31" t="s">
        <v>66</v>
      </c>
      <c r="I7" s="31" t="s">
        <v>67</v>
      </c>
      <c r="J7" s="31" t="s">
        <v>68</v>
      </c>
    </row>
    <row r="8" spans="2:10" x14ac:dyDescent="0.45">
      <c r="B8" s="90" t="s">
        <v>8</v>
      </c>
      <c r="C8" s="90"/>
      <c r="D8" s="90"/>
      <c r="E8" s="90"/>
      <c r="F8" s="90"/>
      <c r="G8" s="90"/>
      <c r="H8" s="90"/>
      <c r="I8" s="90"/>
    </row>
    <row r="9" spans="2:10" x14ac:dyDescent="0.45">
      <c r="B9" s="5">
        <v>1</v>
      </c>
      <c r="C9" s="33">
        <f>+'Total Cotizaciones_Impuestos In'!F4</f>
        <v>805630</v>
      </c>
      <c r="D9" s="33">
        <f>+'Total Cotizaciones_Impuestos In'!H4</f>
        <v>4165000</v>
      </c>
      <c r="E9" s="33">
        <f>+'Total Cotizaciones_Impuestos In'!J4</f>
        <v>3604510</v>
      </c>
      <c r="F9" s="34">
        <f>+AVERAGE(C9:E9)</f>
        <v>2858380</v>
      </c>
      <c r="G9" s="35">
        <f>+_xlfn.STDEV.S(C9:E9)</f>
        <v>1799687.2455790755</v>
      </c>
      <c r="H9" s="35">
        <f>+F9-G9</f>
        <v>1058692.7544209245</v>
      </c>
      <c r="I9" s="35">
        <f>+F9+G9</f>
        <v>4658067.2455790751</v>
      </c>
      <c r="J9" s="35">
        <f>+AVERAGEIFS(C9:E9,C9:E9,"&gt;="&amp;H9,C9:E9,"&lt;="&amp;I9)</f>
        <v>3884755</v>
      </c>
    </row>
    <row r="10" spans="2:10" x14ac:dyDescent="0.45">
      <c r="B10" s="5">
        <v>2</v>
      </c>
      <c r="C10" s="33">
        <f>+'Total Cotizaciones_Impuestos In'!F5</f>
        <v>487900</v>
      </c>
      <c r="D10" s="33">
        <f>+'Total Cotizaciones_Impuestos In'!H5</f>
        <v>773500</v>
      </c>
      <c r="E10" s="33">
        <f>+'Total Cotizaciones_Impuestos In'!J5</f>
        <v>2552550</v>
      </c>
      <c r="F10" s="34">
        <f t="shared" ref="F10:F31" si="0">+AVERAGE(C10:E10)</f>
        <v>1271316.6666666667</v>
      </c>
      <c r="G10" s="35">
        <f t="shared" ref="G10:G31" si="1">+_xlfn.STDEV.S(C10:E10)</f>
        <v>1118731.8627952514</v>
      </c>
      <c r="H10" s="35">
        <f t="shared" ref="H10:H31" si="2">+F10-G10</f>
        <v>152584.80387141532</v>
      </c>
      <c r="I10" s="35">
        <f t="shared" ref="I10:I31" si="3">+F10+G10</f>
        <v>2390048.5294619184</v>
      </c>
      <c r="J10" s="35">
        <f t="shared" ref="J10:J31" si="4">+AVERAGEIFS(C10:E10,C10:E10,"&gt;="&amp;H10,C10:E10,"&lt;="&amp;I10)</f>
        <v>630700</v>
      </c>
    </row>
    <row r="11" spans="2:10" x14ac:dyDescent="0.45">
      <c r="B11" s="5">
        <v>3</v>
      </c>
      <c r="C11" s="33">
        <f>+'Total Cotizaciones_Impuestos In'!F6</f>
        <v>416500</v>
      </c>
      <c r="D11" s="33">
        <f>+'Total Cotizaciones_Impuestos In'!H6</f>
        <v>416500</v>
      </c>
      <c r="E11" s="33">
        <f>+'Total Cotizaciones_Impuestos In'!J6</f>
        <v>464100</v>
      </c>
      <c r="F11" s="34">
        <f t="shared" si="0"/>
        <v>432366.66666666669</v>
      </c>
      <c r="G11" s="35">
        <f t="shared" si="1"/>
        <v>27481.872813426187</v>
      </c>
      <c r="H11" s="35">
        <f t="shared" si="2"/>
        <v>404884.7938532405</v>
      </c>
      <c r="I11" s="35">
        <f t="shared" si="3"/>
        <v>459848.53948009288</v>
      </c>
      <c r="J11" s="35">
        <f t="shared" si="4"/>
        <v>416500</v>
      </c>
    </row>
    <row r="12" spans="2:10" x14ac:dyDescent="0.45">
      <c r="B12" s="5">
        <v>4</v>
      </c>
      <c r="C12" s="33">
        <f>+'Total Cotizaciones_Impuestos In'!F7</f>
        <v>5150888.8199999994</v>
      </c>
      <c r="D12" s="33">
        <f>+'Total Cotizaciones_Impuestos In'!H7</f>
        <v>3451000</v>
      </c>
      <c r="E12" s="33">
        <f>+'Total Cotizaciones_Impuestos In'!J7</f>
        <v>5267535</v>
      </c>
      <c r="F12" s="34">
        <f t="shared" si="0"/>
        <v>4623141.2733333334</v>
      </c>
      <c r="G12" s="35">
        <f t="shared" si="1"/>
        <v>1016778.223761582</v>
      </c>
      <c r="H12" s="35">
        <f t="shared" si="2"/>
        <v>3606363.0495717516</v>
      </c>
      <c r="I12" s="35">
        <f t="shared" si="3"/>
        <v>5639919.4970949152</v>
      </c>
      <c r="J12" s="35">
        <f t="shared" si="4"/>
        <v>5209211.91</v>
      </c>
    </row>
    <row r="13" spans="2:10" x14ac:dyDescent="0.45">
      <c r="B13" s="5">
        <v>5</v>
      </c>
      <c r="C13" s="33">
        <f>+'Total Cotizaciones_Impuestos In'!F8</f>
        <v>1904000</v>
      </c>
      <c r="D13" s="33">
        <f>+'Total Cotizaciones_Impuestos In'!H8</f>
        <v>2380000</v>
      </c>
      <c r="E13" s="33">
        <f>+'Total Cotizaciones_Impuestos In'!J8</f>
        <v>3712800</v>
      </c>
      <c r="F13" s="34">
        <f t="shared" si="0"/>
        <v>2665600</v>
      </c>
      <c r="G13" s="35">
        <f t="shared" si="1"/>
        <v>937611.26273098914</v>
      </c>
      <c r="H13" s="35">
        <f t="shared" si="2"/>
        <v>1727988.7372690109</v>
      </c>
      <c r="I13" s="35">
        <f t="shared" si="3"/>
        <v>3603211.2627309891</v>
      </c>
      <c r="J13" s="35">
        <f t="shared" si="4"/>
        <v>2142000</v>
      </c>
    </row>
    <row r="14" spans="2:10" x14ac:dyDescent="0.45">
      <c r="B14" s="5">
        <v>6</v>
      </c>
      <c r="C14" s="33">
        <f>+'Total Cotizaciones_Impuestos In'!F9</f>
        <v>1785000</v>
      </c>
      <c r="D14" s="33">
        <f>+'Total Cotizaciones_Impuestos In'!H9</f>
        <v>1606500</v>
      </c>
      <c r="E14" s="33">
        <f>+'Total Cotizaciones_Impuestos In'!J9</f>
        <v>1624350</v>
      </c>
      <c r="F14" s="34">
        <f t="shared" si="0"/>
        <v>1671950</v>
      </c>
      <c r="G14" s="35">
        <f t="shared" si="1"/>
        <v>98310.134269056914</v>
      </c>
      <c r="H14" s="35">
        <f t="shared" si="2"/>
        <v>1573639.8657309432</v>
      </c>
      <c r="I14" s="35">
        <f t="shared" si="3"/>
        <v>1770260.1342690568</v>
      </c>
      <c r="J14" s="35">
        <f t="shared" si="4"/>
        <v>1615425</v>
      </c>
    </row>
    <row r="15" spans="2:10" x14ac:dyDescent="0.45">
      <c r="B15" s="5">
        <v>7</v>
      </c>
      <c r="C15" s="33">
        <f>+'Total Cotizaciones_Impuestos In'!F10</f>
        <v>654500</v>
      </c>
      <c r="D15" s="33">
        <f>+'Total Cotizaciones_Impuestos In'!H10</f>
        <v>1666000</v>
      </c>
      <c r="E15" s="33">
        <f>+'Total Cotizaciones_Impuestos In'!J10</f>
        <v>1423240</v>
      </c>
      <c r="F15" s="34">
        <f t="shared" si="0"/>
        <v>1247913.3333333333</v>
      </c>
      <c r="G15" s="35">
        <f t="shared" si="1"/>
        <v>528050.7954101892</v>
      </c>
      <c r="H15" s="35">
        <f t="shared" si="2"/>
        <v>719862.53792314406</v>
      </c>
      <c r="I15" s="35">
        <f t="shared" si="3"/>
        <v>1775964.1287435223</v>
      </c>
      <c r="J15" s="35">
        <f t="shared" si="4"/>
        <v>1544620</v>
      </c>
    </row>
    <row r="16" spans="2:10" x14ac:dyDescent="0.45">
      <c r="B16" s="5">
        <v>8</v>
      </c>
      <c r="C16" s="33">
        <f>+'Total Cotizaciones_Impuestos In'!F11</f>
        <v>1309000</v>
      </c>
      <c r="D16" s="33">
        <f>+'Total Cotizaciones_Impuestos In'!H11</f>
        <v>1547000</v>
      </c>
      <c r="E16" s="33">
        <f>+'Total Cotizaciones_Impuestos In'!J11</f>
        <v>1392300</v>
      </c>
      <c r="F16" s="34">
        <f t="shared" si="0"/>
        <v>1416100</v>
      </c>
      <c r="G16" s="35">
        <f t="shared" si="1"/>
        <v>120771.80962459742</v>
      </c>
      <c r="H16" s="35">
        <f t="shared" si="2"/>
        <v>1295328.1903754026</v>
      </c>
      <c r="I16" s="35">
        <f t="shared" si="3"/>
        <v>1536871.8096245974</v>
      </c>
      <c r="J16" s="35">
        <f t="shared" si="4"/>
        <v>1350650</v>
      </c>
    </row>
    <row r="17" spans="2:10" x14ac:dyDescent="0.45">
      <c r="B17" s="5">
        <v>9</v>
      </c>
      <c r="C17" s="33">
        <f>+'Total Cotizaciones_Impuestos In'!F12</f>
        <v>1190000</v>
      </c>
      <c r="D17" s="33">
        <f>+'Total Cotizaciones_Impuestos In'!H12</f>
        <v>1332800</v>
      </c>
      <c r="E17" s="33">
        <f>+'Total Cotizaciones_Impuestos In'!J12</f>
        <v>402220</v>
      </c>
      <c r="F17" s="34">
        <f t="shared" si="0"/>
        <v>975006.66666666663</v>
      </c>
      <c r="G17" s="35">
        <f t="shared" si="1"/>
        <v>501160.03844414139</v>
      </c>
      <c r="H17" s="35">
        <f t="shared" si="2"/>
        <v>473846.62822252524</v>
      </c>
      <c r="I17" s="35">
        <f t="shared" si="3"/>
        <v>1476166.7051108079</v>
      </c>
      <c r="J17" s="35">
        <f t="shared" si="4"/>
        <v>1261400</v>
      </c>
    </row>
    <row r="18" spans="2:10" x14ac:dyDescent="0.45">
      <c r="B18" s="5">
        <v>10</v>
      </c>
      <c r="C18" s="33">
        <f>+'Total Cotizaciones_Impuestos In'!F13</f>
        <v>1190000</v>
      </c>
      <c r="D18" s="33">
        <f>+'Total Cotizaciones_Impuestos In'!H13</f>
        <v>1332800</v>
      </c>
      <c r="E18" s="33">
        <f>+'Total Cotizaciones_Impuestos In'!J13</f>
        <v>402220</v>
      </c>
      <c r="F18" s="34">
        <f t="shared" si="0"/>
        <v>975006.66666666663</v>
      </c>
      <c r="G18" s="35">
        <f t="shared" si="1"/>
        <v>501160.03844414139</v>
      </c>
      <c r="H18" s="35">
        <f t="shared" si="2"/>
        <v>473846.62822252524</v>
      </c>
      <c r="I18" s="35">
        <f t="shared" si="3"/>
        <v>1476166.7051108079</v>
      </c>
      <c r="J18" s="35">
        <f t="shared" si="4"/>
        <v>1261400</v>
      </c>
    </row>
    <row r="19" spans="2:10" x14ac:dyDescent="0.45">
      <c r="B19" s="5">
        <v>11</v>
      </c>
      <c r="C19" s="33">
        <f>+'Total Cotizaciones_Impuestos In'!F14</f>
        <v>1166200</v>
      </c>
      <c r="D19" s="33">
        <f>+'Total Cotizaciones_Impuestos In'!H14</f>
        <v>1666000</v>
      </c>
      <c r="E19" s="33">
        <f>+'Total Cotizaciones_Impuestos In'!J14</f>
        <v>1933750</v>
      </c>
      <c r="F19" s="34">
        <f t="shared" si="0"/>
        <v>1588650</v>
      </c>
      <c r="G19" s="35">
        <f t="shared" si="1"/>
        <v>389577.35752992629</v>
      </c>
      <c r="H19" s="35">
        <f t="shared" si="2"/>
        <v>1199072.6424700737</v>
      </c>
      <c r="I19" s="35">
        <f t="shared" si="3"/>
        <v>1978227.3575299263</v>
      </c>
      <c r="J19" s="35">
        <f t="shared" si="4"/>
        <v>1799875</v>
      </c>
    </row>
    <row r="20" spans="2:10" x14ac:dyDescent="0.45">
      <c r="B20" s="5">
        <v>12</v>
      </c>
      <c r="C20" s="33">
        <f>+'Total Cotizaciones_Impuestos In'!F15</f>
        <v>7723100</v>
      </c>
      <c r="D20" s="33">
        <f>+'Total Cotizaciones_Impuestos In'!H15</f>
        <v>6188000</v>
      </c>
      <c r="E20" s="33">
        <f>+'Total Cotizaciones_Impuestos In'!J15</f>
        <v>21023730</v>
      </c>
      <c r="F20" s="34">
        <f t="shared" si="0"/>
        <v>11644943.333333334</v>
      </c>
      <c r="G20" s="35">
        <f t="shared" si="1"/>
        <v>8158453.438405673</v>
      </c>
      <c r="H20" s="35">
        <f t="shared" si="2"/>
        <v>3486489.8949276609</v>
      </c>
      <c r="I20" s="35">
        <f t="shared" si="3"/>
        <v>19803396.771739006</v>
      </c>
      <c r="J20" s="35">
        <f t="shared" si="4"/>
        <v>6955550</v>
      </c>
    </row>
    <row r="21" spans="2:10" x14ac:dyDescent="0.45">
      <c r="B21" s="5">
        <v>13</v>
      </c>
      <c r="C21" s="33">
        <f>+'Total Cotizaciones_Impuestos In'!F16</f>
        <v>6902000</v>
      </c>
      <c r="D21" s="33">
        <f>+'Total Cotizaciones_Impuestos In'!H16</f>
        <v>8568000</v>
      </c>
      <c r="E21" s="33">
        <f>+'Total Cotizaciones_Impuestos In'!J16</f>
        <v>3558100</v>
      </c>
      <c r="F21" s="34">
        <f t="shared" si="0"/>
        <v>6342700</v>
      </c>
      <c r="G21" s="35">
        <f t="shared" si="1"/>
        <v>2551350.0093087973</v>
      </c>
      <c r="H21" s="35">
        <f t="shared" si="2"/>
        <v>3791349.9906912027</v>
      </c>
      <c r="I21" s="35">
        <f t="shared" si="3"/>
        <v>8894050.0093087964</v>
      </c>
      <c r="J21" s="35">
        <f t="shared" si="4"/>
        <v>7735000</v>
      </c>
    </row>
    <row r="22" spans="2:10" x14ac:dyDescent="0.45">
      <c r="B22" s="5">
        <v>14</v>
      </c>
      <c r="C22" s="33">
        <f>+'Total Cotizaciones_Impuestos In'!F17</f>
        <v>4998000</v>
      </c>
      <c r="D22" s="33">
        <f>+'Total Cotizaciones_Impuestos In'!H17</f>
        <v>4522000</v>
      </c>
      <c r="E22" s="33">
        <f>+'Total Cotizaciones_Impuestos In'!J17</f>
        <v>35477978.129999995</v>
      </c>
      <c r="F22" s="34">
        <f t="shared" si="0"/>
        <v>14999326.043333331</v>
      </c>
      <c r="G22" s="35">
        <f t="shared" si="1"/>
        <v>17736629.822631262</v>
      </c>
      <c r="H22" s="35">
        <f t="shared" si="2"/>
        <v>-2737303.7792979311</v>
      </c>
      <c r="I22" s="35">
        <f t="shared" si="3"/>
        <v>32735955.865964592</v>
      </c>
      <c r="J22" s="35">
        <f t="shared" si="4"/>
        <v>4760000</v>
      </c>
    </row>
    <row r="23" spans="2:10" x14ac:dyDescent="0.45">
      <c r="B23" s="5">
        <v>15</v>
      </c>
      <c r="C23" s="33">
        <f>+'Total Cotizaciones_Impuestos In'!F18</f>
        <v>3510498.81</v>
      </c>
      <c r="D23" s="33">
        <f>+'Total Cotizaciones_Impuestos In'!H18</f>
        <v>2320500</v>
      </c>
      <c r="E23" s="33">
        <f>+'Total Cotizaciones_Impuestos In'!J18</f>
        <v>1995630</v>
      </c>
      <c r="F23" s="34">
        <f t="shared" si="0"/>
        <v>2608876.27</v>
      </c>
      <c r="G23" s="35">
        <f t="shared" si="1"/>
        <v>797544.69009707356</v>
      </c>
      <c r="H23" s="35">
        <f t="shared" si="2"/>
        <v>1811331.5799029265</v>
      </c>
      <c r="I23" s="35">
        <f t="shared" si="3"/>
        <v>3406420.9600970736</v>
      </c>
      <c r="J23" s="35">
        <f t="shared" si="4"/>
        <v>2158065</v>
      </c>
    </row>
    <row r="24" spans="2:10" x14ac:dyDescent="0.45">
      <c r="B24" s="91" t="s">
        <v>42</v>
      </c>
      <c r="C24" s="91"/>
      <c r="D24" s="91"/>
      <c r="E24" s="91"/>
      <c r="F24" s="91"/>
      <c r="G24" s="91"/>
      <c r="H24" s="91"/>
      <c r="I24" s="91"/>
      <c r="J24" s="36"/>
    </row>
    <row r="25" spans="2:10" x14ac:dyDescent="0.45">
      <c r="B25" s="5">
        <v>1</v>
      </c>
      <c r="C25" s="33">
        <f>+'Total Cotizaciones_Impuestos In'!F20</f>
        <v>805630</v>
      </c>
      <c r="D25" s="33">
        <f>+'Total Cotizaciones_Impuestos In'!H20</f>
        <v>4165000</v>
      </c>
      <c r="E25" s="33">
        <f>+'Total Cotizaciones_Impuestos In'!J20</f>
        <v>9538593.75</v>
      </c>
      <c r="F25" s="34">
        <f t="shared" si="0"/>
        <v>4836407.916666667</v>
      </c>
      <c r="G25" s="35">
        <f t="shared" si="1"/>
        <v>4405026.1528878035</v>
      </c>
      <c r="H25" s="35">
        <f t="shared" si="2"/>
        <v>431381.76377886347</v>
      </c>
      <c r="I25" s="35">
        <f t="shared" si="3"/>
        <v>9241434.0695544705</v>
      </c>
      <c r="J25" s="35">
        <f t="shared" si="4"/>
        <v>2485315</v>
      </c>
    </row>
    <row r="26" spans="2:10" x14ac:dyDescent="0.45">
      <c r="B26" s="5">
        <v>2</v>
      </c>
      <c r="C26" s="33">
        <f>+'Total Cotizaciones_Impuestos In'!F21</f>
        <v>1535100</v>
      </c>
      <c r="D26" s="33">
        <f>+'Total Cotizaciones_Impuestos In'!H21</f>
        <v>1785000</v>
      </c>
      <c r="E26" s="33">
        <f>+'Total Cotizaciones_Impuestos In'!J21</f>
        <v>11229435</v>
      </c>
      <c r="F26" s="34">
        <f t="shared" si="0"/>
        <v>4849845</v>
      </c>
      <c r="G26" s="35">
        <f t="shared" si="1"/>
        <v>5526299.7501560664</v>
      </c>
      <c r="H26" s="35">
        <f t="shared" si="2"/>
        <v>-676454.75015606638</v>
      </c>
      <c r="I26" s="35">
        <f t="shared" si="3"/>
        <v>10376144.750156067</v>
      </c>
      <c r="J26" s="35">
        <f t="shared" si="4"/>
        <v>1660050</v>
      </c>
    </row>
    <row r="27" spans="2:10" x14ac:dyDescent="0.45">
      <c r="B27" s="5">
        <v>3</v>
      </c>
      <c r="C27" s="33">
        <f>+'Total Cotizaciones_Impuestos In'!F22</f>
        <v>2713200</v>
      </c>
      <c r="D27" s="33">
        <f>+'Total Cotizaciones_Impuestos In'!H22</f>
        <v>4676700</v>
      </c>
      <c r="E27" s="33">
        <f>+'Total Cotizaciones_Impuestos In'!J22</f>
        <v>5662020</v>
      </c>
      <c r="F27" s="34">
        <f t="shared" si="0"/>
        <v>4350640</v>
      </c>
      <c r="G27" s="35">
        <f t="shared" si="1"/>
        <v>1501206.578322917</v>
      </c>
      <c r="H27" s="35">
        <f t="shared" si="2"/>
        <v>2849433.4216770828</v>
      </c>
      <c r="I27" s="35">
        <f t="shared" si="3"/>
        <v>5851846.5783229172</v>
      </c>
      <c r="J27" s="35">
        <f t="shared" si="4"/>
        <v>5169360</v>
      </c>
    </row>
    <row r="28" spans="2:10" x14ac:dyDescent="0.45">
      <c r="B28" s="5">
        <v>4</v>
      </c>
      <c r="C28" s="33">
        <f>+'Total Cotizaciones_Impuestos In'!F23</f>
        <v>1808800</v>
      </c>
      <c r="D28" s="33">
        <f>+'Total Cotizaciones_Impuestos In'!H23</f>
        <v>3808000</v>
      </c>
      <c r="E28" s="33">
        <f>+'Total Cotizaciones_Impuestos In'!J23</f>
        <v>3712800</v>
      </c>
      <c r="F28" s="34">
        <f t="shared" si="0"/>
        <v>3109866.6666666665</v>
      </c>
      <c r="G28" s="35">
        <f t="shared" si="1"/>
        <v>1127761.7715339237</v>
      </c>
      <c r="H28" s="35">
        <f t="shared" si="2"/>
        <v>1982104.8951327428</v>
      </c>
      <c r="I28" s="35">
        <f t="shared" si="3"/>
        <v>4237628.4382005902</v>
      </c>
      <c r="J28" s="35">
        <f t="shared" si="4"/>
        <v>3760400</v>
      </c>
    </row>
    <row r="29" spans="2:10" x14ac:dyDescent="0.45">
      <c r="B29" s="5">
        <v>5</v>
      </c>
      <c r="C29" s="33">
        <f>+'Total Cotizaciones_Impuestos In'!F24</f>
        <v>690200</v>
      </c>
      <c r="D29" s="33">
        <f>+'Total Cotizaciones_Impuestos In'!H24</f>
        <v>3451000</v>
      </c>
      <c r="E29" s="33">
        <f>+'Total Cotizaciones_Impuestos In'!J24</f>
        <v>1732640</v>
      </c>
      <c r="F29" s="34">
        <f t="shared" si="0"/>
        <v>1957946.6666666667</v>
      </c>
      <c r="G29" s="35">
        <f t="shared" si="1"/>
        <v>1394122.1182282895</v>
      </c>
      <c r="H29" s="35">
        <f t="shared" si="2"/>
        <v>563824.54843837721</v>
      </c>
      <c r="I29" s="35">
        <f t="shared" si="3"/>
        <v>3352068.7848949563</v>
      </c>
      <c r="J29" s="35">
        <f t="shared" si="4"/>
        <v>1211420</v>
      </c>
    </row>
    <row r="30" spans="2:10" x14ac:dyDescent="0.45">
      <c r="B30" s="5">
        <v>6</v>
      </c>
      <c r="C30" s="33">
        <f>+'Total Cotizaciones_Impuestos In'!F25</f>
        <v>1166200</v>
      </c>
      <c r="D30" s="33">
        <f>+'Total Cotizaciones_Impuestos In'!H25</f>
        <v>1725500</v>
      </c>
      <c r="E30" s="33">
        <f>+'Total Cotizaciones_Impuestos In'!J25</f>
        <v>2552550</v>
      </c>
      <c r="F30" s="34">
        <f t="shared" si="0"/>
        <v>1814750</v>
      </c>
      <c r="G30" s="35">
        <f t="shared" si="1"/>
        <v>697470.96892989031</v>
      </c>
      <c r="H30" s="35">
        <f t="shared" si="2"/>
        <v>1117279.0310701097</v>
      </c>
      <c r="I30" s="35">
        <f t="shared" si="3"/>
        <v>2512220.9689298905</v>
      </c>
      <c r="J30" s="35">
        <f t="shared" si="4"/>
        <v>1445850</v>
      </c>
    </row>
    <row r="31" spans="2:10" x14ac:dyDescent="0.45">
      <c r="B31" s="5">
        <v>7</v>
      </c>
      <c r="C31" s="33">
        <f>+'Total Cotizaciones_Impuestos In'!F26</f>
        <v>1011500</v>
      </c>
      <c r="D31" s="33">
        <f>+'Total Cotizaciones_Impuestos In'!H26</f>
        <v>2023000</v>
      </c>
      <c r="E31" s="33">
        <f>+'Total Cotizaciones_Impuestos In'!J26</f>
        <v>6961500</v>
      </c>
      <c r="F31" s="34">
        <f t="shared" si="0"/>
        <v>3332000</v>
      </c>
      <c r="G31" s="35">
        <f t="shared" si="1"/>
        <v>3183667.0287578758</v>
      </c>
      <c r="H31" s="35">
        <f t="shared" si="2"/>
        <v>148332.97124212421</v>
      </c>
      <c r="I31" s="35">
        <f t="shared" si="3"/>
        <v>6515667.0287578758</v>
      </c>
      <c r="J31" s="35">
        <f t="shared" si="4"/>
        <v>1517250</v>
      </c>
    </row>
    <row r="32" spans="2:10" x14ac:dyDescent="0.45">
      <c r="F32" s="37"/>
      <c r="G32" s="36"/>
      <c r="H32" s="36"/>
      <c r="I32" s="36"/>
      <c r="J32" s="36"/>
    </row>
    <row r="33" spans="2:10" ht="15" customHeight="1" x14ac:dyDescent="0.45">
      <c r="B33" s="38" t="s">
        <v>2</v>
      </c>
      <c r="C33" s="39">
        <f>SUM(C25:C31,C9:C23)</f>
        <v>48923847.630000003</v>
      </c>
      <c r="D33" s="39">
        <f>SUM(D25:D31,D9:D23)</f>
        <v>63569800</v>
      </c>
      <c r="E33" s="39">
        <f>SUM(E25:E31,E9:E23)</f>
        <v>126224551.88</v>
      </c>
      <c r="I33" s="40" t="s">
        <v>72</v>
      </c>
      <c r="J33" s="35">
        <f>+SUM(J25:J31,J9:J23)</f>
        <v>59974796.909999996</v>
      </c>
    </row>
    <row r="37" spans="2:10" ht="27.75" x14ac:dyDescent="0.45">
      <c r="B37" s="40" t="s">
        <v>63</v>
      </c>
      <c r="C37" s="31" t="s">
        <v>60</v>
      </c>
      <c r="D37" s="31" t="s">
        <v>61</v>
      </c>
      <c r="E37" s="31" t="s">
        <v>62</v>
      </c>
    </row>
    <row r="38" spans="2:10" x14ac:dyDescent="0.45">
      <c r="B38" s="40" t="s">
        <v>64</v>
      </c>
      <c r="C38" s="41">
        <f>+SUM(C9:C23)</f>
        <v>39193217.630000003</v>
      </c>
      <c r="D38" s="41">
        <f>+SUM(D9:D23)</f>
        <v>41935600</v>
      </c>
      <c r="E38" s="41">
        <f>+SUM(E9:E23)</f>
        <v>84835013.129999995</v>
      </c>
    </row>
    <row r="39" spans="2:10" x14ac:dyDescent="0.45">
      <c r="B39" s="40" t="s">
        <v>65</v>
      </c>
      <c r="C39" s="34">
        <f>+SUM(C25:C31)</f>
        <v>9730630</v>
      </c>
      <c r="D39" s="34">
        <f>+SUM(D25:D31)</f>
        <v>21634200</v>
      </c>
      <c r="E39" s="34">
        <f>+SUM(E25:E31)</f>
        <v>41389538.75</v>
      </c>
    </row>
  </sheetData>
  <mergeCells count="2">
    <mergeCell ref="B8:I8"/>
    <mergeCell ref="B24:I24"/>
  </mergeCells>
  <pageMargins left="0.7" right="0.7" top="0.75" bottom="0.75" header="0.3" footer="0.3"/>
  <ignoredErrors>
    <ignoredError sqref="C39:E40 J10:J33 H9:J9 H10:I23 H25:I31 G9:G23 G25:G31 D33:E33 D38:E38" unlockedFormula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BD0EF-F668-4EC2-A80D-964A6C4B9D24}">
  <dimension ref="A2:D3"/>
  <sheetViews>
    <sheetView workbookViewId="0">
      <selection activeCell="C3" sqref="C3"/>
    </sheetView>
  </sheetViews>
  <sheetFormatPr baseColWidth="10" defaultColWidth="10.73046875" defaultRowHeight="14.25" x14ac:dyDescent="0.45"/>
  <cols>
    <col min="1" max="1" width="11.1328125" style="28" bestFit="1" customWidth="1"/>
    <col min="2" max="3" width="12.73046875" style="28" bestFit="1" customWidth="1"/>
    <col min="4" max="4" width="16.59765625" style="28" bestFit="1" customWidth="1"/>
    <col min="5" max="16384" width="10.73046875" style="28"/>
  </cols>
  <sheetData>
    <row r="2" spans="1:4" x14ac:dyDescent="0.45">
      <c r="A2" s="26" t="s">
        <v>73</v>
      </c>
      <c r="B2" s="27" t="s">
        <v>56</v>
      </c>
      <c r="C2" s="27" t="s">
        <v>69</v>
      </c>
      <c r="D2" s="27" t="s">
        <v>70</v>
      </c>
    </row>
    <row r="3" spans="1:4" x14ac:dyDescent="0.45">
      <c r="A3" s="29" t="s">
        <v>4</v>
      </c>
      <c r="B3" s="29">
        <f>+Mediana!J33</f>
        <v>59974796.909999996</v>
      </c>
      <c r="C3" s="30">
        <f>+Promedio!J33</f>
        <v>59974796.909999996</v>
      </c>
      <c r="D3" s="29">
        <f>+'Media Geométrica'!J33</f>
        <v>50998594.657697946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6505-CA27-484B-A16E-AA345B238518}">
  <dimension ref="A1:J27"/>
  <sheetViews>
    <sheetView showGridLines="0" topLeftCell="A21" zoomScale="85" zoomScaleNormal="85" workbookViewId="0">
      <selection activeCell="I38" sqref="I38"/>
    </sheetView>
  </sheetViews>
  <sheetFormatPr baseColWidth="10" defaultColWidth="11.3984375" defaultRowHeight="10.5" x14ac:dyDescent="0.45"/>
  <cols>
    <col min="1" max="1" width="5.86328125" style="55" customWidth="1"/>
    <col min="2" max="2" width="35.1328125" style="55" customWidth="1"/>
    <col min="3" max="3" width="51" style="55" customWidth="1"/>
    <col min="4" max="4" width="9.3984375" style="76" customWidth="1"/>
    <col min="5" max="5" width="15.1328125" style="76" customWidth="1"/>
    <col min="6" max="6" width="13.86328125" style="76" bestFit="1" customWidth="1"/>
    <col min="7" max="7" width="13.86328125" style="76" customWidth="1"/>
    <col min="8" max="8" width="13.86328125" style="76" bestFit="1" customWidth="1"/>
    <col min="9" max="9" width="14.86328125" style="76" customWidth="1"/>
    <col min="10" max="10" width="14.86328125" style="76" bestFit="1" customWidth="1"/>
    <col min="11" max="16384" width="11.3984375" style="55"/>
  </cols>
  <sheetData>
    <row r="1" spans="1:10" ht="26.25" customHeight="1" x14ac:dyDescent="0.45">
      <c r="A1" s="51"/>
      <c r="B1" s="52"/>
      <c r="C1" s="53"/>
      <c r="D1" s="54"/>
      <c r="E1" s="96" t="s">
        <v>55</v>
      </c>
      <c r="F1" s="96"/>
      <c r="G1" s="92" t="s">
        <v>58</v>
      </c>
      <c r="H1" s="93"/>
      <c r="I1" s="92" t="s">
        <v>59</v>
      </c>
      <c r="J1" s="93"/>
    </row>
    <row r="2" spans="1:10" ht="31.5" x14ac:dyDescent="0.45">
      <c r="A2" s="56" t="s">
        <v>5</v>
      </c>
      <c r="B2" s="56" t="s">
        <v>6</v>
      </c>
      <c r="C2" s="56" t="s">
        <v>7</v>
      </c>
      <c r="D2" s="57" t="s">
        <v>1</v>
      </c>
      <c r="E2" s="58" t="s">
        <v>75</v>
      </c>
      <c r="F2" s="58" t="s">
        <v>74</v>
      </c>
      <c r="G2" s="58" t="s">
        <v>75</v>
      </c>
      <c r="H2" s="58" t="s">
        <v>74</v>
      </c>
      <c r="I2" s="58" t="s">
        <v>75</v>
      </c>
      <c r="J2" s="58" t="s">
        <v>74</v>
      </c>
    </row>
    <row r="3" spans="1:10" ht="15.75" customHeight="1" x14ac:dyDescent="0.45">
      <c r="A3" s="94" t="s">
        <v>8</v>
      </c>
      <c r="B3" s="95"/>
      <c r="C3" s="97"/>
      <c r="D3" s="59"/>
      <c r="E3" s="59"/>
      <c r="F3" s="59"/>
      <c r="G3" s="59"/>
      <c r="H3" s="59"/>
      <c r="I3" s="59"/>
      <c r="J3" s="59"/>
    </row>
    <row r="4" spans="1:10" ht="52.5" x14ac:dyDescent="0.45">
      <c r="A4" s="60">
        <v>1</v>
      </c>
      <c r="B4" s="60" t="s">
        <v>9</v>
      </c>
      <c r="C4" s="60" t="s">
        <v>10</v>
      </c>
      <c r="D4" s="61">
        <v>1</v>
      </c>
      <c r="E4" s="62">
        <f>677000*1.19</f>
        <v>805630</v>
      </c>
      <c r="F4" s="62">
        <f>+D4*E4</f>
        <v>805630</v>
      </c>
      <c r="G4" s="62">
        <v>4165000</v>
      </c>
      <c r="H4" s="62">
        <f>+D4*G4</f>
        <v>4165000</v>
      </c>
      <c r="I4" s="62">
        <v>3604510</v>
      </c>
      <c r="J4" s="62">
        <f>+I4*D4</f>
        <v>3604510</v>
      </c>
    </row>
    <row r="5" spans="1:10" ht="31.5" x14ac:dyDescent="0.45">
      <c r="A5" s="60">
        <v>2</v>
      </c>
      <c r="B5" s="60" t="s">
        <v>12</v>
      </c>
      <c r="C5" s="60" t="s">
        <v>13</v>
      </c>
      <c r="D5" s="61">
        <v>1</v>
      </c>
      <c r="E5" s="62">
        <f>410000*1.19</f>
        <v>487900</v>
      </c>
      <c r="F5" s="62">
        <f t="shared" ref="F5:F26" si="0">+D5*E5</f>
        <v>487900</v>
      </c>
      <c r="G5" s="62">
        <v>773500</v>
      </c>
      <c r="H5" s="62">
        <f t="shared" ref="H5:H26" si="1">+D5*G5</f>
        <v>773500</v>
      </c>
      <c r="I5" s="62">
        <v>2552550</v>
      </c>
      <c r="J5" s="62">
        <f t="shared" ref="J5:J26" si="2">+I5*D5</f>
        <v>2552550</v>
      </c>
    </row>
    <row r="6" spans="1:10" ht="42" x14ac:dyDescent="0.45">
      <c r="A6" s="60">
        <v>3</v>
      </c>
      <c r="B6" s="60" t="s">
        <v>15</v>
      </c>
      <c r="C6" s="60" t="s">
        <v>16</v>
      </c>
      <c r="D6" s="61">
        <v>1</v>
      </c>
      <c r="E6" s="62">
        <f>350000*1.19</f>
        <v>416500</v>
      </c>
      <c r="F6" s="62">
        <f t="shared" si="0"/>
        <v>416500</v>
      </c>
      <c r="G6" s="62">
        <v>416500</v>
      </c>
      <c r="H6" s="62">
        <f t="shared" si="1"/>
        <v>416500</v>
      </c>
      <c r="I6" s="62">
        <v>464100</v>
      </c>
      <c r="J6" s="62">
        <f t="shared" si="2"/>
        <v>464100</v>
      </c>
    </row>
    <row r="7" spans="1:10" ht="105" x14ac:dyDescent="0.45">
      <c r="A7" s="60">
        <v>4</v>
      </c>
      <c r="B7" s="60" t="s">
        <v>17</v>
      </c>
      <c r="C7" s="60" t="s">
        <v>18</v>
      </c>
      <c r="D7" s="61">
        <v>1</v>
      </c>
      <c r="E7" s="62">
        <f>4328478*1.19</f>
        <v>5150888.8199999994</v>
      </c>
      <c r="F7" s="62">
        <f t="shared" si="0"/>
        <v>5150888.8199999994</v>
      </c>
      <c r="G7" s="62">
        <v>3451000</v>
      </c>
      <c r="H7" s="62">
        <f t="shared" si="1"/>
        <v>3451000</v>
      </c>
      <c r="I7" s="62">
        <v>5267535</v>
      </c>
      <c r="J7" s="62">
        <f t="shared" si="2"/>
        <v>5267535</v>
      </c>
    </row>
    <row r="8" spans="1:10" ht="31.5" x14ac:dyDescent="0.45">
      <c r="A8" s="60">
        <v>5</v>
      </c>
      <c r="B8" s="60" t="s">
        <v>19</v>
      </c>
      <c r="C8" s="60" t="s">
        <v>20</v>
      </c>
      <c r="D8" s="61">
        <v>4</v>
      </c>
      <c r="E8" s="62">
        <f>400000*1.19</f>
        <v>476000</v>
      </c>
      <c r="F8" s="62">
        <f t="shared" si="0"/>
        <v>1904000</v>
      </c>
      <c r="G8" s="63">
        <v>595000</v>
      </c>
      <c r="H8" s="62">
        <f t="shared" si="1"/>
        <v>2380000</v>
      </c>
      <c r="I8" s="62">
        <v>928200</v>
      </c>
      <c r="J8" s="62">
        <f t="shared" si="2"/>
        <v>3712800</v>
      </c>
    </row>
    <row r="9" spans="1:10" ht="31.5" x14ac:dyDescent="0.45">
      <c r="A9" s="60">
        <v>6</v>
      </c>
      <c r="B9" s="60" t="s">
        <v>21</v>
      </c>
      <c r="C9" s="60" t="s">
        <v>22</v>
      </c>
      <c r="D9" s="61">
        <v>3</v>
      </c>
      <c r="E9" s="62">
        <f>500000*1.19</f>
        <v>595000</v>
      </c>
      <c r="F9" s="62">
        <f t="shared" si="0"/>
        <v>1785000</v>
      </c>
      <c r="G9" s="62">
        <v>535500</v>
      </c>
      <c r="H9" s="62">
        <f t="shared" si="1"/>
        <v>1606500</v>
      </c>
      <c r="I9" s="62">
        <v>541450</v>
      </c>
      <c r="J9" s="62">
        <f t="shared" si="2"/>
        <v>1624350</v>
      </c>
    </row>
    <row r="10" spans="1:10" ht="52.5" x14ac:dyDescent="0.45">
      <c r="A10" s="60">
        <v>7</v>
      </c>
      <c r="B10" s="60" t="s">
        <v>23</v>
      </c>
      <c r="C10" s="60" t="s">
        <v>24</v>
      </c>
      <c r="D10" s="61">
        <v>1</v>
      </c>
      <c r="E10" s="62">
        <f>550000*1.19</f>
        <v>654500</v>
      </c>
      <c r="F10" s="62">
        <f t="shared" si="0"/>
        <v>654500</v>
      </c>
      <c r="G10" s="62">
        <v>1666000</v>
      </c>
      <c r="H10" s="62">
        <f t="shared" si="1"/>
        <v>1666000</v>
      </c>
      <c r="I10" s="62">
        <v>1423240</v>
      </c>
      <c r="J10" s="62">
        <f t="shared" si="2"/>
        <v>1423240</v>
      </c>
    </row>
    <row r="11" spans="1:10" ht="73.5" x14ac:dyDescent="0.45">
      <c r="A11" s="60">
        <v>8</v>
      </c>
      <c r="B11" s="60" t="s">
        <v>25</v>
      </c>
      <c r="C11" s="60" t="s">
        <v>26</v>
      </c>
      <c r="D11" s="61">
        <v>1</v>
      </c>
      <c r="E11" s="62">
        <f>1100000*1.19</f>
        <v>1309000</v>
      </c>
      <c r="F11" s="62">
        <f t="shared" si="0"/>
        <v>1309000</v>
      </c>
      <c r="G11" s="62">
        <v>1547000</v>
      </c>
      <c r="H11" s="62">
        <f t="shared" si="1"/>
        <v>1547000</v>
      </c>
      <c r="I11" s="62">
        <v>1392300</v>
      </c>
      <c r="J11" s="62">
        <f t="shared" si="2"/>
        <v>1392300</v>
      </c>
    </row>
    <row r="12" spans="1:10" ht="31.5" x14ac:dyDescent="0.45">
      <c r="A12" s="60">
        <v>9</v>
      </c>
      <c r="B12" s="60" t="s">
        <v>27</v>
      </c>
      <c r="C12" s="60" t="s">
        <v>28</v>
      </c>
      <c r="D12" s="61">
        <v>4</v>
      </c>
      <c r="E12" s="62">
        <f>250000*1.19</f>
        <v>297500</v>
      </c>
      <c r="F12" s="62">
        <f t="shared" si="0"/>
        <v>1190000</v>
      </c>
      <c r="G12" s="62">
        <v>333200</v>
      </c>
      <c r="H12" s="62">
        <f t="shared" si="1"/>
        <v>1332800</v>
      </c>
      <c r="I12" s="62">
        <v>100555</v>
      </c>
      <c r="J12" s="62">
        <f t="shared" si="2"/>
        <v>402220</v>
      </c>
    </row>
    <row r="13" spans="1:10" ht="31.5" x14ac:dyDescent="0.45">
      <c r="A13" s="60">
        <v>10</v>
      </c>
      <c r="B13" s="60" t="s">
        <v>29</v>
      </c>
      <c r="C13" s="60" t="s">
        <v>30</v>
      </c>
      <c r="D13" s="61">
        <v>4</v>
      </c>
      <c r="E13" s="62">
        <f>250000*1.19</f>
        <v>297500</v>
      </c>
      <c r="F13" s="62">
        <f t="shared" si="0"/>
        <v>1190000</v>
      </c>
      <c r="G13" s="62">
        <v>333200</v>
      </c>
      <c r="H13" s="62">
        <f t="shared" si="1"/>
        <v>1332800</v>
      </c>
      <c r="I13" s="62">
        <v>100555</v>
      </c>
      <c r="J13" s="62">
        <f t="shared" si="2"/>
        <v>402220</v>
      </c>
    </row>
    <row r="14" spans="1:10" ht="31.5" x14ac:dyDescent="0.45">
      <c r="A14" s="60">
        <v>11</v>
      </c>
      <c r="B14" s="60" t="s">
        <v>31</v>
      </c>
      <c r="C14" s="60" t="s">
        <v>32</v>
      </c>
      <c r="D14" s="61">
        <v>1</v>
      </c>
      <c r="E14" s="62">
        <f>980000*1.19</f>
        <v>1166200</v>
      </c>
      <c r="F14" s="62">
        <f t="shared" si="0"/>
        <v>1166200</v>
      </c>
      <c r="G14" s="62">
        <v>1666000</v>
      </c>
      <c r="H14" s="62">
        <f t="shared" si="1"/>
        <v>1666000</v>
      </c>
      <c r="I14" s="62">
        <v>1933750</v>
      </c>
      <c r="J14" s="62">
        <f t="shared" si="2"/>
        <v>1933750</v>
      </c>
    </row>
    <row r="15" spans="1:10" ht="31.5" x14ac:dyDescent="0.45">
      <c r="A15" s="60">
        <v>12</v>
      </c>
      <c r="B15" s="60" t="s">
        <v>34</v>
      </c>
      <c r="C15" s="60" t="s">
        <v>35</v>
      </c>
      <c r="D15" s="61">
        <v>1</v>
      </c>
      <c r="E15" s="62">
        <f>6490000*1.19</f>
        <v>7723100</v>
      </c>
      <c r="F15" s="62">
        <f t="shared" si="0"/>
        <v>7723100</v>
      </c>
      <c r="G15" s="62">
        <v>6188000</v>
      </c>
      <c r="H15" s="62">
        <f t="shared" si="1"/>
        <v>6188000</v>
      </c>
      <c r="I15" s="62">
        <v>21023730</v>
      </c>
      <c r="J15" s="62">
        <f t="shared" si="2"/>
        <v>21023730</v>
      </c>
    </row>
    <row r="16" spans="1:10" ht="21" x14ac:dyDescent="0.45">
      <c r="A16" s="60">
        <v>13</v>
      </c>
      <c r="B16" s="60" t="s">
        <v>36</v>
      </c>
      <c r="C16" s="60" t="s">
        <v>37</v>
      </c>
      <c r="D16" s="61">
        <v>1</v>
      </c>
      <c r="E16" s="62">
        <f>5800000*1.19</f>
        <v>6902000</v>
      </c>
      <c r="F16" s="62">
        <f t="shared" si="0"/>
        <v>6902000</v>
      </c>
      <c r="G16" s="62">
        <v>8568000</v>
      </c>
      <c r="H16" s="62">
        <f t="shared" si="1"/>
        <v>8568000</v>
      </c>
      <c r="I16" s="62">
        <v>3558100</v>
      </c>
      <c r="J16" s="62">
        <f t="shared" si="2"/>
        <v>3558100</v>
      </c>
    </row>
    <row r="17" spans="1:10" ht="21" x14ac:dyDescent="0.45">
      <c r="A17" s="60">
        <v>14</v>
      </c>
      <c r="B17" s="60" t="s">
        <v>38</v>
      </c>
      <c r="C17" s="60" t="s">
        <v>39</v>
      </c>
      <c r="D17" s="61">
        <v>1</v>
      </c>
      <c r="E17" s="62">
        <f>4200000*1.19</f>
        <v>4998000</v>
      </c>
      <c r="F17" s="62">
        <f t="shared" si="0"/>
        <v>4998000</v>
      </c>
      <c r="G17" s="62">
        <v>4522000</v>
      </c>
      <c r="H17" s="62">
        <f t="shared" si="1"/>
        <v>4522000</v>
      </c>
      <c r="I17" s="62">
        <v>35477978.129999995</v>
      </c>
      <c r="J17" s="62">
        <f t="shared" si="2"/>
        <v>35477978.129999995</v>
      </c>
    </row>
    <row r="18" spans="1:10" x14ac:dyDescent="0.45">
      <c r="A18" s="60">
        <v>15</v>
      </c>
      <c r="B18" s="60" t="s">
        <v>40</v>
      </c>
      <c r="C18" s="60" t="s">
        <v>41</v>
      </c>
      <c r="D18" s="61">
        <v>3</v>
      </c>
      <c r="E18" s="62">
        <f>983333*1.19</f>
        <v>1170166.27</v>
      </c>
      <c r="F18" s="62">
        <f t="shared" si="0"/>
        <v>3510498.81</v>
      </c>
      <c r="G18" s="62">
        <v>773500</v>
      </c>
      <c r="H18" s="62">
        <f t="shared" si="1"/>
        <v>2320500</v>
      </c>
      <c r="I18" s="62">
        <v>665210</v>
      </c>
      <c r="J18" s="62">
        <f t="shared" si="2"/>
        <v>1995630</v>
      </c>
    </row>
    <row r="19" spans="1:10" ht="24" customHeight="1" x14ac:dyDescent="0.45">
      <c r="A19" s="94" t="s">
        <v>42</v>
      </c>
      <c r="B19" s="95"/>
      <c r="C19" s="95"/>
      <c r="D19" s="64"/>
      <c r="E19" s="64"/>
      <c r="F19" s="65"/>
      <c r="G19" s="64"/>
      <c r="H19" s="65"/>
      <c r="I19" s="64"/>
      <c r="J19" s="65"/>
    </row>
    <row r="20" spans="1:10" ht="42" x14ac:dyDescent="0.45">
      <c r="A20" s="60">
        <v>1</v>
      </c>
      <c r="B20" s="66" t="s">
        <v>43</v>
      </c>
      <c r="C20" s="60" t="s">
        <v>44</v>
      </c>
      <c r="D20" s="61">
        <v>1</v>
      </c>
      <c r="E20" s="62">
        <v>805630</v>
      </c>
      <c r="F20" s="62">
        <f t="shared" si="0"/>
        <v>805630</v>
      </c>
      <c r="G20" s="62">
        <v>4165000</v>
      </c>
      <c r="H20" s="62">
        <f t="shared" si="1"/>
        <v>4165000</v>
      </c>
      <c r="I20" s="62">
        <v>9538593.75</v>
      </c>
      <c r="J20" s="62">
        <f t="shared" si="2"/>
        <v>9538593.75</v>
      </c>
    </row>
    <row r="21" spans="1:10" ht="163.5" customHeight="1" x14ac:dyDescent="0.45">
      <c r="A21" s="67">
        <v>2</v>
      </c>
      <c r="B21" s="66" t="s">
        <v>52</v>
      </c>
      <c r="C21" s="68" t="s">
        <v>45</v>
      </c>
      <c r="D21" s="61">
        <v>3</v>
      </c>
      <c r="E21" s="69">
        <v>511700</v>
      </c>
      <c r="F21" s="62">
        <f t="shared" si="0"/>
        <v>1535100</v>
      </c>
      <c r="G21" s="69">
        <v>595000</v>
      </c>
      <c r="H21" s="62">
        <f t="shared" si="1"/>
        <v>1785000</v>
      </c>
      <c r="I21" s="69">
        <v>3743145</v>
      </c>
      <c r="J21" s="62">
        <f t="shared" si="2"/>
        <v>11229435</v>
      </c>
    </row>
    <row r="22" spans="1:10" ht="126" x14ac:dyDescent="0.45">
      <c r="A22" s="67">
        <v>3</v>
      </c>
      <c r="B22" s="66" t="s">
        <v>53</v>
      </c>
      <c r="C22" s="68" t="s">
        <v>46</v>
      </c>
      <c r="D22" s="61">
        <v>6</v>
      </c>
      <c r="E22" s="69">
        <v>452200</v>
      </c>
      <c r="F22" s="62">
        <f t="shared" si="0"/>
        <v>2713200</v>
      </c>
      <c r="G22" s="69">
        <v>779450</v>
      </c>
      <c r="H22" s="62">
        <f t="shared" si="1"/>
        <v>4676700</v>
      </c>
      <c r="I22" s="69">
        <v>943670</v>
      </c>
      <c r="J22" s="62">
        <f t="shared" si="2"/>
        <v>5662020</v>
      </c>
    </row>
    <row r="23" spans="1:10" ht="214.5" customHeight="1" x14ac:dyDescent="0.45">
      <c r="A23" s="60">
        <v>4</v>
      </c>
      <c r="B23" s="70" t="s">
        <v>54</v>
      </c>
      <c r="C23" s="60" t="s">
        <v>47</v>
      </c>
      <c r="D23" s="61">
        <v>4</v>
      </c>
      <c r="E23" s="69">
        <v>452200</v>
      </c>
      <c r="F23" s="62">
        <f t="shared" si="0"/>
        <v>1808800</v>
      </c>
      <c r="G23" s="71">
        <v>952000</v>
      </c>
      <c r="H23" s="62">
        <f t="shared" si="1"/>
        <v>3808000</v>
      </c>
      <c r="I23" s="69">
        <v>928200</v>
      </c>
      <c r="J23" s="62">
        <f t="shared" si="2"/>
        <v>3712800</v>
      </c>
    </row>
    <row r="24" spans="1:10" ht="42" x14ac:dyDescent="0.45">
      <c r="A24" s="60">
        <v>5</v>
      </c>
      <c r="B24" s="60" t="s">
        <v>48</v>
      </c>
      <c r="C24" s="60" t="s">
        <v>49</v>
      </c>
      <c r="D24" s="61">
        <v>1</v>
      </c>
      <c r="E24" s="62">
        <v>690200</v>
      </c>
      <c r="F24" s="62">
        <f t="shared" si="0"/>
        <v>690200</v>
      </c>
      <c r="G24" s="63">
        <v>3451000</v>
      </c>
      <c r="H24" s="62">
        <f t="shared" si="1"/>
        <v>3451000</v>
      </c>
      <c r="I24" s="62">
        <v>1732640</v>
      </c>
      <c r="J24" s="62">
        <f t="shared" si="2"/>
        <v>1732640</v>
      </c>
    </row>
    <row r="25" spans="1:10" ht="31.5" x14ac:dyDescent="0.45">
      <c r="A25" s="60">
        <v>6</v>
      </c>
      <c r="B25" s="60" t="s">
        <v>31</v>
      </c>
      <c r="C25" s="60" t="s">
        <v>32</v>
      </c>
      <c r="D25" s="61">
        <v>1</v>
      </c>
      <c r="E25" s="62">
        <v>1166200</v>
      </c>
      <c r="F25" s="62">
        <f t="shared" si="0"/>
        <v>1166200</v>
      </c>
      <c r="G25" s="62">
        <v>1725500</v>
      </c>
      <c r="H25" s="62">
        <f t="shared" si="1"/>
        <v>1725500</v>
      </c>
      <c r="I25" s="62">
        <v>2552550</v>
      </c>
      <c r="J25" s="62">
        <f t="shared" si="2"/>
        <v>2552550</v>
      </c>
    </row>
    <row r="26" spans="1:10" ht="63" x14ac:dyDescent="0.45">
      <c r="A26" s="60">
        <v>7</v>
      </c>
      <c r="B26" s="60" t="s">
        <v>50</v>
      </c>
      <c r="C26" s="60" t="s">
        <v>51</v>
      </c>
      <c r="D26" s="61">
        <v>1</v>
      </c>
      <c r="E26" s="62">
        <v>1011500</v>
      </c>
      <c r="F26" s="62">
        <f t="shared" si="0"/>
        <v>1011500</v>
      </c>
      <c r="G26" s="62">
        <v>2023000</v>
      </c>
      <c r="H26" s="62">
        <f t="shared" si="1"/>
        <v>2023000</v>
      </c>
      <c r="I26" s="62">
        <v>6961500</v>
      </c>
      <c r="J26" s="62">
        <f t="shared" si="2"/>
        <v>6961500</v>
      </c>
    </row>
    <row r="27" spans="1:10" ht="15" customHeight="1" x14ac:dyDescent="0.45">
      <c r="A27" s="72"/>
      <c r="B27" s="72"/>
      <c r="C27" s="73" t="s">
        <v>2</v>
      </c>
      <c r="D27" s="74"/>
      <c r="E27" s="74"/>
      <c r="F27" s="75">
        <f>SUM(F20:F26,F4:F18)</f>
        <v>48923847.630000003</v>
      </c>
      <c r="H27" s="77">
        <f>SUM(H20:H26,H4:H18)</f>
        <v>63569800</v>
      </c>
      <c r="J27" s="77">
        <f>SUM(J20:J26,J4:J18)</f>
        <v>126224551.88</v>
      </c>
    </row>
  </sheetData>
  <mergeCells count="5">
    <mergeCell ref="I1:J1"/>
    <mergeCell ref="G1:H1"/>
    <mergeCell ref="A19:C19"/>
    <mergeCell ref="E1:F1"/>
    <mergeCell ref="A3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75186-09CB-4CD1-809E-AA8E3F5753F9}">
  <dimension ref="A1:F28"/>
  <sheetViews>
    <sheetView showGridLines="0" zoomScale="112" zoomScaleNormal="112" workbookViewId="0"/>
  </sheetViews>
  <sheetFormatPr baseColWidth="10" defaultColWidth="11.3984375" defaultRowHeight="14.25" x14ac:dyDescent="0.45"/>
  <cols>
    <col min="1" max="1" width="5.86328125" style="55" customWidth="1"/>
    <col min="2" max="2" width="35.1328125" style="55" customWidth="1"/>
    <col min="3" max="3" width="51" style="55" customWidth="1"/>
    <col min="4" max="4" width="7.265625" style="1" bestFit="1" customWidth="1"/>
    <col min="5" max="5" width="15.1328125" style="76" customWidth="1"/>
    <col min="6" max="6" width="12.73046875" style="78" bestFit="1" customWidth="1"/>
    <col min="7" max="16384" width="11.3984375" style="55"/>
  </cols>
  <sheetData>
    <row r="1" spans="1:6" ht="52.5" x14ac:dyDescent="0.45">
      <c r="A1" s="56" t="s">
        <v>5</v>
      </c>
      <c r="B1" s="56" t="s">
        <v>6</v>
      </c>
      <c r="C1" s="56" t="s">
        <v>7</v>
      </c>
      <c r="D1" s="58" t="s">
        <v>1</v>
      </c>
      <c r="E1" s="58" t="s">
        <v>75</v>
      </c>
      <c r="F1" s="58" t="s">
        <v>76</v>
      </c>
    </row>
    <row r="2" spans="1:6" ht="15.75" customHeight="1" x14ac:dyDescent="0.45">
      <c r="A2" s="94" t="s">
        <v>8</v>
      </c>
      <c r="B2" s="95"/>
      <c r="C2" s="97"/>
      <c r="D2" s="17"/>
      <c r="E2" s="59"/>
      <c r="F2" s="59"/>
    </row>
    <row r="3" spans="1:6" ht="52.5" x14ac:dyDescent="0.45">
      <c r="A3" s="60">
        <v>1</v>
      </c>
      <c r="B3" s="60" t="s">
        <v>9</v>
      </c>
      <c r="C3" s="60" t="s">
        <v>10</v>
      </c>
      <c r="D3" s="62">
        <v>1</v>
      </c>
      <c r="E3" s="62">
        <v>3884755</v>
      </c>
      <c r="F3" s="62">
        <f>+D3*E3</f>
        <v>3884755</v>
      </c>
    </row>
    <row r="4" spans="1:6" ht="31.5" x14ac:dyDescent="0.45">
      <c r="A4" s="60">
        <v>2</v>
      </c>
      <c r="B4" s="60" t="s">
        <v>12</v>
      </c>
      <c r="C4" s="60" t="s">
        <v>13</v>
      </c>
      <c r="D4" s="62">
        <v>1</v>
      </c>
      <c r="E4" s="62">
        <v>630700</v>
      </c>
      <c r="F4" s="62">
        <f t="shared" ref="F4:F25" si="0">+D4*E4</f>
        <v>630700</v>
      </c>
    </row>
    <row r="5" spans="1:6" ht="42" x14ac:dyDescent="0.45">
      <c r="A5" s="60">
        <v>3</v>
      </c>
      <c r="B5" s="60" t="s">
        <v>15</v>
      </c>
      <c r="C5" s="60" t="s">
        <v>16</v>
      </c>
      <c r="D5" s="62">
        <v>1</v>
      </c>
      <c r="E5" s="62">
        <v>416500</v>
      </c>
      <c r="F5" s="62">
        <f t="shared" si="0"/>
        <v>416500</v>
      </c>
    </row>
    <row r="6" spans="1:6" ht="105" x14ac:dyDescent="0.45">
      <c r="A6" s="60">
        <v>4</v>
      </c>
      <c r="B6" s="60" t="s">
        <v>17</v>
      </c>
      <c r="C6" s="60" t="s">
        <v>18</v>
      </c>
      <c r="D6" s="62">
        <v>1</v>
      </c>
      <c r="E6" s="62">
        <v>5209211.91</v>
      </c>
      <c r="F6" s="62">
        <f t="shared" si="0"/>
        <v>5209211.91</v>
      </c>
    </row>
    <row r="7" spans="1:6" ht="31.5" x14ac:dyDescent="0.45">
      <c r="A7" s="60">
        <v>5</v>
      </c>
      <c r="B7" s="60" t="s">
        <v>19</v>
      </c>
      <c r="C7" s="60" t="s">
        <v>20</v>
      </c>
      <c r="D7" s="62">
        <v>4</v>
      </c>
      <c r="E7" s="62">
        <v>535500</v>
      </c>
      <c r="F7" s="62">
        <f t="shared" si="0"/>
        <v>2142000</v>
      </c>
    </row>
    <row r="8" spans="1:6" ht="31.5" x14ac:dyDescent="0.45">
      <c r="A8" s="60">
        <v>6</v>
      </c>
      <c r="B8" s="60" t="s">
        <v>21</v>
      </c>
      <c r="C8" s="60" t="s">
        <v>22</v>
      </c>
      <c r="D8" s="62">
        <v>3</v>
      </c>
      <c r="E8" s="62">
        <v>538475</v>
      </c>
      <c r="F8" s="62">
        <f t="shared" si="0"/>
        <v>1615425</v>
      </c>
    </row>
    <row r="9" spans="1:6" ht="52.5" x14ac:dyDescent="0.45">
      <c r="A9" s="60">
        <v>7</v>
      </c>
      <c r="B9" s="60" t="s">
        <v>23</v>
      </c>
      <c r="C9" s="60" t="s">
        <v>24</v>
      </c>
      <c r="D9" s="62">
        <v>1</v>
      </c>
      <c r="E9" s="62">
        <v>1544620</v>
      </c>
      <c r="F9" s="62">
        <f t="shared" si="0"/>
        <v>1544620</v>
      </c>
    </row>
    <row r="10" spans="1:6" ht="73.5" x14ac:dyDescent="0.45">
      <c r="A10" s="60">
        <v>8</v>
      </c>
      <c r="B10" s="60" t="s">
        <v>25</v>
      </c>
      <c r="C10" s="60" t="s">
        <v>26</v>
      </c>
      <c r="D10" s="62">
        <v>1</v>
      </c>
      <c r="E10" s="62">
        <v>1350650</v>
      </c>
      <c r="F10" s="62">
        <f t="shared" si="0"/>
        <v>1350650</v>
      </c>
    </row>
    <row r="11" spans="1:6" ht="31.5" x14ac:dyDescent="0.45">
      <c r="A11" s="60">
        <v>9</v>
      </c>
      <c r="B11" s="60" t="s">
        <v>27</v>
      </c>
      <c r="C11" s="60" t="s">
        <v>28</v>
      </c>
      <c r="D11" s="62">
        <v>4</v>
      </c>
      <c r="E11" s="62">
        <v>315350</v>
      </c>
      <c r="F11" s="62">
        <f t="shared" si="0"/>
        <v>1261400</v>
      </c>
    </row>
    <row r="12" spans="1:6" ht="31.5" x14ac:dyDescent="0.45">
      <c r="A12" s="60">
        <v>10</v>
      </c>
      <c r="B12" s="60" t="s">
        <v>29</v>
      </c>
      <c r="C12" s="60" t="s">
        <v>30</v>
      </c>
      <c r="D12" s="62">
        <v>4</v>
      </c>
      <c r="E12" s="62">
        <v>315350</v>
      </c>
      <c r="F12" s="62">
        <f t="shared" si="0"/>
        <v>1261400</v>
      </c>
    </row>
    <row r="13" spans="1:6" ht="31.5" x14ac:dyDescent="0.45">
      <c r="A13" s="60">
        <v>11</v>
      </c>
      <c r="B13" s="60" t="s">
        <v>31</v>
      </c>
      <c r="C13" s="60" t="s">
        <v>32</v>
      </c>
      <c r="D13" s="62">
        <v>1</v>
      </c>
      <c r="E13" s="62">
        <v>1799875</v>
      </c>
      <c r="F13" s="62">
        <f t="shared" si="0"/>
        <v>1799875</v>
      </c>
    </row>
    <row r="14" spans="1:6" ht="31.5" x14ac:dyDescent="0.45">
      <c r="A14" s="60">
        <v>12</v>
      </c>
      <c r="B14" s="60" t="s">
        <v>34</v>
      </c>
      <c r="C14" s="60" t="s">
        <v>35</v>
      </c>
      <c r="D14" s="62">
        <v>1</v>
      </c>
      <c r="E14" s="62">
        <v>6955550</v>
      </c>
      <c r="F14" s="62">
        <f t="shared" si="0"/>
        <v>6955550</v>
      </c>
    </row>
    <row r="15" spans="1:6" ht="21" x14ac:dyDescent="0.45">
      <c r="A15" s="60">
        <v>13</v>
      </c>
      <c r="B15" s="60" t="s">
        <v>36</v>
      </c>
      <c r="C15" s="60" t="s">
        <v>37</v>
      </c>
      <c r="D15" s="62">
        <v>1</v>
      </c>
      <c r="E15" s="62">
        <v>7735000</v>
      </c>
      <c r="F15" s="62">
        <f t="shared" si="0"/>
        <v>7735000</v>
      </c>
    </row>
    <row r="16" spans="1:6" ht="21" x14ac:dyDescent="0.45">
      <c r="A16" s="60">
        <v>14</v>
      </c>
      <c r="B16" s="60" t="s">
        <v>38</v>
      </c>
      <c r="C16" s="60" t="s">
        <v>39</v>
      </c>
      <c r="D16" s="62">
        <v>1</v>
      </c>
      <c r="E16" s="62">
        <v>4760000</v>
      </c>
      <c r="F16" s="62">
        <f t="shared" si="0"/>
        <v>4760000</v>
      </c>
    </row>
    <row r="17" spans="1:6" ht="10.5" x14ac:dyDescent="0.45">
      <c r="A17" s="60">
        <v>15</v>
      </c>
      <c r="B17" s="60" t="s">
        <v>40</v>
      </c>
      <c r="C17" s="60" t="s">
        <v>41</v>
      </c>
      <c r="D17" s="62">
        <v>3</v>
      </c>
      <c r="E17" s="62">
        <v>719355</v>
      </c>
      <c r="F17" s="62">
        <f t="shared" si="0"/>
        <v>2158065</v>
      </c>
    </row>
    <row r="18" spans="1:6" ht="13.9" x14ac:dyDescent="0.45">
      <c r="A18" s="94" t="s">
        <v>42</v>
      </c>
      <c r="B18" s="95"/>
      <c r="C18" s="95"/>
      <c r="D18" s="18"/>
      <c r="E18" s="64"/>
      <c r="F18" s="64"/>
    </row>
    <row r="19" spans="1:6" ht="42" x14ac:dyDescent="0.45">
      <c r="A19" s="60">
        <v>1</v>
      </c>
      <c r="B19" s="66" t="s">
        <v>43</v>
      </c>
      <c r="C19" s="60" t="s">
        <v>44</v>
      </c>
      <c r="D19" s="62">
        <v>1</v>
      </c>
      <c r="E19" s="62">
        <v>2485315</v>
      </c>
      <c r="F19" s="62">
        <f t="shared" si="0"/>
        <v>2485315</v>
      </c>
    </row>
    <row r="20" spans="1:6" ht="84" x14ac:dyDescent="0.45">
      <c r="A20" s="67">
        <v>2</v>
      </c>
      <c r="B20" s="66" t="s">
        <v>52</v>
      </c>
      <c r="C20" s="68" t="s">
        <v>45</v>
      </c>
      <c r="D20" s="62">
        <v>3</v>
      </c>
      <c r="E20" s="62">
        <v>553350</v>
      </c>
      <c r="F20" s="62">
        <f t="shared" si="0"/>
        <v>1660050</v>
      </c>
    </row>
    <row r="21" spans="1:6" ht="120" customHeight="1" x14ac:dyDescent="0.45">
      <c r="A21" s="67">
        <v>3</v>
      </c>
      <c r="B21" s="60" t="s">
        <v>53</v>
      </c>
      <c r="C21" s="68" t="s">
        <v>46</v>
      </c>
      <c r="D21" s="62">
        <v>6</v>
      </c>
      <c r="E21" s="62">
        <v>861560</v>
      </c>
      <c r="F21" s="62">
        <f t="shared" si="0"/>
        <v>5169360</v>
      </c>
    </row>
    <row r="22" spans="1:6" ht="73.5" x14ac:dyDescent="0.45">
      <c r="A22" s="60">
        <v>4</v>
      </c>
      <c r="B22" s="70" t="s">
        <v>54</v>
      </c>
      <c r="C22" s="60" t="s">
        <v>47</v>
      </c>
      <c r="D22" s="62">
        <v>4</v>
      </c>
      <c r="E22" s="62">
        <v>940100</v>
      </c>
      <c r="F22" s="62">
        <f t="shared" si="0"/>
        <v>3760400</v>
      </c>
    </row>
    <row r="23" spans="1:6" ht="42" x14ac:dyDescent="0.45">
      <c r="A23" s="60">
        <v>5</v>
      </c>
      <c r="B23" s="60" t="s">
        <v>48</v>
      </c>
      <c r="C23" s="60" t="s">
        <v>49</v>
      </c>
      <c r="D23" s="62">
        <v>1</v>
      </c>
      <c r="E23" s="62">
        <v>1211420</v>
      </c>
      <c r="F23" s="62">
        <f t="shared" si="0"/>
        <v>1211420</v>
      </c>
    </row>
    <row r="24" spans="1:6" ht="31.5" x14ac:dyDescent="0.45">
      <c r="A24" s="60">
        <v>6</v>
      </c>
      <c r="B24" s="60" t="s">
        <v>31</v>
      </c>
      <c r="C24" s="60" t="s">
        <v>32</v>
      </c>
      <c r="D24" s="62">
        <v>1</v>
      </c>
      <c r="E24" s="62">
        <v>1445850</v>
      </c>
      <c r="F24" s="62">
        <f t="shared" si="0"/>
        <v>1445850</v>
      </c>
    </row>
    <row r="25" spans="1:6" ht="61.15" customHeight="1" x14ac:dyDescent="0.45">
      <c r="A25" s="60">
        <v>7</v>
      </c>
      <c r="B25" s="60" t="s">
        <v>50</v>
      </c>
      <c r="C25" s="60" t="s">
        <v>51</v>
      </c>
      <c r="D25" s="62">
        <v>1</v>
      </c>
      <c r="E25" s="62">
        <v>1517250</v>
      </c>
      <c r="F25" s="62">
        <f t="shared" si="0"/>
        <v>1517250</v>
      </c>
    </row>
    <row r="26" spans="1:6" ht="15" customHeight="1" x14ac:dyDescent="0.45">
      <c r="A26" s="72"/>
      <c r="B26" s="72"/>
      <c r="E26" s="73" t="s">
        <v>4</v>
      </c>
      <c r="F26" s="75">
        <f>SUM(F19:F25,F3:F17)</f>
        <v>59974796.909999996</v>
      </c>
    </row>
    <row r="27" spans="1:6" x14ac:dyDescent="0.45">
      <c r="D27" s="43"/>
    </row>
    <row r="28" spans="1:6" x14ac:dyDescent="0.45">
      <c r="D28" s="43"/>
    </row>
  </sheetData>
  <mergeCells count="2">
    <mergeCell ref="A2:C2"/>
    <mergeCell ref="A18:C18"/>
  </mergeCells>
  <pageMargins left="0.7" right="0.7" top="0.75" bottom="0.75" header="0.3" footer="0.3"/>
  <ignoredErrors>
    <ignoredError sqref="F2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Total Cotizaciones</vt:lpstr>
      <vt:lpstr>Mediana</vt:lpstr>
      <vt:lpstr>Media Geométrica</vt:lpstr>
      <vt:lpstr>Promedio</vt:lpstr>
      <vt:lpstr>Estimación del Presupuesto</vt:lpstr>
      <vt:lpstr>Total Cotizaciones_Impuestos In</vt:lpstr>
      <vt:lpstr>Precio máximo determinado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Elena Osorio Burgos</dc:creator>
  <cp:lastModifiedBy>Andres Posso</cp:lastModifiedBy>
  <dcterms:created xsi:type="dcterms:W3CDTF">2025-02-25T19:46:49Z</dcterms:created>
  <dcterms:modified xsi:type="dcterms:W3CDTF">2025-07-07T14:47:59Z</dcterms:modified>
</cp:coreProperties>
</file>