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ASUS\OneDrive\Desktop\"/>
    </mc:Choice>
  </mc:AlternateContent>
  <xr:revisionPtr revIDLastSave="0" documentId="13_ncr:1_{9FFEE90B-4BB4-48E1-B41D-ED0F1F3E3914}" xr6:coauthVersionLast="47" xr6:coauthVersionMax="47" xr10:uidLastSave="{00000000-0000-0000-0000-000000000000}"/>
  <bookViews>
    <workbookView xWindow="-108" yWindow="-108" windowWidth="23256" windowHeight="12456" xr2:uid="{287BEF40-40F9-4287-B4C2-F0B6801F59B5}"/>
  </bookViews>
  <sheets>
    <sheet name="OFER_ECON_SERV_VIGILANCIA " sheetId="5" r:id="rId1"/>
    <sheet name="OFER_ECON_MED_TECNOLG" sheetId="6" r:id="rId2"/>
    <sheet name="OFER_ECON_COOPERATIVA" sheetId="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5" i="5" l="1"/>
  <c r="F35" i="5"/>
  <c r="H34" i="5"/>
  <c r="H33" i="5"/>
  <c r="H32" i="5"/>
  <c r="H31" i="5"/>
  <c r="H30" i="5"/>
  <c r="H29" i="5"/>
  <c r="J29" i="5" s="1"/>
  <c r="K29" i="5" s="1"/>
  <c r="H28" i="5"/>
  <c r="H27" i="5"/>
  <c r="H26" i="5"/>
  <c r="H25" i="5"/>
  <c r="G19" i="5"/>
  <c r="F19" i="5"/>
  <c r="H18" i="5"/>
  <c r="H17" i="5"/>
  <c r="J16" i="5"/>
  <c r="K16" i="5" s="1"/>
  <c r="H16" i="5"/>
  <c r="H15" i="5"/>
  <c r="H14" i="5"/>
  <c r="J14" i="5" s="1"/>
  <c r="K14" i="5" s="1"/>
  <c r="H13" i="5"/>
  <c r="H12" i="5"/>
  <c r="H11" i="5"/>
  <c r="H10" i="5"/>
  <c r="K9" i="5"/>
  <c r="J9" i="5"/>
  <c r="H9" i="5"/>
  <c r="S37" i="7"/>
  <c r="S35" i="7"/>
  <c r="S26" i="7"/>
  <c r="S27" i="7"/>
  <c r="S28" i="7"/>
  <c r="S29" i="7"/>
  <c r="S30" i="7"/>
  <c r="S31" i="7"/>
  <c r="S32" i="7"/>
  <c r="S33" i="7"/>
  <c r="S34" i="7"/>
  <c r="S25" i="7"/>
  <c r="S19" i="7"/>
  <c r="S10" i="7"/>
  <c r="S11" i="7"/>
  <c r="S12" i="7"/>
  <c r="S13" i="7"/>
  <c r="S14" i="7"/>
  <c r="S15" i="7"/>
  <c r="S16" i="7"/>
  <c r="S17" i="7"/>
  <c r="S18" i="7"/>
  <c r="S9" i="7"/>
  <c r="R26" i="7"/>
  <c r="R27" i="7"/>
  <c r="R28" i="7"/>
  <c r="R29" i="7"/>
  <c r="R30" i="7"/>
  <c r="R31" i="7"/>
  <c r="R32" i="7"/>
  <c r="R33" i="7"/>
  <c r="R34" i="7"/>
  <c r="R25" i="7"/>
  <c r="G35" i="7"/>
  <c r="F35" i="7"/>
  <c r="H34" i="7"/>
  <c r="H33" i="7"/>
  <c r="H32" i="7"/>
  <c r="J32" i="7" s="1"/>
  <c r="K32" i="7" s="1"/>
  <c r="H31" i="7"/>
  <c r="H30" i="7"/>
  <c r="H29" i="7"/>
  <c r="H28" i="7"/>
  <c r="J27" i="7"/>
  <c r="K27" i="7" s="1"/>
  <c r="H27" i="7"/>
  <c r="H26" i="7"/>
  <c r="H25" i="7"/>
  <c r="G19" i="7"/>
  <c r="F19" i="7"/>
  <c r="H18" i="7"/>
  <c r="H17" i="7"/>
  <c r="J17" i="7" s="1"/>
  <c r="K17" i="7" s="1"/>
  <c r="H16" i="7"/>
  <c r="H15" i="7"/>
  <c r="H14" i="7"/>
  <c r="H13" i="7"/>
  <c r="J12" i="7"/>
  <c r="K12" i="7" s="1"/>
  <c r="H12" i="7"/>
  <c r="H11" i="7"/>
  <c r="H10" i="7"/>
  <c r="H9" i="7"/>
  <c r="J9" i="7" s="1"/>
  <c r="L14" i="5" l="1"/>
  <c r="M14" i="5" s="1"/>
  <c r="L29" i="5"/>
  <c r="M29" i="5" s="1"/>
  <c r="K31" i="5"/>
  <c r="L16" i="5"/>
  <c r="M16" i="5" s="1"/>
  <c r="L9" i="5"/>
  <c r="K33" i="5"/>
  <c r="J33" i="5"/>
  <c r="J13" i="5"/>
  <c r="K13" i="5" s="1"/>
  <c r="K17" i="5"/>
  <c r="K10" i="5"/>
  <c r="J26" i="5"/>
  <c r="K26" i="5" s="1"/>
  <c r="K18" i="5"/>
  <c r="J11" i="5"/>
  <c r="K11" i="5" s="1"/>
  <c r="J18" i="5"/>
  <c r="J31" i="5"/>
  <c r="H19" i="5"/>
  <c r="K32" i="5"/>
  <c r="J28" i="5"/>
  <c r="K28" i="5" s="1"/>
  <c r="J15" i="5"/>
  <c r="K15" i="5" s="1"/>
  <c r="J30" i="5"/>
  <c r="K30" i="5" s="1"/>
  <c r="H35" i="5"/>
  <c r="J10" i="5"/>
  <c r="J25" i="5"/>
  <c r="J17" i="5"/>
  <c r="J32" i="5"/>
  <c r="J12" i="5"/>
  <c r="K12" i="5" s="1"/>
  <c r="J27" i="5"/>
  <c r="K27" i="5" s="1"/>
  <c r="J34" i="5"/>
  <c r="K34" i="5" s="1"/>
  <c r="L12" i="7"/>
  <c r="M12" i="7" s="1"/>
  <c r="N12" i="7"/>
  <c r="O12" i="7" s="1"/>
  <c r="L17" i="7"/>
  <c r="M17" i="7" s="1"/>
  <c r="L32" i="7"/>
  <c r="M32" i="7" s="1"/>
  <c r="K28" i="7"/>
  <c r="J34" i="7"/>
  <c r="K34" i="7" s="1"/>
  <c r="K10" i="7"/>
  <c r="J29" i="7"/>
  <c r="K29" i="7" s="1"/>
  <c r="K30" i="7"/>
  <c r="K13" i="7"/>
  <c r="K25" i="7"/>
  <c r="J14" i="7"/>
  <c r="K14" i="7"/>
  <c r="K15" i="7"/>
  <c r="K33" i="7"/>
  <c r="L27" i="7"/>
  <c r="M27" i="7" s="1"/>
  <c r="N27" i="7"/>
  <c r="O27" i="7" s="1"/>
  <c r="J33" i="7"/>
  <c r="J13" i="7"/>
  <c r="H35" i="7"/>
  <c r="K9" i="7"/>
  <c r="J16" i="7"/>
  <c r="K16" i="7" s="1"/>
  <c r="J31" i="7"/>
  <c r="K31" i="7" s="1"/>
  <c r="J11" i="7"/>
  <c r="K11" i="7" s="1"/>
  <c r="J26" i="7"/>
  <c r="K26" i="7" s="1"/>
  <c r="J18" i="7"/>
  <c r="K18" i="7" s="1"/>
  <c r="J28" i="7"/>
  <c r="J15" i="7"/>
  <c r="J30" i="7"/>
  <c r="J10" i="7"/>
  <c r="J25" i="7"/>
  <c r="H19" i="7"/>
  <c r="N26" i="5" l="1"/>
  <c r="O26" i="5" s="1"/>
  <c r="L26" i="5"/>
  <c r="M26" i="5" s="1"/>
  <c r="L30" i="5"/>
  <c r="M30" i="5" s="1"/>
  <c r="L13" i="5"/>
  <c r="M13" i="5" s="1"/>
  <c r="L15" i="5"/>
  <c r="M15" i="5" s="1"/>
  <c r="L28" i="5"/>
  <c r="M28" i="5" s="1"/>
  <c r="L34" i="5"/>
  <c r="M34" i="5" s="1"/>
  <c r="L27" i="5"/>
  <c r="M27" i="5" s="1"/>
  <c r="L12" i="5"/>
  <c r="M12" i="5" s="1"/>
  <c r="N12" i="5"/>
  <c r="O12" i="5" s="1"/>
  <c r="L11" i="5"/>
  <c r="M11" i="5" s="1"/>
  <c r="K19" i="5"/>
  <c r="M9" i="5"/>
  <c r="N9" i="5" s="1"/>
  <c r="L10" i="5"/>
  <c r="M10" i="5" s="1"/>
  <c r="N16" i="5"/>
  <c r="O16" i="5" s="1"/>
  <c r="L32" i="5"/>
  <c r="M32" i="5" s="1"/>
  <c r="L31" i="5"/>
  <c r="M31" i="5" s="1"/>
  <c r="N29" i="5"/>
  <c r="O29" i="5" s="1"/>
  <c r="N14" i="5"/>
  <c r="O14" i="5" s="1"/>
  <c r="J35" i="5"/>
  <c r="K25" i="5"/>
  <c r="L33" i="5"/>
  <c r="M33" i="5" s="1"/>
  <c r="N18" i="5"/>
  <c r="O18" i="5" s="1"/>
  <c r="L18" i="5"/>
  <c r="M18" i="5" s="1"/>
  <c r="L17" i="5"/>
  <c r="M17" i="5" s="1"/>
  <c r="N17" i="5"/>
  <c r="O17" i="5" s="1"/>
  <c r="J19" i="5"/>
  <c r="L18" i="7"/>
  <c r="M18" i="7" s="1"/>
  <c r="L26" i="7"/>
  <c r="M26" i="7" s="1"/>
  <c r="L11" i="7"/>
  <c r="M11" i="7" s="1"/>
  <c r="L31" i="7"/>
  <c r="M31" i="7" s="1"/>
  <c r="N31" i="7"/>
  <c r="O31" i="7" s="1"/>
  <c r="L16" i="7"/>
  <c r="M16" i="7" s="1"/>
  <c r="L29" i="7"/>
  <c r="M29" i="7" s="1"/>
  <c r="L34" i="7"/>
  <c r="M34" i="7" s="1"/>
  <c r="N34" i="7"/>
  <c r="O34" i="7" s="1"/>
  <c r="L33" i="7"/>
  <c r="M33" i="7" s="1"/>
  <c r="L10" i="7"/>
  <c r="M10" i="7" s="1"/>
  <c r="L15" i="7"/>
  <c r="M15" i="7" s="1"/>
  <c r="N15" i="7"/>
  <c r="O15" i="7" s="1"/>
  <c r="L14" i="7"/>
  <c r="M14" i="7" s="1"/>
  <c r="J19" i="7"/>
  <c r="K35" i="7"/>
  <c r="L25" i="7"/>
  <c r="L28" i="7"/>
  <c r="M28" i="7" s="1"/>
  <c r="L9" i="7"/>
  <c r="K19" i="7"/>
  <c r="L13" i="7"/>
  <c r="M13" i="7" s="1"/>
  <c r="J35" i="7"/>
  <c r="L30" i="7"/>
  <c r="M30" i="7" s="1"/>
  <c r="N30" i="7"/>
  <c r="O30" i="7" s="1"/>
  <c r="N32" i="7"/>
  <c r="O32" i="7" s="1"/>
  <c r="N17" i="7"/>
  <c r="O17" i="7" s="1"/>
  <c r="O9" i="5" l="1"/>
  <c r="N34" i="5"/>
  <c r="O34" i="5" s="1"/>
  <c r="L25" i="5"/>
  <c r="K35" i="5"/>
  <c r="L19" i="5"/>
  <c r="N28" i="5"/>
  <c r="O28" i="5" s="1"/>
  <c r="N15" i="5"/>
  <c r="O15" i="5" s="1"/>
  <c r="N11" i="5"/>
  <c r="O11" i="5" s="1"/>
  <c r="N13" i="5"/>
  <c r="O13" i="5" s="1"/>
  <c r="N31" i="5"/>
  <c r="O31" i="5" s="1"/>
  <c r="N30" i="5"/>
  <c r="O30" i="5" s="1"/>
  <c r="N32" i="5"/>
  <c r="O32" i="5" s="1"/>
  <c r="N27" i="5"/>
  <c r="O27" i="5" s="1"/>
  <c r="N33" i="5"/>
  <c r="O33" i="5" s="1"/>
  <c r="N10" i="5"/>
  <c r="O10" i="5" s="1"/>
  <c r="M19" i="5"/>
  <c r="M25" i="7"/>
  <c r="M35" i="7" s="1"/>
  <c r="L35" i="7"/>
  <c r="N18" i="7"/>
  <c r="O18" i="7" s="1"/>
  <c r="N13" i="7"/>
  <c r="O13" i="7" s="1"/>
  <c r="N28" i="7"/>
  <c r="O28" i="7" s="1"/>
  <c r="N33" i="7"/>
  <c r="O33" i="7" s="1"/>
  <c r="N26" i="7"/>
  <c r="O26" i="7" s="1"/>
  <c r="N29" i="7"/>
  <c r="O29" i="7" s="1"/>
  <c r="N14" i="7"/>
  <c r="O14" i="7" s="1"/>
  <c r="N16" i="7"/>
  <c r="O16" i="7" s="1"/>
  <c r="M9" i="7"/>
  <c r="M19" i="7" s="1"/>
  <c r="L19" i="7"/>
  <c r="N9" i="7"/>
  <c r="N10" i="7"/>
  <c r="O10" i="7" s="1"/>
  <c r="N11" i="7"/>
  <c r="O11" i="7" s="1"/>
  <c r="M25" i="5" l="1"/>
  <c r="M35" i="5" s="1"/>
  <c r="L35" i="5"/>
  <c r="N25" i="5"/>
  <c r="N19" i="5"/>
  <c r="O19" i="5"/>
  <c r="N25" i="7"/>
  <c r="O9" i="7"/>
  <c r="O19" i="7" s="1"/>
  <c r="N19" i="7"/>
  <c r="N35" i="5" l="1"/>
  <c r="O25" i="5"/>
  <c r="O35" i="5" s="1"/>
  <c r="O38" i="5" s="1"/>
  <c r="O25" i="7"/>
  <c r="O35" i="7" s="1"/>
  <c r="O38" i="7" s="1"/>
  <c r="N35" i="7"/>
  <c r="Q34" i="7" l="1"/>
  <c r="Q33" i="7"/>
  <c r="Q32" i="7"/>
  <c r="Q31" i="7"/>
  <c r="Q30" i="7"/>
  <c r="Q29" i="7"/>
  <c r="Q28" i="7"/>
  <c r="Q27" i="7"/>
  <c r="Q26" i="7"/>
  <c r="Q25" i="7"/>
  <c r="Q18" i="7"/>
  <c r="R18" i="7" s="1"/>
  <c r="Q17" i="7"/>
  <c r="R17" i="7" s="1"/>
  <c r="Q16" i="7"/>
  <c r="R16" i="7" s="1"/>
  <c r="Q15" i="7"/>
  <c r="R15" i="7" s="1"/>
  <c r="Q14" i="7"/>
  <c r="R14" i="7" s="1"/>
  <c r="Q13" i="7"/>
  <c r="R13" i="7" s="1"/>
  <c r="Q12" i="7"/>
  <c r="R12" i="7" s="1"/>
  <c r="Q11" i="7"/>
  <c r="R11" i="7" s="1"/>
  <c r="Q10" i="7"/>
  <c r="R10" i="7" s="1"/>
  <c r="Q9" i="7"/>
  <c r="R9" i="7" s="1"/>
  <c r="F27" i="6"/>
  <c r="K26" i="6"/>
  <c r="K25" i="6"/>
  <c r="K23" i="6"/>
  <c r="K22" i="6"/>
  <c r="K21" i="6"/>
  <c r="K20" i="6"/>
  <c r="K19" i="6"/>
  <c r="K18" i="6"/>
  <c r="K17" i="6"/>
  <c r="K16" i="6"/>
  <c r="K15" i="6"/>
  <c r="K13" i="6"/>
  <c r="K12" i="6"/>
  <c r="K11" i="6"/>
  <c r="K10" i="6"/>
  <c r="K8" i="6"/>
  <c r="K7" i="6"/>
  <c r="K6" i="6"/>
  <c r="K5" i="6"/>
  <c r="K3" i="6"/>
  <c r="H26" i="6"/>
  <c r="G26" i="6"/>
  <c r="G27" i="6" s="1"/>
  <c r="H25" i="6"/>
  <c r="I25" i="6" s="1"/>
  <c r="G24" i="6"/>
  <c r="H23" i="6"/>
  <c r="I23" i="6" s="1"/>
  <c r="J23" i="6" s="1"/>
  <c r="H22" i="6"/>
  <c r="I22" i="6" s="1"/>
  <c r="J22" i="6" s="1"/>
  <c r="H21" i="6"/>
  <c r="I21" i="6" s="1"/>
  <c r="J21" i="6" s="1"/>
  <c r="H20" i="6"/>
  <c r="I20" i="6" s="1"/>
  <c r="J20" i="6" s="1"/>
  <c r="H19" i="6"/>
  <c r="I19" i="6" s="1"/>
  <c r="J19" i="6" s="1"/>
  <c r="H18" i="6"/>
  <c r="I18" i="6" s="1"/>
  <c r="J18" i="6" s="1"/>
  <c r="H17" i="6"/>
  <c r="I17" i="6" s="1"/>
  <c r="J17" i="6" s="1"/>
  <c r="H16" i="6"/>
  <c r="I16" i="6" s="1"/>
  <c r="J16" i="6" s="1"/>
  <c r="H15" i="6"/>
  <c r="H24" i="6" s="1"/>
  <c r="H14" i="6"/>
  <c r="G14" i="6"/>
  <c r="H13" i="6"/>
  <c r="I13" i="6" s="1"/>
  <c r="J13" i="6" s="1"/>
  <c r="H12" i="6"/>
  <c r="I12" i="6" s="1"/>
  <c r="J12" i="6" s="1"/>
  <c r="I11" i="6"/>
  <c r="J11" i="6" s="1"/>
  <c r="H11" i="6"/>
  <c r="H10" i="6"/>
  <c r="I10" i="6" s="1"/>
  <c r="G9" i="6"/>
  <c r="H8" i="6"/>
  <c r="I8" i="6" s="1"/>
  <c r="J8" i="6" s="1"/>
  <c r="H7" i="6"/>
  <c r="I7" i="6" s="1"/>
  <c r="J7" i="6" s="1"/>
  <c r="H6" i="6"/>
  <c r="H9" i="6" s="1"/>
  <c r="H5" i="6"/>
  <c r="I5" i="6" s="1"/>
  <c r="G4" i="6"/>
  <c r="H3" i="6"/>
  <c r="H4" i="6" s="1"/>
  <c r="Q35" i="7" l="1"/>
  <c r="R35" i="7"/>
  <c r="R19" i="7"/>
  <c r="Q19" i="7"/>
  <c r="I9" i="6"/>
  <c r="J5" i="6"/>
  <c r="H27" i="6"/>
  <c r="J10" i="6"/>
  <c r="I14" i="6"/>
  <c r="J25" i="6"/>
  <c r="I26" i="6"/>
  <c r="I3" i="6"/>
  <c r="I6" i="6"/>
  <c r="J6" i="6" s="1"/>
  <c r="I15" i="6"/>
  <c r="R37" i="7" l="1"/>
  <c r="I24" i="6"/>
  <c r="J15" i="6"/>
  <c r="I4" i="6"/>
  <c r="J3" i="6"/>
  <c r="I27" i="6"/>
  <c r="J26" i="6"/>
  <c r="K14" i="6"/>
  <c r="J14" i="6"/>
  <c r="J9" i="6"/>
  <c r="K9" i="6"/>
  <c r="J4" i="6" l="1"/>
  <c r="K4" i="6"/>
  <c r="J24" i="6"/>
  <c r="J27" i="6" s="1"/>
  <c r="K24" i="6"/>
  <c r="K27" i="6" s="1"/>
</calcChain>
</file>

<file path=xl/sharedStrings.xml><?xml version="1.0" encoding="utf-8"?>
<sst xmlns="http://schemas.openxmlformats.org/spreadsheetml/2006/main" count="301" uniqueCount="98">
  <si>
    <t>UBICACIÓN</t>
  </si>
  <si>
    <t>CANTIDAD</t>
  </si>
  <si>
    <t>TIEMPO DE SERVICIO</t>
  </si>
  <si>
    <t>DOTACION ARMA</t>
  </si>
  <si>
    <t xml:space="preserve">EQUIPO DE COMUNICACIÓN </t>
  </si>
  <si>
    <t>TARIFA</t>
  </si>
  <si>
    <t>PRIMA SEGURO DE VIDA</t>
  </si>
  <si>
    <t>TARIFA + VALOR PRIMA SEGURO DE VIDA (EM SUGERIDO)</t>
  </si>
  <si>
    <t xml:space="preserve">PORCENTAJE DE GASTO DE ADMINISTRACIÓN Y SUPERVISIÓN </t>
  </si>
  <si>
    <t xml:space="preserve"> VALOR GASTOS DE ADMINISTRACIÓN DE SUPERVISIÓN</t>
  </si>
  <si>
    <t>TARIFA BASE + ADMINISTRACION Y SUPERVISION</t>
  </si>
  <si>
    <t>AIU(10%) Base IVA</t>
  </si>
  <si>
    <t>IVA ( (19% sobre AIU)</t>
  </si>
  <si>
    <t>Carrera 6A # 118 - 03</t>
  </si>
  <si>
    <t>24 HORAS PERMANENTE, DE LUNES A DOMINGO INCLUYENDO FESTIVOS</t>
  </si>
  <si>
    <t>SI</t>
  </si>
  <si>
    <t>NO</t>
  </si>
  <si>
    <t>CLL 120 A # 7 - 55</t>
  </si>
  <si>
    <t>CALLE 121 # 7 - 31</t>
  </si>
  <si>
    <t xml:space="preserve">CALLE 120 # 5 - 45 </t>
  </si>
  <si>
    <t>CARRERA 3a # 183 A - 30</t>
  </si>
  <si>
    <t>CALLE 122 # 7A 61</t>
  </si>
  <si>
    <t>Calle 153 A No. 7-08</t>
  </si>
  <si>
    <t>Calle 161A No. 7 F 69</t>
  </si>
  <si>
    <t xml:space="preserve">Carrera 7 No. 119- B-03 </t>
  </si>
  <si>
    <t>12 HORAS TURNO NOCTURNO DE LUNES A DOMINGO INCLUYENDO FESTIVOS  (6:00 pm a 6:00 am)</t>
  </si>
  <si>
    <t>VALOR MENSUAL TARIFAS ESTABLECIDAS POR CIRCULAR EXTERNA N° 20241300000445 DEL 15 DE JULIO AL 31 DE DICIEMBRE DE 2025 PARA SERVICIOS DE VIGILANCIA Y SEGURIDAD PRIVADA</t>
  </si>
  <si>
    <t>ESTUDIO DE MERCADO  FDLUSA (CIRCULAR EXTERNA  N° 20241300000445  SUPERVIGILANCIA)  SEGURIDAD Y VIGILANCIA PERIODO 2025
ALCALDIA LOCAL DE USAQUÉN</t>
  </si>
  <si>
    <t>EQUIPO</t>
  </si>
  <si>
    <t>CARACTERÍSTICAS TÉCNICAS</t>
  </si>
  <si>
    <t>SEDES</t>
  </si>
  <si>
    <t>BIOMETRICO CONTROL DE ACCESO FUNCIONARIOS, CARACTERISTICAS</t>
  </si>
  <si>
    <r>
      <rPr>
        <sz val="9"/>
        <color theme="1"/>
        <rFont val="Calibri"/>
        <family val="2"/>
      </rPr>
      <t>•</t>
    </r>
    <r>
      <rPr>
        <sz val="9"/>
        <color theme="1"/>
        <rFont val="Arial"/>
        <family val="2"/>
      </rPr>
      <t xml:space="preserve"> Sede principal Carrera 6a Nro 118 -03
• Sede Administrativa Calle 120 A Nro 5-45 
• Sede Inspecciones  Calle 153 Nr 7-08</t>
    </r>
  </si>
  <si>
    <t>SUBTOTAL ARRENDAMIENTO, INSTALACION, CONFIGURACION Y MANTENIMIENTO</t>
  </si>
  <si>
    <t>EQUIPOS PARA CONTROL DE VISITANTES</t>
  </si>
  <si>
    <t>Sede principal (Carrera 6a Nro 118 -03)</t>
  </si>
  <si>
    <t>SUBTOTAL ARRENDAMIENTO, INSTALACION ,CONFIGURACION Y MANTENIMIENTO DE EQUIPO PARA CONTROL DE VISITANTES</t>
  </si>
  <si>
    <t>EQUIPOS DE SEGURIDAD PARA ALARMAS CCTV Y MONITOREO</t>
  </si>
  <si>
    <t xml:space="preserve">Cámaras tipo domo y/o tipo bullet de interiores como minimo de 8mp, 4k - 2.8 mm a 12mm,  20 metros la asignacion se realizara en cada puesto de trabajo se solicitara el tipo de camara </t>
  </si>
  <si>
    <t>CÁMARA TIPO DOMO PTZ PARA EXTERIORES, IR 100M ¼”, 540 TVL, ZOOM 23X OPTICO 16 X DIGITAL DNR DIGITAL WDR 128X POSICIO- NAMIENTO 3 D, AGC 8 MASCARAS DE PRIVACIDAD, 256 PRESETS, 8 PATRULLAS,4 PATRONES, DIAMETRO 245 X 399 MMM, 5.5 kg Adaptador y soporte.</t>
  </si>
  <si>
    <t>SUBTOTAL ARRENDAMIENTO, E INSTALACION CCTV</t>
  </si>
  <si>
    <r>
      <t xml:space="preserve">EQUIPO PARA ALARMA
</t>
    </r>
    <r>
      <rPr>
        <b/>
        <sz val="9"/>
        <color theme="1"/>
        <rFont val="Arial"/>
        <family val="2"/>
      </rPr>
      <t>Nota: Se entrega instalado con su respectivo cableado UTP nivel 6 certificado y Cable dúplex 2X18</t>
    </r>
  </si>
  <si>
    <t>Panel de alarma hibrido de 32 zonas , inalámbricas ,alambradas, a través de buzón de datos, cuatro particiones, salida para sirena, monitoreable full datos por radio línea telefónica, y gprs y sus respectivas baterías de carga Transformador de entrada 110 voltios AC y salida de 14,8 Voltios AC, 40 voltiamperios</t>
  </si>
  <si>
    <t>Teclados liquid quarts alfanumérico compatible con el panel</t>
  </si>
  <si>
    <t>Transmisores de alarma vía radio full datos compatible 100 con el panel</t>
  </si>
  <si>
    <t>Detectores de movimiento de exteriores, triple tecnología infrarrojo, microondas, y aná- lisis de señales, pet inmune, cubrimiento de 12 metros, ángulo  de detección entre 90 y  110 grados. (2) en la sede principal, (2) en archivo, (2) en Administrativa (2) en la Antigua Jal  (2)  Casa de Fortalecimiento institucional (2) Inspecciones de policia  (2) Archivo  (2) casa del consumidor</t>
  </si>
  <si>
    <t xml:space="preserve">Detectores acústicos de rotura de vidrio y apertura de ventanas en las sedes :
• Una (1) sede principal alcaldia 
• Dos (2)sede inspoecciones </t>
  </si>
  <si>
    <t xml:space="preserve">Detectores de apertura de puertas, contacto magnético liviano:
•Dos (2) en la sede principal
•Dos (2) en Administritativa 
•Una (1) en la Antigua JAL
•Una (1) casa del consumidor 
•Dos (2) Archivo 
•Una (1) inspecciones de policia </t>
  </si>
  <si>
    <t>Detectores de apertura de puertas, contacto magnetico pesado ( Una (1) en archivo)</t>
  </si>
  <si>
    <t>Sirena de 12 voltios 16 DB, 380 miliamperios (Una (1) para cada sede )</t>
  </si>
  <si>
    <t>Kit de receptor y dos trasmisores de botón inalámbrico (boton de panico) rango de 40 metros</t>
  </si>
  <si>
    <t>SUBTOTAL, ARRENDAMIENTO E INSTALACION DE ALARMAS</t>
  </si>
  <si>
    <t>TOTAL ARRIENDO MEDIOS ELECTRONICOS</t>
  </si>
  <si>
    <t>SUBTOTAL MARCADOR DE RONDAS</t>
  </si>
  <si>
    <t>En las 8 sedes</t>
  </si>
  <si>
    <t>Puntos de control electronico de ronda  con el fin de validar el correcto cumplimiento de las funcionesde supervision (los registros de marcacion se deberan entragr menualmente  junto con el informe) 
los puntos de marcacion podran ser NFC, QR, RFID, con el fin de evitar despredimientos de los mismos deberan contar con la proteccion necesaria en caso de ser vandalizada</t>
  </si>
  <si>
    <t xml:space="preserve">MARCADOR DE RONDA  </t>
  </si>
  <si>
    <t>Archivo calle 121 Nro 7-31</t>
  </si>
  <si>
    <t xml:space="preserve">Sede principal Carrera 6a Nro 118 -03
Inspecciones  Calle 153 Nro 7-08
Archivo calle 121 Nro 7-31
Sede administrativa calle 120 A No 5-45 
Sede Jal Antigua  Calle 120 A No 7- 55
Sede Casa del consumidor Calle 122 #7a - 61   </t>
  </si>
  <si>
    <t>Sede principal Carrera 6a Nro 118 -03 Inspecciones  Calle 153 Nro 7-08</t>
  </si>
  <si>
    <t>Monitores de 24 pulgadas, tipo FULL HD</t>
  </si>
  <si>
    <t xml:space="preserve">Sede principal Carrera 6a Nro 118 -03
Inspecciones  Calle 153 Nro 7-08
Archivo calle 121 Nro 7-31
Sede administrativa calle 120 A No 5-45 
Sede Jal Antigua  Calle 120 A No 7- 55
Sede casa de la cultura Carrera 3 A # 183 A 30
Sede casa de la memoria  Calle 161a  # 7F - 69
Sede Casa del consumidor Calle 122 #7a - 61   </t>
  </si>
  <si>
    <t>DVR de 16 canales de video análogos wd1/4cif @15 fps,4 canales de audio de entrada y VGA/HDMI a una resolución de 3840×2160p, vista en vivo desde el teléfono celular o internet .3 puertos USB para fácil backup y disco duro  de 8 (ocho) Teras, para las siguientes sedes:
• Dos (2) Sede principal Carrera 6a Nro 118 -03
• Uno (1) Inspecciones  Calle 153 Nro 7-08
• Uno (1) en archivo calle 121 Nro 7-31
• Uno (1) Sede administrativa calle 120 A No 5-45 
• Uno (1) Sede Jal Antigua  Calle 120 A No 7- 55
• Uno (1) Sede casa de la cultura Carrera 3 A # 183 A 30
• Uno (1) Sede casa de la memoria  Calle 161a  # 7F - 69
• Uno (1) Sede Casa del consumidor Calle 122 #7a - 61   
Nota: Los canales de internet seran suministrados por la alcaldia, el proponente debera suministrar el cableado desde el dispositivo grabador hasta los puntos indicados por la alcaldia.
Los equipos e infraestructura necesarios para la puesta en funcionamiento seran totalmente independientes a los de la alcaldia.</t>
  </si>
  <si>
    <t>Un PC para la instalación del software y el control de visitantes. (Windows 10, licencia de Windows, pantalla de 20 pulgadas, memoria RAM 8 Giga byte minimo, disco duro de 1 TERA) debe contener licencia ofice y antivirus</t>
  </si>
  <si>
    <t>Lector de Huella</t>
  </si>
  <si>
    <t>Cámara USB a color para toma de fotos de alta definición</t>
  </si>
  <si>
    <t>Software de control de visitantes</t>
  </si>
  <si>
    <t>1. Capacidad de Usuarios: 1500 usuarios por huella y tarjeta, almacenaje          
2.Colocación en base metálica, en 99 usos horarios, grupos de 5 y 10 combinaciones.independiente 50000 registros.(Protección IP 65 o IK 10)                                        
3. Comunicaciones: TCP / IP, RS 485/232, Weigand in / out, USB. 
4. Programaciones de alarmas, robo de alarma.               
5. Otras características: alarmas programadas                  
6. Lectura de código QR (Carnet institucional, debe contener lectura biometrica dactilar,biometrica facial y lectura con targeta)                                                                    
7. Los equipos biometricos estarán centralizados a la sede administrativa y se debera garantizar el correccto funcionamiento de los mismos como tambien la capacitación al personal que sea asignado por parte de la alcaldia                                                                                    
8. Todos los equipos e infrestructura que sean necesarios para la centralización seran aportados directamente por el proponete. Para las sedes: Sede principal Carrera 6a Nro 118 -03; Sede Administrativa Calle 120 A Nro 5-45 y Sede Inspecciones Calle 153 Nro 7-08</t>
  </si>
  <si>
    <t>VALOR TOTAL MENSUAL DE REFERENCIA IVA INCLUIDO</t>
  </si>
  <si>
    <t>12 HORAS DE LUNES AVIERNES SIN FESTIVOS (6:00 am a 6:00 pm) Y SABADOS SIN FESTIVOS (8:00 am a 2pm)</t>
  </si>
  <si>
    <t>SUBTOTAL</t>
  </si>
  <si>
    <t>TARIFA (INCREMENTO SMMLV 2026 9%)</t>
  </si>
  <si>
    <t>PRIMA SEGURO DE VIDA (INCREMENTO IPC 2026 4%)</t>
  </si>
  <si>
    <t>TOTAL SERVICIO VIGILANCIA 5 MESES</t>
  </si>
  <si>
    <t>VALOR MENSUAL TARIFAS ESTABLECIDAS POR CIRCULAR EXTERNA N° 20241300000445 DEL 15 DE JULIO AL 31 DE DICIEMBRE DE 2025 PARA SERVICIOS DE VIGILANCIA Y SEGURIDAD PRIVADA - CON INCREMENTO 9% SMMLV  E IPC 4% PERIODO 2026</t>
  </si>
  <si>
    <t>CANTIDAD (D)</t>
  </si>
  <si>
    <t>VALOR UNITARIO (A)</t>
  </si>
  <si>
    <t>VALOR IVA (A*19%)=B CUANDO APLIQUE</t>
  </si>
  <si>
    <t>VALOR UNITARIO CON IVA (A+B)=C</t>
  </si>
  <si>
    <t>VALOR TOTAL MENSUAL CON IVA (C*D)=E</t>
  </si>
  <si>
    <t>TOTAL VALOR ESTIMADO DEL MERCADO CINCO (5) MESES</t>
  </si>
  <si>
    <t>VALOR TOTAL ESTIMADO 5 MESES CON IVA (E*5)=F</t>
  </si>
  <si>
    <t>% DE DESCUENTO OFERTADO</t>
  </si>
  <si>
    <t>OFERTA COOPERATIVAS</t>
  </si>
  <si>
    <t>ESTUDIO DE MERCADO  FDLUSA (CIRCULAR EXTERNA  N° 20241300000445  SUPERVIGILANCIA)  SEGURIDAD Y VIGILANCIA PERIODO II - 2025
ALCALDIA LOCAL DE USAQUÉN</t>
  </si>
  <si>
    <t xml:space="preserve">VALOR MENSUAL REFERENCIA(TARIFAS 01 JUL - 24 DIC) </t>
  </si>
  <si>
    <t>VALOR TOTAL (21 SEPT - 24 DIC)</t>
  </si>
  <si>
    <t xml:space="preserve">VALOR MENSUAL COOPERATIVA(TARIFAS 21 SEPT - 24 DIC) </t>
  </si>
  <si>
    <t>VALOR TOTAL COOPERATIVA(21 SEPT - 24 DIC)</t>
  </si>
  <si>
    <t xml:space="preserve">VALOR MENSUAL COOPERATIVA(TARIFAS 25 DIC - 20 FEB) </t>
  </si>
  <si>
    <t>VALOR TOTAL COOPERATIVA(25 DIC - 20 FEB)</t>
  </si>
  <si>
    <t>OFERTACON DESCUENTO</t>
  </si>
  <si>
    <t>OFERTA CON DESCUENTO</t>
  </si>
  <si>
    <t xml:space="preserve">Poryecciones y cálculos realizados con base en el proyecto de resolucion de la Superintendencia de vigilancía; Por el cual se actualiza la tarifa mínima regulada de los servicios de vigilancia y seguridad privada a partir del 1 de julio de 2025 </t>
  </si>
  <si>
    <t>VALOR TOTAL (25 DIC 2025 - 20 FEB 2026)</t>
  </si>
  <si>
    <t xml:space="preserve">VALOR MENSUAL REFERENCIA(TARIFA 25 DIC 2025 - 20 FEB 2026) </t>
  </si>
  <si>
    <t>NOTA: 
El presente estudio de mercado se proyectó en el marco de la Circular Externa No. 20241300000445 emitida por SUPERVIGILANCIA que tiene como asunto: Tarifas mínimas para la contratación del servicio de vigilancia y seguridad privada en la vigencia 2025.
Teniendo en cuenta las siguientes tarifas:
* TARIFA DEL 15 DE JULIO AL 31 DE DICIEMBRE DEL 2025: La tarifa mínima equivalente a 9,29 salarios mínimos legales mensuales vigentes (se calcula con el proyecto de resolución por la cual se actualiza la tarifa mínima. Se aplica el 10,04 hasta el 24 de diciembre y con el 10,57 a partir del 25 de diciembre de 2025 con el 10% de gastos de AYS (administración y supervisión).
* Se realiza la proyección del periodo comprendido entre el 01 de enero y el 20 de febrero de 2026 con un porcetaje de incremento proyectado para el SMMLV del 9% e IPC del 4%
El valor total corresponde al cálculo de la tarifa sobre el plazo estimado de 5 meses contados a partir de la fecha estimada de firma del acta de inicio, esto es, desde el 21 de septiembre de 2025 hasta el 20 de febrero de 2026.
Para la oferta económica el proponente deberá diligenciar únicamente la  pestaña denominada "OFER ECON MEDIOS TECNOLÓGICOS" teniendo en cuenta que los servicios de vigilancia ya se encuentran caclulados de acuerdo con la Circular Externa No. 20241300000445 emitida por SUPERVIGILANCIA, en la pesataña denominada "OFER ECON SERVICIOS VIGILANCIA"
En caso de presentarse una cooperativa diligenciar la casilla  % DE DESCUENTO OFERTADO  de la pestaña denominada " OFER ECON COOPERATIVA".</t>
  </si>
  <si>
    <t>NOTA: 
El presente estudio de mercado se proyectó en el marco de la Circular Externa No. 20241300000445 emitida por SUPERVIGILANCIA que tiene como asunto: Tarifas mínimas para la contratación del servicio de vigilancia y seguridad privada en la vigencia 2025.
Teniendo en cuenta las siguientes tarifas:
* TARIFA DEL 15 DE JULIO AL 31 DE DICIEMBRE DEL 2025: La tarifa mínima equivalente a 9,29 salarios mínimos legales mensuales vigentes (se calcula con el proyecto de resolución por la cual se actualiza la tarifa mínima. Se aplica el 10,04 hasta el 24 de diciembre y con el 10,57 a partir del 25 de diciembre de 2025 con el 10% de gastos de AYS (administración y supervisión). 
* Se realiza la proyección del periodo comprendido entre el 01 de enero y el 20 de febrero de 2026 con un porcetaje de incremento proyectado para el SMMLV del 9% e IPC del 4%
El valor total corresponde al cálculo de la tarifa sobre el plazo estimado de 5 meses contados a partir de la fecha estimada de firma del acta de inicio, esto es, desde el 21 de septiembre de 2025 hasta el 20 de febrero de 2026.
Para la oferta económica el proponente deberá diligenciar únicamente la  pestaña denominada "OFER ECON MEDIOS TECNOLÓGICOS" teniendo en cuenta que los servicios de vigilancia ya se encuentran caclulados de acuerdo con la Circular Externa No. 20241300000445 emitida por SUPERVIGILANCIA, en la pesataña denominada "OFER ECON SERVICIOS VIGILANCIA"
En caso de presentarse una cooperativa diligenciar la casilla  % DE DESCUENTO OFERTADO  de la pestaña denominada " OFER ECON COOPERATIVA".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</si>
</sst>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0.00_-;\-&quot;$&quot;* #,##0.00_-;_-&quot;$&quot;* &quot;-&quot;??_-;_-@_-"/>
    <numFmt numFmtId="165" formatCode="_-&quot;$&quot;* #,##0_-;\-&quot;$&quot;* #,##0_-;_-&quot;$&quot;* &quot;-&quot;??_-;_-@_-"/>
  </numFmts>
  <fonts count="17" x14ac:knownFonts="1">
    <font>
      <sz val="11"/>
      <color theme="1"/>
      <name val="Calibri"/>
      <family val="2"/>
      <scheme val="minor"/>
    </font>
    <font>
      <sz val="11"/>
      <color theme="1"/>
      <name val="Calibri"/>
      <family val="2"/>
      <scheme val="minor"/>
    </font>
    <font>
      <b/>
      <sz val="11"/>
      <color theme="1"/>
      <name val="Calibri"/>
      <family val="2"/>
      <scheme val="minor"/>
    </font>
    <font>
      <b/>
      <u/>
      <sz val="11"/>
      <color theme="1"/>
      <name val="Calibri"/>
      <family val="2"/>
      <scheme val="minor"/>
    </font>
    <font>
      <b/>
      <sz val="14"/>
      <color theme="1"/>
      <name val="Calibri"/>
      <family val="2"/>
      <scheme val="minor"/>
    </font>
    <font>
      <b/>
      <sz val="11"/>
      <color theme="1"/>
      <name val="Arial"/>
      <family val="2"/>
    </font>
    <font>
      <sz val="10"/>
      <color theme="1"/>
      <name val="Calibri"/>
      <family val="2"/>
      <scheme val="minor"/>
    </font>
    <font>
      <sz val="11"/>
      <color theme="1"/>
      <name val="Arial"/>
      <family val="2"/>
    </font>
    <font>
      <b/>
      <sz val="9"/>
      <color theme="1"/>
      <name val="Arial"/>
      <family val="2"/>
    </font>
    <font>
      <sz val="9"/>
      <color theme="1"/>
      <name val="Arial"/>
      <family val="2"/>
    </font>
    <font>
      <sz val="9"/>
      <color theme="1"/>
      <name val="Calibri"/>
      <family val="2"/>
    </font>
    <font>
      <b/>
      <sz val="11"/>
      <color theme="0"/>
      <name val="Arial"/>
      <family val="2"/>
    </font>
    <font>
      <b/>
      <sz val="28"/>
      <color theme="0"/>
      <name val="Calibri"/>
      <family val="2"/>
      <scheme val="minor"/>
    </font>
    <font>
      <b/>
      <sz val="9"/>
      <color theme="0"/>
      <name val="Arial"/>
      <family val="2"/>
    </font>
    <font>
      <b/>
      <sz val="11"/>
      <color theme="0"/>
      <name val="Calibri"/>
      <family val="2"/>
      <scheme val="minor"/>
    </font>
    <font>
      <b/>
      <sz val="20"/>
      <color theme="0"/>
      <name val="Calibri"/>
      <family val="2"/>
      <scheme val="minor"/>
    </font>
    <font>
      <b/>
      <sz val="1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4" tint="-0.499984740745262"/>
        <bgColor indexed="64"/>
      </patternFill>
    </fill>
    <fill>
      <patternFill patternType="solid">
        <fgColor theme="8" tint="-0.249977111117893"/>
        <bgColor indexed="64"/>
      </patternFill>
    </fill>
    <fill>
      <patternFill patternType="solid">
        <fgColor theme="9" tint="0.399975585192419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84">
    <xf numFmtId="0" fontId="0" fillId="0" borderId="0" xfId="0"/>
    <xf numFmtId="0" fontId="3" fillId="0" borderId="0" xfId="0" applyFont="1" applyAlignment="1">
      <alignment horizont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vertical="center" wrapText="1"/>
    </xf>
    <xf numFmtId="4" fontId="0" fillId="0" borderId="0" xfId="0" applyNumberFormat="1"/>
    <xf numFmtId="0" fontId="9" fillId="0" borderId="1" xfId="0" applyFont="1" applyBorder="1" applyAlignment="1">
      <alignment horizontal="justify" vertical="center" wrapText="1"/>
    </xf>
    <xf numFmtId="1" fontId="9" fillId="0" borderId="1" xfId="0" applyNumberFormat="1" applyFont="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9" fillId="2" borderId="1" xfId="0" applyFont="1" applyFill="1" applyBorder="1" applyAlignment="1">
      <alignment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justify" vertical="center" wrapText="1"/>
    </xf>
    <xf numFmtId="0" fontId="10" fillId="0" borderId="1" xfId="0" applyFont="1" applyBorder="1" applyAlignment="1">
      <alignment horizontal="justify" vertical="center" wrapText="1"/>
    </xf>
    <xf numFmtId="0" fontId="9" fillId="0" borderId="1" xfId="0" applyFont="1" applyBorder="1" applyAlignment="1">
      <alignment horizontal="justify" vertical="justify" wrapText="1"/>
    </xf>
    <xf numFmtId="4" fontId="2" fillId="0" borderId="0" xfId="0" applyNumberFormat="1" applyFont="1"/>
    <xf numFmtId="4" fontId="0" fillId="3" borderId="1" xfId="0" applyNumberFormat="1" applyFill="1" applyBorder="1"/>
    <xf numFmtId="4" fontId="2" fillId="3" borderId="1" xfId="0" applyNumberFormat="1" applyFont="1" applyFill="1" applyBorder="1"/>
    <xf numFmtId="0" fontId="2" fillId="0" borderId="0" xfId="0" applyFont="1" applyAlignment="1">
      <alignment horizontal="center"/>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center" wrapText="1"/>
    </xf>
    <xf numFmtId="0" fontId="0" fillId="0" borderId="0" xfId="0" applyAlignment="1">
      <alignment horizontal="center" wrapText="1"/>
    </xf>
    <xf numFmtId="0" fontId="0" fillId="0" borderId="0" xfId="0" applyAlignment="1">
      <alignment horizontal="center"/>
    </xf>
    <xf numFmtId="4" fontId="0" fillId="0" borderId="0" xfId="0" applyNumberFormat="1" applyAlignment="1">
      <alignment horizontal="center"/>
    </xf>
    <xf numFmtId="9" fontId="0" fillId="0" borderId="0" xfId="0" applyNumberFormat="1"/>
    <xf numFmtId="0" fontId="0" fillId="0" borderId="1" xfId="0" applyBorder="1" applyAlignment="1">
      <alignment horizontal="center" vertical="center" wrapText="1"/>
    </xf>
    <xf numFmtId="0" fontId="0" fillId="0" borderId="1" xfId="0" applyBorder="1" applyAlignment="1">
      <alignment horizontal="center" vertical="center"/>
    </xf>
    <xf numFmtId="4" fontId="0" fillId="0" borderId="1" xfId="0" applyNumberFormat="1" applyBorder="1" applyAlignment="1">
      <alignment horizontal="center" vertical="center"/>
    </xf>
    <xf numFmtId="4" fontId="0" fillId="0" borderId="1" xfId="0" applyNumberFormat="1" applyBorder="1" applyAlignment="1">
      <alignment vertical="center"/>
    </xf>
    <xf numFmtId="9" fontId="0" fillId="0" borderId="1" xfId="0" applyNumberFormat="1" applyBorder="1" applyAlignment="1">
      <alignment vertical="center"/>
    </xf>
    <xf numFmtId="4" fontId="0" fillId="3" borderId="1" xfId="0" applyNumberFormat="1" applyFill="1" applyBorder="1" applyAlignment="1">
      <alignment vertical="center"/>
    </xf>
    <xf numFmtId="4" fontId="2" fillId="3" borderId="1" xfId="0" applyNumberFormat="1" applyFont="1" applyFill="1" applyBorder="1" applyAlignment="1">
      <alignment vertical="center"/>
    </xf>
    <xf numFmtId="0" fontId="0" fillId="0" borderId="0" xfId="0" applyProtection="1">
      <protection locked="0"/>
    </xf>
    <xf numFmtId="44" fontId="7" fillId="2" borderId="1" xfId="1" applyFont="1" applyFill="1" applyBorder="1" applyAlignment="1" applyProtection="1">
      <alignment horizontal="center" vertical="center"/>
    </xf>
    <xf numFmtId="44" fontId="7" fillId="2" borderId="1" xfId="1" applyFont="1" applyFill="1" applyBorder="1" applyAlignment="1" applyProtection="1">
      <alignment horizontal="center" vertical="center"/>
      <protection locked="0"/>
    </xf>
    <xf numFmtId="164" fontId="8" fillId="3" borderId="1" xfId="0" applyNumberFormat="1" applyFont="1" applyFill="1" applyBorder="1" applyAlignment="1">
      <alignment horizontal="justify" vertical="center" wrapText="1"/>
    </xf>
    <xf numFmtId="164" fontId="8" fillId="3" borderId="1" xfId="0" applyNumberFormat="1" applyFont="1" applyFill="1" applyBorder="1" applyAlignment="1" applyProtection="1">
      <alignment horizontal="justify" vertical="center" wrapText="1"/>
      <protection locked="0"/>
    </xf>
    <xf numFmtId="165" fontId="8" fillId="3" borderId="1" xfId="0" applyNumberFormat="1" applyFont="1" applyFill="1" applyBorder="1" applyAlignment="1">
      <alignment horizontal="justify" vertical="center" wrapText="1"/>
    </xf>
    <xf numFmtId="165" fontId="8" fillId="3" borderId="1" xfId="0" applyNumberFormat="1" applyFont="1" applyFill="1" applyBorder="1" applyAlignment="1" applyProtection="1">
      <alignment horizontal="justify" vertical="center" wrapText="1"/>
      <protection locked="0"/>
    </xf>
    <xf numFmtId="165" fontId="13" fillId="5" borderId="1" xfId="0" applyNumberFormat="1" applyFont="1" applyFill="1" applyBorder="1" applyAlignment="1">
      <alignment horizontal="center" vertical="center" wrapText="1"/>
    </xf>
    <xf numFmtId="165" fontId="13" fillId="5" borderId="1" xfId="0" applyNumberFormat="1" applyFont="1" applyFill="1" applyBorder="1" applyAlignment="1" applyProtection="1">
      <alignment horizontal="center" vertical="center" wrapText="1"/>
      <protection locked="0"/>
    </xf>
    <xf numFmtId="9" fontId="0" fillId="0" borderId="1" xfId="2" applyFont="1" applyBorder="1" applyProtection="1">
      <protection locked="0"/>
    </xf>
    <xf numFmtId="4" fontId="0" fillId="0" borderId="1" xfId="0" applyNumberFormat="1" applyBorder="1"/>
    <xf numFmtId="4" fontId="2" fillId="6" borderId="0" xfId="0" applyNumberFormat="1" applyFont="1" applyFill="1" applyAlignment="1">
      <alignment horizontal="center" vertical="center"/>
    </xf>
    <xf numFmtId="0" fontId="0" fillId="6" borderId="0" xfId="0" applyFill="1"/>
    <xf numFmtId="0" fontId="2" fillId="6" borderId="0" xfId="0" applyFont="1" applyFill="1" applyAlignment="1">
      <alignment horizontal="center" vertical="center"/>
    </xf>
    <xf numFmtId="4" fontId="14" fillId="6" borderId="0" xfId="0" applyNumberFormat="1" applyFont="1" applyFill="1"/>
    <xf numFmtId="4" fontId="14" fillId="6" borderId="1" xfId="0" applyNumberFormat="1" applyFont="1" applyFill="1" applyBorder="1" applyProtection="1">
      <protection locked="0"/>
    </xf>
    <xf numFmtId="4" fontId="14" fillId="6" borderId="1" xfId="0" applyNumberFormat="1" applyFont="1" applyFill="1" applyBorder="1"/>
    <xf numFmtId="4" fontId="16" fillId="7" borderId="0" xfId="0" applyNumberFormat="1" applyFont="1" applyFill="1"/>
    <xf numFmtId="4" fontId="16" fillId="7" borderId="1" xfId="0" applyNumberFormat="1" applyFont="1" applyFill="1" applyBorder="1"/>
    <xf numFmtId="0" fontId="11" fillId="5" borderId="1" xfId="0" applyFont="1" applyFill="1" applyBorder="1" applyAlignment="1">
      <alignment horizontal="center" vertical="center" wrapText="1"/>
    </xf>
    <xf numFmtId="4" fontId="4" fillId="4" borderId="1" xfId="0" applyNumberFormat="1" applyFont="1" applyFill="1" applyBorder="1" applyAlignment="1">
      <alignment horizontal="center" vertical="center"/>
    </xf>
    <xf numFmtId="0" fontId="4" fillId="4" borderId="1" xfId="0" applyFont="1" applyFill="1" applyBorder="1" applyAlignment="1">
      <alignment horizontal="center" vertical="center"/>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4" fillId="0" borderId="6" xfId="0" applyFont="1" applyBorder="1" applyAlignment="1">
      <alignment horizontal="center" vertical="center"/>
    </xf>
    <xf numFmtId="0" fontId="4" fillId="0" borderId="2" xfId="0" applyFont="1" applyBorder="1" applyAlignment="1">
      <alignment horizontal="center" vertical="center"/>
    </xf>
    <xf numFmtId="0" fontId="2" fillId="3" borderId="1" xfId="0" applyFont="1" applyFill="1" applyBorder="1" applyAlignment="1">
      <alignment horizontal="center"/>
    </xf>
    <xf numFmtId="0" fontId="4" fillId="0" borderId="0" xfId="0" applyFont="1" applyAlignment="1">
      <alignment horizontal="center"/>
    </xf>
    <xf numFmtId="0" fontId="11" fillId="5" borderId="1" xfId="0" applyFont="1" applyFill="1" applyBorder="1" applyAlignment="1">
      <alignment horizontal="center" vertical="center"/>
    </xf>
    <xf numFmtId="0" fontId="0" fillId="0" borderId="1" xfId="0" applyBorder="1" applyAlignment="1">
      <alignment horizontal="justify" vertical="justify" wrapText="1"/>
    </xf>
    <xf numFmtId="0" fontId="0" fillId="0" borderId="1" xfId="0" applyBorder="1" applyAlignment="1">
      <alignment horizontal="justify" vertical="justify"/>
    </xf>
    <xf numFmtId="0" fontId="2" fillId="3" borderId="1" xfId="0" applyFont="1" applyFill="1" applyBorder="1" applyAlignment="1">
      <alignment horizontal="center" vertical="center"/>
    </xf>
    <xf numFmtId="0" fontId="12" fillId="5" borderId="1" xfId="0" applyFont="1" applyFill="1" applyBorder="1" applyAlignment="1">
      <alignment horizontal="center"/>
    </xf>
    <xf numFmtId="0" fontId="13" fillId="5"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8" fillId="3" borderId="1" xfId="0" applyFont="1" applyFill="1" applyBorder="1" applyAlignment="1">
      <alignment horizontal="right" vertical="center" wrapText="1"/>
    </xf>
    <xf numFmtId="0" fontId="13" fillId="5" borderId="1" xfId="0" applyFont="1" applyFill="1" applyBorder="1" applyAlignment="1" applyProtection="1">
      <alignment horizontal="center" vertical="center" wrapText="1"/>
      <protection locked="0"/>
    </xf>
    <xf numFmtId="3" fontId="13" fillId="5" borderId="1" xfId="0" applyNumberFormat="1" applyFont="1" applyFill="1" applyBorder="1" applyAlignment="1">
      <alignment horizontal="center" vertical="center" wrapText="1"/>
    </xf>
    <xf numFmtId="0" fontId="13" fillId="5" borderId="1" xfId="0" applyFont="1" applyFill="1" applyBorder="1" applyAlignment="1">
      <alignment horizontal="right" vertical="center" wrapText="1"/>
    </xf>
    <xf numFmtId="4" fontId="16" fillId="7" borderId="1" xfId="0" applyNumberFormat="1" applyFont="1" applyFill="1" applyBorder="1" applyAlignment="1">
      <alignment horizontal="center" vertical="center"/>
    </xf>
    <xf numFmtId="0" fontId="16" fillId="7" borderId="1" xfId="0" applyFont="1" applyFill="1" applyBorder="1" applyAlignment="1">
      <alignment horizontal="center" vertical="center"/>
    </xf>
    <xf numFmtId="0" fontId="15" fillId="6" borderId="0" xfId="0" applyFont="1" applyFill="1" applyAlignment="1">
      <alignment horizontal="center" vertical="center"/>
    </xf>
    <xf numFmtId="0" fontId="11" fillId="6" borderId="4" xfId="0" applyFont="1" applyFill="1" applyBorder="1" applyAlignment="1">
      <alignment horizontal="center" vertical="center" wrapText="1"/>
    </xf>
    <xf numFmtId="0" fontId="11" fillId="6" borderId="7"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1" fillId="6" borderId="1" xfId="0" applyFont="1" applyFill="1" applyBorder="1" applyAlignment="1">
      <alignment horizontal="center" vertical="center" wrapText="1"/>
    </xf>
    <xf numFmtId="44" fontId="0" fillId="0" borderId="1" xfId="3" applyFont="1" applyBorder="1"/>
    <xf numFmtId="44" fontId="2" fillId="7" borderId="1" xfId="0" applyNumberFormat="1" applyFont="1" applyFill="1" applyBorder="1"/>
    <xf numFmtId="44" fontId="2" fillId="7" borderId="4" xfId="0" applyNumberFormat="1" applyFont="1" applyFill="1" applyBorder="1" applyAlignment="1">
      <alignment horizontal="center" vertical="center"/>
    </xf>
    <xf numFmtId="0" fontId="2" fillId="7" borderId="3" xfId="0" applyFont="1" applyFill="1" applyBorder="1" applyAlignment="1">
      <alignment horizontal="center" vertical="center"/>
    </xf>
    <xf numFmtId="0" fontId="2" fillId="0" borderId="0" xfId="0" applyFont="1" applyAlignment="1">
      <alignment horizontal="center" vertical="center" wrapText="1"/>
    </xf>
  </cellXfs>
  <cellStyles count="4">
    <cellStyle name="Moneda" xfId="3" builtinId="4"/>
    <cellStyle name="Moneda 2" xfId="1" xr:uid="{2DD27B29-6206-4516-9097-B831BA42343A}"/>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84E01-EB7D-4BED-B2B3-5C29949C26C7}">
  <sheetPr>
    <tabColor theme="4" tint="-0.499984740745262"/>
  </sheetPr>
  <dimension ref="A1:O44"/>
  <sheetViews>
    <sheetView tabSelected="1" zoomScale="70" zoomScaleNormal="70" workbookViewId="0">
      <selection activeCell="D51" sqref="D51"/>
    </sheetView>
  </sheetViews>
  <sheetFormatPr baseColWidth="10" defaultRowHeight="14.4" x14ac:dyDescent="0.3"/>
  <cols>
    <col min="1" max="1" width="58.5546875" customWidth="1"/>
    <col min="2" max="2" width="22.44140625" customWidth="1"/>
    <col min="3" max="3" width="37.33203125" customWidth="1"/>
    <col min="4" max="4" width="19.109375" bestFit="1" customWidth="1"/>
    <col min="5" max="5" width="19.88671875" customWidth="1"/>
    <col min="6" max="7" width="18.33203125" customWidth="1"/>
    <col min="8" max="8" width="25.88671875" customWidth="1"/>
    <col min="9" max="9" width="31" customWidth="1"/>
    <col min="10" max="10" width="21.5546875" customWidth="1"/>
    <col min="11" max="11" width="23.33203125" customWidth="1"/>
    <col min="12" max="13" width="20.44140625" customWidth="1"/>
    <col min="14" max="14" width="27.33203125" customWidth="1"/>
    <col min="15" max="15" width="23" customWidth="1"/>
  </cols>
  <sheetData>
    <row r="1" spans="1:15" ht="15" customHeight="1" x14ac:dyDescent="0.3">
      <c r="A1" s="55" t="s">
        <v>84</v>
      </c>
      <c r="B1" s="56"/>
      <c r="C1" s="56"/>
      <c r="D1" s="56"/>
      <c r="E1" s="56"/>
      <c r="F1" s="56"/>
      <c r="G1" s="56"/>
      <c r="H1" s="56"/>
      <c r="I1" s="56"/>
      <c r="J1" s="56"/>
      <c r="K1" s="56"/>
      <c r="L1" s="56"/>
      <c r="M1" s="56"/>
      <c r="N1" s="56"/>
      <c r="O1" s="56"/>
    </row>
    <row r="2" spans="1:15" x14ac:dyDescent="0.3">
      <c r="A2" s="55"/>
      <c r="B2" s="56"/>
      <c r="C2" s="56"/>
      <c r="D2" s="56"/>
      <c r="E2" s="56"/>
      <c r="F2" s="56"/>
      <c r="G2" s="56"/>
      <c r="H2" s="56"/>
      <c r="I2" s="56"/>
      <c r="J2" s="56"/>
      <c r="K2" s="56"/>
      <c r="L2" s="56"/>
      <c r="M2" s="56"/>
      <c r="N2" s="56"/>
      <c r="O2" s="56"/>
    </row>
    <row r="3" spans="1:15" x14ac:dyDescent="0.3">
      <c r="A3" s="1"/>
      <c r="E3" s="83" t="s">
        <v>93</v>
      </c>
      <c r="F3" s="83"/>
      <c r="G3" s="83"/>
      <c r="H3" s="83"/>
      <c r="I3" s="83"/>
    </row>
    <row r="4" spans="1:15" ht="27" customHeight="1" x14ac:dyDescent="0.3">
      <c r="E4" s="83"/>
      <c r="F4" s="83"/>
      <c r="G4" s="83"/>
      <c r="H4" s="83"/>
      <c r="I4" s="83"/>
    </row>
    <row r="5" spans="1:15" ht="18" x14ac:dyDescent="0.3">
      <c r="A5" s="57" t="s">
        <v>26</v>
      </c>
      <c r="B5" s="58"/>
      <c r="C5" s="58"/>
      <c r="D5" s="58"/>
      <c r="E5" s="58"/>
      <c r="F5" s="58"/>
      <c r="G5" s="58"/>
      <c r="H5" s="58"/>
      <c r="I5" s="58"/>
      <c r="J5" s="58"/>
      <c r="K5" s="58"/>
      <c r="L5" s="58"/>
      <c r="M5" s="58"/>
      <c r="N5" s="58"/>
      <c r="O5" s="58"/>
    </row>
    <row r="6" spans="1:15" x14ac:dyDescent="0.3">
      <c r="A6" s="52" t="s">
        <v>0</v>
      </c>
      <c r="B6" s="52" t="s">
        <v>1</v>
      </c>
      <c r="C6" s="61" t="s">
        <v>2</v>
      </c>
      <c r="D6" s="52" t="s">
        <v>3</v>
      </c>
      <c r="E6" s="52" t="s">
        <v>4</v>
      </c>
      <c r="F6" s="52" t="s">
        <v>5</v>
      </c>
      <c r="G6" s="52" t="s">
        <v>6</v>
      </c>
      <c r="H6" s="52" t="s">
        <v>7</v>
      </c>
      <c r="I6" s="52" t="s">
        <v>8</v>
      </c>
      <c r="J6" s="52" t="s">
        <v>9</v>
      </c>
      <c r="K6" s="52" t="s">
        <v>10</v>
      </c>
      <c r="L6" s="52" t="s">
        <v>11</v>
      </c>
      <c r="M6" s="52" t="s">
        <v>12</v>
      </c>
      <c r="N6" s="52" t="s">
        <v>85</v>
      </c>
      <c r="O6" s="52" t="s">
        <v>86</v>
      </c>
    </row>
    <row r="7" spans="1:15" x14ac:dyDescent="0.3">
      <c r="A7" s="52"/>
      <c r="B7" s="52"/>
      <c r="C7" s="61"/>
      <c r="D7" s="52"/>
      <c r="E7" s="52"/>
      <c r="F7" s="52"/>
      <c r="G7" s="52"/>
      <c r="H7" s="52"/>
      <c r="I7" s="52"/>
      <c r="J7" s="52"/>
      <c r="K7" s="52"/>
      <c r="L7" s="52"/>
      <c r="M7" s="52"/>
      <c r="N7" s="52"/>
      <c r="O7" s="52"/>
    </row>
    <row r="8" spans="1:15" x14ac:dyDescent="0.3">
      <c r="A8" s="52"/>
      <c r="B8" s="52"/>
      <c r="C8" s="61"/>
      <c r="D8" s="52"/>
      <c r="E8" s="52"/>
      <c r="F8" s="52"/>
      <c r="G8" s="52"/>
      <c r="H8" s="52"/>
      <c r="I8" s="52"/>
      <c r="J8" s="52"/>
      <c r="K8" s="52"/>
      <c r="L8" s="52"/>
      <c r="M8" s="52"/>
      <c r="N8" s="52"/>
      <c r="O8" s="52"/>
    </row>
    <row r="9" spans="1:15" ht="27.6" x14ac:dyDescent="0.3">
      <c r="A9" s="2" t="s">
        <v>13</v>
      </c>
      <c r="B9" s="3">
        <v>1</v>
      </c>
      <c r="C9" s="4" t="s">
        <v>14</v>
      </c>
      <c r="D9" s="26" t="s">
        <v>15</v>
      </c>
      <c r="E9" s="27" t="s">
        <v>15</v>
      </c>
      <c r="F9" s="28">
        <v>1423500</v>
      </c>
      <c r="G9" s="28">
        <v>4928</v>
      </c>
      <c r="H9" s="29">
        <f>+(F9*10.04)+G9</f>
        <v>14296867.999999998</v>
      </c>
      <c r="I9" s="30">
        <v>0.1</v>
      </c>
      <c r="J9" s="29">
        <f t="shared" ref="J9:J18" si="0">ROUND((H9*I9),0)</f>
        <v>1429687</v>
      </c>
      <c r="K9" s="29">
        <f t="shared" ref="K9:K18" si="1">+H9+J9</f>
        <v>15726554.999999998</v>
      </c>
      <c r="L9" s="29">
        <f t="shared" ref="L9:L18" si="2">+ROUND(K9*10%,0)</f>
        <v>1572656</v>
      </c>
      <c r="M9" s="29">
        <f t="shared" ref="M9:M18" si="3">+ROUND(L9*19%,0)</f>
        <v>298805</v>
      </c>
      <c r="N9" s="29">
        <f t="shared" ref="N9:N18" si="4">+ROUND(K9+L9+M9,0)</f>
        <v>17598016</v>
      </c>
      <c r="O9" s="29">
        <f>+ROUND((N9*1)+((N9/30)*94),0)</f>
        <v>72738466</v>
      </c>
    </row>
    <row r="10" spans="1:15" ht="41.4" x14ac:dyDescent="0.3">
      <c r="A10" s="2" t="s">
        <v>13</v>
      </c>
      <c r="B10" s="3">
        <v>1</v>
      </c>
      <c r="C10" s="4" t="s">
        <v>69</v>
      </c>
      <c r="D10" s="26" t="s">
        <v>16</v>
      </c>
      <c r="E10" s="27" t="s">
        <v>15</v>
      </c>
      <c r="F10" s="28">
        <v>1423500</v>
      </c>
      <c r="G10" s="28">
        <v>1643</v>
      </c>
      <c r="H10" s="29">
        <f>ROUND(((((((F10*10.04+G10)*55.97%)/30)*20)/15)*12),0)+ROUND(((((((F10*10.04+G10)*55.97%)/30)*4)/15)*6),0)</f>
        <v>4693403</v>
      </c>
      <c r="I10" s="30">
        <v>0.1</v>
      </c>
      <c r="J10" s="29">
        <f t="shared" si="0"/>
        <v>469340</v>
      </c>
      <c r="K10" s="29">
        <f t="shared" si="1"/>
        <v>5162743</v>
      </c>
      <c r="L10" s="29">
        <f t="shared" si="2"/>
        <v>516274</v>
      </c>
      <c r="M10" s="29">
        <f t="shared" si="3"/>
        <v>98092</v>
      </c>
      <c r="N10" s="29">
        <f t="shared" si="4"/>
        <v>5777109</v>
      </c>
      <c r="O10" s="29">
        <f t="shared" ref="O10:O18" si="5">+ROUND((N10*1)+((N10/30)*94),0)</f>
        <v>23878717</v>
      </c>
    </row>
    <row r="11" spans="1:15" ht="27.6" x14ac:dyDescent="0.3">
      <c r="A11" s="2" t="s">
        <v>17</v>
      </c>
      <c r="B11" s="3">
        <v>1</v>
      </c>
      <c r="C11" s="4" t="s">
        <v>14</v>
      </c>
      <c r="D11" s="26" t="s">
        <v>15</v>
      </c>
      <c r="E11" s="27" t="s">
        <v>15</v>
      </c>
      <c r="F11" s="28">
        <v>1423500</v>
      </c>
      <c r="G11" s="28">
        <v>4928</v>
      </c>
      <c r="H11" s="29">
        <f>+(F11*10.04)+G11</f>
        <v>14296867.999999998</v>
      </c>
      <c r="I11" s="30">
        <v>0.1</v>
      </c>
      <c r="J11" s="29">
        <f t="shared" si="0"/>
        <v>1429687</v>
      </c>
      <c r="K11" s="29">
        <f t="shared" si="1"/>
        <v>15726554.999999998</v>
      </c>
      <c r="L11" s="29">
        <f t="shared" si="2"/>
        <v>1572656</v>
      </c>
      <c r="M11" s="29">
        <f t="shared" si="3"/>
        <v>298805</v>
      </c>
      <c r="N11" s="29">
        <f t="shared" si="4"/>
        <v>17598016</v>
      </c>
      <c r="O11" s="29">
        <f t="shared" si="5"/>
        <v>72738466</v>
      </c>
    </row>
    <row r="12" spans="1:15" ht="27.6" x14ac:dyDescent="0.3">
      <c r="A12" s="2" t="s">
        <v>18</v>
      </c>
      <c r="B12" s="3">
        <v>1</v>
      </c>
      <c r="C12" s="4" t="s">
        <v>14</v>
      </c>
      <c r="D12" s="26" t="s">
        <v>15</v>
      </c>
      <c r="E12" s="27" t="s">
        <v>15</v>
      </c>
      <c r="F12" s="28">
        <v>1423500</v>
      </c>
      <c r="G12" s="28">
        <v>4928</v>
      </c>
      <c r="H12" s="29">
        <f t="shared" ref="H12:H17" si="6">+(F12*10.04)+G12</f>
        <v>14296867.999999998</v>
      </c>
      <c r="I12" s="30">
        <v>0.1</v>
      </c>
      <c r="J12" s="29">
        <f t="shared" si="0"/>
        <v>1429687</v>
      </c>
      <c r="K12" s="29">
        <f t="shared" si="1"/>
        <v>15726554.999999998</v>
      </c>
      <c r="L12" s="29">
        <f t="shared" si="2"/>
        <v>1572656</v>
      </c>
      <c r="M12" s="29">
        <f t="shared" si="3"/>
        <v>298805</v>
      </c>
      <c r="N12" s="29">
        <f t="shared" si="4"/>
        <v>17598016</v>
      </c>
      <c r="O12" s="29">
        <f t="shared" si="5"/>
        <v>72738466</v>
      </c>
    </row>
    <row r="13" spans="1:15" ht="27.6" x14ac:dyDescent="0.3">
      <c r="A13" s="2" t="s">
        <v>19</v>
      </c>
      <c r="B13" s="3">
        <v>1</v>
      </c>
      <c r="C13" s="4" t="s">
        <v>14</v>
      </c>
      <c r="D13" s="26" t="s">
        <v>15</v>
      </c>
      <c r="E13" s="27" t="s">
        <v>15</v>
      </c>
      <c r="F13" s="28">
        <v>1423500</v>
      </c>
      <c r="G13" s="28">
        <v>4928</v>
      </c>
      <c r="H13" s="29">
        <f t="shared" si="6"/>
        <v>14296867.999999998</v>
      </c>
      <c r="I13" s="30">
        <v>0.1</v>
      </c>
      <c r="J13" s="29">
        <f t="shared" si="0"/>
        <v>1429687</v>
      </c>
      <c r="K13" s="29">
        <f t="shared" si="1"/>
        <v>15726554.999999998</v>
      </c>
      <c r="L13" s="29">
        <f t="shared" si="2"/>
        <v>1572656</v>
      </c>
      <c r="M13" s="29">
        <f t="shared" si="3"/>
        <v>298805</v>
      </c>
      <c r="N13" s="29">
        <f t="shared" si="4"/>
        <v>17598016</v>
      </c>
      <c r="O13" s="29">
        <f t="shared" si="5"/>
        <v>72738466</v>
      </c>
    </row>
    <row r="14" spans="1:15" ht="27.6" x14ac:dyDescent="0.3">
      <c r="A14" s="2" t="s">
        <v>20</v>
      </c>
      <c r="B14" s="3">
        <v>1</v>
      </c>
      <c r="C14" s="4" t="s">
        <v>14</v>
      </c>
      <c r="D14" s="26" t="s">
        <v>15</v>
      </c>
      <c r="E14" s="27" t="s">
        <v>15</v>
      </c>
      <c r="F14" s="28">
        <v>1423500</v>
      </c>
      <c r="G14" s="28">
        <v>4928</v>
      </c>
      <c r="H14" s="29">
        <f t="shared" si="6"/>
        <v>14296867.999999998</v>
      </c>
      <c r="I14" s="30">
        <v>0.1</v>
      </c>
      <c r="J14" s="29">
        <f t="shared" si="0"/>
        <v>1429687</v>
      </c>
      <c r="K14" s="29">
        <f t="shared" si="1"/>
        <v>15726554.999999998</v>
      </c>
      <c r="L14" s="29">
        <f t="shared" si="2"/>
        <v>1572656</v>
      </c>
      <c r="M14" s="29">
        <f t="shared" si="3"/>
        <v>298805</v>
      </c>
      <c r="N14" s="29">
        <f t="shared" si="4"/>
        <v>17598016</v>
      </c>
      <c r="O14" s="29">
        <f t="shared" si="5"/>
        <v>72738466</v>
      </c>
    </row>
    <row r="15" spans="1:15" ht="27.6" x14ac:dyDescent="0.3">
      <c r="A15" s="2" t="s">
        <v>21</v>
      </c>
      <c r="B15" s="3">
        <v>1</v>
      </c>
      <c r="C15" s="4" t="s">
        <v>14</v>
      </c>
      <c r="D15" s="26" t="s">
        <v>15</v>
      </c>
      <c r="E15" s="27" t="s">
        <v>15</v>
      </c>
      <c r="F15" s="28">
        <v>1423500</v>
      </c>
      <c r="G15" s="28">
        <v>4928</v>
      </c>
      <c r="H15" s="29">
        <f t="shared" si="6"/>
        <v>14296867.999999998</v>
      </c>
      <c r="I15" s="30">
        <v>0.1</v>
      </c>
      <c r="J15" s="29">
        <f t="shared" si="0"/>
        <v>1429687</v>
      </c>
      <c r="K15" s="29">
        <f t="shared" si="1"/>
        <v>15726554.999999998</v>
      </c>
      <c r="L15" s="29">
        <f t="shared" si="2"/>
        <v>1572656</v>
      </c>
      <c r="M15" s="29">
        <f t="shared" si="3"/>
        <v>298805</v>
      </c>
      <c r="N15" s="29">
        <f t="shared" si="4"/>
        <v>17598016</v>
      </c>
      <c r="O15" s="29">
        <f t="shared" si="5"/>
        <v>72738466</v>
      </c>
    </row>
    <row r="16" spans="1:15" ht="27.6" x14ac:dyDescent="0.3">
      <c r="A16" s="2" t="s">
        <v>22</v>
      </c>
      <c r="B16" s="3">
        <v>1</v>
      </c>
      <c r="C16" s="4" t="s">
        <v>14</v>
      </c>
      <c r="D16" s="26" t="s">
        <v>15</v>
      </c>
      <c r="E16" s="27" t="s">
        <v>15</v>
      </c>
      <c r="F16" s="28">
        <v>1423500</v>
      </c>
      <c r="G16" s="28">
        <v>4928</v>
      </c>
      <c r="H16" s="29">
        <f t="shared" si="6"/>
        <v>14296867.999999998</v>
      </c>
      <c r="I16" s="30">
        <v>0.1</v>
      </c>
      <c r="J16" s="29">
        <f t="shared" si="0"/>
        <v>1429687</v>
      </c>
      <c r="K16" s="29">
        <f t="shared" si="1"/>
        <v>15726554.999999998</v>
      </c>
      <c r="L16" s="29">
        <f t="shared" si="2"/>
        <v>1572656</v>
      </c>
      <c r="M16" s="29">
        <f t="shared" si="3"/>
        <v>298805</v>
      </c>
      <c r="N16" s="29">
        <f t="shared" si="4"/>
        <v>17598016</v>
      </c>
      <c r="O16" s="29">
        <f t="shared" si="5"/>
        <v>72738466</v>
      </c>
    </row>
    <row r="17" spans="1:15" ht="27.6" x14ac:dyDescent="0.3">
      <c r="A17" s="2" t="s">
        <v>23</v>
      </c>
      <c r="B17" s="3">
        <v>1</v>
      </c>
      <c r="C17" s="4" t="s">
        <v>14</v>
      </c>
      <c r="D17" s="26" t="s">
        <v>15</v>
      </c>
      <c r="E17" s="27" t="s">
        <v>15</v>
      </c>
      <c r="F17" s="28">
        <v>1423500</v>
      </c>
      <c r="G17" s="28">
        <v>4928</v>
      </c>
      <c r="H17" s="29">
        <f t="shared" si="6"/>
        <v>14296867.999999998</v>
      </c>
      <c r="I17" s="30">
        <v>0.1</v>
      </c>
      <c r="J17" s="29">
        <f t="shared" si="0"/>
        <v>1429687</v>
      </c>
      <c r="K17" s="29">
        <f t="shared" si="1"/>
        <v>15726554.999999998</v>
      </c>
      <c r="L17" s="29">
        <f t="shared" si="2"/>
        <v>1572656</v>
      </c>
      <c r="M17" s="29">
        <f t="shared" si="3"/>
        <v>298805</v>
      </c>
      <c r="N17" s="29">
        <f t="shared" si="4"/>
        <v>17598016</v>
      </c>
      <c r="O17" s="29">
        <f t="shared" si="5"/>
        <v>72738466</v>
      </c>
    </row>
    <row r="18" spans="1:15" ht="38.25" customHeight="1" x14ac:dyDescent="0.3">
      <c r="A18" s="2" t="s">
        <v>24</v>
      </c>
      <c r="B18" s="3">
        <v>1</v>
      </c>
      <c r="C18" s="4" t="s">
        <v>25</v>
      </c>
      <c r="D18" s="26" t="s">
        <v>16</v>
      </c>
      <c r="E18" s="27" t="s">
        <v>15</v>
      </c>
      <c r="F18" s="28">
        <v>1423500</v>
      </c>
      <c r="G18" s="28">
        <v>1643</v>
      </c>
      <c r="H18" s="29">
        <f>ROUND(((((((F18*10.04+G18)*44.03%)/30)*30)/9)*9)+((((((F18*10.04+G18)*55.97%)/30)*30)/15)*3),0)</f>
        <v>7893488</v>
      </c>
      <c r="I18" s="30">
        <v>0.1</v>
      </c>
      <c r="J18" s="29">
        <f t="shared" si="0"/>
        <v>789349</v>
      </c>
      <c r="K18" s="29">
        <f t="shared" si="1"/>
        <v>8682837</v>
      </c>
      <c r="L18" s="29">
        <f t="shared" si="2"/>
        <v>868284</v>
      </c>
      <c r="M18" s="29">
        <f t="shared" si="3"/>
        <v>164974</v>
      </c>
      <c r="N18" s="29">
        <f t="shared" si="4"/>
        <v>9716095</v>
      </c>
      <c r="O18" s="29">
        <f t="shared" si="5"/>
        <v>40159859</v>
      </c>
    </row>
    <row r="19" spans="1:15" x14ac:dyDescent="0.3">
      <c r="A19" s="64" t="s">
        <v>70</v>
      </c>
      <c r="B19" s="64"/>
      <c r="C19" s="64"/>
      <c r="D19" s="64"/>
      <c r="E19" s="64"/>
      <c r="F19" s="31">
        <f>SUM(F9:F18)</f>
        <v>14235000</v>
      </c>
      <c r="G19" s="31">
        <f t="shared" ref="G19:H19" si="7">SUM(G9:G18)</f>
        <v>42710</v>
      </c>
      <c r="H19" s="31">
        <f t="shared" si="7"/>
        <v>126961835</v>
      </c>
      <c r="I19" s="31"/>
      <c r="J19" s="31">
        <f t="shared" ref="J19:O19" si="8">SUM(J9:J18)</f>
        <v>12696185</v>
      </c>
      <c r="K19" s="31">
        <f t="shared" si="8"/>
        <v>139658020</v>
      </c>
      <c r="L19" s="31">
        <f t="shared" si="8"/>
        <v>13965806</v>
      </c>
      <c r="M19" s="31">
        <f t="shared" si="8"/>
        <v>2653506</v>
      </c>
      <c r="N19" s="31">
        <f t="shared" si="8"/>
        <v>156277332</v>
      </c>
      <c r="O19" s="32">
        <f t="shared" si="8"/>
        <v>645946304</v>
      </c>
    </row>
    <row r="20" spans="1:15" x14ac:dyDescent="0.3">
      <c r="A20" s="18"/>
      <c r="B20" s="18"/>
      <c r="C20" s="18"/>
      <c r="D20" s="18"/>
      <c r="E20" s="18"/>
      <c r="F20" s="5"/>
      <c r="G20" s="5"/>
      <c r="H20" s="5"/>
      <c r="I20" s="5"/>
      <c r="J20" s="5"/>
      <c r="K20" s="5"/>
      <c r="L20" s="5"/>
      <c r="M20" s="5"/>
      <c r="N20" s="5"/>
      <c r="O20" s="15"/>
    </row>
    <row r="21" spans="1:15" ht="18" x14ac:dyDescent="0.35">
      <c r="A21" s="60" t="s">
        <v>74</v>
      </c>
      <c r="B21" s="60"/>
      <c r="C21" s="60"/>
      <c r="D21" s="60"/>
      <c r="E21" s="60"/>
      <c r="F21" s="60"/>
      <c r="G21" s="60"/>
      <c r="H21" s="60"/>
      <c r="I21" s="60"/>
      <c r="J21" s="60"/>
      <c r="K21" s="60"/>
      <c r="L21" s="60"/>
      <c r="M21" s="60"/>
      <c r="N21" s="60"/>
      <c r="O21" s="60"/>
    </row>
    <row r="22" spans="1:15" x14ac:dyDescent="0.3">
      <c r="A22" s="52" t="s">
        <v>0</v>
      </c>
      <c r="B22" s="52" t="s">
        <v>1</v>
      </c>
      <c r="C22" s="61" t="s">
        <v>2</v>
      </c>
      <c r="D22" s="52" t="s">
        <v>3</v>
      </c>
      <c r="E22" s="52" t="s">
        <v>4</v>
      </c>
      <c r="F22" s="52" t="s">
        <v>71</v>
      </c>
      <c r="G22" s="52" t="s">
        <v>72</v>
      </c>
      <c r="H22" s="52" t="s">
        <v>7</v>
      </c>
      <c r="I22" s="52" t="s">
        <v>8</v>
      </c>
      <c r="J22" s="52" t="s">
        <v>9</v>
      </c>
      <c r="K22" s="52" t="s">
        <v>10</v>
      </c>
      <c r="L22" s="52" t="s">
        <v>11</v>
      </c>
      <c r="M22" s="52" t="s">
        <v>12</v>
      </c>
      <c r="N22" s="52" t="s">
        <v>95</v>
      </c>
      <c r="O22" s="52" t="s">
        <v>94</v>
      </c>
    </row>
    <row r="23" spans="1:15" x14ac:dyDescent="0.3">
      <c r="A23" s="52"/>
      <c r="B23" s="52"/>
      <c r="C23" s="61"/>
      <c r="D23" s="52"/>
      <c r="E23" s="52"/>
      <c r="F23" s="52"/>
      <c r="G23" s="52"/>
      <c r="H23" s="52"/>
      <c r="I23" s="52"/>
      <c r="J23" s="52"/>
      <c r="K23" s="52"/>
      <c r="L23" s="52"/>
      <c r="M23" s="52"/>
      <c r="N23" s="52"/>
      <c r="O23" s="52"/>
    </row>
    <row r="24" spans="1:15" ht="25.8" customHeight="1" x14ac:dyDescent="0.3">
      <c r="A24" s="52"/>
      <c r="B24" s="52"/>
      <c r="C24" s="61"/>
      <c r="D24" s="52"/>
      <c r="E24" s="52"/>
      <c r="F24" s="52"/>
      <c r="G24" s="52"/>
      <c r="H24" s="52"/>
      <c r="I24" s="52"/>
      <c r="J24" s="52"/>
      <c r="K24" s="52"/>
      <c r="L24" s="52"/>
      <c r="M24" s="52"/>
      <c r="N24" s="52"/>
      <c r="O24" s="52"/>
    </row>
    <row r="25" spans="1:15" ht="27.6" x14ac:dyDescent="0.3">
      <c r="A25" s="2" t="s">
        <v>13</v>
      </c>
      <c r="B25" s="3">
        <v>1</v>
      </c>
      <c r="C25" s="4" t="s">
        <v>14</v>
      </c>
      <c r="D25" s="26" t="s">
        <v>15</v>
      </c>
      <c r="E25" s="27" t="s">
        <v>15</v>
      </c>
      <c r="F25" s="28">
        <v>1551615</v>
      </c>
      <c r="G25" s="28">
        <v>5125</v>
      </c>
      <c r="H25" s="29">
        <f>+(F25*10.57)+G25</f>
        <v>16405695.550000001</v>
      </c>
      <c r="I25" s="30">
        <v>0.1</v>
      </c>
      <c r="J25" s="29">
        <f t="shared" ref="J25:J34" si="9">ROUND((H25*I25),0)</f>
        <v>1640570</v>
      </c>
      <c r="K25" s="29">
        <f t="shared" ref="K25:K34" si="10">+H25+J25</f>
        <v>18046265.550000001</v>
      </c>
      <c r="L25" s="29">
        <f t="shared" ref="L25:L34" si="11">+ROUND(K25*10%,0)</f>
        <v>1804627</v>
      </c>
      <c r="M25" s="29">
        <f t="shared" ref="M25:M34" si="12">+ROUND(L25*19%,0)</f>
        <v>342879</v>
      </c>
      <c r="N25" s="29">
        <f t="shared" ref="N25:N34" si="13">+ROUND(K25+L25+M25,0)</f>
        <v>20193772</v>
      </c>
      <c r="O25" s="29">
        <f>ROUND(((N25/30)*25)+(N25),0)</f>
        <v>37021915</v>
      </c>
    </row>
    <row r="26" spans="1:15" ht="41.4" x14ac:dyDescent="0.3">
      <c r="A26" s="2" t="s">
        <v>13</v>
      </c>
      <c r="B26" s="3">
        <v>1</v>
      </c>
      <c r="C26" s="4" t="s">
        <v>69</v>
      </c>
      <c r="D26" s="26" t="s">
        <v>16</v>
      </c>
      <c r="E26" s="27" t="s">
        <v>15</v>
      </c>
      <c r="F26" s="28">
        <v>1551615</v>
      </c>
      <c r="G26" s="28">
        <v>1709</v>
      </c>
      <c r="H26" s="29">
        <f>ROUND(((((((F26*10.57+G26)*55.97%)/30)*20)/15)*12),0)+ROUND(((((((F26*10.57+G26)*55.97%)/30)*4)/15)*6),0)</f>
        <v>5385809</v>
      </c>
      <c r="I26" s="30">
        <v>0.1</v>
      </c>
      <c r="J26" s="29">
        <f t="shared" si="9"/>
        <v>538581</v>
      </c>
      <c r="K26" s="29">
        <f t="shared" si="10"/>
        <v>5924390</v>
      </c>
      <c r="L26" s="29">
        <f t="shared" si="11"/>
        <v>592439</v>
      </c>
      <c r="M26" s="29">
        <f t="shared" si="12"/>
        <v>112563</v>
      </c>
      <c r="N26" s="29">
        <f t="shared" si="13"/>
        <v>6629392</v>
      </c>
      <c r="O26" s="29">
        <f t="shared" ref="O26:O34" si="14">ROUND(((N26/30)*25)+(N26),0)</f>
        <v>12153885</v>
      </c>
    </row>
    <row r="27" spans="1:15" ht="27.6" x14ac:dyDescent="0.3">
      <c r="A27" s="2" t="s">
        <v>17</v>
      </c>
      <c r="B27" s="3">
        <v>1</v>
      </c>
      <c r="C27" s="4" t="s">
        <v>14</v>
      </c>
      <c r="D27" s="26" t="s">
        <v>15</v>
      </c>
      <c r="E27" s="27" t="s">
        <v>15</v>
      </c>
      <c r="F27" s="28">
        <v>1551615</v>
      </c>
      <c r="G27" s="28">
        <v>5125</v>
      </c>
      <c r="H27" s="29">
        <f>+(F27*10.57)+G27</f>
        <v>16405695.550000001</v>
      </c>
      <c r="I27" s="30">
        <v>0.1</v>
      </c>
      <c r="J27" s="29">
        <f t="shared" si="9"/>
        <v>1640570</v>
      </c>
      <c r="K27" s="29">
        <f t="shared" si="10"/>
        <v>18046265.550000001</v>
      </c>
      <c r="L27" s="29">
        <f t="shared" si="11"/>
        <v>1804627</v>
      </c>
      <c r="M27" s="29">
        <f t="shared" si="12"/>
        <v>342879</v>
      </c>
      <c r="N27" s="29">
        <f t="shared" si="13"/>
        <v>20193772</v>
      </c>
      <c r="O27" s="29">
        <f t="shared" si="14"/>
        <v>37021915</v>
      </c>
    </row>
    <row r="28" spans="1:15" ht="27.6" x14ac:dyDescent="0.3">
      <c r="A28" s="2" t="s">
        <v>18</v>
      </c>
      <c r="B28" s="3">
        <v>1</v>
      </c>
      <c r="C28" s="4" t="s">
        <v>14</v>
      </c>
      <c r="D28" s="26" t="s">
        <v>15</v>
      </c>
      <c r="E28" s="27" t="s">
        <v>15</v>
      </c>
      <c r="F28" s="28">
        <v>1551615</v>
      </c>
      <c r="G28" s="28">
        <v>5125</v>
      </c>
      <c r="H28" s="29">
        <f t="shared" ref="H28:H33" si="15">+(F28*10.57)+G28</f>
        <v>16405695.550000001</v>
      </c>
      <c r="I28" s="30">
        <v>0.1</v>
      </c>
      <c r="J28" s="29">
        <f t="shared" si="9"/>
        <v>1640570</v>
      </c>
      <c r="K28" s="29">
        <f t="shared" si="10"/>
        <v>18046265.550000001</v>
      </c>
      <c r="L28" s="29">
        <f t="shared" si="11"/>
        <v>1804627</v>
      </c>
      <c r="M28" s="29">
        <f t="shared" si="12"/>
        <v>342879</v>
      </c>
      <c r="N28" s="29">
        <f t="shared" si="13"/>
        <v>20193772</v>
      </c>
      <c r="O28" s="29">
        <f t="shared" si="14"/>
        <v>37021915</v>
      </c>
    </row>
    <row r="29" spans="1:15" ht="27.6" x14ac:dyDescent="0.3">
      <c r="A29" s="2" t="s">
        <v>19</v>
      </c>
      <c r="B29" s="3">
        <v>1</v>
      </c>
      <c r="C29" s="4" t="s">
        <v>14</v>
      </c>
      <c r="D29" s="26" t="s">
        <v>15</v>
      </c>
      <c r="E29" s="27" t="s">
        <v>15</v>
      </c>
      <c r="F29" s="28">
        <v>1551615</v>
      </c>
      <c r="G29" s="28">
        <v>5125</v>
      </c>
      <c r="H29" s="29">
        <f t="shared" si="15"/>
        <v>16405695.550000001</v>
      </c>
      <c r="I29" s="30">
        <v>0.1</v>
      </c>
      <c r="J29" s="29">
        <f t="shared" si="9"/>
        <v>1640570</v>
      </c>
      <c r="K29" s="29">
        <f t="shared" si="10"/>
        <v>18046265.550000001</v>
      </c>
      <c r="L29" s="29">
        <f t="shared" si="11"/>
        <v>1804627</v>
      </c>
      <c r="M29" s="29">
        <f t="shared" si="12"/>
        <v>342879</v>
      </c>
      <c r="N29" s="29">
        <f t="shared" si="13"/>
        <v>20193772</v>
      </c>
      <c r="O29" s="29">
        <f t="shared" si="14"/>
        <v>37021915</v>
      </c>
    </row>
    <row r="30" spans="1:15" ht="27.6" x14ac:dyDescent="0.3">
      <c r="A30" s="2" t="s">
        <v>20</v>
      </c>
      <c r="B30" s="3">
        <v>1</v>
      </c>
      <c r="C30" s="4" t="s">
        <v>14</v>
      </c>
      <c r="D30" s="26" t="s">
        <v>15</v>
      </c>
      <c r="E30" s="27" t="s">
        <v>15</v>
      </c>
      <c r="F30" s="28">
        <v>1551615</v>
      </c>
      <c r="G30" s="28">
        <v>5125</v>
      </c>
      <c r="H30" s="29">
        <f t="shared" si="15"/>
        <v>16405695.550000001</v>
      </c>
      <c r="I30" s="30">
        <v>0.1</v>
      </c>
      <c r="J30" s="29">
        <f t="shared" si="9"/>
        <v>1640570</v>
      </c>
      <c r="K30" s="29">
        <f t="shared" si="10"/>
        <v>18046265.550000001</v>
      </c>
      <c r="L30" s="29">
        <f t="shared" si="11"/>
        <v>1804627</v>
      </c>
      <c r="M30" s="29">
        <f t="shared" si="12"/>
        <v>342879</v>
      </c>
      <c r="N30" s="29">
        <f t="shared" si="13"/>
        <v>20193772</v>
      </c>
      <c r="O30" s="29">
        <f t="shared" si="14"/>
        <v>37021915</v>
      </c>
    </row>
    <row r="31" spans="1:15" ht="27.6" x14ac:dyDescent="0.3">
      <c r="A31" s="2" t="s">
        <v>21</v>
      </c>
      <c r="B31" s="3">
        <v>1</v>
      </c>
      <c r="C31" s="4" t="s">
        <v>14</v>
      </c>
      <c r="D31" s="26" t="s">
        <v>15</v>
      </c>
      <c r="E31" s="27" t="s">
        <v>15</v>
      </c>
      <c r="F31" s="28">
        <v>1551615</v>
      </c>
      <c r="G31" s="28">
        <v>5125</v>
      </c>
      <c r="H31" s="29">
        <f t="shared" si="15"/>
        <v>16405695.550000001</v>
      </c>
      <c r="I31" s="30">
        <v>0.1</v>
      </c>
      <c r="J31" s="29">
        <f t="shared" si="9"/>
        <v>1640570</v>
      </c>
      <c r="K31" s="29">
        <f t="shared" si="10"/>
        <v>18046265.550000001</v>
      </c>
      <c r="L31" s="29">
        <f t="shared" si="11"/>
        <v>1804627</v>
      </c>
      <c r="M31" s="29">
        <f t="shared" si="12"/>
        <v>342879</v>
      </c>
      <c r="N31" s="29">
        <f t="shared" si="13"/>
        <v>20193772</v>
      </c>
      <c r="O31" s="29">
        <f t="shared" si="14"/>
        <v>37021915</v>
      </c>
    </row>
    <row r="32" spans="1:15" ht="27.6" x14ac:dyDescent="0.3">
      <c r="A32" s="2" t="s">
        <v>22</v>
      </c>
      <c r="B32" s="3">
        <v>1</v>
      </c>
      <c r="C32" s="4" t="s">
        <v>14</v>
      </c>
      <c r="D32" s="26" t="s">
        <v>15</v>
      </c>
      <c r="E32" s="27" t="s">
        <v>15</v>
      </c>
      <c r="F32" s="28">
        <v>1551615</v>
      </c>
      <c r="G32" s="28">
        <v>5125</v>
      </c>
      <c r="H32" s="29">
        <f t="shared" si="15"/>
        <v>16405695.550000001</v>
      </c>
      <c r="I32" s="30">
        <v>0.1</v>
      </c>
      <c r="J32" s="29">
        <f t="shared" si="9"/>
        <v>1640570</v>
      </c>
      <c r="K32" s="29">
        <f t="shared" si="10"/>
        <v>18046265.550000001</v>
      </c>
      <c r="L32" s="29">
        <f t="shared" si="11"/>
        <v>1804627</v>
      </c>
      <c r="M32" s="29">
        <f t="shared" si="12"/>
        <v>342879</v>
      </c>
      <c r="N32" s="29">
        <f t="shared" si="13"/>
        <v>20193772</v>
      </c>
      <c r="O32" s="29">
        <f t="shared" si="14"/>
        <v>37021915</v>
      </c>
    </row>
    <row r="33" spans="1:15" ht="27.6" x14ac:dyDescent="0.3">
      <c r="A33" s="2" t="s">
        <v>23</v>
      </c>
      <c r="B33" s="3">
        <v>1</v>
      </c>
      <c r="C33" s="4" t="s">
        <v>14</v>
      </c>
      <c r="D33" s="26" t="s">
        <v>15</v>
      </c>
      <c r="E33" s="27" t="s">
        <v>15</v>
      </c>
      <c r="F33" s="28">
        <v>1551615</v>
      </c>
      <c r="G33" s="28">
        <v>5125</v>
      </c>
      <c r="H33" s="29">
        <f t="shared" si="15"/>
        <v>16405695.550000001</v>
      </c>
      <c r="I33" s="30">
        <v>0.1</v>
      </c>
      <c r="J33" s="29">
        <f t="shared" si="9"/>
        <v>1640570</v>
      </c>
      <c r="K33" s="29">
        <f t="shared" si="10"/>
        <v>18046265.550000001</v>
      </c>
      <c r="L33" s="29">
        <f t="shared" si="11"/>
        <v>1804627</v>
      </c>
      <c r="M33" s="29">
        <f t="shared" si="12"/>
        <v>342879</v>
      </c>
      <c r="N33" s="29">
        <f t="shared" si="13"/>
        <v>20193772</v>
      </c>
      <c r="O33" s="29">
        <f t="shared" si="14"/>
        <v>37021915</v>
      </c>
    </row>
    <row r="34" spans="1:15" ht="41.4" x14ac:dyDescent="0.3">
      <c r="A34" s="2" t="s">
        <v>24</v>
      </c>
      <c r="B34" s="3">
        <v>1</v>
      </c>
      <c r="C34" s="4" t="s">
        <v>25</v>
      </c>
      <c r="D34" s="26" t="s">
        <v>16</v>
      </c>
      <c r="E34" s="27" t="s">
        <v>15</v>
      </c>
      <c r="F34" s="28">
        <v>1551615</v>
      </c>
      <c r="G34" s="28">
        <v>1709</v>
      </c>
      <c r="H34" s="29">
        <f>ROUND(((((((F34*10.57+G34)*44.03%)/30)*30)/9)*9)+((((((F34*10.57+G34)*55.97%)/30)*30)/15)*3),0)</f>
        <v>9057995</v>
      </c>
      <c r="I34" s="30">
        <v>0.1</v>
      </c>
      <c r="J34" s="29">
        <f t="shared" si="9"/>
        <v>905800</v>
      </c>
      <c r="K34" s="29">
        <f t="shared" si="10"/>
        <v>9963795</v>
      </c>
      <c r="L34" s="29">
        <f t="shared" si="11"/>
        <v>996380</v>
      </c>
      <c r="M34" s="29">
        <f t="shared" si="12"/>
        <v>189312</v>
      </c>
      <c r="N34" s="29">
        <f t="shared" si="13"/>
        <v>11149487</v>
      </c>
      <c r="O34" s="29">
        <f t="shared" si="14"/>
        <v>20440726</v>
      </c>
    </row>
    <row r="35" spans="1:15" x14ac:dyDescent="0.3">
      <c r="A35" s="59" t="s">
        <v>70</v>
      </c>
      <c r="B35" s="59"/>
      <c r="C35" s="59"/>
      <c r="D35" s="59"/>
      <c r="E35" s="59"/>
      <c r="F35" s="16">
        <f>SUM(F25:F34)</f>
        <v>15516150</v>
      </c>
      <c r="G35" s="16">
        <f t="shared" ref="G35:H35" si="16">SUM(G25:G34)</f>
        <v>44418</v>
      </c>
      <c r="H35" s="16">
        <f t="shared" si="16"/>
        <v>145689368.40000001</v>
      </c>
      <c r="I35" s="16"/>
      <c r="J35" s="16">
        <f t="shared" ref="J35:O35" si="17">SUM(J25:J34)</f>
        <v>14568941</v>
      </c>
      <c r="K35" s="16">
        <f t="shared" si="17"/>
        <v>160258309.40000001</v>
      </c>
      <c r="L35" s="16">
        <f t="shared" si="17"/>
        <v>16025835</v>
      </c>
      <c r="M35" s="16">
        <f t="shared" si="17"/>
        <v>3044907</v>
      </c>
      <c r="N35" s="16">
        <f t="shared" si="17"/>
        <v>179329055</v>
      </c>
      <c r="O35" s="17">
        <f t="shared" si="17"/>
        <v>328769931</v>
      </c>
    </row>
    <row r="36" spans="1:15" x14ac:dyDescent="0.3">
      <c r="A36" s="19"/>
      <c r="B36" s="20"/>
      <c r="C36" s="21"/>
      <c r="D36" s="22"/>
      <c r="E36" s="23"/>
      <c r="F36" s="24"/>
      <c r="G36" s="24"/>
      <c r="H36" s="5"/>
      <c r="I36" s="25"/>
      <c r="J36" s="5"/>
      <c r="K36" s="5"/>
      <c r="L36" s="5"/>
      <c r="M36" s="5"/>
      <c r="N36" s="5"/>
      <c r="O36" s="5"/>
    </row>
    <row r="37" spans="1:15" x14ac:dyDescent="0.3">
      <c r="A37" s="19"/>
      <c r="B37" s="20"/>
      <c r="C37" s="21"/>
      <c r="D37" s="22"/>
      <c r="E37" s="23"/>
      <c r="F37" s="24"/>
      <c r="G37" s="24"/>
      <c r="H37" s="5"/>
      <c r="I37" s="25"/>
      <c r="J37" s="5"/>
      <c r="K37" s="5"/>
      <c r="L37" s="5"/>
      <c r="M37" s="5"/>
      <c r="N37" s="5"/>
      <c r="O37" s="5"/>
    </row>
    <row r="38" spans="1:15" ht="15" customHeight="1" x14ac:dyDescent="0.3">
      <c r="A38" s="65" t="s">
        <v>73</v>
      </c>
      <c r="B38" s="65"/>
      <c r="C38" s="65"/>
      <c r="D38" s="65"/>
      <c r="E38" s="65"/>
      <c r="F38" s="65"/>
      <c r="G38" s="65"/>
      <c r="H38" s="65"/>
      <c r="I38" s="65"/>
      <c r="J38" s="65"/>
      <c r="K38" s="65"/>
      <c r="L38" s="65"/>
      <c r="M38" s="65"/>
      <c r="N38" s="65"/>
      <c r="O38" s="53">
        <f>O19+O35</f>
        <v>974716235</v>
      </c>
    </row>
    <row r="39" spans="1:15" ht="15" customHeight="1" x14ac:dyDescent="0.3">
      <c r="A39" s="65"/>
      <c r="B39" s="65"/>
      <c r="C39" s="65"/>
      <c r="D39" s="65"/>
      <c r="E39" s="65"/>
      <c r="F39" s="65"/>
      <c r="G39" s="65"/>
      <c r="H39" s="65"/>
      <c r="I39" s="65"/>
      <c r="J39" s="65"/>
      <c r="K39" s="65"/>
      <c r="L39" s="65"/>
      <c r="M39" s="65"/>
      <c r="N39" s="65"/>
      <c r="O39" s="54"/>
    </row>
    <row r="40" spans="1:15" x14ac:dyDescent="0.3">
      <c r="N40" s="5"/>
    </row>
    <row r="41" spans="1:15" x14ac:dyDescent="0.3">
      <c r="A41" s="62" t="s">
        <v>97</v>
      </c>
      <c r="B41" s="63"/>
      <c r="C41" s="63"/>
      <c r="D41" s="63"/>
      <c r="E41" s="63"/>
      <c r="F41" s="63"/>
      <c r="G41" s="63"/>
      <c r="H41" s="63"/>
      <c r="I41" s="63"/>
      <c r="J41" s="63"/>
      <c r="K41" s="63"/>
      <c r="L41" s="63"/>
      <c r="M41" s="63"/>
      <c r="N41" s="63"/>
    </row>
    <row r="42" spans="1:15" x14ac:dyDescent="0.3">
      <c r="A42" s="63"/>
      <c r="B42" s="63"/>
      <c r="C42" s="63"/>
      <c r="D42" s="63"/>
      <c r="E42" s="63"/>
      <c r="F42" s="63"/>
      <c r="G42" s="63"/>
      <c r="H42" s="63"/>
      <c r="I42" s="63"/>
      <c r="J42" s="63"/>
      <c r="K42" s="63"/>
      <c r="L42" s="63"/>
      <c r="M42" s="63"/>
      <c r="N42" s="63"/>
    </row>
    <row r="43" spans="1:15" x14ac:dyDescent="0.3">
      <c r="A43" s="63"/>
      <c r="B43" s="63"/>
      <c r="C43" s="63"/>
      <c r="D43" s="63"/>
      <c r="E43" s="63"/>
      <c r="F43" s="63"/>
      <c r="G43" s="63"/>
      <c r="H43" s="63"/>
      <c r="I43" s="63"/>
      <c r="J43" s="63"/>
      <c r="K43" s="63"/>
      <c r="L43" s="63"/>
      <c r="M43" s="63"/>
      <c r="N43" s="63"/>
    </row>
    <row r="44" spans="1:15" ht="147.75" customHeight="1" x14ac:dyDescent="0.3">
      <c r="A44" s="63"/>
      <c r="B44" s="63"/>
      <c r="C44" s="63"/>
      <c r="D44" s="63"/>
      <c r="E44" s="63"/>
      <c r="F44" s="63"/>
      <c r="G44" s="63"/>
      <c r="H44" s="63"/>
      <c r="I44" s="63"/>
      <c r="J44" s="63"/>
      <c r="K44" s="63"/>
      <c r="L44" s="63"/>
      <c r="M44" s="63"/>
      <c r="N44" s="63"/>
    </row>
  </sheetData>
  <mergeCells count="39">
    <mergeCell ref="E3:I4"/>
    <mergeCell ref="A41:N44"/>
    <mergeCell ref="A6:A8"/>
    <mergeCell ref="B6:B8"/>
    <mergeCell ref="C6:C8"/>
    <mergeCell ref="D6:D8"/>
    <mergeCell ref="E6:E8"/>
    <mergeCell ref="F6:F8"/>
    <mergeCell ref="G6:G8"/>
    <mergeCell ref="H6:H8"/>
    <mergeCell ref="I6:I8"/>
    <mergeCell ref="A19:E19"/>
    <mergeCell ref="A38:N39"/>
    <mergeCell ref="J6:J8"/>
    <mergeCell ref="K6:K8"/>
    <mergeCell ref="L6:L8"/>
    <mergeCell ref="H22:H24"/>
    <mergeCell ref="O22:O24"/>
    <mergeCell ref="O38:O39"/>
    <mergeCell ref="A1:O2"/>
    <mergeCell ref="O6:O8"/>
    <mergeCell ref="A5:O5"/>
    <mergeCell ref="M6:M8"/>
    <mergeCell ref="N6:N8"/>
    <mergeCell ref="A35:E35"/>
    <mergeCell ref="A21:O21"/>
    <mergeCell ref="A22:A24"/>
    <mergeCell ref="B22:B24"/>
    <mergeCell ref="C22:C24"/>
    <mergeCell ref="D22:D24"/>
    <mergeCell ref="E22:E24"/>
    <mergeCell ref="F22:F24"/>
    <mergeCell ref="G22:G24"/>
    <mergeCell ref="N22:N24"/>
    <mergeCell ref="I22:I24"/>
    <mergeCell ref="J22:J24"/>
    <mergeCell ref="K22:K24"/>
    <mergeCell ref="L22:L24"/>
    <mergeCell ref="M22:M2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DCB59-C43E-48EC-BBD8-E6160A888CF9}">
  <sheetPr>
    <tabColor theme="6" tint="-0.499984740745262"/>
  </sheetPr>
  <dimension ref="A1:K28"/>
  <sheetViews>
    <sheetView zoomScale="70" zoomScaleNormal="70" workbookViewId="0">
      <selection activeCell="L1" sqref="L1"/>
    </sheetView>
  </sheetViews>
  <sheetFormatPr baseColWidth="10" defaultColWidth="11.44140625" defaultRowHeight="14.4" x14ac:dyDescent="0.3"/>
  <cols>
    <col min="1" max="1" width="23.88671875" style="33" customWidth="1"/>
    <col min="2" max="2" width="53.33203125" style="33" customWidth="1"/>
    <col min="3" max="3" width="25.33203125" style="33" customWidth="1"/>
    <col min="4" max="4" width="15.109375" style="33" customWidth="1"/>
    <col min="5" max="5" width="28.88671875" style="33" customWidth="1"/>
    <col min="6" max="6" width="27.6640625" style="33" customWidth="1"/>
    <col min="7" max="7" width="18.33203125" style="33" customWidth="1"/>
    <col min="8" max="8" width="23" style="33" customWidth="1"/>
    <col min="9" max="9" width="17.109375" style="33" customWidth="1"/>
    <col min="10" max="10" width="25.44140625" style="33" customWidth="1"/>
    <col min="11" max="11" width="23.33203125" style="33" customWidth="1"/>
    <col min="12" max="16384" width="11.44140625" style="33"/>
  </cols>
  <sheetData>
    <row r="1" spans="1:11" x14ac:dyDescent="0.3">
      <c r="A1" s="66" t="s">
        <v>28</v>
      </c>
      <c r="B1" s="66" t="s">
        <v>29</v>
      </c>
      <c r="C1" s="66" t="s">
        <v>30</v>
      </c>
      <c r="D1" s="66" t="s">
        <v>75</v>
      </c>
      <c r="E1" s="66" t="s">
        <v>68</v>
      </c>
      <c r="F1" s="66" t="s">
        <v>80</v>
      </c>
      <c r="G1" s="69" t="s">
        <v>76</v>
      </c>
      <c r="H1" s="66" t="s">
        <v>77</v>
      </c>
      <c r="I1" s="66" t="s">
        <v>78</v>
      </c>
      <c r="J1" s="70" t="s">
        <v>79</v>
      </c>
      <c r="K1" s="70" t="s">
        <v>81</v>
      </c>
    </row>
    <row r="2" spans="1:11" ht="38.25" customHeight="1" x14ac:dyDescent="0.3">
      <c r="A2" s="66"/>
      <c r="B2" s="66"/>
      <c r="C2" s="66"/>
      <c r="D2" s="66"/>
      <c r="E2" s="66"/>
      <c r="F2" s="66"/>
      <c r="G2" s="69"/>
      <c r="H2" s="66"/>
      <c r="I2" s="66"/>
      <c r="J2" s="70"/>
      <c r="K2" s="70"/>
    </row>
    <row r="3" spans="1:11" ht="205.2" x14ac:dyDescent="0.3">
      <c r="A3" s="67" t="s">
        <v>31</v>
      </c>
      <c r="B3" s="14" t="s">
        <v>67</v>
      </c>
      <c r="C3" s="6" t="s">
        <v>32</v>
      </c>
      <c r="D3" s="7">
        <v>3</v>
      </c>
      <c r="E3" s="34">
        <v>675000</v>
      </c>
      <c r="F3" s="34">
        <v>3375000</v>
      </c>
      <c r="G3" s="35"/>
      <c r="H3" s="34">
        <f>+G3*19%</f>
        <v>0</v>
      </c>
      <c r="I3" s="34">
        <f>+H3+G3</f>
        <v>0</v>
      </c>
      <c r="J3" s="34">
        <f>+I3*D3</f>
        <v>0</v>
      </c>
      <c r="K3" s="34">
        <f>+J3*5</f>
        <v>0</v>
      </c>
    </row>
    <row r="4" spans="1:11" x14ac:dyDescent="0.3">
      <c r="A4" s="67"/>
      <c r="B4" s="68" t="s">
        <v>33</v>
      </c>
      <c r="C4" s="68"/>
      <c r="D4" s="68"/>
      <c r="E4" s="36">
        <v>675000</v>
      </c>
      <c r="F4" s="36">
        <v>3375000</v>
      </c>
      <c r="G4" s="37">
        <f>+G3</f>
        <v>0</v>
      </c>
      <c r="H4" s="36">
        <f>+H3</f>
        <v>0</v>
      </c>
      <c r="I4" s="36">
        <f>+I3</f>
        <v>0</v>
      </c>
      <c r="J4" s="36">
        <f>+J3</f>
        <v>0</v>
      </c>
      <c r="K4" s="36">
        <f>+K3</f>
        <v>0</v>
      </c>
    </row>
    <row r="5" spans="1:11" x14ac:dyDescent="0.3">
      <c r="A5" s="67" t="s">
        <v>34</v>
      </c>
      <c r="B5" s="8" t="s">
        <v>66</v>
      </c>
      <c r="C5" s="67" t="s">
        <v>35</v>
      </c>
      <c r="D5" s="8">
        <v>1</v>
      </c>
      <c r="E5" s="34">
        <v>290000</v>
      </c>
      <c r="F5" s="34">
        <v>1450000</v>
      </c>
      <c r="G5" s="35"/>
      <c r="H5" s="34">
        <f>+G5*19%</f>
        <v>0</v>
      </c>
      <c r="I5" s="34">
        <f>+H5+G5</f>
        <v>0</v>
      </c>
      <c r="J5" s="34">
        <f>+I5*D5</f>
        <v>0</v>
      </c>
      <c r="K5" s="34">
        <f>+J5*5</f>
        <v>0</v>
      </c>
    </row>
    <row r="6" spans="1:11" x14ac:dyDescent="0.3">
      <c r="A6" s="67"/>
      <c r="B6" s="8" t="s">
        <v>65</v>
      </c>
      <c r="C6" s="67"/>
      <c r="D6" s="8">
        <v>1</v>
      </c>
      <c r="E6" s="34">
        <v>39175</v>
      </c>
      <c r="F6" s="34">
        <v>195875</v>
      </c>
      <c r="G6" s="35"/>
      <c r="H6" s="34">
        <f t="shared" ref="H6:H8" si="0">+G6*19%</f>
        <v>0</v>
      </c>
      <c r="I6" s="34">
        <f t="shared" ref="I6:I8" si="1">+H6+G6</f>
        <v>0</v>
      </c>
      <c r="J6" s="34">
        <f>+I6*D6</f>
        <v>0</v>
      </c>
      <c r="K6" s="34">
        <f>+J6*5</f>
        <v>0</v>
      </c>
    </row>
    <row r="7" spans="1:11" x14ac:dyDescent="0.3">
      <c r="A7" s="67"/>
      <c r="B7" s="8" t="s">
        <v>64</v>
      </c>
      <c r="C7" s="67"/>
      <c r="D7" s="8">
        <v>1</v>
      </c>
      <c r="E7" s="34">
        <v>31500</v>
      </c>
      <c r="F7" s="34">
        <v>157500</v>
      </c>
      <c r="G7" s="35"/>
      <c r="H7" s="34">
        <f t="shared" si="0"/>
        <v>0</v>
      </c>
      <c r="I7" s="34">
        <f t="shared" si="1"/>
        <v>0</v>
      </c>
      <c r="J7" s="34">
        <f>+I7*D7</f>
        <v>0</v>
      </c>
      <c r="K7" s="34">
        <f>+J7*5</f>
        <v>0</v>
      </c>
    </row>
    <row r="8" spans="1:11" ht="45.6" x14ac:dyDescent="0.3">
      <c r="A8" s="67"/>
      <c r="B8" s="6" t="s">
        <v>63</v>
      </c>
      <c r="C8" s="67"/>
      <c r="D8" s="8">
        <v>1</v>
      </c>
      <c r="E8" s="34">
        <v>310000</v>
      </c>
      <c r="F8" s="34">
        <v>1550000</v>
      </c>
      <c r="G8" s="35"/>
      <c r="H8" s="34">
        <f t="shared" si="0"/>
        <v>0</v>
      </c>
      <c r="I8" s="34">
        <f t="shared" si="1"/>
        <v>0</v>
      </c>
      <c r="J8" s="34">
        <f>+I8*D8</f>
        <v>0</v>
      </c>
      <c r="K8" s="34">
        <f>+J8*5</f>
        <v>0</v>
      </c>
    </row>
    <row r="9" spans="1:11" ht="24" customHeight="1" x14ac:dyDescent="0.3">
      <c r="A9" s="67"/>
      <c r="B9" s="68" t="s">
        <v>36</v>
      </c>
      <c r="C9" s="68"/>
      <c r="D9" s="68"/>
      <c r="E9" s="36">
        <v>670675</v>
      </c>
      <c r="F9" s="36">
        <v>3353375</v>
      </c>
      <c r="G9" s="37">
        <f>SUM(G5:G8)</f>
        <v>0</v>
      </c>
      <c r="H9" s="36">
        <f>SUM(H5:H8)</f>
        <v>0</v>
      </c>
      <c r="I9" s="36">
        <f>SUM(I5:I8)</f>
        <v>0</v>
      </c>
      <c r="J9" s="36">
        <f>SUM(J5:J8)</f>
        <v>0</v>
      </c>
      <c r="K9" s="36">
        <f>SUM(K5:K8)</f>
        <v>0</v>
      </c>
    </row>
    <row r="10" spans="1:11" ht="193.8" x14ac:dyDescent="0.3">
      <c r="A10" s="67" t="s">
        <v>37</v>
      </c>
      <c r="B10" s="6" t="s">
        <v>62</v>
      </c>
      <c r="C10" s="6" t="s">
        <v>61</v>
      </c>
      <c r="D10" s="9">
        <v>9</v>
      </c>
      <c r="E10" s="34">
        <v>2943729</v>
      </c>
      <c r="F10" s="34">
        <v>14718645</v>
      </c>
      <c r="G10" s="35"/>
      <c r="H10" s="34">
        <f t="shared" ref="H10:H13" si="2">+G10*19%</f>
        <v>0</v>
      </c>
      <c r="I10" s="34">
        <f t="shared" ref="I10:I13" si="3">+H10+G10</f>
        <v>0</v>
      </c>
      <c r="J10" s="34">
        <f t="shared" ref="J10:J13" si="4">+I10*D10</f>
        <v>0</v>
      </c>
      <c r="K10" s="34">
        <f>+J10*5</f>
        <v>0</v>
      </c>
    </row>
    <row r="11" spans="1:11" x14ac:dyDescent="0.3">
      <c r="A11" s="67"/>
      <c r="B11" s="8" t="s">
        <v>60</v>
      </c>
      <c r="C11" s="8" t="s">
        <v>54</v>
      </c>
      <c r="D11" s="9">
        <v>8</v>
      </c>
      <c r="E11" s="34">
        <v>736952</v>
      </c>
      <c r="F11" s="34">
        <v>3684760</v>
      </c>
      <c r="G11" s="35"/>
      <c r="H11" s="34">
        <f t="shared" si="2"/>
        <v>0</v>
      </c>
      <c r="I11" s="34">
        <f t="shared" si="3"/>
        <v>0</v>
      </c>
      <c r="J11" s="34">
        <f t="shared" si="4"/>
        <v>0</v>
      </c>
      <c r="K11" s="34">
        <f>+J11*5</f>
        <v>0</v>
      </c>
    </row>
    <row r="12" spans="1:11" ht="34.200000000000003" x14ac:dyDescent="0.3">
      <c r="A12" s="67"/>
      <c r="B12" s="6" t="s">
        <v>38</v>
      </c>
      <c r="C12" s="6" t="s">
        <v>54</v>
      </c>
      <c r="D12" s="9">
        <v>75</v>
      </c>
      <c r="E12" s="34">
        <v>4012500</v>
      </c>
      <c r="F12" s="34">
        <v>20062500</v>
      </c>
      <c r="G12" s="35"/>
      <c r="H12" s="34">
        <f t="shared" si="2"/>
        <v>0</v>
      </c>
      <c r="I12" s="34">
        <f t="shared" si="3"/>
        <v>0</v>
      </c>
      <c r="J12" s="34">
        <f t="shared" si="4"/>
        <v>0</v>
      </c>
      <c r="K12" s="34">
        <f>+J12*5</f>
        <v>0</v>
      </c>
    </row>
    <row r="13" spans="1:11" ht="57" x14ac:dyDescent="0.3">
      <c r="A13" s="67"/>
      <c r="B13" s="6" t="s">
        <v>39</v>
      </c>
      <c r="C13" s="6" t="s">
        <v>54</v>
      </c>
      <c r="D13" s="9">
        <v>8</v>
      </c>
      <c r="E13" s="34">
        <v>1199508</v>
      </c>
      <c r="F13" s="34">
        <v>5997540</v>
      </c>
      <c r="G13" s="35"/>
      <c r="H13" s="34">
        <f t="shared" si="2"/>
        <v>0</v>
      </c>
      <c r="I13" s="34">
        <f t="shared" si="3"/>
        <v>0</v>
      </c>
      <c r="J13" s="34">
        <f t="shared" si="4"/>
        <v>0</v>
      </c>
      <c r="K13" s="34">
        <f>+J13*5</f>
        <v>0</v>
      </c>
    </row>
    <row r="14" spans="1:11" x14ac:dyDescent="0.3">
      <c r="A14" s="67"/>
      <c r="B14" s="68" t="s">
        <v>40</v>
      </c>
      <c r="C14" s="68"/>
      <c r="D14" s="68"/>
      <c r="E14" s="36">
        <v>8892689</v>
      </c>
      <c r="F14" s="36">
        <v>44463445</v>
      </c>
      <c r="G14" s="37">
        <f>SUM(G10:G13)</f>
        <v>0</v>
      </c>
      <c r="H14" s="36">
        <f>SUM(H10:H13)</f>
        <v>0</v>
      </c>
      <c r="I14" s="36">
        <f>SUM(I10:I13)</f>
        <v>0</v>
      </c>
      <c r="J14" s="36">
        <f>SUM(J10:J13)</f>
        <v>0</v>
      </c>
      <c r="K14" s="36">
        <f>SUM(K10:K13)</f>
        <v>0</v>
      </c>
    </row>
    <row r="15" spans="1:11" ht="57" x14ac:dyDescent="0.3">
      <c r="A15" s="67" t="s">
        <v>41</v>
      </c>
      <c r="B15" s="6" t="s">
        <v>42</v>
      </c>
      <c r="C15" s="6" t="s">
        <v>54</v>
      </c>
      <c r="D15" s="9">
        <v>8</v>
      </c>
      <c r="E15" s="34">
        <v>328000</v>
      </c>
      <c r="F15" s="34">
        <v>1640000</v>
      </c>
      <c r="G15" s="35"/>
      <c r="H15" s="34">
        <f t="shared" ref="H15:H23" si="5">+G15*19%</f>
        <v>0</v>
      </c>
      <c r="I15" s="34">
        <f t="shared" ref="I15:I23" si="6">+H15+G15</f>
        <v>0</v>
      </c>
      <c r="J15" s="34">
        <f t="shared" ref="J15:J23" si="7">+I15*D15</f>
        <v>0</v>
      </c>
      <c r="K15" s="34">
        <f t="shared" ref="K15:K23" si="8">+J15*5</f>
        <v>0</v>
      </c>
    </row>
    <row r="16" spans="1:11" x14ac:dyDescent="0.3">
      <c r="A16" s="67"/>
      <c r="B16" s="8" t="s">
        <v>43</v>
      </c>
      <c r="C16" s="6" t="s">
        <v>54</v>
      </c>
      <c r="D16" s="9">
        <v>8</v>
      </c>
      <c r="E16" s="34">
        <v>300000</v>
      </c>
      <c r="F16" s="34">
        <v>1500000</v>
      </c>
      <c r="G16" s="35"/>
      <c r="H16" s="34">
        <f t="shared" si="5"/>
        <v>0</v>
      </c>
      <c r="I16" s="34">
        <f t="shared" si="6"/>
        <v>0</v>
      </c>
      <c r="J16" s="34">
        <f t="shared" si="7"/>
        <v>0</v>
      </c>
      <c r="K16" s="34">
        <f t="shared" si="8"/>
        <v>0</v>
      </c>
    </row>
    <row r="17" spans="1:11" ht="22.8" x14ac:dyDescent="0.3">
      <c r="A17" s="67"/>
      <c r="B17" s="8" t="s">
        <v>44</v>
      </c>
      <c r="C17" s="6" t="s">
        <v>54</v>
      </c>
      <c r="D17" s="9">
        <v>8</v>
      </c>
      <c r="E17" s="34">
        <v>280000</v>
      </c>
      <c r="F17" s="34">
        <v>1400000</v>
      </c>
      <c r="G17" s="35"/>
      <c r="H17" s="34">
        <f t="shared" si="5"/>
        <v>0</v>
      </c>
      <c r="I17" s="34">
        <f t="shared" si="6"/>
        <v>0</v>
      </c>
      <c r="J17" s="34">
        <f t="shared" si="7"/>
        <v>0</v>
      </c>
      <c r="K17" s="34">
        <f t="shared" si="8"/>
        <v>0</v>
      </c>
    </row>
    <row r="18" spans="1:11" ht="68.400000000000006" x14ac:dyDescent="0.3">
      <c r="A18" s="67"/>
      <c r="B18" s="6" t="s">
        <v>45</v>
      </c>
      <c r="C18" s="6" t="s">
        <v>54</v>
      </c>
      <c r="D18" s="9">
        <v>16</v>
      </c>
      <c r="E18" s="34">
        <v>456000</v>
      </c>
      <c r="F18" s="34">
        <v>2280000</v>
      </c>
      <c r="G18" s="35"/>
      <c r="H18" s="34">
        <f t="shared" si="5"/>
        <v>0</v>
      </c>
      <c r="I18" s="34">
        <f t="shared" si="6"/>
        <v>0</v>
      </c>
      <c r="J18" s="34">
        <f t="shared" si="7"/>
        <v>0</v>
      </c>
      <c r="K18" s="34">
        <f t="shared" si="8"/>
        <v>0</v>
      </c>
    </row>
    <row r="19" spans="1:11" ht="45.6" x14ac:dyDescent="0.3">
      <c r="A19" s="67"/>
      <c r="B19" s="10" t="s">
        <v>46</v>
      </c>
      <c r="C19" s="10" t="s">
        <v>59</v>
      </c>
      <c r="D19" s="11">
        <v>40</v>
      </c>
      <c r="E19" s="34">
        <v>1300000</v>
      </c>
      <c r="F19" s="34">
        <v>6500000</v>
      </c>
      <c r="G19" s="35"/>
      <c r="H19" s="34">
        <f t="shared" si="5"/>
        <v>0</v>
      </c>
      <c r="I19" s="34">
        <f t="shared" si="6"/>
        <v>0</v>
      </c>
      <c r="J19" s="34">
        <f t="shared" si="7"/>
        <v>0</v>
      </c>
      <c r="K19" s="34">
        <f t="shared" si="8"/>
        <v>0</v>
      </c>
    </row>
    <row r="20" spans="1:11" ht="114" x14ac:dyDescent="0.3">
      <c r="A20" s="67"/>
      <c r="B20" s="12" t="s">
        <v>47</v>
      </c>
      <c r="C20" s="6" t="s">
        <v>58</v>
      </c>
      <c r="D20" s="9">
        <v>9</v>
      </c>
      <c r="E20" s="34">
        <v>179555</v>
      </c>
      <c r="F20" s="34">
        <v>897775</v>
      </c>
      <c r="G20" s="35"/>
      <c r="H20" s="34">
        <f t="shared" si="5"/>
        <v>0</v>
      </c>
      <c r="I20" s="34">
        <f t="shared" si="6"/>
        <v>0</v>
      </c>
      <c r="J20" s="34">
        <f t="shared" si="7"/>
        <v>0</v>
      </c>
      <c r="K20" s="34">
        <f t="shared" si="8"/>
        <v>0</v>
      </c>
    </row>
    <row r="21" spans="1:11" ht="22.8" x14ac:dyDescent="0.3">
      <c r="A21" s="67"/>
      <c r="B21" s="10" t="s">
        <v>48</v>
      </c>
      <c r="C21" s="10" t="s">
        <v>57</v>
      </c>
      <c r="D21" s="11">
        <v>1</v>
      </c>
      <c r="E21" s="34">
        <v>15489</v>
      </c>
      <c r="F21" s="34">
        <v>77445</v>
      </c>
      <c r="G21" s="35"/>
      <c r="H21" s="34">
        <f t="shared" si="5"/>
        <v>0</v>
      </c>
      <c r="I21" s="34">
        <f t="shared" si="6"/>
        <v>0</v>
      </c>
      <c r="J21" s="34">
        <f t="shared" si="7"/>
        <v>0</v>
      </c>
      <c r="K21" s="34">
        <f t="shared" si="8"/>
        <v>0</v>
      </c>
    </row>
    <row r="22" spans="1:11" ht="22.8" x14ac:dyDescent="0.3">
      <c r="A22" s="67"/>
      <c r="B22" s="8" t="s">
        <v>49</v>
      </c>
      <c r="C22" s="8" t="s">
        <v>54</v>
      </c>
      <c r="D22" s="9">
        <v>8</v>
      </c>
      <c r="E22" s="34">
        <v>244000</v>
      </c>
      <c r="F22" s="34">
        <v>1220000</v>
      </c>
      <c r="G22" s="35"/>
      <c r="H22" s="34">
        <f t="shared" si="5"/>
        <v>0</v>
      </c>
      <c r="I22" s="34">
        <f t="shared" si="6"/>
        <v>0</v>
      </c>
      <c r="J22" s="34">
        <f t="shared" si="7"/>
        <v>0</v>
      </c>
      <c r="K22" s="34">
        <f t="shared" si="8"/>
        <v>0</v>
      </c>
    </row>
    <row r="23" spans="1:11" ht="22.8" x14ac:dyDescent="0.3">
      <c r="A23" s="67"/>
      <c r="B23" s="8" t="s">
        <v>50</v>
      </c>
      <c r="C23" s="8" t="s">
        <v>54</v>
      </c>
      <c r="D23" s="9">
        <v>8</v>
      </c>
      <c r="E23" s="34">
        <v>351200</v>
      </c>
      <c r="F23" s="34">
        <v>1756000</v>
      </c>
      <c r="G23" s="35"/>
      <c r="H23" s="34">
        <f t="shared" si="5"/>
        <v>0</v>
      </c>
      <c r="I23" s="34">
        <f t="shared" si="6"/>
        <v>0</v>
      </c>
      <c r="J23" s="34">
        <f t="shared" si="7"/>
        <v>0</v>
      </c>
      <c r="K23" s="34">
        <f t="shared" si="8"/>
        <v>0</v>
      </c>
    </row>
    <row r="24" spans="1:11" x14ac:dyDescent="0.3">
      <c r="A24" s="67"/>
      <c r="B24" s="68" t="s">
        <v>51</v>
      </c>
      <c r="C24" s="68"/>
      <c r="D24" s="68"/>
      <c r="E24" s="38">
        <v>3454244</v>
      </c>
      <c r="F24" s="38">
        <v>17271220</v>
      </c>
      <c r="G24" s="39">
        <f>SUM(G15:G23)</f>
        <v>0</v>
      </c>
      <c r="H24" s="38">
        <f>SUM(H15:H23)</f>
        <v>0</v>
      </c>
      <c r="I24" s="38">
        <f>SUM(I15:I23)</f>
        <v>0</v>
      </c>
      <c r="J24" s="38">
        <f>SUM(J15:J23)</f>
        <v>0</v>
      </c>
      <c r="K24" s="38">
        <f>SUM(K15:K23)</f>
        <v>0</v>
      </c>
    </row>
    <row r="25" spans="1:11" ht="68.400000000000006" x14ac:dyDescent="0.3">
      <c r="A25" s="67" t="s">
        <v>56</v>
      </c>
      <c r="B25" s="6" t="s">
        <v>55</v>
      </c>
      <c r="C25" s="13" t="s">
        <v>54</v>
      </c>
      <c r="D25" s="7">
        <v>8</v>
      </c>
      <c r="E25" s="34">
        <v>104000</v>
      </c>
      <c r="F25" s="34">
        <v>520000</v>
      </c>
      <c r="G25" s="35"/>
      <c r="H25" s="34">
        <f>+G25*19%</f>
        <v>0</v>
      </c>
      <c r="I25" s="34">
        <f>+H25+G25</f>
        <v>0</v>
      </c>
      <c r="J25" s="34">
        <f>+I25*D25</f>
        <v>0</v>
      </c>
      <c r="K25" s="34">
        <f>+J25*5</f>
        <v>0</v>
      </c>
    </row>
    <row r="26" spans="1:11" x14ac:dyDescent="0.3">
      <c r="A26" s="67"/>
      <c r="B26" s="68" t="s">
        <v>53</v>
      </c>
      <c r="C26" s="68"/>
      <c r="D26" s="68"/>
      <c r="E26" s="36">
        <v>104000</v>
      </c>
      <c r="F26" s="36">
        <v>520000</v>
      </c>
      <c r="G26" s="37">
        <f>+G25</f>
        <v>0</v>
      </c>
      <c r="H26" s="36">
        <f>+H25</f>
        <v>0</v>
      </c>
      <c r="I26" s="36">
        <f>+I25</f>
        <v>0</v>
      </c>
      <c r="J26" s="36">
        <f>+J25</f>
        <v>0</v>
      </c>
      <c r="K26" s="36">
        <f>+K25</f>
        <v>0</v>
      </c>
    </row>
    <row r="27" spans="1:11" x14ac:dyDescent="0.3">
      <c r="A27" s="71" t="s">
        <v>52</v>
      </c>
      <c r="B27" s="71"/>
      <c r="C27" s="71"/>
      <c r="D27" s="71"/>
      <c r="E27" s="40">
        <v>13796608</v>
      </c>
      <c r="F27" s="40">
        <f>F4+F9+F14+F24+F26</f>
        <v>68983040</v>
      </c>
      <c r="G27" s="41">
        <f>+G26+G24+G14+G9+G4</f>
        <v>0</v>
      </c>
      <c r="H27" s="40">
        <f>+H26+H24+H14+H9+H4</f>
        <v>0</v>
      </c>
      <c r="I27" s="40">
        <f>+I26+I24+I14+I9+I4</f>
        <v>0</v>
      </c>
      <c r="J27" s="40">
        <f>+J26+J24+J14+J9+J4</f>
        <v>0</v>
      </c>
      <c r="K27" s="40">
        <f>+K26+K24+K14+K9+K4</f>
        <v>0</v>
      </c>
    </row>
    <row r="28" spans="1:11" x14ac:dyDescent="0.3">
      <c r="H28"/>
      <c r="I28"/>
      <c r="J28"/>
      <c r="K28"/>
    </row>
  </sheetData>
  <mergeCells count="23">
    <mergeCell ref="A25:A26"/>
    <mergeCell ref="B26:D26"/>
    <mergeCell ref="A27:D27"/>
    <mergeCell ref="A5:A9"/>
    <mergeCell ref="C5:C8"/>
    <mergeCell ref="B9:D9"/>
    <mergeCell ref="A10:A14"/>
    <mergeCell ref="B14:D14"/>
    <mergeCell ref="A15:A24"/>
    <mergeCell ref="B24:D24"/>
    <mergeCell ref="G1:G2"/>
    <mergeCell ref="H1:H2"/>
    <mergeCell ref="I1:I2"/>
    <mergeCell ref="J1:J2"/>
    <mergeCell ref="K1:K2"/>
    <mergeCell ref="E1:E2"/>
    <mergeCell ref="F1:F2"/>
    <mergeCell ref="A3:A4"/>
    <mergeCell ref="B4:D4"/>
    <mergeCell ref="A1:A2"/>
    <mergeCell ref="B1:B2"/>
    <mergeCell ref="C1:C2"/>
    <mergeCell ref="D1:D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43B63-EAE7-4DE0-9EC1-D5AA27B1EA0A}">
  <sheetPr>
    <tabColor theme="9" tint="-0.499984740745262"/>
  </sheetPr>
  <dimension ref="A1:S44"/>
  <sheetViews>
    <sheetView topLeftCell="A27" zoomScale="60" zoomScaleNormal="60" workbookViewId="0">
      <selection activeCell="A41" sqref="A41:N44"/>
    </sheetView>
  </sheetViews>
  <sheetFormatPr baseColWidth="10" defaultRowHeight="14.4" x14ac:dyDescent="0.3"/>
  <cols>
    <col min="1" max="1" width="58.5546875" customWidth="1"/>
    <col min="2" max="2" width="22.44140625" customWidth="1"/>
    <col min="3" max="3" width="37.33203125" customWidth="1"/>
    <col min="4" max="4" width="19.109375" bestFit="1" customWidth="1"/>
    <col min="5" max="5" width="19.88671875" customWidth="1"/>
    <col min="6" max="7" width="18.33203125" customWidth="1"/>
    <col min="8" max="8" width="25.88671875" customWidth="1"/>
    <col min="9" max="9" width="31" customWidth="1"/>
    <col min="10" max="10" width="21.5546875" customWidth="1"/>
    <col min="11" max="11" width="23.33203125" customWidth="1"/>
    <col min="12" max="13" width="20.44140625" customWidth="1"/>
    <col min="14" max="14" width="27.33203125" customWidth="1"/>
    <col min="15" max="15" width="23" customWidth="1"/>
    <col min="16" max="16" width="16.88671875" customWidth="1"/>
    <col min="17" max="17" width="22.33203125" customWidth="1"/>
    <col min="18" max="18" width="21.88671875" customWidth="1"/>
    <col min="19" max="19" width="22.88671875" customWidth="1"/>
  </cols>
  <sheetData>
    <row r="1" spans="1:19" ht="15" customHeight="1" x14ac:dyDescent="0.3">
      <c r="A1" s="55" t="s">
        <v>27</v>
      </c>
      <c r="B1" s="56"/>
      <c r="C1" s="56"/>
      <c r="D1" s="56"/>
      <c r="E1" s="56"/>
      <c r="F1" s="56"/>
      <c r="G1" s="56"/>
      <c r="H1" s="56"/>
      <c r="I1" s="56"/>
      <c r="J1" s="56"/>
      <c r="K1" s="56"/>
      <c r="L1" s="56"/>
      <c r="M1" s="56"/>
      <c r="N1" s="56"/>
      <c r="O1" s="56"/>
    </row>
    <row r="2" spans="1:19" ht="14.4" customHeight="1" x14ac:dyDescent="0.3">
      <c r="A2" s="55"/>
      <c r="B2" s="56"/>
      <c r="C2" s="56"/>
      <c r="D2" s="56"/>
      <c r="E2" s="56"/>
      <c r="F2" s="56"/>
      <c r="G2" s="56"/>
      <c r="H2" s="56"/>
      <c r="I2" s="56"/>
      <c r="J2" s="56"/>
      <c r="K2" s="56"/>
      <c r="L2" s="56"/>
      <c r="M2" s="56"/>
      <c r="N2" s="56"/>
      <c r="O2" s="56"/>
      <c r="P2" s="74" t="s">
        <v>83</v>
      </c>
      <c r="Q2" s="74"/>
      <c r="R2" s="74"/>
      <c r="S2" s="74"/>
    </row>
    <row r="3" spans="1:19" ht="14.4" customHeight="1" x14ac:dyDescent="0.3">
      <c r="A3" s="1"/>
      <c r="P3" s="74"/>
      <c r="Q3" s="74"/>
      <c r="R3" s="74"/>
      <c r="S3" s="74"/>
    </row>
    <row r="4" spans="1:19" ht="14.4" customHeight="1" x14ac:dyDescent="0.3">
      <c r="P4" s="74"/>
      <c r="Q4" s="74"/>
      <c r="R4" s="74"/>
      <c r="S4" s="74"/>
    </row>
    <row r="5" spans="1:19" ht="18" x14ac:dyDescent="0.3">
      <c r="A5" s="57" t="s">
        <v>26</v>
      </c>
      <c r="B5" s="58"/>
      <c r="C5" s="58"/>
      <c r="D5" s="58"/>
      <c r="E5" s="58"/>
      <c r="F5" s="58"/>
      <c r="G5" s="58"/>
      <c r="H5" s="58"/>
      <c r="I5" s="58"/>
      <c r="J5" s="58"/>
      <c r="K5" s="58"/>
      <c r="L5" s="58"/>
      <c r="M5" s="58"/>
      <c r="N5" s="58"/>
      <c r="O5" s="58"/>
    </row>
    <row r="6" spans="1:19" ht="14.4" customHeight="1" x14ac:dyDescent="0.3">
      <c r="A6" s="52" t="s">
        <v>0</v>
      </c>
      <c r="B6" s="52" t="s">
        <v>1</v>
      </c>
      <c r="C6" s="61" t="s">
        <v>2</v>
      </c>
      <c r="D6" s="52" t="s">
        <v>3</v>
      </c>
      <c r="E6" s="52" t="s">
        <v>4</v>
      </c>
      <c r="F6" s="52" t="s">
        <v>5</v>
      </c>
      <c r="G6" s="52" t="s">
        <v>6</v>
      </c>
      <c r="H6" s="52" t="s">
        <v>7</v>
      </c>
      <c r="I6" s="52" t="s">
        <v>8</v>
      </c>
      <c r="J6" s="52" t="s">
        <v>9</v>
      </c>
      <c r="K6" s="52" t="s">
        <v>10</v>
      </c>
      <c r="L6" s="52" t="s">
        <v>11</v>
      </c>
      <c r="M6" s="52" t="s">
        <v>12</v>
      </c>
      <c r="N6" s="52" t="s">
        <v>85</v>
      </c>
      <c r="O6" s="52" t="s">
        <v>86</v>
      </c>
      <c r="P6" s="75" t="s">
        <v>82</v>
      </c>
      <c r="Q6" s="78" t="s">
        <v>87</v>
      </c>
      <c r="R6" s="78" t="s">
        <v>88</v>
      </c>
      <c r="S6" s="78" t="s">
        <v>92</v>
      </c>
    </row>
    <row r="7" spans="1:19" x14ac:dyDescent="0.3">
      <c r="A7" s="52"/>
      <c r="B7" s="52"/>
      <c r="C7" s="61"/>
      <c r="D7" s="52"/>
      <c r="E7" s="52"/>
      <c r="F7" s="52"/>
      <c r="G7" s="52"/>
      <c r="H7" s="52"/>
      <c r="I7" s="52"/>
      <c r="J7" s="52"/>
      <c r="K7" s="52"/>
      <c r="L7" s="52"/>
      <c r="M7" s="52"/>
      <c r="N7" s="52"/>
      <c r="O7" s="52"/>
      <c r="P7" s="76"/>
      <c r="Q7" s="78"/>
      <c r="R7" s="78"/>
      <c r="S7" s="78"/>
    </row>
    <row r="8" spans="1:19" ht="27.6" customHeight="1" x14ac:dyDescent="0.3">
      <c r="A8" s="52"/>
      <c r="B8" s="52"/>
      <c r="C8" s="61"/>
      <c r="D8" s="52"/>
      <c r="E8" s="52"/>
      <c r="F8" s="52"/>
      <c r="G8" s="52"/>
      <c r="H8" s="52"/>
      <c r="I8" s="52"/>
      <c r="J8" s="52"/>
      <c r="K8" s="52"/>
      <c r="L8" s="52"/>
      <c r="M8" s="52"/>
      <c r="N8" s="52"/>
      <c r="O8" s="52"/>
      <c r="P8" s="77"/>
      <c r="Q8" s="78"/>
      <c r="R8" s="78"/>
      <c r="S8" s="78"/>
    </row>
    <row r="9" spans="1:19" ht="27.6" x14ac:dyDescent="0.3">
      <c r="A9" s="2" t="s">
        <v>13</v>
      </c>
      <c r="B9" s="3">
        <v>1</v>
      </c>
      <c r="C9" s="4" t="s">
        <v>14</v>
      </c>
      <c r="D9" s="26" t="s">
        <v>15</v>
      </c>
      <c r="E9" s="27" t="s">
        <v>15</v>
      </c>
      <c r="F9" s="28">
        <v>1423500</v>
      </c>
      <c r="G9" s="28">
        <v>4928</v>
      </c>
      <c r="H9" s="29">
        <f>+(F9*10.04)+G9</f>
        <v>14296867.999999998</v>
      </c>
      <c r="I9" s="30">
        <v>0.1</v>
      </c>
      <c r="J9" s="29">
        <f t="shared" ref="J9:J18" si="0">ROUND((H9*I9),0)</f>
        <v>1429687</v>
      </c>
      <c r="K9" s="29">
        <f t="shared" ref="K9:K18" si="1">+H9+J9</f>
        <v>15726554.999999998</v>
      </c>
      <c r="L9" s="29">
        <f t="shared" ref="L9:L18" si="2">+ROUND(K9*10%,0)</f>
        <v>1572656</v>
      </c>
      <c r="M9" s="29">
        <f t="shared" ref="M9:M18" si="3">+ROUND(L9*19%,0)</f>
        <v>298805</v>
      </c>
      <c r="N9" s="29">
        <f t="shared" ref="N9:N18" si="4">+ROUND(K9+L9+M9,0)</f>
        <v>17598016</v>
      </c>
      <c r="O9" s="29">
        <f>+ROUND((N9*1)+((N9/30)*94),0)</f>
        <v>72738466</v>
      </c>
      <c r="P9" s="42"/>
      <c r="Q9" s="43">
        <f>+ROUND(K9-(K9*P9),0)</f>
        <v>15726555</v>
      </c>
      <c r="R9" s="43">
        <f>+ROUND((Q9*1)+((Q9/30)*94),0)</f>
        <v>65003094</v>
      </c>
      <c r="S9" s="79">
        <f>ROUND((R9-(R9*P9)),0)</f>
        <v>65003094</v>
      </c>
    </row>
    <row r="10" spans="1:19" ht="41.4" x14ac:dyDescent="0.3">
      <c r="A10" s="2" t="s">
        <v>13</v>
      </c>
      <c r="B10" s="3">
        <v>1</v>
      </c>
      <c r="C10" s="4" t="s">
        <v>69</v>
      </c>
      <c r="D10" s="26" t="s">
        <v>16</v>
      </c>
      <c r="E10" s="27" t="s">
        <v>15</v>
      </c>
      <c r="F10" s="28">
        <v>1423500</v>
      </c>
      <c r="G10" s="28">
        <v>1643</v>
      </c>
      <c r="H10" s="29">
        <f>ROUND(((((((F10*10.04+G10)*55.97%)/30)*20)/15)*12),0)+ROUND(((((((F10*10.04+G10)*55.97%)/30)*4)/15)*6),0)</f>
        <v>4693403</v>
      </c>
      <c r="I10" s="30">
        <v>0.1</v>
      </c>
      <c r="J10" s="29">
        <f t="shared" si="0"/>
        <v>469340</v>
      </c>
      <c r="K10" s="29">
        <f t="shared" si="1"/>
        <v>5162743</v>
      </c>
      <c r="L10" s="29">
        <f t="shared" si="2"/>
        <v>516274</v>
      </c>
      <c r="M10" s="29">
        <f t="shared" si="3"/>
        <v>98092</v>
      </c>
      <c r="N10" s="29">
        <f t="shared" si="4"/>
        <v>5777109</v>
      </c>
      <c r="O10" s="29">
        <f t="shared" ref="O10:O18" si="5">+ROUND((N10*1)+((N10/30)*94),0)</f>
        <v>23878717</v>
      </c>
      <c r="P10" s="42"/>
      <c r="Q10" s="43">
        <f>+ROUND(K10-(K10*P10),0)</f>
        <v>5162743</v>
      </c>
      <c r="R10" s="43">
        <f t="shared" ref="R10:R18" si="6">+ROUND((Q10*1)+((Q10/30)*94),0)</f>
        <v>21339338</v>
      </c>
      <c r="S10" s="79">
        <f t="shared" ref="S10:S18" si="7">ROUND((R10-(R10*P10)),0)</f>
        <v>21339338</v>
      </c>
    </row>
    <row r="11" spans="1:19" ht="27.6" x14ac:dyDescent="0.3">
      <c r="A11" s="2" t="s">
        <v>17</v>
      </c>
      <c r="B11" s="3">
        <v>1</v>
      </c>
      <c r="C11" s="4" t="s">
        <v>14</v>
      </c>
      <c r="D11" s="26" t="s">
        <v>15</v>
      </c>
      <c r="E11" s="27" t="s">
        <v>15</v>
      </c>
      <c r="F11" s="28">
        <v>1423500</v>
      </c>
      <c r="G11" s="28">
        <v>4928</v>
      </c>
      <c r="H11" s="29">
        <f>+(F11*10.04)+G11</f>
        <v>14296867.999999998</v>
      </c>
      <c r="I11" s="30">
        <v>0.1</v>
      </c>
      <c r="J11" s="29">
        <f t="shared" si="0"/>
        <v>1429687</v>
      </c>
      <c r="K11" s="29">
        <f t="shared" si="1"/>
        <v>15726554.999999998</v>
      </c>
      <c r="L11" s="29">
        <f t="shared" si="2"/>
        <v>1572656</v>
      </c>
      <c r="M11" s="29">
        <f t="shared" si="3"/>
        <v>298805</v>
      </c>
      <c r="N11" s="29">
        <f t="shared" si="4"/>
        <v>17598016</v>
      </c>
      <c r="O11" s="29">
        <f t="shared" si="5"/>
        <v>72738466</v>
      </c>
      <c r="P11" s="42"/>
      <c r="Q11" s="43">
        <f t="shared" ref="Q11:Q18" si="8">+ROUND(K11-(K11*P11),0)</f>
        <v>15726555</v>
      </c>
      <c r="R11" s="43">
        <f t="shared" si="6"/>
        <v>65003094</v>
      </c>
      <c r="S11" s="79">
        <f t="shared" si="7"/>
        <v>65003094</v>
      </c>
    </row>
    <row r="12" spans="1:19" ht="27.6" x14ac:dyDescent="0.3">
      <c r="A12" s="2" t="s">
        <v>18</v>
      </c>
      <c r="B12" s="3">
        <v>1</v>
      </c>
      <c r="C12" s="4" t="s">
        <v>14</v>
      </c>
      <c r="D12" s="26" t="s">
        <v>15</v>
      </c>
      <c r="E12" s="27" t="s">
        <v>15</v>
      </c>
      <c r="F12" s="28">
        <v>1423500</v>
      </c>
      <c r="G12" s="28">
        <v>4928</v>
      </c>
      <c r="H12" s="29">
        <f t="shared" ref="H12:H17" si="9">+(F12*10.04)+G12</f>
        <v>14296867.999999998</v>
      </c>
      <c r="I12" s="30">
        <v>0.1</v>
      </c>
      <c r="J12" s="29">
        <f t="shared" si="0"/>
        <v>1429687</v>
      </c>
      <c r="K12" s="29">
        <f t="shared" si="1"/>
        <v>15726554.999999998</v>
      </c>
      <c r="L12" s="29">
        <f t="shared" si="2"/>
        <v>1572656</v>
      </c>
      <c r="M12" s="29">
        <f t="shared" si="3"/>
        <v>298805</v>
      </c>
      <c r="N12" s="29">
        <f t="shared" si="4"/>
        <v>17598016</v>
      </c>
      <c r="O12" s="29">
        <f t="shared" si="5"/>
        <v>72738466</v>
      </c>
      <c r="P12" s="42"/>
      <c r="Q12" s="43">
        <f t="shared" si="8"/>
        <v>15726555</v>
      </c>
      <c r="R12" s="43">
        <f t="shared" si="6"/>
        <v>65003094</v>
      </c>
      <c r="S12" s="79">
        <f t="shared" si="7"/>
        <v>65003094</v>
      </c>
    </row>
    <row r="13" spans="1:19" ht="27.6" x14ac:dyDescent="0.3">
      <c r="A13" s="2" t="s">
        <v>19</v>
      </c>
      <c r="B13" s="3">
        <v>1</v>
      </c>
      <c r="C13" s="4" t="s">
        <v>14</v>
      </c>
      <c r="D13" s="26" t="s">
        <v>15</v>
      </c>
      <c r="E13" s="27" t="s">
        <v>15</v>
      </c>
      <c r="F13" s="28">
        <v>1423500</v>
      </c>
      <c r="G13" s="28">
        <v>4928</v>
      </c>
      <c r="H13" s="29">
        <f t="shared" si="9"/>
        <v>14296867.999999998</v>
      </c>
      <c r="I13" s="30">
        <v>0.1</v>
      </c>
      <c r="J13" s="29">
        <f t="shared" si="0"/>
        <v>1429687</v>
      </c>
      <c r="K13" s="29">
        <f t="shared" si="1"/>
        <v>15726554.999999998</v>
      </c>
      <c r="L13" s="29">
        <f t="shared" si="2"/>
        <v>1572656</v>
      </c>
      <c r="M13" s="29">
        <f t="shared" si="3"/>
        <v>298805</v>
      </c>
      <c r="N13" s="29">
        <f t="shared" si="4"/>
        <v>17598016</v>
      </c>
      <c r="O13" s="29">
        <f t="shared" si="5"/>
        <v>72738466</v>
      </c>
      <c r="P13" s="42"/>
      <c r="Q13" s="43">
        <f t="shared" si="8"/>
        <v>15726555</v>
      </c>
      <c r="R13" s="43">
        <f t="shared" si="6"/>
        <v>65003094</v>
      </c>
      <c r="S13" s="79">
        <f t="shared" si="7"/>
        <v>65003094</v>
      </c>
    </row>
    <row r="14" spans="1:19" ht="27.6" x14ac:dyDescent="0.3">
      <c r="A14" s="2" t="s">
        <v>20</v>
      </c>
      <c r="B14" s="3">
        <v>1</v>
      </c>
      <c r="C14" s="4" t="s">
        <v>14</v>
      </c>
      <c r="D14" s="26" t="s">
        <v>15</v>
      </c>
      <c r="E14" s="27" t="s">
        <v>15</v>
      </c>
      <c r="F14" s="28">
        <v>1423500</v>
      </c>
      <c r="G14" s="28">
        <v>4928</v>
      </c>
      <c r="H14" s="29">
        <f t="shared" si="9"/>
        <v>14296867.999999998</v>
      </c>
      <c r="I14" s="30">
        <v>0.1</v>
      </c>
      <c r="J14" s="29">
        <f t="shared" si="0"/>
        <v>1429687</v>
      </c>
      <c r="K14" s="29">
        <f t="shared" si="1"/>
        <v>15726554.999999998</v>
      </c>
      <c r="L14" s="29">
        <f t="shared" si="2"/>
        <v>1572656</v>
      </c>
      <c r="M14" s="29">
        <f t="shared" si="3"/>
        <v>298805</v>
      </c>
      <c r="N14" s="29">
        <f t="shared" si="4"/>
        <v>17598016</v>
      </c>
      <c r="O14" s="29">
        <f t="shared" si="5"/>
        <v>72738466</v>
      </c>
      <c r="P14" s="42"/>
      <c r="Q14" s="43">
        <f t="shared" si="8"/>
        <v>15726555</v>
      </c>
      <c r="R14" s="43">
        <f t="shared" si="6"/>
        <v>65003094</v>
      </c>
      <c r="S14" s="79">
        <f t="shared" si="7"/>
        <v>65003094</v>
      </c>
    </row>
    <row r="15" spans="1:19" ht="27.6" x14ac:dyDescent="0.3">
      <c r="A15" s="2" t="s">
        <v>21</v>
      </c>
      <c r="B15" s="3">
        <v>1</v>
      </c>
      <c r="C15" s="4" t="s">
        <v>14</v>
      </c>
      <c r="D15" s="26" t="s">
        <v>15</v>
      </c>
      <c r="E15" s="27" t="s">
        <v>15</v>
      </c>
      <c r="F15" s="28">
        <v>1423500</v>
      </c>
      <c r="G15" s="28">
        <v>4928</v>
      </c>
      <c r="H15" s="29">
        <f t="shared" si="9"/>
        <v>14296867.999999998</v>
      </c>
      <c r="I15" s="30">
        <v>0.1</v>
      </c>
      <c r="J15" s="29">
        <f t="shared" si="0"/>
        <v>1429687</v>
      </c>
      <c r="K15" s="29">
        <f t="shared" si="1"/>
        <v>15726554.999999998</v>
      </c>
      <c r="L15" s="29">
        <f t="shared" si="2"/>
        <v>1572656</v>
      </c>
      <c r="M15" s="29">
        <f t="shared" si="3"/>
        <v>298805</v>
      </c>
      <c r="N15" s="29">
        <f t="shared" si="4"/>
        <v>17598016</v>
      </c>
      <c r="O15" s="29">
        <f t="shared" si="5"/>
        <v>72738466</v>
      </c>
      <c r="P15" s="42"/>
      <c r="Q15" s="43">
        <f t="shared" si="8"/>
        <v>15726555</v>
      </c>
      <c r="R15" s="43">
        <f t="shared" si="6"/>
        <v>65003094</v>
      </c>
      <c r="S15" s="79">
        <f t="shared" si="7"/>
        <v>65003094</v>
      </c>
    </row>
    <row r="16" spans="1:19" ht="27.6" x14ac:dyDescent="0.3">
      <c r="A16" s="2" t="s">
        <v>22</v>
      </c>
      <c r="B16" s="3">
        <v>1</v>
      </c>
      <c r="C16" s="4" t="s">
        <v>14</v>
      </c>
      <c r="D16" s="26" t="s">
        <v>15</v>
      </c>
      <c r="E16" s="27" t="s">
        <v>15</v>
      </c>
      <c r="F16" s="28">
        <v>1423500</v>
      </c>
      <c r="G16" s="28">
        <v>4928</v>
      </c>
      <c r="H16" s="29">
        <f t="shared" si="9"/>
        <v>14296867.999999998</v>
      </c>
      <c r="I16" s="30">
        <v>0.1</v>
      </c>
      <c r="J16" s="29">
        <f t="shared" si="0"/>
        <v>1429687</v>
      </c>
      <c r="K16" s="29">
        <f t="shared" si="1"/>
        <v>15726554.999999998</v>
      </c>
      <c r="L16" s="29">
        <f t="shared" si="2"/>
        <v>1572656</v>
      </c>
      <c r="M16" s="29">
        <f t="shared" si="3"/>
        <v>298805</v>
      </c>
      <c r="N16" s="29">
        <f t="shared" si="4"/>
        <v>17598016</v>
      </c>
      <c r="O16" s="29">
        <f t="shared" si="5"/>
        <v>72738466</v>
      </c>
      <c r="P16" s="42"/>
      <c r="Q16" s="43">
        <f t="shared" si="8"/>
        <v>15726555</v>
      </c>
      <c r="R16" s="43">
        <f t="shared" si="6"/>
        <v>65003094</v>
      </c>
      <c r="S16" s="79">
        <f t="shared" si="7"/>
        <v>65003094</v>
      </c>
    </row>
    <row r="17" spans="1:19" ht="27.6" x14ac:dyDescent="0.3">
      <c r="A17" s="2" t="s">
        <v>23</v>
      </c>
      <c r="B17" s="3">
        <v>1</v>
      </c>
      <c r="C17" s="4" t="s">
        <v>14</v>
      </c>
      <c r="D17" s="26" t="s">
        <v>15</v>
      </c>
      <c r="E17" s="27" t="s">
        <v>15</v>
      </c>
      <c r="F17" s="28">
        <v>1423500</v>
      </c>
      <c r="G17" s="28">
        <v>4928</v>
      </c>
      <c r="H17" s="29">
        <f t="shared" si="9"/>
        <v>14296867.999999998</v>
      </c>
      <c r="I17" s="30">
        <v>0.1</v>
      </c>
      <c r="J17" s="29">
        <f t="shared" si="0"/>
        <v>1429687</v>
      </c>
      <c r="K17" s="29">
        <f t="shared" si="1"/>
        <v>15726554.999999998</v>
      </c>
      <c r="L17" s="29">
        <f t="shared" si="2"/>
        <v>1572656</v>
      </c>
      <c r="M17" s="29">
        <f t="shared" si="3"/>
        <v>298805</v>
      </c>
      <c r="N17" s="29">
        <f t="shared" si="4"/>
        <v>17598016</v>
      </c>
      <c r="O17" s="29">
        <f t="shared" si="5"/>
        <v>72738466</v>
      </c>
      <c r="P17" s="42"/>
      <c r="Q17" s="43">
        <f t="shared" si="8"/>
        <v>15726555</v>
      </c>
      <c r="R17" s="43">
        <f t="shared" si="6"/>
        <v>65003094</v>
      </c>
      <c r="S17" s="79">
        <f t="shared" si="7"/>
        <v>65003094</v>
      </c>
    </row>
    <row r="18" spans="1:19" ht="38.25" customHeight="1" x14ac:dyDescent="0.3">
      <c r="A18" s="2" t="s">
        <v>24</v>
      </c>
      <c r="B18" s="3">
        <v>1</v>
      </c>
      <c r="C18" s="4" t="s">
        <v>25</v>
      </c>
      <c r="D18" s="26" t="s">
        <v>16</v>
      </c>
      <c r="E18" s="27" t="s">
        <v>15</v>
      </c>
      <c r="F18" s="28">
        <v>1423500</v>
      </c>
      <c r="G18" s="28">
        <v>1643</v>
      </c>
      <c r="H18" s="29">
        <f>ROUND(((((((F18*10.04+G18)*44.03%)/30)*30)/9)*9)+((((((F18*10.04+G18)*55.97%)/30)*30)/15)*3),0)</f>
        <v>7893488</v>
      </c>
      <c r="I18" s="30">
        <v>0.1</v>
      </c>
      <c r="J18" s="29">
        <f t="shared" si="0"/>
        <v>789349</v>
      </c>
      <c r="K18" s="29">
        <f t="shared" si="1"/>
        <v>8682837</v>
      </c>
      <c r="L18" s="29">
        <f t="shared" si="2"/>
        <v>868284</v>
      </c>
      <c r="M18" s="29">
        <f t="shared" si="3"/>
        <v>164974</v>
      </c>
      <c r="N18" s="29">
        <f t="shared" si="4"/>
        <v>9716095</v>
      </c>
      <c r="O18" s="29">
        <f t="shared" si="5"/>
        <v>40159859</v>
      </c>
      <c r="P18" s="42"/>
      <c r="Q18" s="43">
        <f t="shared" si="8"/>
        <v>8682837</v>
      </c>
      <c r="R18" s="43">
        <f t="shared" si="6"/>
        <v>35889060</v>
      </c>
      <c r="S18" s="79">
        <f t="shared" si="7"/>
        <v>35889060</v>
      </c>
    </row>
    <row r="19" spans="1:19" x14ac:dyDescent="0.3">
      <c r="A19" s="64" t="s">
        <v>70</v>
      </c>
      <c r="B19" s="64"/>
      <c r="C19" s="64"/>
      <c r="D19" s="64"/>
      <c r="E19" s="64"/>
      <c r="F19" s="31">
        <f>SUM(F9:F18)</f>
        <v>14235000</v>
      </c>
      <c r="G19" s="31">
        <f t="shared" ref="G19:H19" si="10">SUM(G9:G18)</f>
        <v>42710</v>
      </c>
      <c r="H19" s="31">
        <f t="shared" si="10"/>
        <v>126961835</v>
      </c>
      <c r="I19" s="31"/>
      <c r="J19" s="31">
        <f t="shared" ref="J19:O19" si="11">SUM(J9:J18)</f>
        <v>12696185</v>
      </c>
      <c r="K19" s="31">
        <f t="shared" si="11"/>
        <v>139658020</v>
      </c>
      <c r="L19" s="31">
        <f t="shared" si="11"/>
        <v>13965806</v>
      </c>
      <c r="M19" s="31">
        <f t="shared" si="11"/>
        <v>2653506</v>
      </c>
      <c r="N19" s="31">
        <f t="shared" si="11"/>
        <v>156277332</v>
      </c>
      <c r="O19" s="32">
        <f t="shared" si="11"/>
        <v>645946304</v>
      </c>
      <c r="P19" s="47"/>
      <c r="Q19" s="47">
        <f t="shared" ref="Q19:R19" si="12">SUM(Q9:Q18)</f>
        <v>139658020</v>
      </c>
      <c r="R19" s="50">
        <f t="shared" si="12"/>
        <v>577253150</v>
      </c>
      <c r="S19" s="80">
        <f>SUM(S9:S18)</f>
        <v>577253150</v>
      </c>
    </row>
    <row r="20" spans="1:19" x14ac:dyDescent="0.3">
      <c r="A20" s="18"/>
      <c r="B20" s="18"/>
      <c r="C20" s="18"/>
      <c r="D20" s="18"/>
      <c r="E20" s="18"/>
      <c r="F20" s="5"/>
      <c r="G20" s="5"/>
      <c r="H20" s="5"/>
      <c r="I20" s="5"/>
      <c r="J20" s="5"/>
      <c r="K20" s="5"/>
      <c r="L20" s="5"/>
      <c r="M20" s="5"/>
      <c r="N20" s="5"/>
      <c r="O20" s="15"/>
    </row>
    <row r="21" spans="1:19" ht="18" x14ac:dyDescent="0.35">
      <c r="A21" s="60" t="s">
        <v>74</v>
      </c>
      <c r="B21" s="60"/>
      <c r="C21" s="60"/>
      <c r="D21" s="60"/>
      <c r="E21" s="60"/>
      <c r="F21" s="60"/>
      <c r="G21" s="60"/>
      <c r="H21" s="60"/>
      <c r="I21" s="60"/>
      <c r="J21" s="60"/>
      <c r="K21" s="60"/>
      <c r="L21" s="60"/>
      <c r="M21" s="60"/>
      <c r="N21" s="60"/>
      <c r="O21" s="60"/>
    </row>
    <row r="22" spans="1:19" ht="14.4" customHeight="1" x14ac:dyDescent="0.3">
      <c r="A22" s="52" t="s">
        <v>0</v>
      </c>
      <c r="B22" s="52" t="s">
        <v>1</v>
      </c>
      <c r="C22" s="61" t="s">
        <v>2</v>
      </c>
      <c r="D22" s="52" t="s">
        <v>3</v>
      </c>
      <c r="E22" s="52" t="s">
        <v>4</v>
      </c>
      <c r="F22" s="52" t="s">
        <v>71</v>
      </c>
      <c r="G22" s="52" t="s">
        <v>72</v>
      </c>
      <c r="H22" s="52" t="s">
        <v>7</v>
      </c>
      <c r="I22" s="52" t="s">
        <v>8</v>
      </c>
      <c r="J22" s="52" t="s">
        <v>9</v>
      </c>
      <c r="K22" s="52" t="s">
        <v>10</v>
      </c>
      <c r="L22" s="52" t="s">
        <v>11</v>
      </c>
      <c r="M22" s="52" t="s">
        <v>12</v>
      </c>
      <c r="N22" s="52" t="s">
        <v>95</v>
      </c>
      <c r="O22" s="52" t="s">
        <v>94</v>
      </c>
      <c r="P22" s="75" t="s">
        <v>82</v>
      </c>
      <c r="Q22" s="78" t="s">
        <v>89</v>
      </c>
      <c r="R22" s="78" t="s">
        <v>90</v>
      </c>
      <c r="S22" s="78" t="s">
        <v>91</v>
      </c>
    </row>
    <row r="23" spans="1:19" x14ac:dyDescent="0.3">
      <c r="A23" s="52"/>
      <c r="B23" s="52"/>
      <c r="C23" s="61"/>
      <c r="D23" s="52"/>
      <c r="E23" s="52"/>
      <c r="F23" s="52"/>
      <c r="G23" s="52"/>
      <c r="H23" s="52"/>
      <c r="I23" s="52"/>
      <c r="J23" s="52"/>
      <c r="K23" s="52"/>
      <c r="L23" s="52"/>
      <c r="M23" s="52"/>
      <c r="N23" s="52"/>
      <c r="O23" s="52"/>
      <c r="P23" s="76"/>
      <c r="Q23" s="78"/>
      <c r="R23" s="78"/>
      <c r="S23" s="78"/>
    </row>
    <row r="24" spans="1:19" ht="25.8" customHeight="1" x14ac:dyDescent="0.3">
      <c r="A24" s="52"/>
      <c r="B24" s="52"/>
      <c r="C24" s="61"/>
      <c r="D24" s="52"/>
      <c r="E24" s="52"/>
      <c r="F24" s="52"/>
      <c r="G24" s="52"/>
      <c r="H24" s="52"/>
      <c r="I24" s="52"/>
      <c r="J24" s="52"/>
      <c r="K24" s="52"/>
      <c r="L24" s="52"/>
      <c r="M24" s="52"/>
      <c r="N24" s="52"/>
      <c r="O24" s="52"/>
      <c r="P24" s="77"/>
      <c r="Q24" s="78"/>
      <c r="R24" s="78"/>
      <c r="S24" s="78"/>
    </row>
    <row r="25" spans="1:19" ht="27.6" x14ac:dyDescent="0.3">
      <c r="A25" s="2" t="s">
        <v>13</v>
      </c>
      <c r="B25" s="3">
        <v>1</v>
      </c>
      <c r="C25" s="4" t="s">
        <v>14</v>
      </c>
      <c r="D25" s="26" t="s">
        <v>15</v>
      </c>
      <c r="E25" s="27" t="s">
        <v>15</v>
      </c>
      <c r="F25" s="28">
        <v>1551615</v>
      </c>
      <c r="G25" s="28">
        <v>5125</v>
      </c>
      <c r="H25" s="29">
        <f>+(F25*10.57)+G25</f>
        <v>16405695.550000001</v>
      </c>
      <c r="I25" s="30">
        <v>0.1</v>
      </c>
      <c r="J25" s="29">
        <f t="shared" ref="J25:J34" si="13">ROUND((H25*I25),0)</f>
        <v>1640570</v>
      </c>
      <c r="K25" s="29">
        <f t="shared" ref="K25:K34" si="14">+H25+J25</f>
        <v>18046265.550000001</v>
      </c>
      <c r="L25" s="29">
        <f t="shared" ref="L25:L34" si="15">+ROUND(K25*10%,0)</f>
        <v>1804627</v>
      </c>
      <c r="M25" s="29">
        <f t="shared" ref="M25:M34" si="16">+ROUND(L25*19%,0)</f>
        <v>342879</v>
      </c>
      <c r="N25" s="29">
        <f t="shared" ref="N25:N34" si="17">+ROUND(K25+L25+M25,0)</f>
        <v>20193772</v>
      </c>
      <c r="O25" s="29">
        <f>ROUND(((N25/30)*25)+(N25),0)</f>
        <v>37021915</v>
      </c>
      <c r="P25" s="42"/>
      <c r="Q25" s="43">
        <f>+ROUND(K25-(K25*P25),0)</f>
        <v>18046266</v>
      </c>
      <c r="R25" s="43">
        <f>ROUND((((Q25/30)*25)+(Q25)),0)</f>
        <v>33084821</v>
      </c>
      <c r="S25" s="79">
        <f>ROUND((R25-(R25*P25)),0)</f>
        <v>33084821</v>
      </c>
    </row>
    <row r="26" spans="1:19" ht="41.4" x14ac:dyDescent="0.3">
      <c r="A26" s="2" t="s">
        <v>13</v>
      </c>
      <c r="B26" s="3">
        <v>1</v>
      </c>
      <c r="C26" s="4" t="s">
        <v>69</v>
      </c>
      <c r="D26" s="26" t="s">
        <v>16</v>
      </c>
      <c r="E26" s="27" t="s">
        <v>15</v>
      </c>
      <c r="F26" s="28">
        <v>1551615</v>
      </c>
      <c r="G26" s="28">
        <v>1709</v>
      </c>
      <c r="H26" s="29">
        <f>ROUND(((((((F26*10.57+G26)*55.97%)/30)*20)/15)*12),0)+ROUND(((((((F26*10.57+G26)*55.97%)/30)*4)/15)*6),0)</f>
        <v>5385809</v>
      </c>
      <c r="I26" s="30">
        <v>0.1</v>
      </c>
      <c r="J26" s="29">
        <f t="shared" si="13"/>
        <v>538581</v>
      </c>
      <c r="K26" s="29">
        <f t="shared" si="14"/>
        <v>5924390</v>
      </c>
      <c r="L26" s="29">
        <f t="shared" si="15"/>
        <v>592439</v>
      </c>
      <c r="M26" s="29">
        <f t="shared" si="16"/>
        <v>112563</v>
      </c>
      <c r="N26" s="29">
        <f t="shared" si="17"/>
        <v>6629392</v>
      </c>
      <c r="O26" s="29">
        <f t="shared" ref="O26:O34" si="18">ROUND(((N26/30)*25)+(N26),0)</f>
        <v>12153885</v>
      </c>
      <c r="P26" s="42"/>
      <c r="Q26" s="43">
        <f t="shared" ref="Q26:Q34" si="19">+ROUND(K26-(K26*P26),0)</f>
        <v>5924390</v>
      </c>
      <c r="R26" s="43">
        <f t="shared" ref="R26:R34" si="20">ROUND((((Q26/30)*25)+(Q26)),0)</f>
        <v>10861382</v>
      </c>
      <c r="S26" s="79">
        <f t="shared" ref="S26:S34" si="21">ROUND((R26-(R26*P26)),0)</f>
        <v>10861382</v>
      </c>
    </row>
    <row r="27" spans="1:19" ht="27.6" x14ac:dyDescent="0.3">
      <c r="A27" s="2" t="s">
        <v>17</v>
      </c>
      <c r="B27" s="3">
        <v>1</v>
      </c>
      <c r="C27" s="4" t="s">
        <v>14</v>
      </c>
      <c r="D27" s="26" t="s">
        <v>15</v>
      </c>
      <c r="E27" s="27" t="s">
        <v>15</v>
      </c>
      <c r="F27" s="28">
        <v>1551615</v>
      </c>
      <c r="G27" s="28">
        <v>5125</v>
      </c>
      <c r="H27" s="29">
        <f>+(F27*10.57)+G27</f>
        <v>16405695.550000001</v>
      </c>
      <c r="I27" s="30">
        <v>0.1</v>
      </c>
      <c r="J27" s="29">
        <f t="shared" si="13"/>
        <v>1640570</v>
      </c>
      <c r="K27" s="29">
        <f t="shared" si="14"/>
        <v>18046265.550000001</v>
      </c>
      <c r="L27" s="29">
        <f t="shared" si="15"/>
        <v>1804627</v>
      </c>
      <c r="M27" s="29">
        <f t="shared" si="16"/>
        <v>342879</v>
      </c>
      <c r="N27" s="29">
        <f t="shared" si="17"/>
        <v>20193772</v>
      </c>
      <c r="O27" s="29">
        <f t="shared" si="18"/>
        <v>37021915</v>
      </c>
      <c r="P27" s="42"/>
      <c r="Q27" s="43">
        <f t="shared" si="19"/>
        <v>18046266</v>
      </c>
      <c r="R27" s="43">
        <f t="shared" si="20"/>
        <v>33084821</v>
      </c>
      <c r="S27" s="79">
        <f t="shared" si="21"/>
        <v>33084821</v>
      </c>
    </row>
    <row r="28" spans="1:19" ht="27.6" x14ac:dyDescent="0.3">
      <c r="A28" s="2" t="s">
        <v>18</v>
      </c>
      <c r="B28" s="3">
        <v>1</v>
      </c>
      <c r="C28" s="4" t="s">
        <v>14</v>
      </c>
      <c r="D28" s="26" t="s">
        <v>15</v>
      </c>
      <c r="E28" s="27" t="s">
        <v>15</v>
      </c>
      <c r="F28" s="28">
        <v>1551615</v>
      </c>
      <c r="G28" s="28">
        <v>5125</v>
      </c>
      <c r="H28" s="29">
        <f t="shared" ref="H28:H33" si="22">+(F28*10.57)+G28</f>
        <v>16405695.550000001</v>
      </c>
      <c r="I28" s="30">
        <v>0.1</v>
      </c>
      <c r="J28" s="29">
        <f t="shared" si="13"/>
        <v>1640570</v>
      </c>
      <c r="K28" s="29">
        <f t="shared" si="14"/>
        <v>18046265.550000001</v>
      </c>
      <c r="L28" s="29">
        <f t="shared" si="15"/>
        <v>1804627</v>
      </c>
      <c r="M28" s="29">
        <f t="shared" si="16"/>
        <v>342879</v>
      </c>
      <c r="N28" s="29">
        <f t="shared" si="17"/>
        <v>20193772</v>
      </c>
      <c r="O28" s="29">
        <f t="shared" si="18"/>
        <v>37021915</v>
      </c>
      <c r="P28" s="42"/>
      <c r="Q28" s="43">
        <f t="shared" si="19"/>
        <v>18046266</v>
      </c>
      <c r="R28" s="43">
        <f t="shared" si="20"/>
        <v>33084821</v>
      </c>
      <c r="S28" s="79">
        <f t="shared" si="21"/>
        <v>33084821</v>
      </c>
    </row>
    <row r="29" spans="1:19" ht="27.6" x14ac:dyDescent="0.3">
      <c r="A29" s="2" t="s">
        <v>19</v>
      </c>
      <c r="B29" s="3">
        <v>1</v>
      </c>
      <c r="C29" s="4" t="s">
        <v>14</v>
      </c>
      <c r="D29" s="26" t="s">
        <v>15</v>
      </c>
      <c r="E29" s="27" t="s">
        <v>15</v>
      </c>
      <c r="F29" s="28">
        <v>1551615</v>
      </c>
      <c r="G29" s="28">
        <v>5125</v>
      </c>
      <c r="H29" s="29">
        <f t="shared" si="22"/>
        <v>16405695.550000001</v>
      </c>
      <c r="I29" s="30">
        <v>0.1</v>
      </c>
      <c r="J29" s="29">
        <f t="shared" si="13"/>
        <v>1640570</v>
      </c>
      <c r="K29" s="29">
        <f t="shared" si="14"/>
        <v>18046265.550000001</v>
      </c>
      <c r="L29" s="29">
        <f t="shared" si="15"/>
        <v>1804627</v>
      </c>
      <c r="M29" s="29">
        <f t="shared" si="16"/>
        <v>342879</v>
      </c>
      <c r="N29" s="29">
        <f t="shared" si="17"/>
        <v>20193772</v>
      </c>
      <c r="O29" s="29">
        <f t="shared" si="18"/>
        <v>37021915</v>
      </c>
      <c r="P29" s="42"/>
      <c r="Q29" s="43">
        <f t="shared" si="19"/>
        <v>18046266</v>
      </c>
      <c r="R29" s="43">
        <f t="shared" si="20"/>
        <v>33084821</v>
      </c>
      <c r="S29" s="79">
        <f t="shared" si="21"/>
        <v>33084821</v>
      </c>
    </row>
    <row r="30" spans="1:19" ht="27.6" x14ac:dyDescent="0.3">
      <c r="A30" s="2" t="s">
        <v>20</v>
      </c>
      <c r="B30" s="3">
        <v>1</v>
      </c>
      <c r="C30" s="4" t="s">
        <v>14</v>
      </c>
      <c r="D30" s="26" t="s">
        <v>15</v>
      </c>
      <c r="E30" s="27" t="s">
        <v>15</v>
      </c>
      <c r="F30" s="28">
        <v>1551615</v>
      </c>
      <c r="G30" s="28">
        <v>5125</v>
      </c>
      <c r="H30" s="29">
        <f t="shared" si="22"/>
        <v>16405695.550000001</v>
      </c>
      <c r="I30" s="30">
        <v>0.1</v>
      </c>
      <c r="J30" s="29">
        <f t="shared" si="13"/>
        <v>1640570</v>
      </c>
      <c r="K30" s="29">
        <f t="shared" si="14"/>
        <v>18046265.550000001</v>
      </c>
      <c r="L30" s="29">
        <f t="shared" si="15"/>
        <v>1804627</v>
      </c>
      <c r="M30" s="29">
        <f t="shared" si="16"/>
        <v>342879</v>
      </c>
      <c r="N30" s="29">
        <f t="shared" si="17"/>
        <v>20193772</v>
      </c>
      <c r="O30" s="29">
        <f t="shared" si="18"/>
        <v>37021915</v>
      </c>
      <c r="P30" s="42"/>
      <c r="Q30" s="43">
        <f t="shared" si="19"/>
        <v>18046266</v>
      </c>
      <c r="R30" s="43">
        <f t="shared" si="20"/>
        <v>33084821</v>
      </c>
      <c r="S30" s="79">
        <f t="shared" si="21"/>
        <v>33084821</v>
      </c>
    </row>
    <row r="31" spans="1:19" ht="27.6" x14ac:dyDescent="0.3">
      <c r="A31" s="2" t="s">
        <v>21</v>
      </c>
      <c r="B31" s="3">
        <v>1</v>
      </c>
      <c r="C31" s="4" t="s">
        <v>14</v>
      </c>
      <c r="D31" s="26" t="s">
        <v>15</v>
      </c>
      <c r="E31" s="27" t="s">
        <v>15</v>
      </c>
      <c r="F31" s="28">
        <v>1551615</v>
      </c>
      <c r="G31" s="28">
        <v>5125</v>
      </c>
      <c r="H31" s="29">
        <f t="shared" si="22"/>
        <v>16405695.550000001</v>
      </c>
      <c r="I31" s="30">
        <v>0.1</v>
      </c>
      <c r="J31" s="29">
        <f t="shared" si="13"/>
        <v>1640570</v>
      </c>
      <c r="K31" s="29">
        <f t="shared" si="14"/>
        <v>18046265.550000001</v>
      </c>
      <c r="L31" s="29">
        <f t="shared" si="15"/>
        <v>1804627</v>
      </c>
      <c r="M31" s="29">
        <f t="shared" si="16"/>
        <v>342879</v>
      </c>
      <c r="N31" s="29">
        <f t="shared" si="17"/>
        <v>20193772</v>
      </c>
      <c r="O31" s="29">
        <f t="shared" si="18"/>
        <v>37021915</v>
      </c>
      <c r="P31" s="42"/>
      <c r="Q31" s="43">
        <f t="shared" si="19"/>
        <v>18046266</v>
      </c>
      <c r="R31" s="43">
        <f t="shared" si="20"/>
        <v>33084821</v>
      </c>
      <c r="S31" s="79">
        <f t="shared" si="21"/>
        <v>33084821</v>
      </c>
    </row>
    <row r="32" spans="1:19" ht="27.6" x14ac:dyDescent="0.3">
      <c r="A32" s="2" t="s">
        <v>22</v>
      </c>
      <c r="B32" s="3">
        <v>1</v>
      </c>
      <c r="C32" s="4" t="s">
        <v>14</v>
      </c>
      <c r="D32" s="26" t="s">
        <v>15</v>
      </c>
      <c r="E32" s="27" t="s">
        <v>15</v>
      </c>
      <c r="F32" s="28">
        <v>1551615</v>
      </c>
      <c r="G32" s="28">
        <v>5125</v>
      </c>
      <c r="H32" s="29">
        <f t="shared" si="22"/>
        <v>16405695.550000001</v>
      </c>
      <c r="I32" s="30">
        <v>0.1</v>
      </c>
      <c r="J32" s="29">
        <f t="shared" si="13"/>
        <v>1640570</v>
      </c>
      <c r="K32" s="29">
        <f t="shared" si="14"/>
        <v>18046265.550000001</v>
      </c>
      <c r="L32" s="29">
        <f t="shared" si="15"/>
        <v>1804627</v>
      </c>
      <c r="M32" s="29">
        <f t="shared" si="16"/>
        <v>342879</v>
      </c>
      <c r="N32" s="29">
        <f t="shared" si="17"/>
        <v>20193772</v>
      </c>
      <c r="O32" s="29">
        <f t="shared" si="18"/>
        <v>37021915</v>
      </c>
      <c r="P32" s="42"/>
      <c r="Q32" s="43">
        <f t="shared" si="19"/>
        <v>18046266</v>
      </c>
      <c r="R32" s="43">
        <f t="shared" si="20"/>
        <v>33084821</v>
      </c>
      <c r="S32" s="79">
        <f t="shared" si="21"/>
        <v>33084821</v>
      </c>
    </row>
    <row r="33" spans="1:19" ht="27.6" x14ac:dyDescent="0.3">
      <c r="A33" s="2" t="s">
        <v>23</v>
      </c>
      <c r="B33" s="3">
        <v>1</v>
      </c>
      <c r="C33" s="4" t="s">
        <v>14</v>
      </c>
      <c r="D33" s="26" t="s">
        <v>15</v>
      </c>
      <c r="E33" s="27" t="s">
        <v>15</v>
      </c>
      <c r="F33" s="28">
        <v>1551615</v>
      </c>
      <c r="G33" s="28">
        <v>5125</v>
      </c>
      <c r="H33" s="29">
        <f t="shared" si="22"/>
        <v>16405695.550000001</v>
      </c>
      <c r="I33" s="30">
        <v>0.1</v>
      </c>
      <c r="J33" s="29">
        <f t="shared" si="13"/>
        <v>1640570</v>
      </c>
      <c r="K33" s="29">
        <f t="shared" si="14"/>
        <v>18046265.550000001</v>
      </c>
      <c r="L33" s="29">
        <f t="shared" si="15"/>
        <v>1804627</v>
      </c>
      <c r="M33" s="29">
        <f t="shared" si="16"/>
        <v>342879</v>
      </c>
      <c r="N33" s="29">
        <f t="shared" si="17"/>
        <v>20193772</v>
      </c>
      <c r="O33" s="29">
        <f t="shared" si="18"/>
        <v>37021915</v>
      </c>
      <c r="P33" s="42"/>
      <c r="Q33" s="43">
        <f t="shared" si="19"/>
        <v>18046266</v>
      </c>
      <c r="R33" s="43">
        <f t="shared" si="20"/>
        <v>33084821</v>
      </c>
      <c r="S33" s="79">
        <f t="shared" si="21"/>
        <v>33084821</v>
      </c>
    </row>
    <row r="34" spans="1:19" ht="41.4" x14ac:dyDescent="0.3">
      <c r="A34" s="2" t="s">
        <v>24</v>
      </c>
      <c r="B34" s="3">
        <v>1</v>
      </c>
      <c r="C34" s="4" t="s">
        <v>25</v>
      </c>
      <c r="D34" s="26" t="s">
        <v>16</v>
      </c>
      <c r="E34" s="27" t="s">
        <v>15</v>
      </c>
      <c r="F34" s="28">
        <v>1551615</v>
      </c>
      <c r="G34" s="28">
        <v>1709</v>
      </c>
      <c r="H34" s="29">
        <f>ROUND(((((((F34*10.57+G34)*44.03%)/30)*30)/9)*9)+((((((F34*10.57+G34)*55.97%)/30)*30)/15)*3),0)</f>
        <v>9057995</v>
      </c>
      <c r="I34" s="30">
        <v>0.1</v>
      </c>
      <c r="J34" s="29">
        <f t="shared" si="13"/>
        <v>905800</v>
      </c>
      <c r="K34" s="29">
        <f t="shared" si="14"/>
        <v>9963795</v>
      </c>
      <c r="L34" s="29">
        <f t="shared" si="15"/>
        <v>996380</v>
      </c>
      <c r="M34" s="29">
        <f t="shared" si="16"/>
        <v>189312</v>
      </c>
      <c r="N34" s="29">
        <f t="shared" si="17"/>
        <v>11149487</v>
      </c>
      <c r="O34" s="29">
        <f t="shared" si="18"/>
        <v>20440726</v>
      </c>
      <c r="P34" s="42"/>
      <c r="Q34" s="43">
        <f t="shared" si="19"/>
        <v>9963795</v>
      </c>
      <c r="R34" s="43">
        <f t="shared" si="20"/>
        <v>18266958</v>
      </c>
      <c r="S34" s="79">
        <f t="shared" si="21"/>
        <v>18266958</v>
      </c>
    </row>
    <row r="35" spans="1:19" x14ac:dyDescent="0.3">
      <c r="A35" s="59" t="s">
        <v>70</v>
      </c>
      <c r="B35" s="59"/>
      <c r="C35" s="59"/>
      <c r="D35" s="59"/>
      <c r="E35" s="59"/>
      <c r="F35" s="16">
        <f>SUM(F25:F34)</f>
        <v>15516150</v>
      </c>
      <c r="G35" s="16">
        <f t="shared" ref="G35:H35" si="23">SUM(G25:G34)</f>
        <v>44418</v>
      </c>
      <c r="H35" s="16">
        <f t="shared" si="23"/>
        <v>145689368.40000001</v>
      </c>
      <c r="I35" s="16"/>
      <c r="J35" s="16">
        <f t="shared" ref="J35:O35" si="24">SUM(J25:J34)</f>
        <v>14568941</v>
      </c>
      <c r="K35" s="16">
        <f t="shared" si="24"/>
        <v>160258309.40000001</v>
      </c>
      <c r="L35" s="16">
        <f t="shared" si="24"/>
        <v>16025835</v>
      </c>
      <c r="M35" s="16">
        <f t="shared" si="24"/>
        <v>3044907</v>
      </c>
      <c r="N35" s="16">
        <f t="shared" si="24"/>
        <v>179329055</v>
      </c>
      <c r="O35" s="17">
        <f t="shared" si="24"/>
        <v>328769931</v>
      </c>
      <c r="P35" s="48"/>
      <c r="Q35" s="49">
        <f t="shared" ref="Q35:R35" si="25">SUM(Q25:Q34)</f>
        <v>160258313</v>
      </c>
      <c r="R35" s="51">
        <f t="shared" si="25"/>
        <v>293806908</v>
      </c>
      <c r="S35" s="80">
        <f>SUM(S25:S34)</f>
        <v>293806908</v>
      </c>
    </row>
    <row r="36" spans="1:19" x14ac:dyDescent="0.3">
      <c r="A36" s="19"/>
      <c r="B36" s="20"/>
      <c r="C36" s="21"/>
      <c r="D36" s="22"/>
      <c r="E36" s="23"/>
      <c r="F36" s="24"/>
      <c r="G36" s="24"/>
      <c r="H36" s="5"/>
      <c r="I36" s="25"/>
      <c r="J36" s="5"/>
      <c r="K36" s="5"/>
      <c r="L36" s="5"/>
      <c r="M36" s="5"/>
      <c r="N36" s="5"/>
      <c r="O36" s="5"/>
    </row>
    <row r="37" spans="1:19" x14ac:dyDescent="0.3">
      <c r="A37" s="19"/>
      <c r="B37" s="20"/>
      <c r="C37" s="21"/>
      <c r="D37" s="22"/>
      <c r="E37" s="23"/>
      <c r="F37" s="24"/>
      <c r="G37" s="24"/>
      <c r="H37" s="5"/>
      <c r="I37" s="25"/>
      <c r="J37" s="5"/>
      <c r="K37" s="5"/>
      <c r="L37" s="5"/>
      <c r="M37" s="5"/>
      <c r="N37" s="5"/>
      <c r="O37" s="5"/>
      <c r="P37" s="44"/>
      <c r="Q37" s="45"/>
      <c r="R37" s="72">
        <f>+R35+R19</f>
        <v>871060058</v>
      </c>
      <c r="S37" s="81">
        <f>S19+S35</f>
        <v>871060058</v>
      </c>
    </row>
    <row r="38" spans="1:19" ht="15" customHeight="1" x14ac:dyDescent="0.3">
      <c r="A38" s="65" t="s">
        <v>73</v>
      </c>
      <c r="B38" s="65"/>
      <c r="C38" s="65"/>
      <c r="D38" s="65"/>
      <c r="E38" s="65"/>
      <c r="F38" s="65"/>
      <c r="G38" s="65"/>
      <c r="H38" s="65"/>
      <c r="I38" s="65"/>
      <c r="J38" s="65"/>
      <c r="K38" s="65"/>
      <c r="L38" s="65"/>
      <c r="M38" s="65"/>
      <c r="N38" s="65"/>
      <c r="O38" s="53">
        <f>O19+O35</f>
        <v>974716235</v>
      </c>
      <c r="P38" s="46"/>
      <c r="Q38" s="45"/>
      <c r="R38" s="73"/>
      <c r="S38" s="82"/>
    </row>
    <row r="39" spans="1:19" ht="15" customHeight="1" x14ac:dyDescent="0.3">
      <c r="A39" s="65"/>
      <c r="B39" s="65"/>
      <c r="C39" s="65"/>
      <c r="D39" s="65"/>
      <c r="E39" s="65"/>
      <c r="F39" s="65"/>
      <c r="G39" s="65"/>
      <c r="H39" s="65"/>
      <c r="I39" s="65"/>
      <c r="J39" s="65"/>
      <c r="K39" s="65"/>
      <c r="L39" s="65"/>
      <c r="M39" s="65"/>
      <c r="N39" s="65"/>
      <c r="O39" s="54"/>
    </row>
    <row r="40" spans="1:19" x14ac:dyDescent="0.3">
      <c r="N40" s="5"/>
    </row>
    <row r="41" spans="1:19" x14ac:dyDescent="0.3">
      <c r="A41" s="62" t="s">
        <v>96</v>
      </c>
      <c r="B41" s="63"/>
      <c r="C41" s="63"/>
      <c r="D41" s="63"/>
      <c r="E41" s="63"/>
      <c r="F41" s="63"/>
      <c r="G41" s="63"/>
      <c r="H41" s="63"/>
      <c r="I41" s="63"/>
      <c r="J41" s="63"/>
      <c r="K41" s="63"/>
      <c r="L41" s="63"/>
      <c r="M41" s="63"/>
      <c r="N41" s="63"/>
    </row>
    <row r="42" spans="1:19" x14ac:dyDescent="0.3">
      <c r="A42" s="63"/>
      <c r="B42" s="63"/>
      <c r="C42" s="63"/>
      <c r="D42" s="63"/>
      <c r="E42" s="63"/>
      <c r="F42" s="63"/>
      <c r="G42" s="63"/>
      <c r="H42" s="63"/>
      <c r="I42" s="63"/>
      <c r="J42" s="63"/>
      <c r="K42" s="63"/>
      <c r="L42" s="63"/>
      <c r="M42" s="63"/>
      <c r="N42" s="63"/>
    </row>
    <row r="43" spans="1:19" x14ac:dyDescent="0.3">
      <c r="A43" s="63"/>
      <c r="B43" s="63"/>
      <c r="C43" s="63"/>
      <c r="D43" s="63"/>
      <c r="E43" s="63"/>
      <c r="F43" s="63"/>
      <c r="G43" s="63"/>
      <c r="H43" s="63"/>
      <c r="I43" s="63"/>
      <c r="J43" s="63"/>
      <c r="K43" s="63"/>
      <c r="L43" s="63"/>
      <c r="M43" s="63"/>
      <c r="N43" s="63"/>
    </row>
    <row r="44" spans="1:19" ht="147.75" customHeight="1" x14ac:dyDescent="0.3">
      <c r="A44" s="63"/>
      <c r="B44" s="63"/>
      <c r="C44" s="63"/>
      <c r="D44" s="63"/>
      <c r="E44" s="63"/>
      <c r="F44" s="63"/>
      <c r="G44" s="63"/>
      <c r="H44" s="63"/>
      <c r="I44" s="63"/>
      <c r="J44" s="63"/>
      <c r="K44" s="63"/>
      <c r="L44" s="63"/>
      <c r="M44" s="63"/>
      <c r="N44" s="63"/>
    </row>
  </sheetData>
  <mergeCells count="49">
    <mergeCell ref="S37:S38"/>
    <mergeCell ref="P6:P8"/>
    <mergeCell ref="Q6:Q8"/>
    <mergeCell ref="R6:R8"/>
    <mergeCell ref="P22:P24"/>
    <mergeCell ref="Q22:Q24"/>
    <mergeCell ref="R22:R24"/>
    <mergeCell ref="P2:S4"/>
    <mergeCell ref="S6:S8"/>
    <mergeCell ref="S22:S24"/>
    <mergeCell ref="R37:R38"/>
    <mergeCell ref="N22:N24"/>
    <mergeCell ref="O22:O24"/>
    <mergeCell ref="A35:E35"/>
    <mergeCell ref="A38:N39"/>
    <mergeCell ref="O38:O39"/>
    <mergeCell ref="N6:N8"/>
    <mergeCell ref="A41:N44"/>
    <mergeCell ref="H22:H24"/>
    <mergeCell ref="I22:I24"/>
    <mergeCell ref="J22:J24"/>
    <mergeCell ref="K22:K24"/>
    <mergeCell ref="L22:L24"/>
    <mergeCell ref="M22:M24"/>
    <mergeCell ref="A19:E19"/>
    <mergeCell ref="A21:O21"/>
    <mergeCell ref="A22:A24"/>
    <mergeCell ref="B22:B24"/>
    <mergeCell ref="C22:C24"/>
    <mergeCell ref="D22:D24"/>
    <mergeCell ref="E22:E24"/>
    <mergeCell ref="F22:F24"/>
    <mergeCell ref="G22:G24"/>
    <mergeCell ref="A1:O2"/>
    <mergeCell ref="A5:O5"/>
    <mergeCell ref="A6:A8"/>
    <mergeCell ref="B6:B8"/>
    <mergeCell ref="C6:C8"/>
    <mergeCell ref="D6:D8"/>
    <mergeCell ref="E6:E8"/>
    <mergeCell ref="F6:F8"/>
    <mergeCell ref="G6:G8"/>
    <mergeCell ref="H6:H8"/>
    <mergeCell ref="O6:O8"/>
    <mergeCell ref="I6:I8"/>
    <mergeCell ref="J6:J8"/>
    <mergeCell ref="K6:K8"/>
    <mergeCell ref="L6:L8"/>
    <mergeCell ref="M6:M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OFER_ECON_SERV_VIGILANCIA </vt:lpstr>
      <vt:lpstr>OFER_ECON_MED_TECNOLG</vt:lpstr>
      <vt:lpstr>OFER_ECON_COOPERATIVA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dc:creator>
  <cp:lastModifiedBy>juan gabriel aguilar orjuela</cp:lastModifiedBy>
  <dcterms:created xsi:type="dcterms:W3CDTF">2025-01-14T19:50:05Z</dcterms:created>
  <dcterms:modified xsi:type="dcterms:W3CDTF">2025-08-10T22:25:31Z</dcterms:modified>
</cp:coreProperties>
</file>