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ancolombia-my.sharepoint.com/personal/agonzalezs_dian_gov_co/Documents/Escritorio/IMC-88-008-2025/"/>
    </mc:Choice>
  </mc:AlternateContent>
  <xr:revisionPtr revIDLastSave="1" documentId="8_{77901B35-9C2D-4329-9344-EC845ED7EBDE}" xr6:coauthVersionLast="47" xr6:coauthVersionMax="47" xr10:uidLastSave="{0B9B00D5-11B8-4CE7-87EB-3FD809DE1BDB}"/>
  <bookViews>
    <workbookView xWindow="-120" yWindow="-120" windowWidth="20730" windowHeight="11040" xr2:uid="{00000000-000D-0000-FFFF-FFFF00000000}"/>
  </bookViews>
  <sheets>
    <sheet name="ESTUDIO ECONOMICO 2025" sheetId="23" r:id="rId1"/>
    <sheet name="identificacion de datos atipico" sheetId="26" r:id="rId2"/>
    <sheet name="ESTUDIO ECONOMICO total" sheetId="27" r:id="rId3"/>
    <sheet name="Hoja1" sheetId="25" r:id="rId4"/>
    <sheet name="PROVEEDORES" sheetId="24" r:id="rId5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1" i="27" l="1"/>
  <c r="D1048576" i="27" s="1"/>
  <c r="E41" i="27"/>
  <c r="F41" i="27"/>
  <c r="F47" i="27"/>
  <c r="C40" i="27"/>
  <c r="C39" i="27"/>
  <c r="C27" i="27"/>
  <c r="C23" i="27"/>
  <c r="C9" i="27"/>
  <c r="M34" i="23"/>
  <c r="M31" i="23"/>
  <c r="M17" i="23"/>
  <c r="M9" i="23"/>
  <c r="M13" i="23"/>
  <c r="M5" i="23"/>
  <c r="M39" i="23"/>
  <c r="M40" i="23"/>
  <c r="M27" i="23"/>
  <c r="M23" i="23"/>
  <c r="M4" i="23"/>
  <c r="C4" i="27" l="1"/>
  <c r="C5" i="27"/>
  <c r="C13" i="27"/>
  <c r="F8" i="26"/>
  <c r="G8" i="26" s="1"/>
  <c r="E8" i="26"/>
  <c r="H8" i="26" s="1"/>
  <c r="E5" i="26"/>
  <c r="J5" i="26"/>
  <c r="J6" i="26"/>
  <c r="J7" i="26"/>
  <c r="J8" i="26"/>
  <c r="J9" i="26"/>
  <c r="J10" i="26"/>
  <c r="J11" i="26"/>
  <c r="J12" i="26"/>
  <c r="J13" i="26"/>
  <c r="J14" i="26"/>
  <c r="E13" i="26"/>
  <c r="F13" i="26"/>
  <c r="G13" i="26"/>
  <c r="I13" i="26" s="1"/>
  <c r="E14" i="26"/>
  <c r="F14" i="26"/>
  <c r="G14" i="26" s="1"/>
  <c r="F5" i="26"/>
  <c r="G5" i="26" s="1"/>
  <c r="I5" i="26" s="1"/>
  <c r="E6" i="26"/>
  <c r="F6" i="26"/>
  <c r="E7" i="26"/>
  <c r="F7" i="26"/>
  <c r="E9" i="26"/>
  <c r="F9" i="26"/>
  <c r="E10" i="26"/>
  <c r="F10" i="26"/>
  <c r="E11" i="26"/>
  <c r="F11" i="26"/>
  <c r="G11" i="26" s="1"/>
  <c r="H11" i="26" s="1"/>
  <c r="E12" i="26"/>
  <c r="F12" i="26"/>
  <c r="J4" i="26"/>
  <c r="F4" i="26"/>
  <c r="E4" i="26"/>
  <c r="F44" i="27" l="1"/>
  <c r="F49" i="27"/>
  <c r="F51" i="27" s="1"/>
  <c r="H13" i="26"/>
  <c r="H14" i="26"/>
  <c r="I14" i="26"/>
  <c r="I11" i="26"/>
  <c r="G7" i="26"/>
  <c r="G12" i="26"/>
  <c r="H12" i="26" s="1"/>
  <c r="G10" i="26"/>
  <c r="I10" i="26" s="1"/>
  <c r="G9" i="26"/>
  <c r="I9" i="26" s="1"/>
  <c r="H7" i="26"/>
  <c r="H5" i="26"/>
  <c r="G6" i="26"/>
  <c r="I6" i="26" s="1"/>
  <c r="I7" i="26"/>
  <c r="G4" i="26"/>
  <c r="I4" i="26" s="1"/>
  <c r="K4" i="26"/>
  <c r="Q5" i="26"/>
  <c r="L4" i="26"/>
  <c r="O4" i="26"/>
  <c r="O3" i="26" s="1"/>
  <c r="M4" i="26"/>
  <c r="N31" i="23"/>
  <c r="N40" i="23"/>
  <c r="N5" i="23"/>
  <c r="O5" i="23" s="1"/>
  <c r="N4" i="23"/>
  <c r="O4" i="23" s="1"/>
  <c r="N23" i="23"/>
  <c r="O23" i="23" s="1"/>
  <c r="K13" i="23"/>
  <c r="G5" i="23"/>
  <c r="H5" i="23" s="1"/>
  <c r="D40" i="23"/>
  <c r="E40" i="23" s="1"/>
  <c r="K23" i="23"/>
  <c r="K27" i="23"/>
  <c r="K9" i="23"/>
  <c r="K5" i="23"/>
  <c r="J40" i="23"/>
  <c r="K40" i="23" s="1"/>
  <c r="J39" i="23"/>
  <c r="K39" i="23" s="1"/>
  <c r="J34" i="23"/>
  <c r="K34" i="23" s="1"/>
  <c r="J31" i="23"/>
  <c r="K31" i="23" s="1"/>
  <c r="K17" i="23"/>
  <c r="K4" i="23"/>
  <c r="D39" i="23"/>
  <c r="E39" i="23" s="1"/>
  <c r="G40" i="23"/>
  <c r="H40" i="23" s="1"/>
  <c r="G39" i="23"/>
  <c r="H39" i="23" s="1"/>
  <c r="G34" i="23"/>
  <c r="H34" i="23" s="1"/>
  <c r="G31" i="23"/>
  <c r="H31" i="23" s="1"/>
  <c r="G27" i="23"/>
  <c r="H27" i="23" s="1"/>
  <c r="G23" i="23"/>
  <c r="H23" i="23" s="1"/>
  <c r="L23" i="23" s="1"/>
  <c r="G17" i="23"/>
  <c r="H17" i="23" s="1"/>
  <c r="G13" i="23"/>
  <c r="H13" i="23" s="1"/>
  <c r="G9" i="23"/>
  <c r="H9" i="23" s="1"/>
  <c r="D34" i="23"/>
  <c r="E34" i="23" s="1"/>
  <c r="D31" i="23"/>
  <c r="E31" i="23" s="1"/>
  <c r="D27" i="23"/>
  <c r="E27" i="23" s="1"/>
  <c r="D23" i="23"/>
  <c r="E23" i="23" s="1"/>
  <c r="D17" i="23"/>
  <c r="E17" i="23" s="1"/>
  <c r="D13" i="23"/>
  <c r="E13" i="23" s="1"/>
  <c r="D9" i="23"/>
  <c r="E9" i="23" s="1"/>
  <c r="D5" i="23"/>
  <c r="E5" i="23" s="1"/>
  <c r="G4" i="23"/>
  <c r="H4" i="23" s="1"/>
  <c r="D4" i="23"/>
  <c r="E4" i="23" s="1"/>
  <c r="L9" i="23" l="1"/>
  <c r="L40" i="23"/>
  <c r="I12" i="26"/>
  <c r="H10" i="26"/>
  <c r="H9" i="26"/>
  <c r="I8" i="26"/>
  <c r="H6" i="26"/>
  <c r="H4" i="26"/>
  <c r="N4" i="26"/>
  <c r="O2" i="26"/>
  <c r="L27" i="23"/>
  <c r="L5" i="23"/>
  <c r="K41" i="23"/>
  <c r="L4" i="23"/>
  <c r="N34" i="23"/>
  <c r="O34" i="23" s="1"/>
  <c r="L13" i="23"/>
  <c r="L39" i="23"/>
  <c r="E41" i="23"/>
  <c r="H41" i="23"/>
  <c r="M1048576" i="23"/>
  <c r="N9" i="23"/>
  <c r="O9" i="23" s="1"/>
  <c r="N13" i="23"/>
  <c r="O13" i="23" s="1"/>
  <c r="N17" i="23"/>
  <c r="O17" i="23" s="1"/>
  <c r="O40" i="23"/>
  <c r="N39" i="23"/>
  <c r="O39" i="23" s="1"/>
  <c r="O31" i="23"/>
  <c r="N27" i="23"/>
  <c r="O27" i="23" s="1"/>
  <c r="O41" i="23" l="1"/>
</calcChain>
</file>

<file path=xl/sharedStrings.xml><?xml version="1.0" encoding="utf-8"?>
<sst xmlns="http://schemas.openxmlformats.org/spreadsheetml/2006/main" count="167" uniqueCount="73">
  <si>
    <r>
      <t>M</t>
    </r>
    <r>
      <rPr>
        <b/>
        <sz val="10"/>
        <color rgb="FF000000"/>
        <rFont val="Arial"/>
        <family val="2"/>
      </rPr>
      <t>ercancía</t>
    </r>
  </si>
  <si>
    <t>Tipos mínimos de análisis</t>
  </si>
  <si>
    <t>MICROQUIM</t>
  </si>
  <si>
    <t>MICROAMBIENTAL INGENIERIA</t>
  </si>
  <si>
    <t>MICROLAB</t>
  </si>
  <si>
    <t>PROMEDIO</t>
  </si>
  <si>
    <t>VALOR ANTES DE IVA</t>
  </si>
  <si>
    <t>IVA</t>
  </si>
  <si>
    <t>PRECIO TOTAL</t>
  </si>
  <si>
    <t>Enlatados (Atún, sardinas y similares)</t>
  </si>
  <si>
    <t xml:space="preserve">Esterilidad comercial </t>
  </si>
  <si>
    <t>Dulces duros y blandos (ejemplo: chicles, caramelos, bananas)</t>
  </si>
  <si>
    <t>Recuento de Bacterias Mesófilas</t>
  </si>
  <si>
    <t>NMP de Coliformes; E.coli</t>
  </si>
  <si>
    <t>Recuento de mohos y levaduras</t>
  </si>
  <si>
    <t>Staphylococo aureus; Salmonella</t>
  </si>
  <si>
    <t>Leche en polvo, formula láctea y suplementos nutricionales (ejemplo: Ensure</t>
  </si>
  <si>
    <t>Bacillus Cereus; coliformes totales</t>
  </si>
  <si>
    <t>NMP de Coliformes fecales</t>
  </si>
  <si>
    <t>Staphylococo coagulasa positivo; salmonella</t>
  </si>
  <si>
    <t>Granos (ejemplo: Maíz, Arroz</t>
  </si>
  <si>
    <t>NMP de Coliformes; E. coli</t>
  </si>
  <si>
    <t>Staphylococo aureus; bacilus cereus</t>
  </si>
  <si>
    <t>Galletas saladas y dulces</t>
  </si>
  <si>
    <t>NMP de Coliformes Totales</t>
  </si>
  <si>
    <t>NMP de Coliformes fecales; E. coli</t>
  </si>
  <si>
    <t>Staphylococo coagulasa positivo</t>
  </si>
  <si>
    <t>Bacillus Cereus; Salmonella</t>
  </si>
  <si>
    <t>Bebidas (ejemplo: Jugos envasados, pony malta y gaseosas)</t>
  </si>
  <si>
    <t>NMP de Coliformes Totales; NMP de coliformes fecales</t>
  </si>
  <si>
    <t>Recuento de esporas de clostridium sulfito reductor</t>
  </si>
  <si>
    <t>Bebidas lácteas (ejemplo: Avena, kumis y similares)</t>
  </si>
  <si>
    <t>NMP de Coliformes Totales y fecales</t>
  </si>
  <si>
    <t>Staphylococo coagulasa positivo; listeria salmonella</t>
  </si>
  <si>
    <t>Aceites, mantecas.</t>
  </si>
  <si>
    <t>Productos de aseo y cosmeticos</t>
  </si>
  <si>
    <t>NMP Coliformes Totales; bacterias mesofilas</t>
  </si>
  <si>
    <t>NMP Coliformes Fecales; E. coli</t>
  </si>
  <si>
    <t>Recuento de Mohos y Levaduras</t>
  </si>
  <si>
    <t>Estafilococo Coagulasa Positivo</t>
  </si>
  <si>
    <t>Pseudomona Aerouginossa</t>
  </si>
  <si>
    <t>Hierbas aromáticas y 
sus mezclas para 
preparar infusiones</t>
  </si>
  <si>
    <t>Recuento de Mohos y Levaduras
Coliformes Totales; E.Coli
Salmonella</t>
  </si>
  <si>
    <t>Salsa de Ají</t>
  </si>
  <si>
    <t>Recuento de Bacterias Mesófilas
Recuento de Mohos y Levaduras; E.Coli
Salmonella</t>
  </si>
  <si>
    <t>Nombre o razon social</t>
  </si>
  <si>
    <t>Correo electronico</t>
  </si>
  <si>
    <t>Fecha solicitud de la cotizacion</t>
  </si>
  <si>
    <t>Estado de la cotizacion</t>
  </si>
  <si>
    <t>Micro Lab</t>
  </si>
  <si>
    <t>calidad@microlab.com.co</t>
  </si>
  <si>
    <t>cotiza 12/03/2025</t>
  </si>
  <si>
    <t>Micro ambiental ingenieria</t>
  </si>
  <si>
    <t>microambiental@hotmail.com</t>
  </si>
  <si>
    <t>Cotiza 07/03/2025</t>
  </si>
  <si>
    <t>Microquim</t>
  </si>
  <si>
    <t>microquim2009@hotmail.com</t>
  </si>
  <si>
    <t>Control y gestion ambiental</t>
  </si>
  <si>
    <t>comercial.cgasas@outlook.com</t>
  </si>
  <si>
    <t>No cotizó</t>
  </si>
  <si>
    <t>Cotiza 13/03/2025</t>
  </si>
  <si>
    <t>TOTAL</t>
  </si>
  <si>
    <t>A/B</t>
  </si>
  <si>
    <t>En el item 1 El prove</t>
  </si>
  <si>
    <t>P1</t>
  </si>
  <si>
    <t>P2</t>
  </si>
  <si>
    <t>P3</t>
  </si>
  <si>
    <t>Q1</t>
  </si>
  <si>
    <t>Q3</t>
  </si>
  <si>
    <t>RIC (Q3-Q1)</t>
  </si>
  <si>
    <t>LIMITE INFERIOR</t>
  </si>
  <si>
    <t>LIMITE SUPERIOR</t>
  </si>
  <si>
    <t>IDENTIFICACIÓN DE DATOS ATIPICOS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</si>
</sst>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-[$$-240A]\ * #,##0_-;\-[$$-240A]\ * #,##0_-;_-[$$-240A]\ * &quot;-&quot;??_-;_-@_-"/>
    <numFmt numFmtId="166" formatCode="_-&quot;$&quot;\ * #,##0_-;\-&quot;$&quot;\ * #,##0_-;_-&quot;$&quot;\ * &quot;-&quot;??_-;_-@_-"/>
    <numFmt numFmtId="167" formatCode="_-* #,##0.0000_-;\-* #,##0.0000_-;_-* &quot;-&quot;??_-;_-@_-"/>
    <numFmt numFmtId="168" formatCode="_-* #,##0_-;\-* #,##0_-;_-* &quot;-&quot;??_-;_-@_-"/>
    <numFmt numFmtId="169" formatCode="#,##0_ ;\-#,##0\ 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21212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02">
    <xf numFmtId="0" fontId="0" fillId="0" borderId="0" xfId="0"/>
    <xf numFmtId="41" fontId="0" fillId="0" borderId="0" xfId="1" applyFont="1"/>
    <xf numFmtId="0" fontId="0" fillId="0" borderId="0" xfId="0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6" fontId="7" fillId="0" borderId="7" xfId="3" applyNumberFormat="1" applyFont="1" applyBorder="1" applyAlignment="1">
      <alignment horizontal="center" vertical="center"/>
    </xf>
    <xf numFmtId="166" fontId="7" fillId="0" borderId="12" xfId="3" applyNumberFormat="1" applyFont="1" applyBorder="1" applyAlignment="1">
      <alignment horizontal="center" vertical="center"/>
    </xf>
    <xf numFmtId="43" fontId="7" fillId="0" borderId="12" xfId="2" applyFont="1" applyBorder="1" applyAlignment="1">
      <alignment vertical="center"/>
    </xf>
    <xf numFmtId="166" fontId="7" fillId="0" borderId="6" xfId="3" applyNumberFormat="1" applyFont="1" applyBorder="1" applyAlignment="1">
      <alignment horizontal="center" vertical="center"/>
    </xf>
    <xf numFmtId="166" fontId="7" fillId="0" borderId="1" xfId="3" applyNumberFormat="1" applyFont="1" applyBorder="1" applyAlignment="1">
      <alignment horizontal="center" vertical="center"/>
    </xf>
    <xf numFmtId="166" fontId="7" fillId="0" borderId="8" xfId="3" applyNumberFormat="1" applyFont="1" applyBorder="1" applyAlignment="1">
      <alignment horizontal="center" vertical="center"/>
    </xf>
    <xf numFmtId="166" fontId="7" fillId="0" borderId="9" xfId="3" applyNumberFormat="1" applyFont="1" applyBorder="1" applyAlignment="1">
      <alignment horizontal="center" vertical="center"/>
    </xf>
    <xf numFmtId="166" fontId="7" fillId="0" borderId="2" xfId="3" applyNumberFormat="1" applyFont="1" applyBorder="1" applyAlignment="1">
      <alignment horizontal="center" vertical="center"/>
    </xf>
    <xf numFmtId="43" fontId="7" fillId="5" borderId="16" xfId="2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9" fillId="0" borderId="12" xfId="1" applyFont="1" applyBorder="1" applyAlignment="1">
      <alignment vertical="center"/>
    </xf>
    <xf numFmtId="44" fontId="9" fillId="0" borderId="12" xfId="3" applyFont="1" applyBorder="1" applyAlignment="1">
      <alignment vertical="center"/>
    </xf>
    <xf numFmtId="43" fontId="10" fillId="0" borderId="11" xfId="2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1" fontId="9" fillId="0" borderId="12" xfId="0" applyNumberFormat="1" applyFont="1" applyBorder="1" applyAlignment="1">
      <alignment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66" fontId="7" fillId="0" borderId="22" xfId="3" applyNumberFormat="1" applyFont="1" applyBorder="1" applyAlignment="1">
      <alignment horizontal="center" vertical="center"/>
    </xf>
    <xf numFmtId="166" fontId="7" fillId="0" borderId="23" xfId="3" applyNumberFormat="1" applyFont="1" applyBorder="1" applyAlignment="1">
      <alignment horizontal="center" vertical="center"/>
    </xf>
    <xf numFmtId="167" fontId="7" fillId="5" borderId="18" xfId="2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164" fontId="8" fillId="2" borderId="8" xfId="0" applyNumberFormat="1" applyFont="1" applyFill="1" applyBorder="1" applyAlignment="1">
      <alignment horizontal="center" vertical="center" wrapText="1"/>
    </xf>
    <xf numFmtId="165" fontId="8" fillId="2" borderId="9" xfId="0" applyNumberFormat="1" applyFont="1" applyFill="1" applyBorder="1" applyAlignment="1">
      <alignment horizontal="center" vertical="center" wrapText="1"/>
    </xf>
    <xf numFmtId="164" fontId="8" fillId="2" borderId="9" xfId="0" applyNumberFormat="1" applyFont="1" applyFill="1" applyBorder="1" applyAlignment="1">
      <alignment horizontal="center" vertical="center" wrapText="1"/>
    </xf>
    <xf numFmtId="164" fontId="8" fillId="2" borderId="24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9" fontId="0" fillId="0" borderId="0" xfId="0" applyNumberFormat="1"/>
    <xf numFmtId="0" fontId="8" fillId="4" borderId="2" xfId="0" applyFont="1" applyFill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7" xfId="0" applyBorder="1"/>
    <xf numFmtId="43" fontId="7" fillId="0" borderId="7" xfId="2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168" fontId="7" fillId="0" borderId="0" xfId="2" applyNumberFormat="1" applyFont="1" applyFill="1" applyBorder="1" applyAlignment="1">
      <alignment horizontal="center" vertical="center"/>
    </xf>
    <xf numFmtId="43" fontId="7" fillId="0" borderId="0" xfId="2" applyFont="1" applyFill="1" applyBorder="1" applyAlignment="1">
      <alignment horizontal="center" vertical="center"/>
    </xf>
    <xf numFmtId="43" fontId="7" fillId="0" borderId="0" xfId="2" applyFont="1" applyFill="1" applyBorder="1" applyAlignment="1">
      <alignment vertical="center"/>
    </xf>
    <xf numFmtId="43" fontId="10" fillId="0" borderId="0" xfId="2" applyFont="1" applyFill="1" applyBorder="1" applyAlignment="1">
      <alignment vertical="center"/>
    </xf>
    <xf numFmtId="164" fontId="8" fillId="6" borderId="7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9" fillId="0" borderId="19" xfId="0" applyFont="1" applyBorder="1" applyAlignment="1">
      <alignment horizontal="center" vertical="center"/>
    </xf>
    <xf numFmtId="43" fontId="10" fillId="0" borderId="12" xfId="2" applyFont="1" applyFill="1" applyBorder="1" applyAlignment="1">
      <alignment vertical="center"/>
    </xf>
    <xf numFmtId="0" fontId="2" fillId="6" borderId="15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166" fontId="1" fillId="0" borderId="7" xfId="3" applyNumberFormat="1" applyFont="1" applyBorder="1" applyAlignment="1">
      <alignment horizontal="center" vertical="center"/>
    </xf>
    <xf numFmtId="168" fontId="1" fillId="0" borderId="7" xfId="2" applyNumberFormat="1" applyFont="1" applyFill="1" applyBorder="1" applyAlignment="1">
      <alignment horizontal="center" vertical="center"/>
    </xf>
    <xf numFmtId="169" fontId="1" fillId="0" borderId="7" xfId="2" applyNumberFormat="1" applyFont="1" applyFill="1" applyBorder="1" applyAlignment="1">
      <alignment horizontal="center" vertical="center"/>
    </xf>
    <xf numFmtId="168" fontId="1" fillId="0" borderId="1" xfId="2" applyNumberFormat="1" applyFont="1" applyFill="1" applyBorder="1" applyAlignment="1">
      <alignment horizontal="center" vertical="center"/>
    </xf>
    <xf numFmtId="168" fontId="1" fillId="0" borderId="9" xfId="2" applyNumberFormat="1" applyFont="1" applyFill="1" applyBorder="1" applyAlignment="1">
      <alignment horizontal="center" vertical="center"/>
    </xf>
    <xf numFmtId="169" fontId="1" fillId="0" borderId="9" xfId="2" applyNumberFormat="1" applyFont="1" applyFill="1" applyBorder="1" applyAlignment="1">
      <alignment horizontal="center" vertical="center"/>
    </xf>
    <xf numFmtId="168" fontId="1" fillId="0" borderId="2" xfId="2" applyNumberFormat="1" applyFont="1" applyFill="1" applyBorder="1" applyAlignment="1">
      <alignment horizontal="center" vertical="center"/>
    </xf>
    <xf numFmtId="0" fontId="0" fillId="7" borderId="0" xfId="0" applyFill="1"/>
    <xf numFmtId="164" fontId="8" fillId="7" borderId="2" xfId="0" applyNumberFormat="1" applyFont="1" applyFill="1" applyBorder="1" applyAlignment="1">
      <alignment horizontal="center" vertical="center" wrapText="1"/>
    </xf>
    <xf numFmtId="166" fontId="7" fillId="7" borderId="23" xfId="3" applyNumberFormat="1" applyFont="1" applyFill="1" applyBorder="1" applyAlignment="1">
      <alignment horizontal="center" vertical="center"/>
    </xf>
    <xf numFmtId="166" fontId="7" fillId="7" borderId="1" xfId="3" applyNumberFormat="1" applyFont="1" applyFill="1" applyBorder="1" applyAlignment="1">
      <alignment horizontal="center" vertical="center"/>
    </xf>
    <xf numFmtId="166" fontId="7" fillId="7" borderId="2" xfId="3" applyNumberFormat="1" applyFont="1" applyFill="1" applyBorder="1" applyAlignment="1">
      <alignment horizontal="center" vertical="center"/>
    </xf>
    <xf numFmtId="44" fontId="11" fillId="7" borderId="12" xfId="3" applyFont="1" applyFill="1" applyBorder="1" applyAlignment="1">
      <alignment vertical="center"/>
    </xf>
    <xf numFmtId="44" fontId="0" fillId="7" borderId="0" xfId="3" applyFont="1" applyFill="1"/>
    <xf numFmtId="44" fontId="0" fillId="7" borderId="0" xfId="0" applyNumberFormat="1" applyFill="1"/>
    <xf numFmtId="0" fontId="2" fillId="6" borderId="14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43" fontId="7" fillId="5" borderId="16" xfId="2" applyFont="1" applyFill="1" applyBorder="1" applyAlignment="1">
      <alignment horizontal="center" vertical="center"/>
    </xf>
    <xf numFmtId="43" fontId="7" fillId="5" borderId="17" xfId="2" applyFont="1" applyFill="1" applyBorder="1" applyAlignment="1">
      <alignment horizontal="center" vertical="center"/>
    </xf>
    <xf numFmtId="43" fontId="7" fillId="5" borderId="18" xfId="2" applyFont="1" applyFill="1" applyBorder="1" applyAlignment="1">
      <alignment horizontal="center" vertical="center"/>
    </xf>
    <xf numFmtId="166" fontId="7" fillId="0" borderId="6" xfId="3" applyNumberFormat="1" applyFont="1" applyBorder="1" applyAlignment="1">
      <alignment horizontal="center" vertical="center"/>
    </xf>
    <xf numFmtId="166" fontId="7" fillId="0" borderId="7" xfId="3" applyNumberFormat="1" applyFont="1" applyBorder="1" applyAlignment="1">
      <alignment horizontal="center" vertical="center"/>
    </xf>
    <xf numFmtId="166" fontId="7" fillId="7" borderId="1" xfId="3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166" fontId="7" fillId="0" borderId="1" xfId="3" applyNumberFormat="1" applyFont="1" applyBorder="1" applyAlignment="1">
      <alignment horizontal="center" vertical="center"/>
    </xf>
    <xf numFmtId="41" fontId="2" fillId="2" borderId="13" xfId="1" applyFont="1" applyFill="1" applyBorder="1" applyAlignment="1">
      <alignment horizontal="center" vertical="center" wrapText="1"/>
    </xf>
    <xf numFmtId="41" fontId="2" fillId="2" borderId="14" xfId="1" applyFont="1" applyFill="1" applyBorder="1" applyAlignment="1">
      <alignment horizontal="center" vertical="center" wrapText="1"/>
    </xf>
    <xf numFmtId="41" fontId="2" fillId="2" borderId="15" xfId="1" applyFont="1" applyFill="1" applyBorder="1" applyAlignment="1">
      <alignment horizontal="center" vertical="center" wrapText="1"/>
    </xf>
  </cellXfs>
  <cellStyles count="4">
    <cellStyle name="Millares" xfId="2" builtinId="3"/>
    <cellStyle name="Millares [0]" xfId="1" builtinId="6"/>
    <cellStyle name="Moneda" xfId="3" builtinId="4"/>
    <cellStyle name="Normal" xfId="0" builtinId="0"/>
  </cellStyles>
  <dxfs count="0"/>
  <tableStyles count="0" defaultTableStyle="TableStyleMedium2" defaultPivotStyle="PivotStyleLight16"/>
  <colors>
    <mruColors>
      <color rgb="FF2B2D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microambiental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6AB2-6AEE-43E7-B221-7DE7035F19AD}">
  <dimension ref="A1:O1048576"/>
  <sheetViews>
    <sheetView tabSelected="1" zoomScale="80" zoomScaleNormal="80" workbookViewId="0">
      <pane xSplit="2" ySplit="3" topLeftCell="C20" activePane="bottomRight" state="frozen"/>
      <selection pane="topRight" activeCell="C1" sqref="C1"/>
      <selection pane="bottomLeft" activeCell="A4" sqref="A4"/>
      <selection pane="bottomRight" activeCell="I2" sqref="I2:K2"/>
    </sheetView>
  </sheetViews>
  <sheetFormatPr baseColWidth="10" defaultColWidth="11.42578125" defaultRowHeight="15" x14ac:dyDescent="0.25"/>
  <cols>
    <col min="1" max="1" width="15.140625" customWidth="1"/>
    <col min="2" max="2" width="17.42578125" customWidth="1"/>
    <col min="3" max="3" width="12.85546875" style="1" bestFit="1" customWidth="1"/>
    <col min="4" max="4" width="11.5703125" style="1" bestFit="1" customWidth="1"/>
    <col min="5" max="5" width="15.42578125" style="1" bestFit="1" customWidth="1"/>
    <col min="6" max="6" width="14.85546875" customWidth="1"/>
    <col min="7" max="7" width="11.5703125" bestFit="1" customWidth="1"/>
    <col min="8" max="8" width="15.42578125" bestFit="1" customWidth="1"/>
    <col min="9" max="9" width="12.85546875" bestFit="1" customWidth="1"/>
    <col min="10" max="10" width="11.7109375" customWidth="1"/>
    <col min="11" max="11" width="22.42578125" customWidth="1"/>
    <col min="12" max="12" width="13.140625" hidden="1" customWidth="1"/>
    <col min="13" max="13" width="16.28515625" customWidth="1"/>
    <col min="14" max="14" width="16" bestFit="1" customWidth="1"/>
    <col min="15" max="15" width="17.42578125" style="71" bestFit="1" customWidth="1"/>
  </cols>
  <sheetData>
    <row r="1" spans="1:15" ht="15.75" thickBot="1" x14ac:dyDescent="0.3"/>
    <row r="2" spans="1:15" ht="24.75" customHeight="1" x14ac:dyDescent="0.25">
      <c r="A2" s="92" t="s">
        <v>0</v>
      </c>
      <c r="B2" s="94" t="s">
        <v>1</v>
      </c>
      <c r="C2" s="99" t="s">
        <v>2</v>
      </c>
      <c r="D2" s="100"/>
      <c r="E2" s="101"/>
      <c r="F2" s="92" t="s">
        <v>3</v>
      </c>
      <c r="G2" s="96"/>
      <c r="H2" s="97"/>
      <c r="I2" s="92" t="s">
        <v>4</v>
      </c>
      <c r="J2" s="96"/>
      <c r="K2" s="97"/>
      <c r="L2" s="37" t="s">
        <v>62</v>
      </c>
      <c r="M2" s="92" t="s">
        <v>5</v>
      </c>
      <c r="N2" s="96"/>
      <c r="O2" s="97"/>
    </row>
    <row r="3" spans="1:15" ht="48.75" customHeight="1" thickBot="1" x14ac:dyDescent="0.3">
      <c r="A3" s="93"/>
      <c r="B3" s="95"/>
      <c r="C3" s="38" t="s">
        <v>6</v>
      </c>
      <c r="D3" s="39" t="s">
        <v>7</v>
      </c>
      <c r="E3" s="44" t="s">
        <v>8</v>
      </c>
      <c r="F3" s="38" t="s">
        <v>6</v>
      </c>
      <c r="G3" s="39" t="s">
        <v>7</v>
      </c>
      <c r="H3" s="44" t="s">
        <v>8</v>
      </c>
      <c r="I3" s="38" t="s">
        <v>6</v>
      </c>
      <c r="J3" s="40" t="s">
        <v>7</v>
      </c>
      <c r="K3" s="45" t="s">
        <v>8</v>
      </c>
      <c r="L3" s="41"/>
      <c r="M3" s="38" t="s">
        <v>6</v>
      </c>
      <c r="N3" s="40" t="s">
        <v>7</v>
      </c>
      <c r="O3" s="72" t="s">
        <v>8</v>
      </c>
    </row>
    <row r="4" spans="1:15" ht="38.25" x14ac:dyDescent="0.25">
      <c r="A4" s="32" t="s">
        <v>9</v>
      </c>
      <c r="B4" s="33" t="s">
        <v>10</v>
      </c>
      <c r="C4" s="34">
        <v>94300</v>
      </c>
      <c r="D4" s="15">
        <f>0.19*C4</f>
        <v>17917</v>
      </c>
      <c r="E4" s="35">
        <f>+C4+D4</f>
        <v>112217</v>
      </c>
      <c r="F4" s="34">
        <v>157000</v>
      </c>
      <c r="G4" s="15">
        <f>0.19*F4</f>
        <v>29830</v>
      </c>
      <c r="H4" s="35">
        <f>+F4+G4</f>
        <v>186830</v>
      </c>
      <c r="I4" s="34">
        <v>380920</v>
      </c>
      <c r="J4" s="15">
        <v>72374</v>
      </c>
      <c r="K4" s="35">
        <f>+I4+J4</f>
        <v>453294</v>
      </c>
      <c r="L4" s="36">
        <f>+(E4/H4)-1</f>
        <v>-0.39936305732484079</v>
      </c>
      <c r="M4" s="34">
        <f>+AVERAGE(C4,F4,I4)</f>
        <v>210740</v>
      </c>
      <c r="N4" s="15">
        <f>0.19*M4</f>
        <v>40040.6</v>
      </c>
      <c r="O4" s="73">
        <f>+M4+N4</f>
        <v>250780.6</v>
      </c>
    </row>
    <row r="5" spans="1:15" ht="25.5" x14ac:dyDescent="0.25">
      <c r="A5" s="91" t="s">
        <v>11</v>
      </c>
      <c r="B5" s="23" t="s">
        <v>12</v>
      </c>
      <c r="C5" s="87">
        <v>101300</v>
      </c>
      <c r="D5" s="88">
        <f>0.19*C5</f>
        <v>19247</v>
      </c>
      <c r="E5" s="98">
        <f>+C5+D5</f>
        <v>120547</v>
      </c>
      <c r="F5" s="87">
        <v>90000</v>
      </c>
      <c r="G5" s="88">
        <f>0.19*F5</f>
        <v>17100</v>
      </c>
      <c r="H5" s="98">
        <f>+F5+G5</f>
        <v>107100</v>
      </c>
      <c r="I5" s="87">
        <v>66800</v>
      </c>
      <c r="J5" s="88">
        <v>12685</v>
      </c>
      <c r="K5" s="98">
        <f>+J5+I5</f>
        <v>79485</v>
      </c>
      <c r="L5" s="84">
        <f>+(E5/H5)-1</f>
        <v>0.12555555555555564</v>
      </c>
      <c r="M5" s="87">
        <f>+AVERAGE(C5,F5,I5)</f>
        <v>86033.333333333328</v>
      </c>
      <c r="N5" s="88">
        <f>0.19*M5</f>
        <v>16346.333333333332</v>
      </c>
      <c r="O5" s="89">
        <f>+M5+N5</f>
        <v>102379.66666666666</v>
      </c>
    </row>
    <row r="6" spans="1:15" ht="25.5" x14ac:dyDescent="0.25">
      <c r="A6" s="91"/>
      <c r="B6" s="23" t="s">
        <v>13</v>
      </c>
      <c r="C6" s="87"/>
      <c r="D6" s="88"/>
      <c r="E6" s="98"/>
      <c r="F6" s="87"/>
      <c r="G6" s="88"/>
      <c r="H6" s="98"/>
      <c r="I6" s="87"/>
      <c r="J6" s="88"/>
      <c r="K6" s="98"/>
      <c r="L6" s="85"/>
      <c r="M6" s="87"/>
      <c r="N6" s="88"/>
      <c r="O6" s="89"/>
    </row>
    <row r="7" spans="1:15" ht="25.5" x14ac:dyDescent="0.25">
      <c r="A7" s="91"/>
      <c r="B7" s="23" t="s">
        <v>14</v>
      </c>
      <c r="C7" s="87"/>
      <c r="D7" s="88"/>
      <c r="E7" s="98"/>
      <c r="F7" s="87"/>
      <c r="G7" s="88"/>
      <c r="H7" s="98"/>
      <c r="I7" s="87"/>
      <c r="J7" s="88"/>
      <c r="K7" s="98"/>
      <c r="L7" s="85"/>
      <c r="M7" s="87"/>
      <c r="N7" s="88"/>
      <c r="O7" s="89"/>
    </row>
    <row r="8" spans="1:15" ht="25.5" x14ac:dyDescent="0.25">
      <c r="A8" s="91"/>
      <c r="B8" s="23" t="s">
        <v>15</v>
      </c>
      <c r="C8" s="87"/>
      <c r="D8" s="88"/>
      <c r="E8" s="98"/>
      <c r="F8" s="87"/>
      <c r="G8" s="88"/>
      <c r="H8" s="98"/>
      <c r="I8" s="87"/>
      <c r="J8" s="88"/>
      <c r="K8" s="98"/>
      <c r="L8" s="86"/>
      <c r="M8" s="87"/>
      <c r="N8" s="88"/>
      <c r="O8" s="89"/>
    </row>
    <row r="9" spans="1:15" ht="25.5" x14ac:dyDescent="0.25">
      <c r="A9" s="91" t="s">
        <v>16</v>
      </c>
      <c r="B9" s="23" t="s">
        <v>17</v>
      </c>
      <c r="C9" s="87">
        <v>105400</v>
      </c>
      <c r="D9" s="88">
        <f>0.19*C9</f>
        <v>20026</v>
      </c>
      <c r="E9" s="98">
        <f>+C9+D9</f>
        <v>125426</v>
      </c>
      <c r="F9" s="87">
        <v>90000</v>
      </c>
      <c r="G9" s="88">
        <f>0.19*F9</f>
        <v>17100</v>
      </c>
      <c r="H9" s="98">
        <f>+F9+G9</f>
        <v>107100</v>
      </c>
      <c r="I9" s="87">
        <v>69978</v>
      </c>
      <c r="J9" s="88">
        <v>13300</v>
      </c>
      <c r="K9" s="98">
        <f>+J9+I9</f>
        <v>83278</v>
      </c>
      <c r="L9" s="84">
        <f>+(E9/H9)-1</f>
        <v>0.17111111111111121</v>
      </c>
      <c r="M9" s="87">
        <f>+AVERAGE(C9,F9,I9)</f>
        <v>88459.333333333328</v>
      </c>
      <c r="N9" s="88">
        <f>0.19*M9</f>
        <v>16807.273333333331</v>
      </c>
      <c r="O9" s="89">
        <f>+M9+N9</f>
        <v>105266.60666666666</v>
      </c>
    </row>
    <row r="10" spans="1:15" ht="25.5" x14ac:dyDescent="0.25">
      <c r="A10" s="91"/>
      <c r="B10" s="23" t="s">
        <v>18</v>
      </c>
      <c r="C10" s="87"/>
      <c r="D10" s="88"/>
      <c r="E10" s="98"/>
      <c r="F10" s="87"/>
      <c r="G10" s="88"/>
      <c r="H10" s="98"/>
      <c r="I10" s="87"/>
      <c r="J10" s="88"/>
      <c r="K10" s="98"/>
      <c r="L10" s="85"/>
      <c r="M10" s="87"/>
      <c r="N10" s="88"/>
      <c r="O10" s="89"/>
    </row>
    <row r="11" spans="1:15" ht="25.5" x14ac:dyDescent="0.25">
      <c r="A11" s="91"/>
      <c r="B11" s="23" t="s">
        <v>14</v>
      </c>
      <c r="C11" s="87"/>
      <c r="D11" s="88"/>
      <c r="E11" s="98"/>
      <c r="F11" s="87"/>
      <c r="G11" s="88"/>
      <c r="H11" s="98"/>
      <c r="I11" s="87"/>
      <c r="J11" s="88"/>
      <c r="K11" s="98"/>
      <c r="L11" s="85"/>
      <c r="M11" s="87"/>
      <c r="N11" s="88"/>
      <c r="O11" s="89"/>
    </row>
    <row r="12" spans="1:15" ht="38.25" x14ac:dyDescent="0.25">
      <c r="A12" s="91"/>
      <c r="B12" s="23" t="s">
        <v>19</v>
      </c>
      <c r="C12" s="87"/>
      <c r="D12" s="88"/>
      <c r="E12" s="98"/>
      <c r="F12" s="87"/>
      <c r="G12" s="88"/>
      <c r="H12" s="98"/>
      <c r="I12" s="87"/>
      <c r="J12" s="88"/>
      <c r="K12" s="98"/>
      <c r="L12" s="86"/>
      <c r="M12" s="87"/>
      <c r="N12" s="88"/>
      <c r="O12" s="89"/>
    </row>
    <row r="13" spans="1:15" ht="25.5" x14ac:dyDescent="0.25">
      <c r="A13" s="91" t="s">
        <v>20</v>
      </c>
      <c r="B13" s="23" t="s">
        <v>12</v>
      </c>
      <c r="C13" s="87">
        <v>90000</v>
      </c>
      <c r="D13" s="88">
        <f>0.19*C13</f>
        <v>17100</v>
      </c>
      <c r="E13" s="98">
        <f>+C13+D13</f>
        <v>107100</v>
      </c>
      <c r="F13" s="87">
        <v>90000</v>
      </c>
      <c r="G13" s="88">
        <f>0.19*F13</f>
        <v>17100</v>
      </c>
      <c r="H13" s="98">
        <f>+F13+G13</f>
        <v>107100</v>
      </c>
      <c r="I13" s="87">
        <v>66800</v>
      </c>
      <c r="J13" s="88">
        <v>12685</v>
      </c>
      <c r="K13" s="98">
        <f>+J13+I13</f>
        <v>79485</v>
      </c>
      <c r="L13" s="84">
        <f>+(E13/H13)-1</f>
        <v>0</v>
      </c>
      <c r="M13" s="87">
        <f>+AVERAGE(C13,F13,I13)</f>
        <v>82266.666666666672</v>
      </c>
      <c r="N13" s="88">
        <f>0.19*M13</f>
        <v>15630.666666666668</v>
      </c>
      <c r="O13" s="89">
        <f>+M13+N13</f>
        <v>97897.333333333343</v>
      </c>
    </row>
    <row r="14" spans="1:15" ht="25.5" x14ac:dyDescent="0.25">
      <c r="A14" s="91"/>
      <c r="B14" s="23" t="s">
        <v>21</v>
      </c>
      <c r="C14" s="87"/>
      <c r="D14" s="88"/>
      <c r="E14" s="98"/>
      <c r="F14" s="87"/>
      <c r="G14" s="88"/>
      <c r="H14" s="98"/>
      <c r="I14" s="87"/>
      <c r="J14" s="88"/>
      <c r="K14" s="98"/>
      <c r="L14" s="85"/>
      <c r="M14" s="87"/>
      <c r="N14" s="88"/>
      <c r="O14" s="89"/>
    </row>
    <row r="15" spans="1:15" ht="25.5" x14ac:dyDescent="0.25">
      <c r="A15" s="91"/>
      <c r="B15" s="23" t="s">
        <v>14</v>
      </c>
      <c r="C15" s="87"/>
      <c r="D15" s="88"/>
      <c r="E15" s="98"/>
      <c r="F15" s="87"/>
      <c r="G15" s="88"/>
      <c r="H15" s="98"/>
      <c r="I15" s="87"/>
      <c r="J15" s="88"/>
      <c r="K15" s="98"/>
      <c r="L15" s="85"/>
      <c r="M15" s="87"/>
      <c r="N15" s="88"/>
      <c r="O15" s="89"/>
    </row>
    <row r="16" spans="1:15" ht="38.25" x14ac:dyDescent="0.25">
      <c r="A16" s="91"/>
      <c r="B16" s="23" t="s">
        <v>22</v>
      </c>
      <c r="C16" s="87"/>
      <c r="D16" s="88"/>
      <c r="E16" s="98"/>
      <c r="F16" s="87"/>
      <c r="G16" s="88"/>
      <c r="H16" s="98"/>
      <c r="I16" s="87"/>
      <c r="J16" s="88"/>
      <c r="K16" s="98"/>
      <c r="L16" s="86"/>
      <c r="M16" s="87"/>
      <c r="N16" s="88"/>
      <c r="O16" s="89"/>
    </row>
    <row r="17" spans="1:15" ht="25.5" x14ac:dyDescent="0.25">
      <c r="A17" s="91" t="s">
        <v>23</v>
      </c>
      <c r="B17" s="23" t="s">
        <v>12</v>
      </c>
      <c r="C17" s="87">
        <v>132000</v>
      </c>
      <c r="D17" s="88">
        <f>0.19*C17</f>
        <v>25080</v>
      </c>
      <c r="E17" s="98">
        <f>+C17+D17</f>
        <v>157080</v>
      </c>
      <c r="F17" s="87">
        <v>90000</v>
      </c>
      <c r="G17" s="88">
        <f>0.19*F17</f>
        <v>17100</v>
      </c>
      <c r="H17" s="98">
        <f>+F17+G17</f>
        <v>107100</v>
      </c>
      <c r="I17" s="87">
        <v>69978</v>
      </c>
      <c r="J17" s="88">
        <v>13300</v>
      </c>
      <c r="K17" s="98">
        <f>+I17+J17</f>
        <v>83278</v>
      </c>
      <c r="L17" s="84">
        <v>0.12555555555555564</v>
      </c>
      <c r="M17" s="87">
        <f>+AVERAGE(C17,F17,I17)</f>
        <v>97326</v>
      </c>
      <c r="N17" s="88">
        <f>0.19*M17</f>
        <v>18491.939999999999</v>
      </c>
      <c r="O17" s="89">
        <f>+M17+N17</f>
        <v>115817.94</v>
      </c>
    </row>
    <row r="18" spans="1:15" ht="25.5" x14ac:dyDescent="0.25">
      <c r="A18" s="91"/>
      <c r="B18" s="23" t="s">
        <v>24</v>
      </c>
      <c r="C18" s="87"/>
      <c r="D18" s="88"/>
      <c r="E18" s="98"/>
      <c r="F18" s="87"/>
      <c r="G18" s="88"/>
      <c r="H18" s="98"/>
      <c r="I18" s="87"/>
      <c r="J18" s="88"/>
      <c r="K18" s="98"/>
      <c r="L18" s="85"/>
      <c r="M18" s="87"/>
      <c r="N18" s="88"/>
      <c r="O18" s="89"/>
    </row>
    <row r="19" spans="1:15" ht="25.5" x14ac:dyDescent="0.25">
      <c r="A19" s="91"/>
      <c r="B19" s="23" t="s">
        <v>25</v>
      </c>
      <c r="C19" s="87"/>
      <c r="D19" s="88"/>
      <c r="E19" s="98"/>
      <c r="F19" s="87"/>
      <c r="G19" s="88"/>
      <c r="H19" s="98"/>
      <c r="I19" s="87"/>
      <c r="J19" s="88"/>
      <c r="K19" s="98"/>
      <c r="L19" s="85"/>
      <c r="M19" s="87"/>
      <c r="N19" s="88"/>
      <c r="O19" s="89"/>
    </row>
    <row r="20" spans="1:15" ht="25.5" x14ac:dyDescent="0.25">
      <c r="A20" s="91"/>
      <c r="B20" s="23" t="s">
        <v>14</v>
      </c>
      <c r="C20" s="87"/>
      <c r="D20" s="88"/>
      <c r="E20" s="98"/>
      <c r="F20" s="87"/>
      <c r="G20" s="88"/>
      <c r="H20" s="98"/>
      <c r="I20" s="87"/>
      <c r="J20" s="88"/>
      <c r="K20" s="98"/>
      <c r="L20" s="85"/>
      <c r="M20" s="87"/>
      <c r="N20" s="88"/>
      <c r="O20" s="89"/>
    </row>
    <row r="21" spans="1:15" ht="25.5" x14ac:dyDescent="0.25">
      <c r="A21" s="91"/>
      <c r="B21" s="23" t="s">
        <v>26</v>
      </c>
      <c r="C21" s="87"/>
      <c r="D21" s="88"/>
      <c r="E21" s="98"/>
      <c r="F21" s="87"/>
      <c r="G21" s="88"/>
      <c r="H21" s="98"/>
      <c r="I21" s="87"/>
      <c r="J21" s="88"/>
      <c r="K21" s="98"/>
      <c r="L21" s="85"/>
      <c r="M21" s="87"/>
      <c r="N21" s="88"/>
      <c r="O21" s="89"/>
    </row>
    <row r="22" spans="1:15" ht="25.5" x14ac:dyDescent="0.25">
      <c r="A22" s="91"/>
      <c r="B22" s="23" t="s">
        <v>27</v>
      </c>
      <c r="C22" s="87"/>
      <c r="D22" s="88"/>
      <c r="E22" s="98"/>
      <c r="F22" s="87"/>
      <c r="G22" s="88"/>
      <c r="H22" s="98"/>
      <c r="I22" s="87"/>
      <c r="J22" s="88"/>
      <c r="K22" s="98"/>
      <c r="L22" s="86"/>
      <c r="M22" s="87"/>
      <c r="N22" s="88"/>
      <c r="O22" s="89"/>
    </row>
    <row r="23" spans="1:15" ht="25.5" x14ac:dyDescent="0.25">
      <c r="A23" s="91" t="s">
        <v>28</v>
      </c>
      <c r="B23" s="23" t="s">
        <v>12</v>
      </c>
      <c r="C23" s="87">
        <v>76200</v>
      </c>
      <c r="D23" s="88">
        <f>0.19*C23</f>
        <v>14478</v>
      </c>
      <c r="E23" s="98">
        <f>+C23+D23</f>
        <v>90678</v>
      </c>
      <c r="F23" s="87">
        <v>95000</v>
      </c>
      <c r="G23" s="88">
        <f>0.19*F23</f>
        <v>18050</v>
      </c>
      <c r="H23" s="98">
        <f>+F23+G23</f>
        <v>113050</v>
      </c>
      <c r="I23" s="87">
        <v>69978</v>
      </c>
      <c r="J23" s="88">
        <v>13300</v>
      </c>
      <c r="K23" s="98">
        <f>+J23+I23</f>
        <v>83278</v>
      </c>
      <c r="L23" s="84">
        <f>+(E23/H23)-1</f>
        <v>-0.19789473684210523</v>
      </c>
      <c r="M23" s="87">
        <f>AVERAGE(C23,F23,I23)</f>
        <v>80392.666666666672</v>
      </c>
      <c r="N23" s="88">
        <f>0.19*M23</f>
        <v>15274.606666666668</v>
      </c>
      <c r="O23" s="89">
        <f>+M23+N23</f>
        <v>95667.273333333345</v>
      </c>
    </row>
    <row r="24" spans="1:15" ht="38.25" x14ac:dyDescent="0.25">
      <c r="A24" s="91"/>
      <c r="B24" s="23" t="s">
        <v>29</v>
      </c>
      <c r="C24" s="87"/>
      <c r="D24" s="88"/>
      <c r="E24" s="98"/>
      <c r="F24" s="87"/>
      <c r="G24" s="88"/>
      <c r="H24" s="98"/>
      <c r="I24" s="87"/>
      <c r="J24" s="88"/>
      <c r="K24" s="98"/>
      <c r="L24" s="85"/>
      <c r="M24" s="87"/>
      <c r="N24" s="88"/>
      <c r="O24" s="89"/>
    </row>
    <row r="25" spans="1:15" ht="25.5" x14ac:dyDescent="0.25">
      <c r="A25" s="91"/>
      <c r="B25" s="23" t="s">
        <v>14</v>
      </c>
      <c r="C25" s="87"/>
      <c r="D25" s="88"/>
      <c r="E25" s="98"/>
      <c r="F25" s="87"/>
      <c r="G25" s="88"/>
      <c r="H25" s="98"/>
      <c r="I25" s="87"/>
      <c r="J25" s="88"/>
      <c r="K25" s="98"/>
      <c r="L25" s="85"/>
      <c r="M25" s="87"/>
      <c r="N25" s="88"/>
      <c r="O25" s="89"/>
    </row>
    <row r="26" spans="1:15" ht="51" x14ac:dyDescent="0.25">
      <c r="A26" s="91"/>
      <c r="B26" s="23" t="s">
        <v>30</v>
      </c>
      <c r="C26" s="87"/>
      <c r="D26" s="88"/>
      <c r="E26" s="98"/>
      <c r="F26" s="87"/>
      <c r="G26" s="88"/>
      <c r="H26" s="98"/>
      <c r="I26" s="87"/>
      <c r="J26" s="88"/>
      <c r="K26" s="98"/>
      <c r="L26" s="86"/>
      <c r="M26" s="87"/>
      <c r="N26" s="88"/>
      <c r="O26" s="89"/>
    </row>
    <row r="27" spans="1:15" ht="25.5" x14ac:dyDescent="0.25">
      <c r="A27" s="91" t="s">
        <v>31</v>
      </c>
      <c r="B27" s="23" t="s">
        <v>12</v>
      </c>
      <c r="C27" s="87">
        <v>189500</v>
      </c>
      <c r="D27" s="88">
        <f>0.19*C27</f>
        <v>36005</v>
      </c>
      <c r="E27" s="98">
        <f>+C27+D27</f>
        <v>225505</v>
      </c>
      <c r="F27" s="87">
        <v>247000</v>
      </c>
      <c r="G27" s="88">
        <f>0.19*F27</f>
        <v>46930</v>
      </c>
      <c r="H27" s="98">
        <f>+F27+G27</f>
        <v>293930</v>
      </c>
      <c r="I27" s="87">
        <v>63600</v>
      </c>
      <c r="J27" s="88">
        <v>12100</v>
      </c>
      <c r="K27" s="98">
        <f>+J27+I27</f>
        <v>75700</v>
      </c>
      <c r="L27" s="84">
        <f>+(E27/H27)-1</f>
        <v>-0.23279352226720651</v>
      </c>
      <c r="M27" s="87">
        <f>+AVERAGE(C27,F27,I27)</f>
        <v>166700</v>
      </c>
      <c r="N27" s="88">
        <f>0.19*M27</f>
        <v>31673</v>
      </c>
      <c r="O27" s="89">
        <f>+M27+N27</f>
        <v>198373</v>
      </c>
    </row>
    <row r="28" spans="1:15" ht="25.5" x14ac:dyDescent="0.25">
      <c r="A28" s="91"/>
      <c r="B28" s="23" t="s">
        <v>32</v>
      </c>
      <c r="C28" s="87"/>
      <c r="D28" s="88"/>
      <c r="E28" s="98"/>
      <c r="F28" s="87"/>
      <c r="G28" s="88"/>
      <c r="H28" s="98"/>
      <c r="I28" s="87"/>
      <c r="J28" s="88"/>
      <c r="K28" s="98"/>
      <c r="L28" s="85"/>
      <c r="M28" s="87"/>
      <c r="N28" s="88"/>
      <c r="O28" s="89"/>
    </row>
    <row r="29" spans="1:15" ht="25.5" x14ac:dyDescent="0.25">
      <c r="A29" s="91"/>
      <c r="B29" s="23" t="s">
        <v>14</v>
      </c>
      <c r="C29" s="87"/>
      <c r="D29" s="88"/>
      <c r="E29" s="98"/>
      <c r="F29" s="87"/>
      <c r="G29" s="88"/>
      <c r="H29" s="98"/>
      <c r="I29" s="87"/>
      <c r="J29" s="88"/>
      <c r="K29" s="98"/>
      <c r="L29" s="85"/>
      <c r="M29" s="87"/>
      <c r="N29" s="88"/>
      <c r="O29" s="89"/>
    </row>
    <row r="30" spans="1:15" ht="38.25" x14ac:dyDescent="0.25">
      <c r="A30" s="91"/>
      <c r="B30" s="23" t="s">
        <v>33</v>
      </c>
      <c r="C30" s="87"/>
      <c r="D30" s="88"/>
      <c r="E30" s="98"/>
      <c r="F30" s="87"/>
      <c r="G30" s="88"/>
      <c r="H30" s="98"/>
      <c r="I30" s="87"/>
      <c r="J30" s="88"/>
      <c r="K30" s="98"/>
      <c r="L30" s="86"/>
      <c r="M30" s="87"/>
      <c r="N30" s="88"/>
      <c r="O30" s="89"/>
    </row>
    <row r="31" spans="1:15" ht="25.5" x14ac:dyDescent="0.25">
      <c r="A31" s="91" t="s">
        <v>34</v>
      </c>
      <c r="B31" s="23" t="s">
        <v>24</v>
      </c>
      <c r="C31" s="87">
        <v>39900</v>
      </c>
      <c r="D31" s="88">
        <f>0.19*C31</f>
        <v>7581</v>
      </c>
      <c r="E31" s="98">
        <f>+C31+D31</f>
        <v>47481</v>
      </c>
      <c r="F31" s="87">
        <v>80000</v>
      </c>
      <c r="G31" s="88">
        <f>0.19*F31</f>
        <v>15200</v>
      </c>
      <c r="H31" s="98">
        <f>+F31+G31</f>
        <v>95200</v>
      </c>
      <c r="I31" s="87">
        <v>46800</v>
      </c>
      <c r="J31" s="88">
        <f>0.19*I31</f>
        <v>8892</v>
      </c>
      <c r="K31" s="98">
        <f>+J31+I31</f>
        <v>55692</v>
      </c>
      <c r="L31" s="84">
        <v>0.12555555555555564</v>
      </c>
      <c r="M31" s="87">
        <f>AVERAGE(C31,F31,I31)</f>
        <v>55566.666666666664</v>
      </c>
      <c r="N31" s="88">
        <f>0.19*M31</f>
        <v>10557.666666666666</v>
      </c>
      <c r="O31" s="89">
        <f>+M31+N31</f>
        <v>66124.333333333328</v>
      </c>
    </row>
    <row r="32" spans="1:15" ht="25.5" x14ac:dyDescent="0.25">
      <c r="A32" s="91"/>
      <c r="B32" s="23" t="s">
        <v>18</v>
      </c>
      <c r="C32" s="87"/>
      <c r="D32" s="88"/>
      <c r="E32" s="98"/>
      <c r="F32" s="87"/>
      <c r="G32" s="88"/>
      <c r="H32" s="98"/>
      <c r="I32" s="87"/>
      <c r="J32" s="88"/>
      <c r="K32" s="98"/>
      <c r="L32" s="85"/>
      <c r="M32" s="87"/>
      <c r="N32" s="88"/>
      <c r="O32" s="89"/>
    </row>
    <row r="33" spans="1:15" ht="25.5" x14ac:dyDescent="0.25">
      <c r="A33" s="91"/>
      <c r="B33" s="23" t="s">
        <v>14</v>
      </c>
      <c r="C33" s="87"/>
      <c r="D33" s="88"/>
      <c r="E33" s="98"/>
      <c r="F33" s="87"/>
      <c r="G33" s="88"/>
      <c r="H33" s="98"/>
      <c r="I33" s="87"/>
      <c r="J33" s="88"/>
      <c r="K33" s="98"/>
      <c r="L33" s="86"/>
      <c r="M33" s="87"/>
      <c r="N33" s="88"/>
      <c r="O33" s="89"/>
    </row>
    <row r="34" spans="1:15" ht="38.25" x14ac:dyDescent="0.25">
      <c r="A34" s="90" t="s">
        <v>35</v>
      </c>
      <c r="B34" s="9" t="s">
        <v>36</v>
      </c>
      <c r="C34" s="87">
        <v>99300</v>
      </c>
      <c r="D34" s="88">
        <f>0.19*C34</f>
        <v>18867</v>
      </c>
      <c r="E34" s="98">
        <f>+C34+D34</f>
        <v>118167</v>
      </c>
      <c r="F34" s="87">
        <v>90000</v>
      </c>
      <c r="G34" s="88">
        <f>0.19*F34</f>
        <v>17100</v>
      </c>
      <c r="H34" s="98">
        <f>+F34+G34</f>
        <v>107100</v>
      </c>
      <c r="I34" s="87">
        <v>60348</v>
      </c>
      <c r="J34" s="88">
        <f>0.19*I34</f>
        <v>11466.12</v>
      </c>
      <c r="K34" s="98">
        <f>+J34+I34</f>
        <v>71814.12</v>
      </c>
      <c r="L34" s="84">
        <v>0.12555555555555564</v>
      </c>
      <c r="M34" s="87">
        <f>AVERAGE(C34,F34,I34)</f>
        <v>83216</v>
      </c>
      <c r="N34" s="88">
        <f>0.19*M34</f>
        <v>15811.04</v>
      </c>
      <c r="O34" s="89">
        <f>+M34+N34</f>
        <v>99027.040000000008</v>
      </c>
    </row>
    <row r="35" spans="1:15" ht="25.5" x14ac:dyDescent="0.25">
      <c r="A35" s="90"/>
      <c r="B35" s="9" t="s">
        <v>37</v>
      </c>
      <c r="C35" s="87"/>
      <c r="D35" s="88"/>
      <c r="E35" s="98"/>
      <c r="F35" s="87"/>
      <c r="G35" s="88"/>
      <c r="H35" s="98"/>
      <c r="I35" s="87"/>
      <c r="J35" s="88"/>
      <c r="K35" s="98"/>
      <c r="L35" s="85"/>
      <c r="M35" s="87"/>
      <c r="N35" s="88"/>
      <c r="O35" s="89"/>
    </row>
    <row r="36" spans="1:15" ht="25.5" x14ac:dyDescent="0.25">
      <c r="A36" s="90"/>
      <c r="B36" s="9" t="s">
        <v>38</v>
      </c>
      <c r="C36" s="87"/>
      <c r="D36" s="88"/>
      <c r="E36" s="98"/>
      <c r="F36" s="87"/>
      <c r="G36" s="88"/>
      <c r="H36" s="98"/>
      <c r="I36" s="87"/>
      <c r="J36" s="88"/>
      <c r="K36" s="98"/>
      <c r="L36" s="85"/>
      <c r="M36" s="87"/>
      <c r="N36" s="88"/>
      <c r="O36" s="89"/>
    </row>
    <row r="37" spans="1:15" ht="25.5" x14ac:dyDescent="0.25">
      <c r="A37" s="90"/>
      <c r="B37" s="9" t="s">
        <v>39</v>
      </c>
      <c r="C37" s="87"/>
      <c r="D37" s="88"/>
      <c r="E37" s="98"/>
      <c r="F37" s="87"/>
      <c r="G37" s="88"/>
      <c r="H37" s="98"/>
      <c r="I37" s="87"/>
      <c r="J37" s="88"/>
      <c r="K37" s="98"/>
      <c r="L37" s="85"/>
      <c r="M37" s="87"/>
      <c r="N37" s="88"/>
      <c r="O37" s="89"/>
    </row>
    <row r="38" spans="1:15" ht="25.5" x14ac:dyDescent="0.25">
      <c r="A38" s="90"/>
      <c r="B38" s="24" t="s">
        <v>40</v>
      </c>
      <c r="C38" s="87"/>
      <c r="D38" s="88"/>
      <c r="E38" s="98"/>
      <c r="F38" s="87"/>
      <c r="G38" s="88"/>
      <c r="H38" s="98"/>
      <c r="I38" s="87"/>
      <c r="J38" s="88"/>
      <c r="K38" s="98"/>
      <c r="L38" s="86"/>
      <c r="M38" s="87"/>
      <c r="N38" s="88"/>
      <c r="O38" s="89"/>
    </row>
    <row r="39" spans="1:15" ht="76.5" x14ac:dyDescent="0.25">
      <c r="A39" s="6" t="s">
        <v>41</v>
      </c>
      <c r="B39" s="24" t="s">
        <v>42</v>
      </c>
      <c r="C39" s="17">
        <v>68500</v>
      </c>
      <c r="D39" s="14">
        <f>+C39*0.19</f>
        <v>13015</v>
      </c>
      <c r="E39" s="18">
        <f>+C39+D39</f>
        <v>81515</v>
      </c>
      <c r="F39" s="17">
        <v>90000</v>
      </c>
      <c r="G39" s="14">
        <f>0.19*F39</f>
        <v>17100</v>
      </c>
      <c r="H39" s="18">
        <f>+F39+G39</f>
        <v>107100</v>
      </c>
      <c r="I39" s="17">
        <v>48685</v>
      </c>
      <c r="J39" s="14">
        <f>0.19*I39</f>
        <v>9250.15</v>
      </c>
      <c r="K39" s="18">
        <f>+J39+I39</f>
        <v>57935.15</v>
      </c>
      <c r="L39" s="22">
        <f>+(E39/H39)-1</f>
        <v>-0.23888888888888893</v>
      </c>
      <c r="M39" s="17">
        <f>AVERAGE(C39,F39,I39)</f>
        <v>69061.666666666672</v>
      </c>
      <c r="N39" s="14">
        <f>0.19*M39</f>
        <v>13121.716666666667</v>
      </c>
      <c r="O39" s="74">
        <f>+M39+N39</f>
        <v>82183.383333333331</v>
      </c>
    </row>
    <row r="40" spans="1:15" ht="105.75" thickBot="1" x14ac:dyDescent="0.3">
      <c r="A40" s="25" t="s">
        <v>43</v>
      </c>
      <c r="B40" s="26" t="s">
        <v>44</v>
      </c>
      <c r="C40" s="19">
        <v>68500</v>
      </c>
      <c r="D40" s="20">
        <f>+C40*0.19</f>
        <v>13015</v>
      </c>
      <c r="E40" s="21">
        <f>+D40+C40</f>
        <v>81515</v>
      </c>
      <c r="F40" s="19">
        <v>90000</v>
      </c>
      <c r="G40" s="20">
        <f>0.19*F40</f>
        <v>17100</v>
      </c>
      <c r="H40" s="21">
        <f>+F40+G40</f>
        <v>107100</v>
      </c>
      <c r="I40" s="19">
        <v>48685</v>
      </c>
      <c r="J40" s="20">
        <f>0.19*I40</f>
        <v>9250.15</v>
      </c>
      <c r="K40" s="21">
        <f>+I40+J40</f>
        <v>57935.15</v>
      </c>
      <c r="L40" s="22">
        <f>+(E40/H40)-1</f>
        <v>-0.23888888888888893</v>
      </c>
      <c r="M40" s="19">
        <f>+AVERAGE(C40,F40,I40)</f>
        <v>69061.666666666672</v>
      </c>
      <c r="N40" s="20">
        <f>0.19*M40</f>
        <v>13121.716666666667</v>
      </c>
      <c r="O40" s="75">
        <f>+M40+N40</f>
        <v>82183.383333333331</v>
      </c>
    </row>
    <row r="41" spans="1:15" ht="21.75" customHeight="1" x14ac:dyDescent="0.25">
      <c r="A41" s="82" t="s">
        <v>61</v>
      </c>
      <c r="B41" s="83"/>
      <c r="C41" s="27"/>
      <c r="D41" s="27"/>
      <c r="E41" s="28">
        <f>SUM(E4:E40)</f>
        <v>1267231</v>
      </c>
      <c r="F41" s="28"/>
      <c r="G41" s="28"/>
      <c r="H41" s="28">
        <f>SUM(H4:H40)</f>
        <v>1438710</v>
      </c>
      <c r="I41" s="28"/>
      <c r="J41" s="28"/>
      <c r="K41" s="28">
        <f>SUM(K4:K40)</f>
        <v>1181174.42</v>
      </c>
      <c r="L41" s="29"/>
      <c r="M41" s="30"/>
      <c r="N41" s="31"/>
      <c r="O41" s="76">
        <f>SUM(O4:O40)</f>
        <v>1295700.56</v>
      </c>
    </row>
    <row r="1048576" spans="13:13" x14ac:dyDescent="0.25">
      <c r="M1048576">
        <f>SUM(M1:M1048575)</f>
        <v>1088823.9999999998</v>
      </c>
    </row>
  </sheetData>
  <mergeCells count="119">
    <mergeCell ref="H27:H30"/>
    <mergeCell ref="H31:H33"/>
    <mergeCell ref="H34:H38"/>
    <mergeCell ref="G34:G38"/>
    <mergeCell ref="K27:K30"/>
    <mergeCell ref="A41:B41"/>
    <mergeCell ref="L23:L26"/>
    <mergeCell ref="L27:L30"/>
    <mergeCell ref="L31:L33"/>
    <mergeCell ref="L34:L38"/>
    <mergeCell ref="A34:A38"/>
    <mergeCell ref="C23:C26"/>
    <mergeCell ref="C27:C30"/>
    <mergeCell ref="C31:C33"/>
    <mergeCell ref="C34:C38"/>
    <mergeCell ref="K31:K33"/>
    <mergeCell ref="K34:K38"/>
    <mergeCell ref="I27:I30"/>
    <mergeCell ref="I31:I33"/>
    <mergeCell ref="I34:I38"/>
    <mergeCell ref="J27:J30"/>
    <mergeCell ref="J31:J33"/>
    <mergeCell ref="J34:J38"/>
    <mergeCell ref="F27:F30"/>
    <mergeCell ref="D34:D38"/>
    <mergeCell ref="E27:E30"/>
    <mergeCell ref="E31:E33"/>
    <mergeCell ref="E34:E38"/>
    <mergeCell ref="E23:E26"/>
    <mergeCell ref="D23:D26"/>
    <mergeCell ref="D27:D30"/>
    <mergeCell ref="D31:D33"/>
    <mergeCell ref="F34:F38"/>
    <mergeCell ref="O34:O38"/>
    <mergeCell ref="M2:O2"/>
    <mergeCell ref="F2:H2"/>
    <mergeCell ref="H5:H8"/>
    <mergeCell ref="H9:H12"/>
    <mergeCell ref="H13:H16"/>
    <mergeCell ref="F17:F22"/>
    <mergeCell ref="F23:F26"/>
    <mergeCell ref="O5:O8"/>
    <mergeCell ref="O9:O12"/>
    <mergeCell ref="F5:F8"/>
    <mergeCell ref="F9:F12"/>
    <mergeCell ref="F13:F16"/>
    <mergeCell ref="O27:O30"/>
    <mergeCell ref="O31:O33"/>
    <mergeCell ref="O13:O16"/>
    <mergeCell ref="O17:O22"/>
    <mergeCell ref="O23:O26"/>
    <mergeCell ref="G5:G8"/>
    <mergeCell ref="G27:G30"/>
    <mergeCell ref="G31:G33"/>
    <mergeCell ref="F31:F33"/>
    <mergeCell ref="N5:N8"/>
    <mergeCell ref="N9:N12"/>
    <mergeCell ref="C2:E2"/>
    <mergeCell ref="D5:D8"/>
    <mergeCell ref="D9:D12"/>
    <mergeCell ref="D13:D16"/>
    <mergeCell ref="C17:C22"/>
    <mergeCell ref="C5:C8"/>
    <mergeCell ref="C9:C12"/>
    <mergeCell ref="C13:C16"/>
    <mergeCell ref="D17:D22"/>
    <mergeCell ref="E5:E8"/>
    <mergeCell ref="E9:E12"/>
    <mergeCell ref="E13:E16"/>
    <mergeCell ref="E17:E22"/>
    <mergeCell ref="A17:A22"/>
    <mergeCell ref="A2:A3"/>
    <mergeCell ref="B2:B3"/>
    <mergeCell ref="A5:A8"/>
    <mergeCell ref="A9:A12"/>
    <mergeCell ref="A13:A16"/>
    <mergeCell ref="A23:A26"/>
    <mergeCell ref="A27:A30"/>
    <mergeCell ref="A31:A33"/>
    <mergeCell ref="N13:N16"/>
    <mergeCell ref="N17:N22"/>
    <mergeCell ref="N23:N26"/>
    <mergeCell ref="N27:N30"/>
    <mergeCell ref="N31:N33"/>
    <mergeCell ref="N34:N38"/>
    <mergeCell ref="M5:M8"/>
    <mergeCell ref="M9:M12"/>
    <mergeCell ref="M13:M16"/>
    <mergeCell ref="M17:M22"/>
    <mergeCell ref="M23:M26"/>
    <mergeCell ref="M31:M33"/>
    <mergeCell ref="M34:M38"/>
    <mergeCell ref="M27:M30"/>
    <mergeCell ref="I2:K2"/>
    <mergeCell ref="I5:I8"/>
    <mergeCell ref="I9:I12"/>
    <mergeCell ref="K5:K8"/>
    <mergeCell ref="K9:K12"/>
    <mergeCell ref="J5:J8"/>
    <mergeCell ref="J9:J12"/>
    <mergeCell ref="G9:G12"/>
    <mergeCell ref="G13:G16"/>
    <mergeCell ref="I13:I16"/>
    <mergeCell ref="K13:K16"/>
    <mergeCell ref="J13:J16"/>
    <mergeCell ref="L5:L8"/>
    <mergeCell ref="L9:L12"/>
    <mergeCell ref="L13:L16"/>
    <mergeCell ref="L17:L22"/>
    <mergeCell ref="G17:G22"/>
    <mergeCell ref="G23:G26"/>
    <mergeCell ref="I17:I22"/>
    <mergeCell ref="I23:I26"/>
    <mergeCell ref="K17:K22"/>
    <mergeCell ref="K23:K26"/>
    <mergeCell ref="J17:J22"/>
    <mergeCell ref="J23:J26"/>
    <mergeCell ref="H17:H22"/>
    <mergeCell ref="H23:H26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608FE-9860-4C58-8985-64103964F76D}">
  <dimension ref="A1:Q16"/>
  <sheetViews>
    <sheetView zoomScaleNormal="100" workbookViewId="0">
      <selection activeCell="D7" sqref="D7"/>
    </sheetView>
  </sheetViews>
  <sheetFormatPr baseColWidth="10" defaultColWidth="11.42578125" defaultRowHeight="15" x14ac:dyDescent="0.25"/>
  <cols>
    <col min="1" max="1" width="25.7109375" customWidth="1"/>
    <col min="2" max="2" width="14.85546875" style="1" customWidth="1"/>
    <col min="3" max="4" width="14.5703125" bestFit="1" customWidth="1"/>
    <col min="5" max="6" width="8.7109375" style="47" bestFit="1" customWidth="1"/>
    <col min="7" max="7" width="10.85546875" style="47" bestFit="1" customWidth="1"/>
    <col min="8" max="8" width="14.5703125" style="47" bestFit="1" customWidth="1"/>
    <col min="9" max="9" width="15.5703125" style="47" bestFit="1" customWidth="1"/>
    <col min="10" max="10" width="10.28515625" bestFit="1" customWidth="1"/>
    <col min="11" max="11" width="17.140625" customWidth="1"/>
    <col min="15" max="15" width="12" bestFit="1" customWidth="1"/>
    <col min="17" max="17" width="13" bestFit="1" customWidth="1"/>
  </cols>
  <sheetData>
    <row r="1" spans="1:17" ht="15.75" thickBot="1" x14ac:dyDescent="0.3">
      <c r="E1" s="56"/>
      <c r="F1" s="56"/>
      <c r="G1" s="56"/>
      <c r="H1" s="56"/>
      <c r="I1" s="56"/>
    </row>
    <row r="2" spans="1:17" ht="24.75" customHeight="1" x14ac:dyDescent="0.25">
      <c r="A2" s="80" t="s">
        <v>0</v>
      </c>
      <c r="B2" s="79" t="s">
        <v>72</v>
      </c>
      <c r="C2" s="79"/>
      <c r="D2" s="79"/>
      <c r="E2" s="79"/>
      <c r="F2" s="79"/>
      <c r="G2" s="79"/>
      <c r="H2" s="79"/>
      <c r="I2" s="79"/>
      <c r="J2" s="59"/>
      <c r="K2" s="49"/>
      <c r="O2" s="46">
        <f>+C4+O4</f>
        <v>333232.67263574421</v>
      </c>
    </row>
    <row r="3" spans="1:17" ht="48.75" customHeight="1" x14ac:dyDescent="0.25">
      <c r="A3" s="81"/>
      <c r="B3" s="60" t="s">
        <v>64</v>
      </c>
      <c r="C3" s="60" t="s">
        <v>65</v>
      </c>
      <c r="D3" s="55" t="s">
        <v>66</v>
      </c>
      <c r="E3" s="55" t="s">
        <v>67</v>
      </c>
      <c r="F3" s="55" t="s">
        <v>68</v>
      </c>
      <c r="G3" s="55" t="s">
        <v>69</v>
      </c>
      <c r="H3" s="55" t="s">
        <v>70</v>
      </c>
      <c r="I3" s="55" t="s">
        <v>71</v>
      </c>
      <c r="J3" s="61" t="s">
        <v>5</v>
      </c>
      <c r="K3" s="50"/>
      <c r="O3" s="46">
        <f>+B4+O4</f>
        <v>258619.67263574421</v>
      </c>
    </row>
    <row r="4" spans="1:17" ht="25.5" x14ac:dyDescent="0.25">
      <c r="A4" s="62" t="s">
        <v>9</v>
      </c>
      <c r="B4" s="64">
        <v>112217</v>
      </c>
      <c r="C4" s="64">
        <v>186830</v>
      </c>
      <c r="D4" s="64">
        <v>453294</v>
      </c>
      <c r="E4" s="65">
        <f t="shared" ref="E4:E14" si="0">B4+0.25*(C4-B4)</f>
        <v>130870.25</v>
      </c>
      <c r="F4" s="65">
        <f t="shared" ref="F4:F14" si="1">C4+0.75*(D4-C4)</f>
        <v>386678</v>
      </c>
      <c r="G4" s="66">
        <f>F4-E4</f>
        <v>255807.75</v>
      </c>
      <c r="H4" s="65">
        <f>E4-1.5*G4</f>
        <v>-252841.375</v>
      </c>
      <c r="I4" s="65">
        <f>F4+1.5*G4</f>
        <v>770389.625</v>
      </c>
      <c r="J4" s="67">
        <f t="shared" ref="J4:J14" si="2">AVERAGE(B4:D4)</f>
        <v>250780.33333333334</v>
      </c>
      <c r="K4" s="51" t="e">
        <f>+J4+#REF!</f>
        <v>#REF!</v>
      </c>
      <c r="L4" s="46">
        <f>AVERAGE(B4,C4,D4)</f>
        <v>250780.33333333334</v>
      </c>
      <c r="M4" s="46">
        <f>AVERAGE(B4,C4)</f>
        <v>149523.5</v>
      </c>
      <c r="N4" s="46">
        <f>+L4-M4</f>
        <v>101256.83333333334</v>
      </c>
      <c r="O4">
        <f>_xlfn.STDEV.P(B4,C4,D4)</f>
        <v>146402.67263574421</v>
      </c>
      <c r="P4" t="s">
        <v>63</v>
      </c>
    </row>
    <row r="5" spans="1:17" ht="38.25" x14ac:dyDescent="0.25">
      <c r="A5" s="62" t="s">
        <v>11</v>
      </c>
      <c r="B5" s="65">
        <v>79485</v>
      </c>
      <c r="C5" s="65">
        <v>107100</v>
      </c>
      <c r="D5" s="65">
        <v>120547</v>
      </c>
      <c r="E5" s="65">
        <f t="shared" si="0"/>
        <v>86388.75</v>
      </c>
      <c r="F5" s="65">
        <f t="shared" si="1"/>
        <v>117185.25</v>
      </c>
      <c r="G5" s="66">
        <f t="shared" ref="G5:G12" si="3">F5-E5</f>
        <v>30796.5</v>
      </c>
      <c r="H5" s="65">
        <f t="shared" ref="H5:H12" si="4">E5-1.5*G5</f>
        <v>40194</v>
      </c>
      <c r="I5" s="65">
        <f t="shared" ref="I5:I12" si="5">F5+1.5*G5</f>
        <v>163380</v>
      </c>
      <c r="J5" s="67">
        <f t="shared" si="2"/>
        <v>102377.33333333333</v>
      </c>
      <c r="K5" s="52"/>
      <c r="Q5" s="42" t="e">
        <f>+B5-#REF!</f>
        <v>#REF!</v>
      </c>
    </row>
    <row r="6" spans="1:17" ht="51" x14ac:dyDescent="0.25">
      <c r="A6" s="62" t="s">
        <v>16</v>
      </c>
      <c r="B6" s="65">
        <v>83278</v>
      </c>
      <c r="C6" s="65">
        <v>107100</v>
      </c>
      <c r="D6" s="65">
        <v>125426</v>
      </c>
      <c r="E6" s="65">
        <f t="shared" si="0"/>
        <v>89233.5</v>
      </c>
      <c r="F6" s="65">
        <f t="shared" si="1"/>
        <v>120844.5</v>
      </c>
      <c r="G6" s="66">
        <f t="shared" si="3"/>
        <v>31611</v>
      </c>
      <c r="H6" s="65">
        <f t="shared" si="4"/>
        <v>41817</v>
      </c>
      <c r="I6" s="65">
        <f t="shared" si="5"/>
        <v>168261</v>
      </c>
      <c r="J6" s="67">
        <f t="shared" si="2"/>
        <v>105268</v>
      </c>
      <c r="K6" s="52"/>
    </row>
    <row r="7" spans="1:17" x14ac:dyDescent="0.25">
      <c r="A7" s="62" t="s">
        <v>20</v>
      </c>
      <c r="B7" s="65">
        <v>79485</v>
      </c>
      <c r="C7" s="65">
        <v>107100</v>
      </c>
      <c r="D7" s="65">
        <v>107100</v>
      </c>
      <c r="E7" s="65">
        <f t="shared" si="0"/>
        <v>86388.75</v>
      </c>
      <c r="F7" s="65">
        <f t="shared" si="1"/>
        <v>107100</v>
      </c>
      <c r="G7" s="66">
        <f t="shared" si="3"/>
        <v>20711.25</v>
      </c>
      <c r="H7" s="65">
        <f t="shared" si="4"/>
        <v>55321.875</v>
      </c>
      <c r="I7" s="65">
        <f t="shared" si="5"/>
        <v>138166.875</v>
      </c>
      <c r="J7" s="67">
        <f t="shared" si="2"/>
        <v>97895</v>
      </c>
      <c r="K7" s="52"/>
    </row>
    <row r="8" spans="1:17" x14ac:dyDescent="0.25">
      <c r="A8" s="62" t="s">
        <v>23</v>
      </c>
      <c r="B8" s="65">
        <v>83278</v>
      </c>
      <c r="C8" s="65">
        <v>107100</v>
      </c>
      <c r="D8" s="65">
        <v>157080</v>
      </c>
      <c r="E8" s="65">
        <f t="shared" si="0"/>
        <v>89233.5</v>
      </c>
      <c r="F8" s="65">
        <f t="shared" si="1"/>
        <v>144585</v>
      </c>
      <c r="G8" s="66">
        <f>F8-E8</f>
        <v>55351.5</v>
      </c>
      <c r="H8" s="65">
        <f>E8-1.5*G8</f>
        <v>6206.25</v>
      </c>
      <c r="I8" s="65">
        <f t="shared" si="5"/>
        <v>227612.25</v>
      </c>
      <c r="J8" s="67">
        <f t="shared" si="2"/>
        <v>115819.33333333333</v>
      </c>
      <c r="K8" s="52"/>
    </row>
    <row r="9" spans="1:17" ht="38.25" x14ac:dyDescent="0.25">
      <c r="A9" s="62" t="s">
        <v>28</v>
      </c>
      <c r="B9" s="65">
        <v>83278</v>
      </c>
      <c r="C9" s="65">
        <v>90678</v>
      </c>
      <c r="D9" s="65">
        <v>113050</v>
      </c>
      <c r="E9" s="65">
        <f t="shared" si="0"/>
        <v>85128</v>
      </c>
      <c r="F9" s="65">
        <f t="shared" si="1"/>
        <v>107457</v>
      </c>
      <c r="G9" s="66">
        <f t="shared" si="3"/>
        <v>22329</v>
      </c>
      <c r="H9" s="65">
        <f t="shared" si="4"/>
        <v>51634.5</v>
      </c>
      <c r="I9" s="65">
        <f t="shared" si="5"/>
        <v>140950.5</v>
      </c>
      <c r="J9" s="67">
        <f t="shared" si="2"/>
        <v>95668.666666666672</v>
      </c>
      <c r="K9" s="52"/>
    </row>
    <row r="10" spans="1:17" ht="25.5" x14ac:dyDescent="0.25">
      <c r="A10" s="62" t="s">
        <v>31</v>
      </c>
      <c r="B10" s="65">
        <v>75700</v>
      </c>
      <c r="C10" s="65">
        <v>225505</v>
      </c>
      <c r="D10" s="65">
        <v>293930</v>
      </c>
      <c r="E10" s="65">
        <f t="shared" si="0"/>
        <v>113151.25</v>
      </c>
      <c r="F10" s="65">
        <f t="shared" si="1"/>
        <v>276823.75</v>
      </c>
      <c r="G10" s="66">
        <f t="shared" si="3"/>
        <v>163672.5</v>
      </c>
      <c r="H10" s="65">
        <f t="shared" si="4"/>
        <v>-132357.5</v>
      </c>
      <c r="I10" s="65">
        <f t="shared" si="5"/>
        <v>522332.5</v>
      </c>
      <c r="J10" s="67">
        <f t="shared" si="2"/>
        <v>198378.33333333334</v>
      </c>
      <c r="K10" s="52"/>
    </row>
    <row r="11" spans="1:17" x14ac:dyDescent="0.25">
      <c r="A11" s="62" t="s">
        <v>34</v>
      </c>
      <c r="B11" s="65">
        <v>47481</v>
      </c>
      <c r="C11" s="65">
        <v>55692</v>
      </c>
      <c r="D11" s="65">
        <v>95200</v>
      </c>
      <c r="E11" s="65">
        <f t="shared" si="0"/>
        <v>49533.75</v>
      </c>
      <c r="F11" s="65">
        <f t="shared" si="1"/>
        <v>85323</v>
      </c>
      <c r="G11" s="66">
        <f t="shared" si="3"/>
        <v>35789.25</v>
      </c>
      <c r="H11" s="65">
        <f t="shared" si="4"/>
        <v>-4150.125</v>
      </c>
      <c r="I11" s="65">
        <f t="shared" si="5"/>
        <v>139006.875</v>
      </c>
      <c r="J11" s="67">
        <f t="shared" si="2"/>
        <v>66124.333333333328</v>
      </c>
      <c r="K11" s="52"/>
    </row>
    <row r="12" spans="1:17" ht="25.5" x14ac:dyDescent="0.25">
      <c r="A12" s="62" t="s">
        <v>35</v>
      </c>
      <c r="B12" s="65">
        <v>71814.12</v>
      </c>
      <c r="C12" s="65">
        <v>107100</v>
      </c>
      <c r="D12" s="65">
        <v>118167</v>
      </c>
      <c r="E12" s="65">
        <f t="shared" si="0"/>
        <v>80635.59</v>
      </c>
      <c r="F12" s="65">
        <f t="shared" si="1"/>
        <v>115400.25</v>
      </c>
      <c r="G12" s="66">
        <f t="shared" si="3"/>
        <v>34764.660000000003</v>
      </c>
      <c r="H12" s="65">
        <f t="shared" si="4"/>
        <v>28488.599999999991</v>
      </c>
      <c r="I12" s="65">
        <f t="shared" si="5"/>
        <v>167547.24</v>
      </c>
      <c r="J12" s="67">
        <f t="shared" si="2"/>
        <v>99027.04</v>
      </c>
      <c r="K12" s="52"/>
    </row>
    <row r="13" spans="1:17" ht="38.25" x14ac:dyDescent="0.25">
      <c r="A13" s="62" t="s">
        <v>41</v>
      </c>
      <c r="B13" s="65">
        <v>57935.15</v>
      </c>
      <c r="C13" s="65">
        <v>81515</v>
      </c>
      <c r="D13" s="65">
        <v>107100</v>
      </c>
      <c r="E13" s="65">
        <f t="shared" si="0"/>
        <v>63830.112500000003</v>
      </c>
      <c r="F13" s="65">
        <f t="shared" si="1"/>
        <v>100703.75</v>
      </c>
      <c r="G13" s="66">
        <f t="shared" ref="G13:G14" si="6">F13-E13</f>
        <v>36873.637499999997</v>
      </c>
      <c r="H13" s="65">
        <f t="shared" ref="H13:H14" si="7">E13-1.5*G13</f>
        <v>8519.6562500000073</v>
      </c>
      <c r="I13" s="65">
        <f t="shared" ref="I13:I14" si="8">F13+1.5*G13</f>
        <v>156014.20624999999</v>
      </c>
      <c r="J13" s="67">
        <f t="shared" si="2"/>
        <v>82183.383333333331</v>
      </c>
      <c r="K13" s="53"/>
    </row>
    <row r="14" spans="1:17" ht="15.75" thickBot="1" x14ac:dyDescent="0.3">
      <c r="A14" s="63" t="s">
        <v>43</v>
      </c>
      <c r="B14" s="68">
        <v>57935.15</v>
      </c>
      <c r="C14" s="68">
        <v>81515</v>
      </c>
      <c r="D14" s="68">
        <v>107100</v>
      </c>
      <c r="E14" s="68">
        <f t="shared" si="0"/>
        <v>63830.112500000003</v>
      </c>
      <c r="F14" s="68">
        <f t="shared" si="1"/>
        <v>100703.75</v>
      </c>
      <c r="G14" s="69">
        <f t="shared" si="6"/>
        <v>36873.637499999997</v>
      </c>
      <c r="H14" s="68">
        <f t="shared" si="7"/>
        <v>8519.6562500000073</v>
      </c>
      <c r="I14" s="68">
        <f t="shared" si="8"/>
        <v>156014.20624999999</v>
      </c>
      <c r="J14" s="70">
        <f t="shared" si="2"/>
        <v>82183.383333333331</v>
      </c>
      <c r="K14" s="53"/>
    </row>
    <row r="15" spans="1:17" ht="21.75" customHeight="1" x14ac:dyDescent="0.25">
      <c r="A15" s="57" t="s">
        <v>61</v>
      </c>
      <c r="B15" s="28">
        <v>1267231</v>
      </c>
      <c r="C15" s="28">
        <v>1438710</v>
      </c>
      <c r="D15" s="28">
        <v>1181174.42</v>
      </c>
      <c r="E15" s="58"/>
      <c r="F15" s="58"/>
      <c r="G15" s="58"/>
      <c r="H15" s="58"/>
      <c r="I15" s="58"/>
      <c r="J15" s="54"/>
      <c r="K15" s="54"/>
    </row>
    <row r="16" spans="1:17" x14ac:dyDescent="0.25">
      <c r="E16" s="48"/>
      <c r="F16" s="48"/>
      <c r="G16" s="48"/>
      <c r="H16" s="48"/>
      <c r="I16" s="48"/>
      <c r="J16" s="53"/>
      <c r="K16" s="53"/>
    </row>
  </sheetData>
  <sortState xmlns:xlrd2="http://schemas.microsoft.com/office/spreadsheetml/2017/richdata2" columnSort="1" ref="B12:D12">
    <sortCondition ref="B12:D12"/>
  </sortState>
  <mergeCells count="2">
    <mergeCell ref="B2:I2"/>
    <mergeCell ref="A2:A3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EEA38-A0F7-4E17-B030-AE23562DAF7D}">
  <dimension ref="A1:I1048576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30" sqref="H1:H30"/>
    </sheetView>
  </sheetViews>
  <sheetFormatPr baseColWidth="10" defaultColWidth="11.42578125" defaultRowHeight="15" x14ac:dyDescent="0.25"/>
  <cols>
    <col min="1" max="1" width="15.140625" customWidth="1"/>
    <col min="2" max="2" width="17.42578125" customWidth="1"/>
    <col min="3" max="3" width="13.140625" hidden="1" customWidth="1"/>
    <col min="4" max="4" width="16.28515625" customWidth="1"/>
    <col min="5" max="5" width="16" bestFit="1" customWidth="1"/>
    <col min="6" max="6" width="17.42578125" style="71" bestFit="1" customWidth="1"/>
  </cols>
  <sheetData>
    <row r="1" spans="1:9" ht="15.75" thickBot="1" x14ac:dyDescent="0.3"/>
    <row r="2" spans="1:9" ht="24.75" customHeight="1" x14ac:dyDescent="0.25">
      <c r="A2" s="92" t="s">
        <v>0</v>
      </c>
      <c r="B2" s="94" t="s">
        <v>1</v>
      </c>
      <c r="C2" s="37" t="s">
        <v>62</v>
      </c>
      <c r="D2" s="92" t="s">
        <v>5</v>
      </c>
      <c r="E2" s="96"/>
      <c r="F2" s="97"/>
    </row>
    <row r="3" spans="1:9" ht="48.75" customHeight="1" thickBot="1" x14ac:dyDescent="0.3">
      <c r="A3" s="93"/>
      <c r="B3" s="95"/>
      <c r="C3" s="41"/>
      <c r="D3" s="38" t="s">
        <v>6</v>
      </c>
      <c r="E3" s="40" t="s">
        <v>7</v>
      </c>
      <c r="F3" s="72" t="s">
        <v>8</v>
      </c>
    </row>
    <row r="4" spans="1:9" ht="38.25" x14ac:dyDescent="0.25">
      <c r="A4" s="32" t="s">
        <v>9</v>
      </c>
      <c r="B4" s="33" t="s">
        <v>10</v>
      </c>
      <c r="C4" s="36" t="e">
        <f>+(#REF!/#REF!)-1</f>
        <v>#REF!</v>
      </c>
      <c r="D4" s="34">
        <v>210740</v>
      </c>
      <c r="E4" s="15">
        <v>40040.6</v>
      </c>
      <c r="F4" s="73">
        <v>250780.6</v>
      </c>
      <c r="G4" s="46"/>
      <c r="H4" s="46"/>
      <c r="I4" s="46"/>
    </row>
    <row r="5" spans="1:9" ht="25.5" x14ac:dyDescent="0.25">
      <c r="A5" s="91" t="s">
        <v>11</v>
      </c>
      <c r="B5" s="23" t="s">
        <v>12</v>
      </c>
      <c r="C5" s="84" t="e">
        <f>+(#REF!/#REF!)-1</f>
        <v>#REF!</v>
      </c>
      <c r="D5" s="87">
        <v>86033.333333333328</v>
      </c>
      <c r="E5" s="88">
        <v>16346.333333333332</v>
      </c>
      <c r="F5" s="89">
        <v>102379.66666666666</v>
      </c>
    </row>
    <row r="6" spans="1:9" ht="25.5" x14ac:dyDescent="0.25">
      <c r="A6" s="91"/>
      <c r="B6" s="23" t="s">
        <v>13</v>
      </c>
      <c r="C6" s="85"/>
      <c r="D6" s="87"/>
      <c r="E6" s="88"/>
      <c r="F6" s="89"/>
      <c r="G6" s="46"/>
      <c r="H6" s="46"/>
      <c r="I6" s="46"/>
    </row>
    <row r="7" spans="1:9" ht="25.5" x14ac:dyDescent="0.25">
      <c r="A7" s="91"/>
      <c r="B7" s="23" t="s">
        <v>14</v>
      </c>
      <c r="C7" s="85"/>
      <c r="D7" s="87"/>
      <c r="E7" s="88"/>
      <c r="F7" s="89"/>
    </row>
    <row r="8" spans="1:9" ht="25.5" x14ac:dyDescent="0.25">
      <c r="A8" s="91"/>
      <c r="B8" s="23" t="s">
        <v>15</v>
      </c>
      <c r="C8" s="86"/>
      <c r="D8" s="87"/>
      <c r="E8" s="88"/>
      <c r="F8" s="89"/>
    </row>
    <row r="9" spans="1:9" ht="25.5" x14ac:dyDescent="0.25">
      <c r="A9" s="91" t="s">
        <v>16</v>
      </c>
      <c r="B9" s="23" t="s">
        <v>17</v>
      </c>
      <c r="C9" s="84" t="e">
        <f>+(#REF!/#REF!)-1</f>
        <v>#REF!</v>
      </c>
      <c r="D9" s="87">
        <v>88459.333333333328</v>
      </c>
      <c r="E9" s="88">
        <v>16807.273333333331</v>
      </c>
      <c r="F9" s="89">
        <v>105266.60666666666</v>
      </c>
    </row>
    <row r="10" spans="1:9" ht="25.5" x14ac:dyDescent="0.25">
      <c r="A10" s="91"/>
      <c r="B10" s="23" t="s">
        <v>18</v>
      </c>
      <c r="C10" s="85"/>
      <c r="D10" s="87"/>
      <c r="E10" s="88"/>
      <c r="F10" s="89"/>
      <c r="I10" s="46"/>
    </row>
    <row r="11" spans="1:9" ht="25.5" x14ac:dyDescent="0.25">
      <c r="A11" s="91"/>
      <c r="B11" s="23" t="s">
        <v>14</v>
      </c>
      <c r="C11" s="85"/>
      <c r="D11" s="87"/>
      <c r="E11" s="88"/>
      <c r="F11" s="89"/>
    </row>
    <row r="12" spans="1:9" ht="38.25" x14ac:dyDescent="0.25">
      <c r="A12" s="91"/>
      <c r="B12" s="23" t="s">
        <v>19</v>
      </c>
      <c r="C12" s="86"/>
      <c r="D12" s="87"/>
      <c r="E12" s="88"/>
      <c r="F12" s="89"/>
    </row>
    <row r="13" spans="1:9" ht="25.5" x14ac:dyDescent="0.25">
      <c r="A13" s="91" t="s">
        <v>20</v>
      </c>
      <c r="B13" s="23" t="s">
        <v>12</v>
      </c>
      <c r="C13" s="84" t="e">
        <f>+(#REF!/#REF!)-1</f>
        <v>#REF!</v>
      </c>
      <c r="D13" s="87">
        <v>82266.666666666672</v>
      </c>
      <c r="E13" s="88">
        <v>15630.666666666668</v>
      </c>
      <c r="F13" s="89">
        <v>97897.333333333343</v>
      </c>
    </row>
    <row r="14" spans="1:9" ht="25.5" x14ac:dyDescent="0.25">
      <c r="A14" s="91"/>
      <c r="B14" s="23" t="s">
        <v>21</v>
      </c>
      <c r="C14" s="85"/>
      <c r="D14" s="87"/>
      <c r="E14" s="88"/>
      <c r="F14" s="89"/>
      <c r="I14" s="46"/>
    </row>
    <row r="15" spans="1:9" ht="25.5" x14ac:dyDescent="0.25">
      <c r="A15" s="91"/>
      <c r="B15" s="23" t="s">
        <v>14</v>
      </c>
      <c r="C15" s="85"/>
      <c r="D15" s="87"/>
      <c r="E15" s="88"/>
      <c r="F15" s="89"/>
    </row>
    <row r="16" spans="1:9" ht="38.25" x14ac:dyDescent="0.25">
      <c r="A16" s="91"/>
      <c r="B16" s="23" t="s">
        <v>22</v>
      </c>
      <c r="C16" s="86"/>
      <c r="D16" s="87"/>
      <c r="E16" s="88"/>
      <c r="F16" s="89"/>
    </row>
    <row r="17" spans="1:9" ht="25.5" x14ac:dyDescent="0.25">
      <c r="A17" s="91" t="s">
        <v>23</v>
      </c>
      <c r="B17" s="23" t="s">
        <v>12</v>
      </c>
      <c r="C17" s="84">
        <v>0.12555555555555564</v>
      </c>
      <c r="D17" s="87">
        <v>97326</v>
      </c>
      <c r="E17" s="88">
        <v>18491.939999999999</v>
      </c>
      <c r="F17" s="89">
        <v>115817.94</v>
      </c>
    </row>
    <row r="18" spans="1:9" ht="25.5" x14ac:dyDescent="0.25">
      <c r="A18" s="91"/>
      <c r="B18" s="23" t="s">
        <v>24</v>
      </c>
      <c r="C18" s="85"/>
      <c r="D18" s="87"/>
      <c r="E18" s="88"/>
      <c r="F18" s="89"/>
      <c r="I18" s="46"/>
    </row>
    <row r="19" spans="1:9" ht="25.5" x14ac:dyDescent="0.25">
      <c r="A19" s="91"/>
      <c r="B19" s="23" t="s">
        <v>25</v>
      </c>
      <c r="C19" s="85"/>
      <c r="D19" s="87"/>
      <c r="E19" s="88"/>
      <c r="F19" s="89"/>
    </row>
    <row r="20" spans="1:9" ht="25.5" x14ac:dyDescent="0.25">
      <c r="A20" s="91"/>
      <c r="B20" s="23" t="s">
        <v>14</v>
      </c>
      <c r="C20" s="85"/>
      <c r="D20" s="87"/>
      <c r="E20" s="88"/>
      <c r="F20" s="89"/>
    </row>
    <row r="21" spans="1:9" ht="25.5" x14ac:dyDescent="0.25">
      <c r="A21" s="91"/>
      <c r="B21" s="23" t="s">
        <v>26</v>
      </c>
      <c r="C21" s="85"/>
      <c r="D21" s="87"/>
      <c r="E21" s="88"/>
      <c r="F21" s="89"/>
    </row>
    <row r="22" spans="1:9" ht="25.5" x14ac:dyDescent="0.25">
      <c r="A22" s="91"/>
      <c r="B22" s="23" t="s">
        <v>27</v>
      </c>
      <c r="C22" s="86"/>
      <c r="D22" s="87"/>
      <c r="E22" s="88"/>
      <c r="F22" s="89"/>
    </row>
    <row r="23" spans="1:9" ht="25.5" x14ac:dyDescent="0.25">
      <c r="A23" s="91" t="s">
        <v>28</v>
      </c>
      <c r="B23" s="23" t="s">
        <v>12</v>
      </c>
      <c r="C23" s="84" t="e">
        <f>+(#REF!/#REF!)-1</f>
        <v>#REF!</v>
      </c>
      <c r="D23" s="87">
        <v>80392.666666666672</v>
      </c>
      <c r="E23" s="88">
        <v>15274.606666666668</v>
      </c>
      <c r="F23" s="89">
        <v>95667.273333333345</v>
      </c>
    </row>
    <row r="24" spans="1:9" ht="38.25" x14ac:dyDescent="0.25">
      <c r="A24" s="91"/>
      <c r="B24" s="23" t="s">
        <v>29</v>
      </c>
      <c r="C24" s="85"/>
      <c r="D24" s="87"/>
      <c r="E24" s="88"/>
      <c r="F24" s="89"/>
      <c r="I24" s="46"/>
    </row>
    <row r="25" spans="1:9" ht="25.5" x14ac:dyDescent="0.25">
      <c r="A25" s="91"/>
      <c r="B25" s="23" t="s">
        <v>14</v>
      </c>
      <c r="C25" s="85"/>
      <c r="D25" s="87"/>
      <c r="E25" s="88"/>
      <c r="F25" s="89"/>
    </row>
    <row r="26" spans="1:9" ht="51" x14ac:dyDescent="0.25">
      <c r="A26" s="91"/>
      <c r="B26" s="23" t="s">
        <v>30</v>
      </c>
      <c r="C26" s="86"/>
      <c r="D26" s="87"/>
      <c r="E26" s="88"/>
      <c r="F26" s="89"/>
    </row>
    <row r="27" spans="1:9" ht="25.5" x14ac:dyDescent="0.25">
      <c r="A27" s="91" t="s">
        <v>31</v>
      </c>
      <c r="B27" s="23" t="s">
        <v>12</v>
      </c>
      <c r="C27" s="84" t="e">
        <f>+(#REF!/#REF!)-1</f>
        <v>#REF!</v>
      </c>
      <c r="D27" s="87">
        <v>166700</v>
      </c>
      <c r="E27" s="88">
        <v>31673</v>
      </c>
      <c r="F27" s="89">
        <v>198373</v>
      </c>
    </row>
    <row r="28" spans="1:9" ht="25.5" x14ac:dyDescent="0.25">
      <c r="A28" s="91"/>
      <c r="B28" s="23" t="s">
        <v>32</v>
      </c>
      <c r="C28" s="85"/>
      <c r="D28" s="87"/>
      <c r="E28" s="88"/>
      <c r="F28" s="89"/>
      <c r="I28" s="46"/>
    </row>
    <row r="29" spans="1:9" ht="25.5" x14ac:dyDescent="0.25">
      <c r="A29" s="91"/>
      <c r="B29" s="23" t="s">
        <v>14</v>
      </c>
      <c r="C29" s="85"/>
      <c r="D29" s="87"/>
      <c r="E29" s="88"/>
      <c r="F29" s="89"/>
    </row>
    <row r="30" spans="1:9" ht="38.25" x14ac:dyDescent="0.25">
      <c r="A30" s="91"/>
      <c r="B30" s="23" t="s">
        <v>33</v>
      </c>
      <c r="C30" s="86"/>
      <c r="D30" s="87"/>
      <c r="E30" s="88"/>
      <c r="F30" s="89"/>
    </row>
    <row r="31" spans="1:9" ht="25.5" x14ac:dyDescent="0.25">
      <c r="A31" s="91" t="s">
        <v>34</v>
      </c>
      <c r="B31" s="23" t="s">
        <v>24</v>
      </c>
      <c r="C31" s="84">
        <v>0.12555555555555564</v>
      </c>
      <c r="D31" s="87">
        <v>55566.666666666664</v>
      </c>
      <c r="E31" s="88">
        <v>10557.666666666666</v>
      </c>
      <c r="F31" s="89">
        <v>66124.333333333328</v>
      </c>
    </row>
    <row r="32" spans="1:9" ht="25.5" x14ac:dyDescent="0.25">
      <c r="A32" s="91"/>
      <c r="B32" s="23" t="s">
        <v>18</v>
      </c>
      <c r="C32" s="85"/>
      <c r="D32" s="87"/>
      <c r="E32" s="88"/>
      <c r="F32" s="89"/>
      <c r="I32" s="46"/>
    </row>
    <row r="33" spans="1:9" ht="25.5" x14ac:dyDescent="0.25">
      <c r="A33" s="91"/>
      <c r="B33" s="23" t="s">
        <v>14</v>
      </c>
      <c r="C33" s="86"/>
      <c r="D33" s="87"/>
      <c r="E33" s="88"/>
      <c r="F33" s="89"/>
    </row>
    <row r="34" spans="1:9" ht="38.25" x14ac:dyDescent="0.25">
      <c r="A34" s="90" t="s">
        <v>35</v>
      </c>
      <c r="B34" s="9" t="s">
        <v>36</v>
      </c>
      <c r="C34" s="84">
        <v>0.12555555555555564</v>
      </c>
      <c r="D34" s="87">
        <v>83216</v>
      </c>
      <c r="E34" s="88">
        <v>15811.04</v>
      </c>
      <c r="F34" s="89">
        <v>99027.040000000008</v>
      </c>
    </row>
    <row r="35" spans="1:9" ht="25.5" x14ac:dyDescent="0.25">
      <c r="A35" s="90"/>
      <c r="B35" s="9" t="s">
        <v>37</v>
      </c>
      <c r="C35" s="85"/>
      <c r="D35" s="87"/>
      <c r="E35" s="88"/>
      <c r="F35" s="89"/>
      <c r="I35" s="46"/>
    </row>
    <row r="36" spans="1:9" ht="25.5" x14ac:dyDescent="0.25">
      <c r="A36" s="90"/>
      <c r="B36" s="9" t="s">
        <v>38</v>
      </c>
      <c r="C36" s="85"/>
      <c r="D36" s="87"/>
      <c r="E36" s="88"/>
      <c r="F36" s="89"/>
    </row>
    <row r="37" spans="1:9" ht="25.5" x14ac:dyDescent="0.25">
      <c r="A37" s="90"/>
      <c r="B37" s="9" t="s">
        <v>39</v>
      </c>
      <c r="C37" s="85"/>
      <c r="D37" s="87"/>
      <c r="E37" s="88"/>
      <c r="F37" s="89"/>
    </row>
    <row r="38" spans="1:9" ht="25.5" x14ac:dyDescent="0.25">
      <c r="A38" s="90"/>
      <c r="B38" s="24" t="s">
        <v>40</v>
      </c>
      <c r="C38" s="86"/>
      <c r="D38" s="87"/>
      <c r="E38" s="88"/>
      <c r="F38" s="89"/>
    </row>
    <row r="39" spans="1:9" ht="76.5" x14ac:dyDescent="0.25">
      <c r="A39" s="6" t="s">
        <v>41</v>
      </c>
      <c r="B39" s="24" t="s">
        <v>42</v>
      </c>
      <c r="C39" s="22" t="e">
        <f>+(#REF!/#REF!)-1</f>
        <v>#REF!</v>
      </c>
      <c r="D39" s="17">
        <v>69061.666666666672</v>
      </c>
      <c r="E39" s="14">
        <v>13121.716666666667</v>
      </c>
      <c r="F39" s="74">
        <v>82183.383333333331</v>
      </c>
    </row>
    <row r="40" spans="1:9" ht="105.75" thickBot="1" x14ac:dyDescent="0.3">
      <c r="A40" s="25" t="s">
        <v>43</v>
      </c>
      <c r="B40" s="26" t="s">
        <v>44</v>
      </c>
      <c r="C40" s="22" t="e">
        <f>+(#REF!/#REF!)-1</f>
        <v>#REF!</v>
      </c>
      <c r="D40" s="19">
        <v>69061.666666666672</v>
      </c>
      <c r="E40" s="20">
        <v>13121.716666666667</v>
      </c>
      <c r="F40" s="75">
        <v>82183.383333333331</v>
      </c>
    </row>
    <row r="41" spans="1:9" ht="21.75" customHeight="1" x14ac:dyDescent="0.25">
      <c r="A41" s="82" t="s">
        <v>61</v>
      </c>
      <c r="B41" s="83"/>
      <c r="C41" s="29"/>
      <c r="D41" s="76">
        <f>SUM(D4:D40)</f>
        <v>1088823.9999999998</v>
      </c>
      <c r="E41" s="76">
        <f>SUM(E4:E40)</f>
        <v>206876.56000000003</v>
      </c>
      <c r="F41" s="76">
        <f>SUM(F4:F40)</f>
        <v>1295700.56</v>
      </c>
    </row>
    <row r="42" spans="1:9" x14ac:dyDescent="0.25">
      <c r="C42" s="16"/>
      <c r="D42" s="2"/>
      <c r="F42" s="77">
        <v>951405</v>
      </c>
    </row>
    <row r="43" spans="1:9" x14ac:dyDescent="0.25">
      <c r="D43" s="2"/>
    </row>
    <row r="44" spans="1:9" x14ac:dyDescent="0.25">
      <c r="F44" s="78">
        <f>+(F42/F41)-1</f>
        <v>-0.26572154912088641</v>
      </c>
    </row>
    <row r="47" spans="1:9" x14ac:dyDescent="0.25">
      <c r="D47">
        <v>951405</v>
      </c>
      <c r="E47" s="43">
        <v>1.23E-2</v>
      </c>
      <c r="F47" s="71">
        <f>+D47*E47</f>
        <v>11702.281500000001</v>
      </c>
    </row>
    <row r="49" spans="6:6" x14ac:dyDescent="0.25">
      <c r="F49" s="78">
        <f>+F41-F42</f>
        <v>344295.56000000006</v>
      </c>
    </row>
    <row r="51" spans="6:6" x14ac:dyDescent="0.25">
      <c r="F51" s="78">
        <f>+F49/F42</f>
        <v>0.3618811757348343</v>
      </c>
    </row>
    <row r="1048576" spans="4:4" x14ac:dyDescent="0.25">
      <c r="D1048576">
        <f>SUM(D1:D1048575)</f>
        <v>3129052.9999999995</v>
      </c>
    </row>
  </sheetData>
  <mergeCells count="44">
    <mergeCell ref="A9:A12"/>
    <mergeCell ref="C5:C8"/>
    <mergeCell ref="D5:D8"/>
    <mergeCell ref="A5:A8"/>
    <mergeCell ref="A2:A3"/>
    <mergeCell ref="B2:B3"/>
    <mergeCell ref="D2:F2"/>
    <mergeCell ref="C9:C12"/>
    <mergeCell ref="D9:D12"/>
    <mergeCell ref="E9:E12"/>
    <mergeCell ref="F9:F12"/>
    <mergeCell ref="E5:E8"/>
    <mergeCell ref="F5:F8"/>
    <mergeCell ref="E17:E22"/>
    <mergeCell ref="F17:F22"/>
    <mergeCell ref="E13:E16"/>
    <mergeCell ref="F13:F16"/>
    <mergeCell ref="A17:A22"/>
    <mergeCell ref="C13:C16"/>
    <mergeCell ref="D13:D16"/>
    <mergeCell ref="A13:A16"/>
    <mergeCell ref="A27:A30"/>
    <mergeCell ref="C23:C26"/>
    <mergeCell ref="D23:D26"/>
    <mergeCell ref="A23:A26"/>
    <mergeCell ref="C17:C22"/>
    <mergeCell ref="D17:D22"/>
    <mergeCell ref="C27:C30"/>
    <mergeCell ref="D27:D30"/>
    <mergeCell ref="E27:E30"/>
    <mergeCell ref="F27:F30"/>
    <mergeCell ref="E23:E26"/>
    <mergeCell ref="F23:F26"/>
    <mergeCell ref="E31:E33"/>
    <mergeCell ref="F31:F33"/>
    <mergeCell ref="A34:A38"/>
    <mergeCell ref="C31:C33"/>
    <mergeCell ref="D31:D33"/>
    <mergeCell ref="A31:A33"/>
    <mergeCell ref="A41:B41"/>
    <mergeCell ref="C34:C38"/>
    <mergeCell ref="D34:D38"/>
    <mergeCell ref="E34:E38"/>
    <mergeCell ref="F34:F38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A9286-06B9-405A-9BC8-18F1F8C41549}">
  <dimension ref="A1:C1"/>
  <sheetViews>
    <sheetView workbookViewId="0">
      <selection activeCell="I13" sqref="B1:I13"/>
    </sheetView>
  </sheetViews>
  <sheetFormatPr baseColWidth="10" defaultRowHeight="15" x14ac:dyDescent="0.25"/>
  <sheetData>
    <row r="1" spans="1:3" x14ac:dyDescent="0.25">
      <c r="A1" t="s">
        <v>64</v>
      </c>
      <c r="B1" t="s">
        <v>65</v>
      </c>
      <c r="C1" t="s">
        <v>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F859B-7A19-40A6-8F42-7EFB3158581B}">
  <dimension ref="B1:E6"/>
  <sheetViews>
    <sheetView workbookViewId="0">
      <selection activeCell="H11" sqref="H1:H11"/>
    </sheetView>
  </sheetViews>
  <sheetFormatPr baseColWidth="10" defaultColWidth="11.42578125" defaultRowHeight="15" x14ac:dyDescent="0.25"/>
  <cols>
    <col min="2" max="2" width="17.28515625" customWidth="1"/>
    <col min="3" max="3" width="30.7109375" customWidth="1"/>
    <col min="4" max="4" width="23.28515625" customWidth="1"/>
    <col min="5" max="5" width="35.5703125" customWidth="1"/>
  </cols>
  <sheetData>
    <row r="1" spans="2:5" ht="15.75" thickBot="1" x14ac:dyDescent="0.3"/>
    <row r="2" spans="2:5" ht="26.25" thickBot="1" x14ac:dyDescent="0.3">
      <c r="B2" s="3" t="s">
        <v>45</v>
      </c>
      <c r="C2" s="4" t="s">
        <v>46</v>
      </c>
      <c r="D2" s="4" t="s">
        <v>47</v>
      </c>
      <c r="E2" s="5" t="s">
        <v>48</v>
      </c>
    </row>
    <row r="3" spans="2:5" x14ac:dyDescent="0.25">
      <c r="B3" s="6" t="s">
        <v>49</v>
      </c>
      <c r="C3" s="7" t="s">
        <v>50</v>
      </c>
      <c r="D3" s="8">
        <v>45716</v>
      </c>
      <c r="E3" s="9" t="s">
        <v>51</v>
      </c>
    </row>
    <row r="4" spans="2:5" ht="25.5" x14ac:dyDescent="0.25">
      <c r="B4" s="6" t="s">
        <v>52</v>
      </c>
      <c r="C4" s="7" t="s">
        <v>53</v>
      </c>
      <c r="D4" s="8">
        <v>45716</v>
      </c>
      <c r="E4" s="9" t="s">
        <v>54</v>
      </c>
    </row>
    <row r="5" spans="2:5" x14ac:dyDescent="0.25">
      <c r="B5" s="6" t="s">
        <v>55</v>
      </c>
      <c r="C5" s="7" t="s">
        <v>56</v>
      </c>
      <c r="D5" s="8">
        <v>45714</v>
      </c>
      <c r="E5" s="9" t="s">
        <v>60</v>
      </c>
    </row>
    <row r="6" spans="2:5" ht="26.25" thickBot="1" x14ac:dyDescent="0.3">
      <c r="B6" s="10" t="s">
        <v>57</v>
      </c>
      <c r="C6" s="11" t="s">
        <v>58</v>
      </c>
      <c r="D6" s="12">
        <v>45716</v>
      </c>
      <c r="E6" s="13" t="s">
        <v>59</v>
      </c>
    </row>
  </sheetData>
  <hyperlinks>
    <hyperlink ref="C4" r:id="rId1" display="mailto:microambiental@hotmail.com" xr:uid="{4E826888-F3F9-4B75-8A92-05D71A62AF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ESTUDIO ECONOMICO 2025</vt:lpstr>
      <vt:lpstr>identificacion de datos atipico</vt:lpstr>
      <vt:lpstr>ESTUDIO ECONOMICO total</vt:lpstr>
      <vt:lpstr>Hoja1</vt:lpstr>
      <vt:lpstr>PROVEEDORES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Tania Zuleima Izquierdo Sinisterra</dc:creator>
  <cp:keywords/>
  <dc:description/>
  <cp:lastModifiedBy>Aldo Ferney Gonzalez Sanchez</cp:lastModifiedBy>
  <cp:revision/>
  <cp:lastPrinted>2025-07-02T20:18:11Z</cp:lastPrinted>
  <dcterms:created xsi:type="dcterms:W3CDTF">2015-01-19T21:30:15Z</dcterms:created>
  <dcterms:modified xsi:type="dcterms:W3CDTF">2025-07-04T14:56:23Z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dd2d6d-4b00-43ff-82f7-780af7893f3e_Enabled">
    <vt:lpwstr>true</vt:lpwstr>
  </property>
  <property fmtid="{D5CDD505-2E9C-101B-9397-08002B2CF9AE}" pid="3" name="MSIP_Label_ccdd2d6d-4b00-43ff-82f7-780af7893f3e_SetDate">
    <vt:lpwstr>2025-03-03T05:29:24Z</vt:lpwstr>
  </property>
  <property fmtid="{D5CDD505-2E9C-101B-9397-08002B2CF9AE}" pid="4" name="MSIP_Label_ccdd2d6d-4b00-43ff-82f7-780af7893f3e_Method">
    <vt:lpwstr>Privileged</vt:lpwstr>
  </property>
  <property fmtid="{D5CDD505-2E9C-101B-9397-08002B2CF9AE}" pid="5" name="MSIP_Label_ccdd2d6d-4b00-43ff-82f7-780af7893f3e_Name">
    <vt:lpwstr>Clasificada</vt:lpwstr>
  </property>
  <property fmtid="{D5CDD505-2E9C-101B-9397-08002B2CF9AE}" pid="6" name="MSIP_Label_ccdd2d6d-4b00-43ff-82f7-780af7893f3e_SiteId">
    <vt:lpwstr>fab26e5a-737a-4438-8ccd-8e465ecf21d8</vt:lpwstr>
  </property>
  <property fmtid="{D5CDD505-2E9C-101B-9397-08002B2CF9AE}" pid="7" name="MSIP_Label_ccdd2d6d-4b00-43ff-82f7-780af7893f3e_ActionId">
    <vt:lpwstr>9afdcfeb-d427-4e6d-bdf9-2adef046d2a0</vt:lpwstr>
  </property>
  <property fmtid="{D5CDD505-2E9C-101B-9397-08002B2CF9AE}" pid="8" name="MSIP_Label_ccdd2d6d-4b00-43ff-82f7-780af7893f3e_ContentBits">
    <vt:lpwstr>2</vt:lpwstr>
  </property>
</Properties>
</file>