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 defaultThemeVersion="124226"/>
  <xr:revisionPtr revIDLastSave="0" documentId="13_ncr:1_{8B052C06-4E4E-4634-A7E3-4E91E574983A}" xr6:coauthVersionLast="47" xr6:coauthVersionMax="47" xr10:uidLastSave="{00000000-0000-0000-0000-000000000000}"/>
  <bookViews>
    <workbookView xWindow="-110" yWindow="-110" windowWidth="19420" windowHeight="10300" tabRatio="669" firstSheet="1" activeTab="7" xr2:uid="{00000000-000D-0000-FFFF-FFFF00000000}"/>
  </bookViews>
  <sheets>
    <sheet name="obra" sheetId="1" r:id="rId1"/>
    <sheet name="desglose AUI" sheetId="2" r:id="rId2"/>
    <sheet name="APU 1.1" sheetId="3" r:id="rId3"/>
    <sheet name="APU 2.1" sheetId="4" r:id="rId4"/>
    <sheet name="APU 2.2" sheetId="5" r:id="rId5"/>
    <sheet name="equipos y jornales" sheetId="6" r:id="rId6"/>
    <sheet name="materiales" sheetId="7" r:id="rId7"/>
    <sheet name="analisis de prestaciones" sheetId="8" r:id="rId8"/>
  </sheets>
  <definedNames>
    <definedName name="_xlnm.Print_Area" localSheetId="7">'analisis de prestaciones'!$B$2:$G$24</definedName>
    <definedName name="_xlnm.Print_Area" localSheetId="2">'APU 1.1'!$B$1:$H$34</definedName>
    <definedName name="_xlnm.Print_Area" localSheetId="3">'APU 2.1'!$B$1:$H$29</definedName>
    <definedName name="_xlnm.Print_Area" localSheetId="4">'APU 2.2'!$B$1:$H$29</definedName>
    <definedName name="_xlnm.Print_Area" localSheetId="1">'desglose AUI'!$B$2:$D$34</definedName>
    <definedName name="_xlnm.Print_Area" localSheetId="5">'equipos y jornales'!$B$2:$J$27</definedName>
    <definedName name="_xlnm.Print_Area" localSheetId="6">materiales!$B$2:$N$6</definedName>
    <definedName name="_xlnm.Print_Area" localSheetId="0">obra!$B$2:$G$26</definedName>
  </definedNames>
  <calcPr calcId="191029"/>
</workbook>
</file>

<file path=xl/calcChain.xml><?xml version="1.0" encoding="utf-8"?>
<calcChain xmlns="http://schemas.openxmlformats.org/spreadsheetml/2006/main">
  <c r="E8" i="1" l="1"/>
  <c r="E11" i="1" l="1"/>
  <c r="G24" i="8" l="1"/>
  <c r="G25" i="8" s="1"/>
  <c r="D24" i="8"/>
  <c r="D25" i="8" s="1"/>
  <c r="M6" i="7"/>
  <c r="H6" i="7"/>
  <c r="N6" i="7" s="1"/>
  <c r="M5" i="7"/>
  <c r="I5" i="7"/>
  <c r="H5" i="7"/>
  <c r="N5" i="7" s="1"/>
  <c r="D4" i="7"/>
  <c r="N4" i="7" s="1"/>
  <c r="E27" i="6"/>
  <c r="E25" i="6"/>
  <c r="E26" i="6" s="1"/>
  <c r="E24" i="6"/>
  <c r="F23" i="6"/>
  <c r="H19" i="6"/>
  <c r="E19" i="6"/>
  <c r="H18" i="6"/>
  <c r="E18" i="6"/>
  <c r="G18" i="6" s="1"/>
  <c r="H17" i="6"/>
  <c r="H16" i="6"/>
  <c r="E16" i="6"/>
  <c r="E17" i="6" s="1"/>
  <c r="G15" i="6"/>
  <c r="F15" i="6"/>
  <c r="F10" i="6"/>
  <c r="E10" i="6"/>
  <c r="D10" i="6"/>
  <c r="J10" i="6" s="1"/>
  <c r="H7" i="6"/>
  <c r="F7" i="6"/>
  <c r="E6" i="6"/>
  <c r="D6" i="6"/>
  <c r="H5" i="6"/>
  <c r="F5" i="6"/>
  <c r="F4" i="6"/>
  <c r="J4" i="6" s="1"/>
  <c r="G19" i="6" l="1"/>
  <c r="F19" i="6"/>
  <c r="J6" i="6"/>
  <c r="J7" i="6"/>
  <c r="J5" i="6"/>
  <c r="F16" i="6"/>
  <c r="F18" i="6"/>
  <c r="F17" i="6"/>
  <c r="G17" i="6"/>
  <c r="G16" i="6"/>
  <c r="D25" i="2" l="1"/>
  <c r="D17" i="2"/>
  <c r="D10" i="2"/>
  <c r="H27" i="5"/>
  <c r="D21" i="5"/>
  <c r="G21" i="5" s="1"/>
  <c r="H22" i="5" s="1"/>
  <c r="G14" i="5" s="1"/>
  <c r="D16" i="5"/>
  <c r="G16" i="5" s="1"/>
  <c r="G15" i="5"/>
  <c r="H10" i="5"/>
  <c r="D16" i="4"/>
  <c r="G15" i="4"/>
  <c r="H10" i="4"/>
  <c r="H32" i="3"/>
  <c r="D23" i="3"/>
  <c r="G18" i="3"/>
  <c r="G11" i="3"/>
  <c r="G10" i="3"/>
  <c r="G9" i="3"/>
  <c r="D24" i="3" l="1"/>
  <c r="G23" i="3"/>
  <c r="D21" i="4"/>
  <c r="G16" i="4"/>
  <c r="H17" i="5"/>
  <c r="H29" i="5"/>
  <c r="G21" i="4"/>
  <c r="H22" i="4" s="1"/>
  <c r="H13" i="3"/>
  <c r="D25" i="3" l="1"/>
  <c r="G24" i="3"/>
  <c r="G14" i="4"/>
  <c r="H17" i="4" s="1"/>
  <c r="H29" i="4" s="1"/>
  <c r="G17" i="3"/>
  <c r="H19" i="3" s="1"/>
  <c r="D26" i="3" l="1"/>
  <c r="G26" i="3" s="1"/>
  <c r="G25" i="3"/>
  <c r="G11" i="1"/>
  <c r="G8" i="1"/>
  <c r="H27" i="3" l="1"/>
  <c r="H34" i="3" s="1"/>
  <c r="G10" i="1"/>
  <c r="D29" i="2"/>
  <c r="D20" i="2"/>
  <c r="D21" i="2" s="1"/>
  <c r="F16" i="1"/>
  <c r="D31" i="2" l="1"/>
  <c r="G12" i="1"/>
  <c r="G13" i="1" s="1"/>
  <c r="G14" i="1" l="1"/>
  <c r="G17" i="1" s="1"/>
  <c r="G15" i="1"/>
  <c r="G16" i="1" l="1"/>
  <c r="G1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D18" authorId="0" shapeId="0" xr:uid="{00000000-0006-0000-0A00-000001000000}">
      <text>
        <r>
          <rPr>
            <b/>
            <sz val="8"/>
            <color indexed="81"/>
            <rFont val="Tahoma"/>
            <family val="2"/>
          </rPr>
          <t>Autor:</t>
        </r>
        <r>
          <rPr>
            <sz val="8"/>
            <color indexed="81"/>
            <rFont val="Tahoma"/>
            <family val="2"/>
          </rPr>
          <t xml:space="preserve">
Riesgo Màximo, obra y labores en campo</t>
        </r>
      </text>
    </comment>
    <comment ref="G18" authorId="0" shapeId="0" xr:uid="{00000000-0006-0000-0A00-000002000000}">
      <text>
        <r>
          <rPr>
            <b/>
            <sz val="8"/>
            <color indexed="81"/>
            <rFont val="Tahoma"/>
            <family val="2"/>
          </rPr>
          <t>Autor:</t>
        </r>
        <r>
          <rPr>
            <sz val="8"/>
            <color indexed="81"/>
            <rFont val="Tahoma"/>
            <family val="2"/>
          </rPr>
          <t xml:space="preserve">
Riesgo Màximo, obra y labores en campo</t>
        </r>
      </text>
    </comment>
  </commentList>
</comments>
</file>

<file path=xl/sharedStrings.xml><?xml version="1.0" encoding="utf-8"?>
<sst xmlns="http://schemas.openxmlformats.org/spreadsheetml/2006/main" count="338" uniqueCount="171">
  <si>
    <t xml:space="preserve">PRESUPUESTO OBRAS </t>
  </si>
  <si>
    <t>ITEM</t>
  </si>
  <si>
    <t>DESCRIPCIÓN</t>
  </si>
  <si>
    <t>UNIDAD</t>
  </si>
  <si>
    <t>CANTIDAD</t>
  </si>
  <si>
    <t>VR. UNITARIO</t>
  </si>
  <si>
    <t>VR. PARCIAL</t>
  </si>
  <si>
    <t>Preliminares</t>
  </si>
  <si>
    <t>1.1</t>
  </si>
  <si>
    <t>Localización, trazado y replanteo</t>
  </si>
  <si>
    <t>m</t>
  </si>
  <si>
    <t>Movimientos de Tierra</t>
  </si>
  <si>
    <t>2.1</t>
  </si>
  <si>
    <t>Optimización de la sección hidráulica del cauce en tierra. Incluye excavación en material común y rectificación de taludes.</t>
  </si>
  <si>
    <t>m3</t>
  </si>
  <si>
    <t>COSTO DIRECTO OBRAS</t>
  </si>
  <si>
    <t>ADMINISTRACION</t>
  </si>
  <si>
    <t>UTILIDAD</t>
  </si>
  <si>
    <t>IMPREVISTO</t>
  </si>
  <si>
    <t>COSTO TOTAL OBRAS</t>
  </si>
  <si>
    <t>DESGLOSE DEL A.U.I.</t>
  </si>
  <si>
    <t>COSTOS INDIRECTOS (AUI)</t>
  </si>
  <si>
    <t>IVA SOBRE UTILIDAD (U)</t>
  </si>
  <si>
    <t xml:space="preserve">ANALISIS DE PRECIOS UNITARIOS </t>
  </si>
  <si>
    <t xml:space="preserve">DESCRIPCION </t>
  </si>
  <si>
    <t>MATERIALES</t>
  </si>
  <si>
    <t>DESCRIPCION</t>
  </si>
  <si>
    <t>DESPERDICIO</t>
  </si>
  <si>
    <t>VALOR UNITARIO</t>
  </si>
  <si>
    <t>VALOR</t>
  </si>
  <si>
    <t>TOTAL</t>
  </si>
  <si>
    <t>Estacas</t>
  </si>
  <si>
    <t>un</t>
  </si>
  <si>
    <t>Puntilla</t>
  </si>
  <si>
    <t>lb</t>
  </si>
  <si>
    <t>Nylon</t>
  </si>
  <si>
    <t>Rollo</t>
  </si>
  <si>
    <t>SUB-TOTAL MATERIALES</t>
  </si>
  <si>
    <t>EQUIPOS</t>
  </si>
  <si>
    <t>RENDIMIENTO</t>
  </si>
  <si>
    <t xml:space="preserve">Herramientas menores </t>
  </si>
  <si>
    <t>Equipo de topografia</t>
  </si>
  <si>
    <t>Dia</t>
  </si>
  <si>
    <t>SUB-TOTAL EQUIPOS</t>
  </si>
  <si>
    <t>MANO DE OBRA</t>
  </si>
  <si>
    <t>PRESTACIONES</t>
  </si>
  <si>
    <t>TOPOGRAFO</t>
  </si>
  <si>
    <t>CADENERO 1</t>
  </si>
  <si>
    <t>CADENERO 2</t>
  </si>
  <si>
    <t>AYUDANTE</t>
  </si>
  <si>
    <t>SUB-TOTAL MANO DE OBRA</t>
  </si>
  <si>
    <t>TRANSPORTE</t>
  </si>
  <si>
    <t>DISTANCIA</t>
  </si>
  <si>
    <t>M3-KM</t>
  </si>
  <si>
    <t>SUB-TOTAL TRANSPORTE</t>
  </si>
  <si>
    <t>TOTAL COSTO DIRECTO LOCALIZACION</t>
  </si>
  <si>
    <t>Retroexcavadora sobre oruga</t>
  </si>
  <si>
    <t>Hora</t>
  </si>
  <si>
    <t>Bulldozer</t>
  </si>
  <si>
    <t>TOTAL COSTO DIRECTO OPTIMIZACION DE LA SECCION HIDRAULICA</t>
  </si>
  <si>
    <t>2.5</t>
  </si>
  <si>
    <t>Cargador</t>
  </si>
  <si>
    <t>SUB-TRANSPORTE</t>
  </si>
  <si>
    <t>TOTAL COSTO DIRECTO RETIRO DE MATERIAL SOBRANTE</t>
  </si>
  <si>
    <t>Retiro de material proveniente de la excavación. Distancia mayor de 1.000 metros.</t>
  </si>
  <si>
    <t>Impuestos (Contribución Especial, Estampilla Prouniversidad,  otros administrativos).</t>
  </si>
  <si>
    <t>Garantías (Cumplimiento, anticipo, prestaciones sociales, Estabilidad de la obra, Responsabilidad Civil Extracontractual IVA Póliza, Gastos de expedición de la Póliza)</t>
  </si>
  <si>
    <t>IMPUESTOS Y GARANTIAS</t>
  </si>
  <si>
    <t>ADMINISTRACION:</t>
  </si>
  <si>
    <t>SUBTOTAL  IMPUESTOS Y GARANTIAS</t>
  </si>
  <si>
    <t xml:space="preserve">Gastos de bodegaje de maquinaria y materiales, </t>
  </si>
  <si>
    <t>Transporte de personal</t>
  </si>
  <si>
    <t>Equipos e implementos de oficina.</t>
  </si>
  <si>
    <t xml:space="preserve">Componente de Seguridad y Salud en el Trabajo  SST, Plan de Manejo Ambiental - PMA y /o Plan de Gestión Integral de Obra PGIO, Plan de Manejo de Tránsito PMT, y los demás planes que apliquen </t>
  </si>
  <si>
    <t>Vallas informativas y otros gastos operacionales</t>
  </si>
  <si>
    <t>LABORALES</t>
  </si>
  <si>
    <t>Dirección del Proyecto, residentes de obra, otros profesionales y personal de campo, profesionales y personal para gestión social, incluye viaticos y prestaciones</t>
  </si>
  <si>
    <t>SUBTOTAL LABORALES</t>
  </si>
  <si>
    <t>TOTAL ADMINISTRACION</t>
  </si>
  <si>
    <t>IMPREVISTOS</t>
  </si>
  <si>
    <t>Gastos de Imprevistos administrativos y técnicos durante la ejecución del contrato</t>
  </si>
  <si>
    <t>TOTAL IMPREVISTOS</t>
  </si>
  <si>
    <t>TOTAL UTILIDAD</t>
  </si>
  <si>
    <t>TOTAL AUI</t>
  </si>
  <si>
    <t>% CON RELACION A LOS COSTOS DIRECTOS A LOS CUALES SE LES APLICA AUI</t>
  </si>
  <si>
    <t>OPERATIVOS</t>
  </si>
  <si>
    <t>SUBTOTAL OPERATIVOS</t>
  </si>
  <si>
    <t>Se estima en 5% de los costos directos</t>
  </si>
  <si>
    <r>
      <rPr>
        <b/>
        <sz val="10"/>
        <color indexed="8"/>
        <rFont val="Arial"/>
        <family val="2"/>
      </rPr>
      <t>NOTA</t>
    </r>
    <r>
      <rPr>
        <sz val="10"/>
        <color indexed="8"/>
        <rFont val="Arial"/>
        <family val="2"/>
      </rPr>
      <t>: La entidad CVS ha estimado el valor de la Administración (A) en 24%, Imprevistos (I) en el 1% y Utilidad (U) en 5%,  no obstante cada empresa u oferente de acuerdo con su infraestructura, experiencia, las condiciones del mercado, la naturaleza del contrato a celebrar, entre otros factores puede establecer su estructura de costos conforme a la cual se compromete a ejecutar cabalmente un contrato en el caso de que le sea adjudicado, en ese evento puede variar los porcentajes de A y de I entre ellos sin que supere el 25% estimado por la entidad que sumado al 5% de Utilidad no debe superar el 30% calculado para el AIU.</t>
    </r>
  </si>
  <si>
    <t>2.2</t>
  </si>
  <si>
    <t>Descripción</t>
  </si>
  <si>
    <t>Unidad</t>
  </si>
  <si>
    <t>DIMO Ingeniería y consultoría</t>
  </si>
  <si>
    <t>DLR</t>
  </si>
  <si>
    <t>Petrovias S.A.S</t>
  </si>
  <si>
    <t>Equipos 
de Sucre</t>
  </si>
  <si>
    <t xml:space="preserve">CLONPORT </t>
  </si>
  <si>
    <t>TRANSPORTAMOS AGREGADOS
SAS</t>
  </si>
  <si>
    <t>Promedio</t>
  </si>
  <si>
    <t xml:space="preserve">Bulldozer </t>
  </si>
  <si>
    <t xml:space="preserve">Retroexcavadora </t>
  </si>
  <si>
    <t>volqueta</t>
  </si>
  <si>
    <t>Viaje</t>
  </si>
  <si>
    <t>Global</t>
  </si>
  <si>
    <t>Wisner Mieles</t>
  </si>
  <si>
    <t>Jonathan Lopez</t>
  </si>
  <si>
    <t>Topolico</t>
  </si>
  <si>
    <t>dia</t>
  </si>
  <si>
    <t>JORNALES - AÑO 2025</t>
  </si>
  <si>
    <t>SALARIO MINIMO LEGAL MENSUAL VIGENTE</t>
  </si>
  <si>
    <t>AÑO</t>
  </si>
  <si>
    <t>VR MES</t>
  </si>
  <si>
    <t>VR / DIA</t>
  </si>
  <si>
    <t>No. 
SMLMV</t>
  </si>
  <si>
    <t>MES</t>
  </si>
  <si>
    <t>2025</t>
  </si>
  <si>
    <t xml:space="preserve">CADENERO 1    </t>
  </si>
  <si>
    <t xml:space="preserve">CADENERO 2    </t>
  </si>
  <si>
    <t>OFICIAL</t>
  </si>
  <si>
    <t xml:space="preserve">TOPOGRAFO   </t>
  </si>
  <si>
    <t>CONCEPTO</t>
  </si>
  <si>
    <t>SALARIO 2025</t>
  </si>
  <si>
    <t>AUXILIO DE TRANSPORTE 2025</t>
  </si>
  <si>
    <t>TOTAL SALARIO MAS AUX. DE TRANSPORTE</t>
  </si>
  <si>
    <t>TOTAL MES AYUDANTE MAS PRESTACIONES DEL 80%</t>
  </si>
  <si>
    <t>Jornal Ayudante mas prestaciones del 80%</t>
  </si>
  <si>
    <t>Jornal Ayudante Sin Prestaciones</t>
  </si>
  <si>
    <t xml:space="preserve">Descripción </t>
  </si>
  <si>
    <t>Deposito 
La Cosecha</t>
  </si>
  <si>
    <t>Homecenter</t>
  </si>
  <si>
    <t>Mercado Libre</t>
  </si>
  <si>
    <t>Comaderas</t>
  </si>
  <si>
    <t>Las Casas</t>
  </si>
  <si>
    <t>Distrias</t>
  </si>
  <si>
    <t>Grupo Agregar SAS</t>
  </si>
  <si>
    <t>Grupo Multipurpose SAS</t>
  </si>
  <si>
    <t>JEMV 
Constructor SAS</t>
  </si>
  <si>
    <t>Comercial
Tir</t>
  </si>
  <si>
    <t>Un</t>
  </si>
  <si>
    <t>Puntillas</t>
  </si>
  <si>
    <t>Lb</t>
  </si>
  <si>
    <t>CORPORACIÓN AUTÓNOMA REGIONAL DE LOS VALLES</t>
  </si>
  <si>
    <t>DEL SINÚ Y DEL SAN JORGE - CVS</t>
  </si>
  <si>
    <t>ANALÍSIS DE LAS PRESTACIONES SOCIALES</t>
  </si>
  <si>
    <t>AÑO 2025</t>
  </si>
  <si>
    <t>SALARIO MENSUAL HASTA 2 SMMLV</t>
  </si>
  <si>
    <t>No.</t>
  </si>
  <si>
    <t>VALOR (%)</t>
  </si>
  <si>
    <t>SUELDO ANUAL BÁSICO</t>
  </si>
  <si>
    <t>PRESTACIONES SOCIALES (Expresado como % de 1)</t>
  </si>
  <si>
    <t>Prima anual</t>
  </si>
  <si>
    <t>Cesantia anual</t>
  </si>
  <si>
    <t>Interés a las cesantías</t>
  </si>
  <si>
    <t>Vacaciones anuales</t>
  </si>
  <si>
    <t>Seguridad social</t>
  </si>
  <si>
    <t>Pensión</t>
  </si>
  <si>
    <t>Salud</t>
  </si>
  <si>
    <t>ARL</t>
  </si>
  <si>
    <t>Caja de compensación familiar</t>
  </si>
  <si>
    <t>SENA</t>
  </si>
  <si>
    <t>ICBF</t>
  </si>
  <si>
    <t>Auxilio de transporte</t>
  </si>
  <si>
    <t>Vestido de Labor (Dotación)</t>
  </si>
  <si>
    <t>SALARIO MENSUAL MAYOR A  2 SMMLV</t>
  </si>
  <si>
    <t>N.A.</t>
  </si>
  <si>
    <t>SUBTOTAL</t>
  </si>
  <si>
    <t>PRESTACIONES SOCIALES 
+
APORTES PARAFISCALES</t>
  </si>
  <si>
    <t>Volqueta</t>
  </si>
  <si>
    <t>DAMARIS PEÑA ORDOSGOITIA</t>
  </si>
  <si>
    <t>Subdirectora de Planeación CVS</t>
  </si>
  <si>
    <t>"RECUPERACIÓN AMBIENTAL Y DE LA CONECTIVIDAD ECOSISTÉMICA E HIDROLÓGICA DE UN TRAMO DEL CAÑO BUGRE EN EL MUNICIPIO DE CERETÉ, DEPARTAMENTO DE CÓRDOBA".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</si>
</sst>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#,##0.00_ ;\-#,##0.00\ "/>
    <numFmt numFmtId="166" formatCode="_-&quot;$&quot;\ * #,##0.0_-;\-&quot;$&quot;\ * #,##0.0_-;_-&quot;$&quot;\ * &quot;-&quot;??_-;_-@_-"/>
    <numFmt numFmtId="167" formatCode="0.0%"/>
    <numFmt numFmtId="168" formatCode="0.000%"/>
    <numFmt numFmtId="169" formatCode="0.0000"/>
    <numFmt numFmtId="170" formatCode="0.0"/>
    <numFmt numFmtId="171" formatCode="&quot;$&quot;#,##0"/>
    <numFmt numFmtId="172" formatCode="[$$-240A]\ #,##0"/>
    <numFmt numFmtId="173" formatCode="_ * #,##0.00_ ;_ * \-#,##0.00_ ;_ * &quot;-&quot;??_ ;_ @_ "/>
    <numFmt numFmtId="174" formatCode="_ * #,##0.00_ ;_ * \-#,##0.00_ ;_ * \-??_ ;_ @_ "/>
    <numFmt numFmtId="175" formatCode="[$$-240A]\ #,##0.0"/>
    <numFmt numFmtId="176" formatCode="&quot;$&quot;#,##0.00"/>
    <numFmt numFmtId="177" formatCode="_-* #,##0_-;\-* #,##0_-;_-* &quot;-&quot;??_-;_-@_-"/>
    <numFmt numFmtId="178" formatCode="0.000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Geneva"/>
      <family val="2"/>
    </font>
    <font>
      <sz val="11"/>
      <color indexed="8"/>
      <name val="Calibri"/>
      <family val="2"/>
    </font>
    <font>
      <sz val="10"/>
      <color rgb="FF000000"/>
      <name val="Times New Roman"/>
      <family val="1"/>
    </font>
    <font>
      <b/>
      <sz val="13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Roman 17cpi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i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1" fillId="0" borderId="0"/>
    <xf numFmtId="0" fontId="5" fillId="0" borderId="0"/>
    <xf numFmtId="0" fontId="6" fillId="0" borderId="0"/>
    <xf numFmtId="9" fontId="1" fillId="0" borderId="0" applyFont="0" applyFill="0" applyBorder="0" applyAlignment="0" applyProtection="0"/>
    <xf numFmtId="0" fontId="6" fillId="0" borderId="0"/>
    <xf numFmtId="0" fontId="13" fillId="0" borderId="0"/>
    <xf numFmtId="0" fontId="14" fillId="0" borderId="0"/>
    <xf numFmtId="174" fontId="14" fillId="0" borderId="0" applyFill="0" applyBorder="0" applyAlignment="0" applyProtection="0"/>
    <xf numFmtId="9" fontId="14" fillId="0" borderId="0" applyFill="0" applyBorder="0" applyAlignment="0" applyProtection="0"/>
    <xf numFmtId="0" fontId="14" fillId="0" borderId="0"/>
    <xf numFmtId="0" fontId="6" fillId="0" borderId="0"/>
    <xf numFmtId="0" fontId="6" fillId="0" borderId="0"/>
  </cellStyleXfs>
  <cellXfs count="316">
    <xf numFmtId="0" fontId="0" fillId="0" borderId="0" xfId="0"/>
    <xf numFmtId="0" fontId="3" fillId="0" borderId="7" xfId="4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 wrapText="1"/>
    </xf>
    <xf numFmtId="166" fontId="2" fillId="0" borderId="9" xfId="0" applyNumberFormat="1" applyFont="1" applyBorder="1" applyAlignment="1">
      <alignment horizontal="center" vertical="center"/>
    </xf>
    <xf numFmtId="166" fontId="3" fillId="0" borderId="9" xfId="2" applyNumberFormat="1" applyFont="1" applyFill="1" applyBorder="1" applyAlignment="1">
      <alignment vertical="center"/>
    </xf>
    <xf numFmtId="167" fontId="2" fillId="0" borderId="8" xfId="0" applyNumberFormat="1" applyFont="1" applyBorder="1" applyAlignment="1">
      <alignment horizontal="right" vertical="center"/>
    </xf>
    <xf numFmtId="166" fontId="2" fillId="0" borderId="9" xfId="2" applyNumberFormat="1" applyFont="1" applyFill="1" applyBorder="1" applyAlignment="1">
      <alignment horizontal="center" vertical="center"/>
    </xf>
    <xf numFmtId="167" fontId="3" fillId="0" borderId="8" xfId="0" applyNumberFormat="1" applyFont="1" applyBorder="1" applyAlignment="1">
      <alignment horizontal="right" vertical="center"/>
    </xf>
    <xf numFmtId="166" fontId="3" fillId="0" borderId="9" xfId="2" applyNumberFormat="1" applyFont="1" applyFill="1" applyBorder="1" applyAlignment="1">
      <alignment horizontal="center" vertical="center"/>
    </xf>
    <xf numFmtId="166" fontId="3" fillId="0" borderId="15" xfId="0" applyNumberFormat="1" applyFont="1" applyBorder="1" applyAlignment="1">
      <alignment horizontal="center" vertical="center"/>
    </xf>
    <xf numFmtId="0" fontId="6" fillId="0" borderId="0" xfId="6" applyAlignment="1">
      <alignment horizontal="left" vertical="center"/>
    </xf>
    <xf numFmtId="0" fontId="9" fillId="0" borderId="0" xfId="6" applyFont="1" applyAlignment="1">
      <alignment horizontal="left" vertical="center"/>
    </xf>
    <xf numFmtId="0" fontId="3" fillId="0" borderId="25" xfId="0" applyFont="1" applyBorder="1" applyAlignment="1">
      <alignment horizontal="center" vertical="center"/>
    </xf>
    <xf numFmtId="43" fontId="3" fillId="0" borderId="25" xfId="1" applyFont="1" applyBorder="1" applyAlignment="1">
      <alignment horizontal="center" vertical="center"/>
    </xf>
    <xf numFmtId="164" fontId="3" fillId="0" borderId="25" xfId="2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4" xfId="3" applyFont="1" applyBorder="1" applyAlignment="1">
      <alignment horizontal="center" vertical="center"/>
    </xf>
    <xf numFmtId="0" fontId="3" fillId="0" borderId="25" xfId="3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3" fontId="2" fillId="0" borderId="0" xfId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3" fontId="3" fillId="0" borderId="8" xfId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169" fontId="2" fillId="2" borderId="8" xfId="0" applyNumberFormat="1" applyFont="1" applyFill="1" applyBorder="1" applyAlignment="1">
      <alignment horizontal="center" vertical="center"/>
    </xf>
    <xf numFmtId="164" fontId="2" fillId="2" borderId="8" xfId="2" applyFont="1" applyFill="1" applyBorder="1" applyAlignment="1">
      <alignment horizontal="center" vertical="center"/>
    </xf>
    <xf numFmtId="164" fontId="3" fillId="2" borderId="15" xfId="2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43" fontId="2" fillId="2" borderId="0" xfId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43" fontId="3" fillId="2" borderId="8" xfId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9" fontId="2" fillId="2" borderId="8" xfId="7" applyFont="1" applyFill="1" applyBorder="1" applyAlignment="1">
      <alignment horizontal="center" vertical="center"/>
    </xf>
    <xf numFmtId="2" fontId="2" fillId="2" borderId="8" xfId="0" applyNumberFormat="1" applyFont="1" applyFill="1" applyBorder="1" applyAlignment="1">
      <alignment horizontal="center" vertical="center"/>
    </xf>
    <xf numFmtId="164" fontId="3" fillId="0" borderId="15" xfId="2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165" fontId="2" fillId="0" borderId="8" xfId="1" applyNumberFormat="1" applyFont="1" applyBorder="1" applyAlignment="1">
      <alignment horizontal="center" vertical="center"/>
    </xf>
    <xf numFmtId="167" fontId="2" fillId="0" borderId="8" xfId="7" applyNumberFormat="1" applyFont="1" applyBorder="1" applyAlignment="1">
      <alignment horizontal="center" vertical="center"/>
    </xf>
    <xf numFmtId="164" fontId="2" fillId="0" borderId="8" xfId="2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3" fontId="2" fillId="0" borderId="8" xfId="1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164" fontId="3" fillId="0" borderId="3" xfId="2" applyFont="1" applyBorder="1" applyAlignment="1">
      <alignment horizontal="center" vertical="center"/>
    </xf>
    <xf numFmtId="169" fontId="2" fillId="0" borderId="8" xfId="0" applyNumberFormat="1" applyFont="1" applyBorder="1" applyAlignment="1">
      <alignment horizontal="center" vertical="center"/>
    </xf>
    <xf numFmtId="43" fontId="3" fillId="0" borderId="15" xfId="0" applyNumberFormat="1" applyFont="1" applyBorder="1" applyAlignment="1">
      <alignment horizontal="center" vertical="center"/>
    </xf>
    <xf numFmtId="9" fontId="2" fillId="0" borderId="8" xfId="7" applyFont="1" applyBorder="1" applyAlignment="1">
      <alignment horizontal="center" vertical="center"/>
    </xf>
    <xf numFmtId="0" fontId="2" fillId="0" borderId="7" xfId="0" applyFont="1" applyBorder="1" applyAlignment="1">
      <alignment horizontal="justify" vertical="center" wrapText="1"/>
    </xf>
    <xf numFmtId="2" fontId="2" fillId="0" borderId="8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7" xfId="0" applyFont="1" applyBorder="1" applyAlignment="1">
      <alignment horizontal="justify" vertical="center"/>
    </xf>
    <xf numFmtId="170" fontId="2" fillId="0" borderId="8" xfId="0" applyNumberFormat="1" applyFont="1" applyBorder="1" applyAlignment="1">
      <alignment horizontal="center" vertical="center"/>
    </xf>
    <xf numFmtId="0" fontId="12" fillId="2" borderId="6" xfId="8" applyFont="1" applyFill="1" applyBorder="1" applyAlignment="1">
      <alignment horizontal="center" vertical="center" wrapText="1"/>
    </xf>
    <xf numFmtId="0" fontId="6" fillId="0" borderId="21" xfId="6" applyBorder="1" applyAlignment="1">
      <alignment horizontal="left" vertical="center" wrapText="1"/>
    </xf>
    <xf numFmtId="10" fontId="9" fillId="2" borderId="9" xfId="8" applyNumberFormat="1" applyFont="1" applyFill="1" applyBorder="1" applyAlignment="1">
      <alignment horizontal="right" vertical="center" shrinkToFit="1"/>
    </xf>
    <xf numFmtId="168" fontId="8" fillId="0" borderId="21" xfId="6" applyNumberFormat="1" applyFont="1" applyBorder="1" applyAlignment="1">
      <alignment horizontal="right" vertical="center" shrinkToFit="1"/>
    </xf>
    <xf numFmtId="10" fontId="8" fillId="0" borderId="21" xfId="6" applyNumberFormat="1" applyFont="1" applyBorder="1" applyAlignment="1">
      <alignment horizontal="right" vertical="center" shrinkToFit="1"/>
    </xf>
    <xf numFmtId="10" fontId="8" fillId="0" borderId="22" xfId="6" applyNumberFormat="1" applyFont="1" applyBorder="1" applyAlignment="1">
      <alignment horizontal="right" vertical="center" shrinkToFit="1"/>
    </xf>
    <xf numFmtId="10" fontId="9" fillId="2" borderId="37" xfId="8" applyNumberFormat="1" applyFont="1" applyFill="1" applyBorder="1" applyAlignment="1">
      <alignment horizontal="right" vertical="center" shrinkToFit="1"/>
    </xf>
    <xf numFmtId="10" fontId="9" fillId="0" borderId="21" xfId="6" applyNumberFormat="1" applyFont="1" applyBorder="1" applyAlignment="1">
      <alignment horizontal="right" vertical="center" shrinkToFit="1"/>
    </xf>
    <xf numFmtId="10" fontId="8" fillId="0" borderId="23" xfId="6" applyNumberFormat="1" applyFont="1" applyBorder="1" applyAlignment="1">
      <alignment horizontal="right" vertical="center" shrinkToFit="1"/>
    </xf>
    <xf numFmtId="0" fontId="6" fillId="0" borderId="19" xfId="6" applyBorder="1" applyAlignment="1">
      <alignment horizontal="left" vertical="center"/>
    </xf>
    <xf numFmtId="0" fontId="6" fillId="0" borderId="20" xfId="6" applyBorder="1" applyAlignment="1">
      <alignment horizontal="left" vertical="center"/>
    </xf>
    <xf numFmtId="0" fontId="18" fillId="0" borderId="9" xfId="0" applyFont="1" applyBorder="1" applyAlignment="1">
      <alignment horizontal="center" vertical="center"/>
    </xf>
    <xf numFmtId="0" fontId="14" fillId="0" borderId="7" xfId="0" applyFont="1" applyBorder="1" applyAlignment="1">
      <alignment horizontal="justify" vertical="center" wrapText="1"/>
    </xf>
    <xf numFmtId="0" fontId="14" fillId="0" borderId="8" xfId="0" applyFont="1" applyBorder="1" applyAlignment="1">
      <alignment horizontal="center" vertical="center"/>
    </xf>
    <xf numFmtId="171" fontId="17" fillId="0" borderId="8" xfId="0" applyNumberFormat="1" applyFont="1" applyBorder="1" applyAlignment="1">
      <alignment horizontal="center" vertical="center"/>
    </xf>
    <xf numFmtId="171" fontId="18" fillId="0" borderId="9" xfId="0" applyNumberFormat="1" applyFont="1" applyBorder="1" applyAlignment="1">
      <alignment horizontal="center" vertical="center"/>
    </xf>
    <xf numFmtId="171" fontId="14" fillId="0" borderId="12" xfId="0" applyNumberFormat="1" applyFont="1" applyBorder="1" applyAlignment="1">
      <alignment vertical="center" wrapText="1"/>
    </xf>
    <xf numFmtId="172" fontId="18" fillId="0" borderId="8" xfId="0" applyNumberFormat="1" applyFont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justify" vertical="center" wrapText="1"/>
    </xf>
    <xf numFmtId="0" fontId="17" fillId="0" borderId="8" xfId="0" applyFont="1" applyBorder="1" applyAlignment="1">
      <alignment horizontal="center" vertical="center" wrapText="1"/>
    </xf>
    <xf numFmtId="49" fontId="17" fillId="2" borderId="8" xfId="0" applyNumberFormat="1" applyFont="1" applyFill="1" applyBorder="1" applyAlignment="1">
      <alignment horizontal="center" vertical="center" wrapText="1"/>
    </xf>
    <xf numFmtId="172" fontId="17" fillId="2" borderId="8" xfId="0" applyNumberFormat="1" applyFont="1" applyFill="1" applyBorder="1" applyAlignment="1">
      <alignment horizontal="right" vertical="center" wrapText="1"/>
    </xf>
    <xf numFmtId="172" fontId="17" fillId="0" borderId="8" xfId="0" applyNumberFormat="1" applyFont="1" applyBorder="1" applyAlignment="1">
      <alignment horizontal="right" vertical="center" wrapText="1"/>
    </xf>
    <xf numFmtId="170" fontId="17" fillId="0" borderId="8" xfId="0" applyNumberFormat="1" applyFont="1" applyBorder="1" applyAlignment="1">
      <alignment horizontal="center" vertical="center" wrapText="1"/>
    </xf>
    <xf numFmtId="0" fontId="17" fillId="0" borderId="7" xfId="0" applyFont="1" applyBorder="1" applyAlignment="1">
      <alignment horizontal="justify" vertical="center" wrapText="1"/>
    </xf>
    <xf numFmtId="0" fontId="17" fillId="0" borderId="19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43" xfId="0" applyFont="1" applyBorder="1" applyAlignment="1">
      <alignment vertical="center"/>
    </xf>
    <xf numFmtId="0" fontId="21" fillId="2" borderId="8" xfId="0" applyFont="1" applyFill="1" applyBorder="1" applyAlignment="1">
      <alignment horizontal="center" vertical="center"/>
    </xf>
    <xf numFmtId="176" fontId="21" fillId="2" borderId="8" xfId="0" applyNumberFormat="1" applyFont="1" applyFill="1" applyBorder="1" applyAlignment="1">
      <alignment horizontal="center" vertical="center"/>
    </xf>
    <xf numFmtId="10" fontId="18" fillId="0" borderId="9" xfId="0" applyNumberFormat="1" applyFont="1" applyBorder="1" applyAlignment="1">
      <alignment horizontal="center" vertical="center" wrapText="1"/>
    </xf>
    <xf numFmtId="10" fontId="17" fillId="0" borderId="9" xfId="0" applyNumberFormat="1" applyFont="1" applyBorder="1" applyAlignment="1">
      <alignment horizontal="center" vertical="center" wrapText="1"/>
    </xf>
    <xf numFmtId="0" fontId="17" fillId="0" borderId="20" xfId="0" applyFont="1" applyBorder="1" applyAlignment="1">
      <alignment vertical="center"/>
    </xf>
    <xf numFmtId="0" fontId="17" fillId="0" borderId="44" xfId="0" applyFont="1" applyBorder="1" applyAlignment="1">
      <alignment vertical="center"/>
    </xf>
    <xf numFmtId="0" fontId="18" fillId="0" borderId="25" xfId="0" applyFont="1" applyBorder="1" applyAlignment="1">
      <alignment horizontal="center" vertical="center" wrapText="1"/>
    </xf>
    <xf numFmtId="0" fontId="19" fillId="2" borderId="24" xfId="0" applyFont="1" applyFill="1" applyBorder="1" applyAlignment="1">
      <alignment horizontal="center" vertical="center"/>
    </xf>
    <xf numFmtId="0" fontId="19" fillId="2" borderId="25" xfId="0" applyFont="1" applyFill="1" applyBorder="1" applyAlignment="1">
      <alignment horizontal="center" vertical="center"/>
    </xf>
    <xf numFmtId="0" fontId="19" fillId="2" borderId="25" xfId="0" applyFont="1" applyFill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2" borderId="26" xfId="0" applyFont="1" applyFill="1" applyBorder="1" applyAlignment="1">
      <alignment horizontal="center" vertical="center" wrapText="1"/>
    </xf>
    <xf numFmtId="176" fontId="19" fillId="2" borderId="9" xfId="0" applyNumberFormat="1" applyFont="1" applyFill="1" applyBorder="1" applyAlignment="1">
      <alignment horizontal="right" vertical="center" wrapText="1"/>
    </xf>
    <xf numFmtId="0" fontId="21" fillId="2" borderId="14" xfId="0" applyFont="1" applyFill="1" applyBorder="1" applyAlignment="1">
      <alignment horizontal="center" vertical="center"/>
    </xf>
    <xf numFmtId="176" fontId="21" fillId="2" borderId="14" xfId="0" applyNumberFormat="1" applyFont="1" applyFill="1" applyBorder="1" applyAlignment="1">
      <alignment horizontal="center" vertical="center"/>
    </xf>
    <xf numFmtId="176" fontId="19" fillId="2" borderId="15" xfId="0" applyNumberFormat="1" applyFont="1" applyFill="1" applyBorder="1" applyAlignment="1">
      <alignment horizontal="right" vertical="center" wrapText="1"/>
    </xf>
    <xf numFmtId="0" fontId="12" fillId="0" borderId="24" xfId="13" applyFont="1" applyBorder="1" applyAlignment="1">
      <alignment horizontal="center" vertical="center" wrapText="1"/>
    </xf>
    <xf numFmtId="0" fontId="12" fillId="0" borderId="25" xfId="13" applyFont="1" applyBorder="1" applyAlignment="1">
      <alignment horizontal="center" vertical="center" wrapText="1"/>
    </xf>
    <xf numFmtId="0" fontId="12" fillId="0" borderId="26" xfId="13" applyFont="1" applyBorder="1" applyAlignment="1">
      <alignment horizontal="center" vertical="center" wrapText="1"/>
    </xf>
    <xf numFmtId="0" fontId="12" fillId="0" borderId="7" xfId="13" applyFont="1" applyBorder="1" applyAlignment="1">
      <alignment horizontal="center" vertical="center"/>
    </xf>
    <xf numFmtId="0" fontId="12" fillId="0" borderId="8" xfId="13" applyFont="1" applyBorder="1" applyAlignment="1">
      <alignment vertical="center"/>
    </xf>
    <xf numFmtId="174" fontId="12" fillId="0" borderId="9" xfId="11" applyFont="1" applyBorder="1" applyAlignment="1">
      <alignment vertical="center"/>
    </xf>
    <xf numFmtId="174" fontId="14" fillId="2" borderId="9" xfId="11" applyFill="1" applyBorder="1" applyAlignment="1">
      <alignment vertical="center"/>
    </xf>
    <xf numFmtId="0" fontId="14" fillId="0" borderId="7" xfId="13" applyBorder="1" applyAlignment="1">
      <alignment horizontal="center" vertical="center"/>
    </xf>
    <xf numFmtId="0" fontId="14" fillId="0" borderId="8" xfId="13" applyBorder="1" applyAlignment="1">
      <alignment vertical="center"/>
    </xf>
    <xf numFmtId="174" fontId="0" fillId="0" borderId="9" xfId="11" applyFont="1" applyBorder="1" applyAlignment="1">
      <alignment vertical="center"/>
    </xf>
    <xf numFmtId="174" fontId="10" fillId="0" borderId="9" xfId="11" applyFont="1" applyBorder="1" applyAlignment="1">
      <alignment horizontal="right" vertical="center"/>
    </xf>
    <xf numFmtId="2" fontId="14" fillId="0" borderId="7" xfId="13" applyNumberFormat="1" applyBorder="1" applyAlignment="1">
      <alignment horizontal="center" vertical="center"/>
    </xf>
    <xf numFmtId="0" fontId="14" fillId="0" borderId="13" xfId="13" applyBorder="1" applyAlignment="1">
      <alignment horizontal="center" vertical="center"/>
    </xf>
    <xf numFmtId="0" fontId="12" fillId="0" borderId="14" xfId="13" applyFont="1" applyBorder="1" applyAlignment="1">
      <alignment horizontal="center" vertical="center"/>
    </xf>
    <xf numFmtId="174" fontId="12" fillId="4" borderId="15" xfId="11" applyFont="1" applyFill="1" applyBorder="1" applyAlignment="1">
      <alignment vertical="center"/>
    </xf>
    <xf numFmtId="0" fontId="14" fillId="0" borderId="0" xfId="13" applyAlignment="1">
      <alignment horizontal="center" vertical="center"/>
    </xf>
    <xf numFmtId="0" fontId="14" fillId="0" borderId="0" xfId="13" applyAlignment="1">
      <alignment vertical="center"/>
    </xf>
    <xf numFmtId="10" fontId="14" fillId="0" borderId="0" xfId="7" applyNumberFormat="1" applyFont="1" applyAlignment="1">
      <alignment vertical="center"/>
    </xf>
    <xf numFmtId="0" fontId="20" fillId="2" borderId="7" xfId="0" applyFont="1" applyFill="1" applyBorder="1" applyAlignment="1">
      <alignment horizontal="center" vertical="center"/>
    </xf>
    <xf numFmtId="176" fontId="21" fillId="0" borderId="8" xfId="0" applyNumberFormat="1" applyFont="1" applyBorder="1" applyAlignment="1">
      <alignment horizontal="center" vertical="center"/>
    </xf>
    <xf numFmtId="0" fontId="20" fillId="2" borderId="13" xfId="0" applyFont="1" applyFill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2" fontId="12" fillId="0" borderId="8" xfId="10" applyNumberFormat="1" applyFont="1" applyBorder="1" applyAlignment="1">
      <alignment horizontal="center" vertical="center"/>
    </xf>
    <xf numFmtId="172" fontId="14" fillId="0" borderId="8" xfId="10" applyNumberFormat="1" applyBorder="1" applyAlignment="1">
      <alignment horizontal="right" vertical="center"/>
    </xf>
    <xf numFmtId="10" fontId="0" fillId="0" borderId="0" xfId="12" applyNumberFormat="1" applyFont="1" applyBorder="1" applyAlignment="1">
      <alignment vertical="center"/>
    </xf>
    <xf numFmtId="175" fontId="12" fillId="4" borderId="8" xfId="10" applyNumberFormat="1" applyFont="1" applyFill="1" applyBorder="1" applyAlignment="1">
      <alignment horizontal="right" vertical="center"/>
    </xf>
    <xf numFmtId="0" fontId="18" fillId="0" borderId="24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left" vertical="center" wrapText="1"/>
    </xf>
    <xf numFmtId="0" fontId="25" fillId="0" borderId="14" xfId="0" applyFont="1" applyBorder="1" applyAlignment="1">
      <alignment horizontal="center" vertical="center"/>
    </xf>
    <xf numFmtId="171" fontId="25" fillId="0" borderId="14" xfId="0" applyNumberFormat="1" applyFont="1" applyBorder="1" applyAlignment="1">
      <alignment horizontal="center" vertical="center"/>
    </xf>
    <xf numFmtId="171" fontId="25" fillId="0" borderId="45" xfId="0" applyNumberFormat="1" applyFont="1" applyBorder="1" applyAlignment="1">
      <alignment vertical="center"/>
    </xf>
    <xf numFmtId="171" fontId="26" fillId="0" borderId="15" xfId="0" applyNumberFormat="1" applyFont="1" applyBorder="1" applyAlignment="1">
      <alignment horizontal="center" vertical="center"/>
    </xf>
    <xf numFmtId="175" fontId="12" fillId="4" borderId="46" xfId="10" applyNumberFormat="1" applyFont="1" applyFill="1" applyBorder="1" applyAlignment="1">
      <alignment horizontal="right"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43" xfId="0" applyBorder="1" applyAlignment="1">
      <alignment vertical="center"/>
    </xf>
    <xf numFmtId="0" fontId="0" fillId="0" borderId="44" xfId="0" applyBorder="1" applyAlignment="1">
      <alignment vertical="center"/>
    </xf>
    <xf numFmtId="172" fontId="12" fillId="0" borderId="8" xfId="10" applyNumberFormat="1" applyFont="1" applyBorder="1" applyAlignment="1">
      <alignment horizontal="right" vertical="center"/>
    </xf>
    <xf numFmtId="175" fontId="12" fillId="0" borderId="8" xfId="10" applyNumberFormat="1" applyFont="1" applyBorder="1" applyAlignment="1">
      <alignment horizontal="right" vertical="center"/>
    </xf>
    <xf numFmtId="0" fontId="2" fillId="0" borderId="17" xfId="0" applyFont="1" applyBorder="1" applyAlignment="1">
      <alignment vertical="center"/>
    </xf>
    <xf numFmtId="0" fontId="27" fillId="0" borderId="19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43" xfId="0" applyFont="1" applyBorder="1" applyAlignment="1">
      <alignment vertical="center"/>
    </xf>
    <xf numFmtId="0" fontId="2" fillId="0" borderId="44" xfId="0" applyFont="1" applyBorder="1" applyAlignment="1">
      <alignment vertical="center"/>
    </xf>
    <xf numFmtId="0" fontId="6" fillId="0" borderId="1" xfId="6" applyBorder="1" applyAlignment="1">
      <alignment horizontal="left" vertical="center"/>
    </xf>
    <xf numFmtId="0" fontId="6" fillId="0" borderId="2" xfId="6" applyBorder="1" applyAlignment="1">
      <alignment horizontal="left" vertical="center"/>
    </xf>
    <xf numFmtId="0" fontId="6" fillId="0" borderId="3" xfId="6" applyBorder="1" applyAlignment="1">
      <alignment horizontal="left" vertical="center"/>
    </xf>
    <xf numFmtId="165" fontId="2" fillId="0" borderId="8" xfId="1" applyNumberFormat="1" applyFont="1" applyFill="1" applyBorder="1" applyAlignment="1">
      <alignment horizontal="right" vertical="center"/>
    </xf>
    <xf numFmtId="166" fontId="2" fillId="0" borderId="8" xfId="2" applyNumberFormat="1" applyFont="1" applyFill="1" applyBorder="1" applyAlignment="1">
      <alignment horizontal="center" vertical="center"/>
    </xf>
    <xf numFmtId="165" fontId="2" fillId="0" borderId="19" xfId="1" applyNumberFormat="1" applyFont="1" applyFill="1" applyBorder="1" applyAlignment="1">
      <alignment horizontal="right" vertical="center"/>
    </xf>
    <xf numFmtId="0" fontId="2" fillId="0" borderId="8" xfId="5" applyFont="1" applyBorder="1" applyAlignment="1">
      <alignment horizontal="center" vertical="center"/>
    </xf>
    <xf numFmtId="165" fontId="2" fillId="0" borderId="8" xfId="1" applyNumberFormat="1" applyFont="1" applyBorder="1" applyAlignment="1">
      <alignment horizontal="right" vertical="center"/>
    </xf>
    <xf numFmtId="165" fontId="2" fillId="0" borderId="19" xfId="1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177" fontId="2" fillId="0" borderId="0" xfId="1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3" fillId="0" borderId="12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7" fillId="0" borderId="1" xfId="6" applyFont="1" applyBorder="1" applyAlignment="1">
      <alignment horizontal="center" vertical="center"/>
    </xf>
    <xf numFmtId="0" fontId="7" fillId="0" borderId="2" xfId="6" applyFont="1" applyBorder="1" applyAlignment="1">
      <alignment horizontal="center" vertical="center"/>
    </xf>
    <xf numFmtId="0" fontId="7" fillId="0" borderId="3" xfId="6" applyFont="1" applyBorder="1" applyAlignment="1">
      <alignment horizontal="center" vertical="center"/>
    </xf>
    <xf numFmtId="0" fontId="12" fillId="2" borderId="34" xfId="8" applyFont="1" applyFill="1" applyBorder="1" applyAlignment="1">
      <alignment horizontal="center" vertical="center" wrapText="1"/>
    </xf>
    <xf numFmtId="0" fontId="12" fillId="2" borderId="35" xfId="8" applyFont="1" applyFill="1" applyBorder="1" applyAlignment="1">
      <alignment horizontal="center" vertical="center" wrapText="1"/>
    </xf>
    <xf numFmtId="0" fontId="12" fillId="2" borderId="36" xfId="8" applyFont="1" applyFill="1" applyBorder="1" applyAlignment="1">
      <alignment horizontal="center" vertical="center" wrapText="1"/>
    </xf>
    <xf numFmtId="0" fontId="6" fillId="0" borderId="19" xfId="6" applyBorder="1" applyAlignment="1">
      <alignment horizontal="center" vertical="center" wrapText="1"/>
    </xf>
    <xf numFmtId="0" fontId="6" fillId="0" borderId="0" xfId="6" applyAlignment="1">
      <alignment horizontal="center" vertical="center" wrapText="1"/>
    </xf>
    <xf numFmtId="0" fontId="6" fillId="0" borderId="20" xfId="6" applyBorder="1" applyAlignment="1">
      <alignment horizontal="center" vertical="center" wrapText="1"/>
    </xf>
    <xf numFmtId="0" fontId="12" fillId="0" borderId="19" xfId="6" applyFont="1" applyBorder="1" applyAlignment="1">
      <alignment horizontal="center" vertical="center" wrapText="1"/>
    </xf>
    <xf numFmtId="0" fontId="12" fillId="0" borderId="0" xfId="6" applyFont="1" applyAlignment="1">
      <alignment horizontal="center" vertical="center" wrapText="1"/>
    </xf>
    <xf numFmtId="0" fontId="12" fillId="0" borderId="20" xfId="6" applyFont="1" applyBorder="1" applyAlignment="1">
      <alignment horizontal="center" vertical="center" wrapText="1"/>
    </xf>
    <xf numFmtId="0" fontId="6" fillId="0" borderId="1" xfId="6" applyBorder="1" applyAlignment="1">
      <alignment horizontal="center" vertical="center" wrapText="1"/>
    </xf>
    <xf numFmtId="0" fontId="6" fillId="0" borderId="2" xfId="6" applyBorder="1" applyAlignment="1">
      <alignment horizontal="center" vertical="center" wrapText="1"/>
    </xf>
    <xf numFmtId="0" fontId="6" fillId="0" borderId="3" xfId="6" applyBorder="1" applyAlignment="1">
      <alignment horizontal="center" vertical="center" wrapText="1"/>
    </xf>
    <xf numFmtId="0" fontId="14" fillId="2" borderId="7" xfId="8" applyFont="1" applyFill="1" applyBorder="1" applyAlignment="1">
      <alignment horizontal="justify" vertical="center" wrapText="1"/>
    </xf>
    <xf numFmtId="0" fontId="14" fillId="2" borderId="8" xfId="8" applyFont="1" applyFill="1" applyBorder="1" applyAlignment="1">
      <alignment horizontal="justify" vertical="center" wrapText="1"/>
    </xf>
    <xf numFmtId="0" fontId="14" fillId="2" borderId="7" xfId="8" applyFont="1" applyFill="1" applyBorder="1" applyAlignment="1">
      <alignment horizontal="center" vertical="center" wrapText="1"/>
    </xf>
    <xf numFmtId="0" fontId="14" fillId="2" borderId="8" xfId="8" applyFont="1" applyFill="1" applyBorder="1" applyAlignment="1">
      <alignment horizontal="center" vertical="center" wrapText="1"/>
    </xf>
    <xf numFmtId="0" fontId="12" fillId="2" borderId="38" xfId="8" applyFont="1" applyFill="1" applyBorder="1" applyAlignment="1">
      <alignment horizontal="right" vertical="center" wrapText="1"/>
    </xf>
    <xf numFmtId="0" fontId="12" fillId="2" borderId="39" xfId="8" applyFont="1" applyFill="1" applyBorder="1" applyAlignment="1">
      <alignment horizontal="right" vertical="center" wrapText="1"/>
    </xf>
    <xf numFmtId="0" fontId="14" fillId="2" borderId="7" xfId="8" applyFont="1" applyFill="1" applyBorder="1" applyAlignment="1">
      <alignment horizontal="left" vertical="center" wrapText="1"/>
    </xf>
    <xf numFmtId="0" fontId="14" fillId="2" borderId="8" xfId="8" applyFont="1" applyFill="1" applyBorder="1" applyAlignment="1">
      <alignment horizontal="left" vertical="center" wrapText="1"/>
    </xf>
    <xf numFmtId="0" fontId="14" fillId="2" borderId="38" xfId="8" applyFont="1" applyFill="1" applyBorder="1" applyAlignment="1">
      <alignment horizontal="center" vertical="center" wrapText="1"/>
    </xf>
    <xf numFmtId="0" fontId="14" fillId="2" borderId="39" xfId="8" applyFont="1" applyFill="1" applyBorder="1" applyAlignment="1">
      <alignment horizontal="center" vertical="center" wrapText="1"/>
    </xf>
    <xf numFmtId="0" fontId="12" fillId="2" borderId="7" xfId="8" applyFont="1" applyFill="1" applyBorder="1" applyAlignment="1">
      <alignment horizontal="right" vertical="center" wrapText="1"/>
    </xf>
    <xf numFmtId="0" fontId="12" fillId="2" borderId="8" xfId="8" applyFont="1" applyFill="1" applyBorder="1" applyAlignment="1">
      <alignment horizontal="right" vertical="center" wrapText="1"/>
    </xf>
    <xf numFmtId="0" fontId="12" fillId="2" borderId="1" xfId="8" applyFont="1" applyFill="1" applyBorder="1" applyAlignment="1">
      <alignment horizontal="center" vertical="center" wrapText="1"/>
    </xf>
    <xf numFmtId="0" fontId="12" fillId="2" borderId="28" xfId="8" applyFont="1" applyFill="1" applyBorder="1" applyAlignment="1">
      <alignment horizontal="center" vertical="center" wrapText="1"/>
    </xf>
    <xf numFmtId="0" fontId="9" fillId="0" borderId="4" xfId="8" applyFont="1" applyBorder="1" applyAlignment="1">
      <alignment horizontal="justify" vertical="center" wrapText="1"/>
    </xf>
    <xf numFmtId="0" fontId="17" fillId="0" borderId="5" xfId="9" applyFont="1" applyBorder="1" applyAlignment="1">
      <alignment horizontal="justify" vertical="center" wrapText="1"/>
    </xf>
    <xf numFmtId="0" fontId="17" fillId="0" borderId="6" xfId="9" applyFont="1" applyBorder="1" applyAlignment="1">
      <alignment horizontal="justify" vertical="center" wrapText="1"/>
    </xf>
    <xf numFmtId="0" fontId="12" fillId="2" borderId="4" xfId="8" applyFont="1" applyFill="1" applyBorder="1" applyAlignment="1">
      <alignment horizontal="center" vertical="center" wrapText="1"/>
    </xf>
    <xf numFmtId="0" fontId="12" fillId="2" borderId="5" xfId="8" applyFont="1" applyFill="1" applyBorder="1" applyAlignment="1">
      <alignment horizontal="center" vertical="center" wrapText="1"/>
    </xf>
    <xf numFmtId="0" fontId="6" fillId="0" borderId="1" xfId="6" applyBorder="1" applyAlignment="1">
      <alignment horizontal="center" vertical="center"/>
    </xf>
    <xf numFmtId="0" fontId="6" fillId="0" borderId="2" xfId="6" applyBorder="1" applyAlignment="1">
      <alignment horizontal="center" vertical="center"/>
    </xf>
    <xf numFmtId="0" fontId="6" fillId="0" borderId="3" xfId="6" applyBorder="1" applyAlignment="1">
      <alignment horizontal="center" vertical="center"/>
    </xf>
    <xf numFmtId="0" fontId="14" fillId="2" borderId="40" xfId="8" applyFont="1" applyFill="1" applyBorder="1" applyAlignment="1">
      <alignment horizontal="left" vertical="center" wrapText="1"/>
    </xf>
    <xf numFmtId="0" fontId="14" fillId="2" borderId="41" xfId="8" applyFont="1" applyFill="1" applyBorder="1" applyAlignment="1">
      <alignment horizontal="left" vertical="center" wrapText="1"/>
    </xf>
    <xf numFmtId="0" fontId="12" fillId="2" borderId="13" xfId="8" applyFont="1" applyFill="1" applyBorder="1" applyAlignment="1">
      <alignment horizontal="center" vertical="center" wrapText="1"/>
    </xf>
    <xf numFmtId="0" fontId="12" fillId="2" borderId="14" xfId="8" applyFont="1" applyFill="1" applyBorder="1" applyAlignment="1">
      <alignment horizontal="center" vertical="center" wrapText="1"/>
    </xf>
    <xf numFmtId="0" fontId="12" fillId="2" borderId="24" xfId="8" applyFont="1" applyFill="1" applyBorder="1" applyAlignment="1">
      <alignment horizontal="center" vertical="center" wrapText="1"/>
    </xf>
    <xf numFmtId="0" fontId="12" fillId="2" borderId="25" xfId="8" applyFont="1" applyFill="1" applyBorder="1" applyAlignment="1">
      <alignment horizontal="center" vertical="center" wrapText="1"/>
    </xf>
    <xf numFmtId="0" fontId="12" fillId="2" borderId="26" xfId="8" applyFont="1" applyFill="1" applyBorder="1" applyAlignment="1">
      <alignment horizontal="center" vertical="center" wrapText="1"/>
    </xf>
    <xf numFmtId="0" fontId="14" fillId="2" borderId="38" xfId="8" applyFont="1" applyFill="1" applyBorder="1" applyAlignment="1">
      <alignment horizontal="left" vertical="center" wrapText="1"/>
    </xf>
    <xf numFmtId="0" fontId="14" fillId="2" borderId="39" xfId="8" applyFont="1" applyFill="1" applyBorder="1" applyAlignment="1">
      <alignment horizontal="left" vertical="center" wrapText="1"/>
    </xf>
    <xf numFmtId="0" fontId="12" fillId="2" borderId="40" xfId="8" applyFont="1" applyFill="1" applyBorder="1" applyAlignment="1">
      <alignment horizontal="right" vertical="center" wrapText="1"/>
    </xf>
    <xf numFmtId="0" fontId="12" fillId="2" borderId="41" xfId="8" applyFont="1" applyFill="1" applyBorder="1" applyAlignment="1">
      <alignment horizontal="right" vertical="center" wrapText="1"/>
    </xf>
    <xf numFmtId="0" fontId="3" fillId="2" borderId="31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173" fontId="12" fillId="0" borderId="7" xfId="10" applyNumberFormat="1" applyFont="1" applyBorder="1" applyAlignment="1">
      <alignment horizontal="center" vertical="center"/>
    </xf>
    <xf numFmtId="173" fontId="12" fillId="0" borderId="8" xfId="10" applyNumberFormat="1" applyFont="1" applyBorder="1" applyAlignment="1">
      <alignment horizontal="center" vertical="center"/>
    </xf>
    <xf numFmtId="174" fontId="11" fillId="0" borderId="13" xfId="11" applyFont="1" applyBorder="1" applyAlignment="1">
      <alignment horizontal="left" vertical="center"/>
    </xf>
    <xf numFmtId="174" fontId="11" fillId="0" borderId="14" xfId="11" applyFont="1" applyBorder="1" applyAlignment="1">
      <alignment horizontal="left" vertical="center"/>
    </xf>
    <xf numFmtId="174" fontId="0" fillId="0" borderId="7" xfId="11" applyFont="1" applyBorder="1" applyAlignment="1">
      <alignment horizontal="left" vertical="center"/>
    </xf>
    <xf numFmtId="174" fontId="0" fillId="0" borderId="8" xfId="11" applyFont="1" applyBorder="1" applyAlignment="1">
      <alignment horizontal="left" vertical="center"/>
    </xf>
    <xf numFmtId="174" fontId="11" fillId="0" borderId="7" xfId="11" applyFont="1" applyBorder="1" applyAlignment="1">
      <alignment horizontal="left" vertical="center"/>
    </xf>
    <xf numFmtId="174" fontId="11" fillId="0" borderId="8" xfId="11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22" fillId="0" borderId="1" xfId="13" applyFont="1" applyBorder="1" applyAlignment="1">
      <alignment horizontal="center" vertical="center"/>
    </xf>
    <xf numFmtId="0" fontId="22" fillId="0" borderId="2" xfId="13" applyFont="1" applyBorder="1" applyAlignment="1">
      <alignment horizontal="center" vertical="center"/>
    </xf>
    <xf numFmtId="0" fontId="22" fillId="0" borderId="3" xfId="13" applyFont="1" applyBorder="1" applyAlignment="1">
      <alignment horizontal="center" vertical="center"/>
    </xf>
    <xf numFmtId="0" fontId="22" fillId="0" borderId="24" xfId="13" applyFont="1" applyBorder="1" applyAlignment="1">
      <alignment horizontal="center" vertical="center"/>
    </xf>
    <xf numFmtId="0" fontId="22" fillId="0" borderId="25" xfId="13" applyFont="1" applyBorder="1" applyAlignment="1">
      <alignment horizontal="center" vertical="center"/>
    </xf>
    <xf numFmtId="0" fontId="22" fillId="0" borderId="26" xfId="13" applyFont="1" applyBorder="1" applyAlignment="1">
      <alignment horizontal="center" vertical="center"/>
    </xf>
    <xf numFmtId="0" fontId="22" fillId="0" borderId="7" xfId="13" applyFont="1" applyBorder="1" applyAlignment="1">
      <alignment horizontal="center" vertical="center"/>
    </xf>
    <xf numFmtId="0" fontId="22" fillId="0" borderId="8" xfId="13" applyFont="1" applyBorder="1" applyAlignment="1">
      <alignment horizontal="center" vertical="center"/>
    </xf>
    <xf numFmtId="0" fontId="22" fillId="0" borderId="9" xfId="13" applyFont="1" applyBorder="1" applyAlignment="1">
      <alignment horizontal="center" vertical="center"/>
    </xf>
    <xf numFmtId="0" fontId="22" fillId="0" borderId="13" xfId="13" applyFont="1" applyBorder="1" applyAlignment="1">
      <alignment horizontal="center" vertical="center"/>
    </xf>
    <xf numFmtId="0" fontId="22" fillId="0" borderId="14" xfId="13" applyFont="1" applyBorder="1" applyAlignment="1">
      <alignment horizontal="center" vertical="center"/>
    </xf>
    <xf numFmtId="0" fontId="22" fillId="0" borderId="15" xfId="13" applyFont="1" applyBorder="1" applyAlignment="1">
      <alignment horizontal="center" vertical="center"/>
    </xf>
    <xf numFmtId="0" fontId="14" fillId="0" borderId="1" xfId="13" applyBorder="1" applyAlignment="1">
      <alignment horizontal="center" vertical="center"/>
    </xf>
    <xf numFmtId="0" fontId="14" fillId="0" borderId="2" xfId="13" applyBorder="1" applyAlignment="1">
      <alignment horizontal="center" vertical="center"/>
    </xf>
    <xf numFmtId="0" fontId="14" fillId="0" borderId="3" xfId="13" applyBorder="1" applyAlignment="1">
      <alignment horizontal="center" vertical="center"/>
    </xf>
  </cellXfs>
  <cellStyles count="16">
    <cellStyle name="Millares" xfId="1" builtinId="3"/>
    <cellStyle name="Millares_Amaya-02" xfId="11" xr:uid="{00000000-0005-0000-0000-000001000000}"/>
    <cellStyle name="Moneda" xfId="2" builtinId="4"/>
    <cellStyle name="Normal" xfId="0" builtinId="0"/>
    <cellStyle name="Normal 10" xfId="10" xr:uid="{00000000-0005-0000-0000-000004000000}"/>
    <cellStyle name="Normal 14" xfId="13" xr:uid="{00000000-0005-0000-0000-000005000000}"/>
    <cellStyle name="Normal 2" xfId="6" xr:uid="{00000000-0005-0000-0000-000006000000}"/>
    <cellStyle name="Normal 3" xfId="14" xr:uid="{00000000-0005-0000-0000-000007000000}"/>
    <cellStyle name="Normal 3 2" xfId="15" xr:uid="{00000000-0005-0000-0000-000008000000}"/>
    <cellStyle name="Normal 5" xfId="9" xr:uid="{00000000-0005-0000-0000-000009000000}"/>
    <cellStyle name="Normal 6" xfId="8" xr:uid="{00000000-0005-0000-0000-00000A000000}"/>
    <cellStyle name="Normal 8" xfId="4" xr:uid="{00000000-0005-0000-0000-00000B000000}"/>
    <cellStyle name="Normal_modelo ACTA OBRA y MODIFICACION 2 2" xfId="3" xr:uid="{00000000-0005-0000-0000-00000C000000}"/>
    <cellStyle name="Normal_presupuesto por actividad" xfId="5" xr:uid="{00000000-0005-0000-0000-00000D000000}"/>
    <cellStyle name="Porcentaje" xfId="7" builtinId="5"/>
    <cellStyle name="Porcentaje 3" xfId="12" xr:uid="{00000000-0005-0000-0000-00000F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</sheetPr>
  <dimension ref="B1:J26"/>
  <sheetViews>
    <sheetView view="pageBreakPreview" topLeftCell="B1" zoomScaleNormal="100" zoomScaleSheetLayoutView="100" workbookViewId="0">
      <selection activeCell="I4" sqref="I4"/>
    </sheetView>
  </sheetViews>
  <sheetFormatPr baseColWidth="10" defaultColWidth="9.1796875" defaultRowHeight="14.5"/>
  <cols>
    <col min="1" max="1" width="20.1796875" style="159" customWidth="1"/>
    <col min="2" max="2" width="13" style="159" customWidth="1"/>
    <col min="3" max="3" width="58.26953125" style="159" customWidth="1"/>
    <col min="4" max="4" width="9" style="159" bestFit="1" customWidth="1"/>
    <col min="5" max="5" width="11.7265625" style="159" bestFit="1" customWidth="1"/>
    <col min="6" max="6" width="14.7265625" style="159" bestFit="1" customWidth="1"/>
    <col min="7" max="7" width="18.26953125" style="159" bestFit="1" customWidth="1"/>
    <col min="8" max="8" width="9.54296875" style="159" bestFit="1" customWidth="1"/>
    <col min="9" max="10" width="12.54296875" style="159" bestFit="1" customWidth="1"/>
    <col min="11" max="16384" width="9.1796875" style="159"/>
  </cols>
  <sheetData>
    <row r="1" spans="2:9" ht="9" customHeight="1" thickBot="1"/>
    <row r="2" spans="2:9" ht="45" customHeight="1" thickBot="1">
      <c r="B2" s="180" t="s">
        <v>170</v>
      </c>
      <c r="C2" s="181"/>
      <c r="D2" s="181"/>
      <c r="E2" s="181"/>
      <c r="F2" s="181"/>
      <c r="G2" s="182"/>
    </row>
    <row r="3" spans="2:9" ht="6.75" customHeight="1" thickBot="1">
      <c r="B3" s="186"/>
      <c r="C3" s="187"/>
      <c r="D3" s="187"/>
      <c r="E3" s="187"/>
      <c r="F3" s="187"/>
      <c r="G3" s="188"/>
    </row>
    <row r="4" spans="2:9" ht="16.5" customHeight="1" thickBot="1">
      <c r="B4" s="180" t="s">
        <v>0</v>
      </c>
      <c r="C4" s="181"/>
      <c r="D4" s="181"/>
      <c r="E4" s="181"/>
      <c r="F4" s="181"/>
      <c r="G4" s="182"/>
    </row>
    <row r="5" spans="2:9" ht="7.5" customHeight="1" thickBot="1">
      <c r="B5" s="189"/>
      <c r="C5" s="190"/>
      <c r="D5" s="190"/>
      <c r="E5" s="190"/>
      <c r="F5" s="190"/>
      <c r="G5" s="191"/>
    </row>
    <row r="6" spans="2:9" ht="21.75" customHeight="1">
      <c r="B6" s="18" t="s">
        <v>1</v>
      </c>
      <c r="C6" s="19" t="s">
        <v>2</v>
      </c>
      <c r="D6" s="14" t="s">
        <v>3</v>
      </c>
      <c r="E6" s="15" t="s">
        <v>4</v>
      </c>
      <c r="F6" s="16" t="s">
        <v>5</v>
      </c>
      <c r="G6" s="17" t="s">
        <v>6</v>
      </c>
    </row>
    <row r="7" spans="2:9" ht="19.5" customHeight="1">
      <c r="B7" s="1">
        <v>1</v>
      </c>
      <c r="C7" s="194" t="s">
        <v>7</v>
      </c>
      <c r="D7" s="195"/>
      <c r="E7" s="195"/>
      <c r="F7" s="195"/>
      <c r="G7" s="196"/>
    </row>
    <row r="8" spans="2:9" ht="19.5" customHeight="1">
      <c r="B8" s="3" t="s">
        <v>8</v>
      </c>
      <c r="C8" s="4" t="s">
        <v>9</v>
      </c>
      <c r="D8" s="2" t="s">
        <v>10</v>
      </c>
      <c r="E8" s="166">
        <f>(180-10)+(269-30)+(217-20)</f>
        <v>606</v>
      </c>
      <c r="F8" s="167">
        <v>3323</v>
      </c>
      <c r="G8" s="5">
        <f>+ROUND(E8*F8,0)</f>
        <v>2013738</v>
      </c>
      <c r="H8" s="168"/>
    </row>
    <row r="9" spans="2:9" ht="19.5" customHeight="1">
      <c r="B9" s="1">
        <v>2</v>
      </c>
      <c r="C9" s="194" t="s">
        <v>11</v>
      </c>
      <c r="D9" s="195"/>
      <c r="E9" s="195"/>
      <c r="F9" s="195"/>
      <c r="G9" s="196"/>
      <c r="H9" s="156"/>
    </row>
    <row r="10" spans="2:9" ht="32.25" customHeight="1">
      <c r="B10" s="3" t="s">
        <v>12</v>
      </c>
      <c r="C10" s="4" t="s">
        <v>13</v>
      </c>
      <c r="D10" s="169" t="s">
        <v>14</v>
      </c>
      <c r="E10" s="170">
        <v>19450</v>
      </c>
      <c r="F10" s="167">
        <v>18048</v>
      </c>
      <c r="G10" s="5">
        <f t="shared" ref="G10:G11" si="0">+ROUND(E10*F10,0)</f>
        <v>351033600</v>
      </c>
      <c r="H10" s="171"/>
      <c r="I10" s="172"/>
    </row>
    <row r="11" spans="2:9" ht="32.25" customHeight="1">
      <c r="B11" s="3" t="s">
        <v>89</v>
      </c>
      <c r="C11" s="4" t="s">
        <v>64</v>
      </c>
      <c r="D11" s="169" t="s">
        <v>14</v>
      </c>
      <c r="E11" s="170">
        <f>+E10*1.25+0.5</f>
        <v>24313</v>
      </c>
      <c r="F11" s="167">
        <v>3102</v>
      </c>
      <c r="G11" s="5">
        <f t="shared" si="0"/>
        <v>75418926</v>
      </c>
      <c r="H11" s="171"/>
      <c r="I11" s="172"/>
    </row>
    <row r="12" spans="2:9" ht="16.5" customHeight="1">
      <c r="B12" s="176" t="s">
        <v>15</v>
      </c>
      <c r="C12" s="177"/>
      <c r="D12" s="177"/>
      <c r="E12" s="177"/>
      <c r="F12" s="177"/>
      <c r="G12" s="6">
        <f>SUM(G8:G11)</f>
        <v>428466264</v>
      </c>
    </row>
    <row r="13" spans="2:9" ht="20.25" hidden="1" customHeight="1">
      <c r="B13" s="192" t="s">
        <v>16</v>
      </c>
      <c r="C13" s="193"/>
      <c r="D13" s="193"/>
      <c r="E13" s="193"/>
      <c r="F13" s="7">
        <v>0.24</v>
      </c>
      <c r="G13" s="8">
        <f>+ROUND(F13*G12,0)</f>
        <v>102831903</v>
      </c>
    </row>
    <row r="14" spans="2:9" ht="20.25" hidden="1" customHeight="1">
      <c r="B14" s="192" t="s">
        <v>17</v>
      </c>
      <c r="C14" s="193"/>
      <c r="D14" s="193"/>
      <c r="E14" s="193"/>
      <c r="F14" s="7">
        <v>0.05</v>
      </c>
      <c r="G14" s="8">
        <f>+ROUND(F14*G12,0)</f>
        <v>21423313</v>
      </c>
    </row>
    <row r="15" spans="2:9" ht="20.25" hidden="1" customHeight="1">
      <c r="B15" s="192" t="s">
        <v>18</v>
      </c>
      <c r="C15" s="193"/>
      <c r="D15" s="193"/>
      <c r="E15" s="193"/>
      <c r="F15" s="7">
        <v>0.01</v>
      </c>
      <c r="G15" s="8">
        <f>+ROUND(F15*G12,0)</f>
        <v>4284663</v>
      </c>
    </row>
    <row r="16" spans="2:9" ht="18" customHeight="1">
      <c r="B16" s="176" t="s">
        <v>21</v>
      </c>
      <c r="C16" s="177"/>
      <c r="D16" s="177"/>
      <c r="E16" s="177"/>
      <c r="F16" s="9">
        <f>SUM(F13:F15)</f>
        <v>0.3</v>
      </c>
      <c r="G16" s="10">
        <f>SUM(G13:G15)</f>
        <v>128539879</v>
      </c>
    </row>
    <row r="17" spans="2:10" ht="18" customHeight="1">
      <c r="B17" s="176" t="s">
        <v>22</v>
      </c>
      <c r="C17" s="177"/>
      <c r="D17" s="177"/>
      <c r="E17" s="177"/>
      <c r="F17" s="9">
        <v>0.19</v>
      </c>
      <c r="G17" s="10">
        <f>ROUND($G$14*F17,0)</f>
        <v>4070429</v>
      </c>
    </row>
    <row r="18" spans="2:10" ht="18" customHeight="1" thickBot="1">
      <c r="B18" s="178" t="s">
        <v>19</v>
      </c>
      <c r="C18" s="179"/>
      <c r="D18" s="179"/>
      <c r="E18" s="179"/>
      <c r="F18" s="179"/>
      <c r="G18" s="11">
        <f>+G12+G16+G17</f>
        <v>561076572</v>
      </c>
      <c r="H18" s="173"/>
      <c r="I18" s="174"/>
      <c r="J18" s="175"/>
    </row>
    <row r="19" spans="2:10" ht="8.25" customHeight="1" thickBot="1">
      <c r="B19" s="183"/>
      <c r="C19" s="184"/>
      <c r="D19" s="184"/>
      <c r="E19" s="184"/>
      <c r="F19" s="184"/>
      <c r="G19" s="185"/>
    </row>
    <row r="20" spans="2:10">
      <c r="B20" s="157"/>
      <c r="C20" s="153"/>
      <c r="D20" s="153"/>
      <c r="E20" s="153"/>
      <c r="F20" s="153"/>
      <c r="G20" s="158"/>
    </row>
    <row r="21" spans="2:10">
      <c r="B21" s="156"/>
      <c r="G21" s="160"/>
    </row>
    <row r="22" spans="2:10">
      <c r="B22" s="156"/>
      <c r="G22" s="160"/>
    </row>
    <row r="23" spans="2:10">
      <c r="B23" s="156"/>
      <c r="G23" s="160"/>
    </row>
    <row r="24" spans="2:10" ht="15.5">
      <c r="B24" s="154" t="s">
        <v>168</v>
      </c>
      <c r="G24" s="160"/>
    </row>
    <row r="25" spans="2:10">
      <c r="B25" s="156" t="s">
        <v>169</v>
      </c>
      <c r="G25" s="160"/>
    </row>
    <row r="26" spans="2:10" ht="15" thickBot="1">
      <c r="B26" s="155"/>
      <c r="C26" s="161"/>
      <c r="D26" s="161"/>
      <c r="E26" s="161"/>
      <c r="F26" s="161"/>
      <c r="G26" s="162"/>
    </row>
  </sheetData>
  <mergeCells count="14">
    <mergeCell ref="B17:E17"/>
    <mergeCell ref="B18:F18"/>
    <mergeCell ref="B2:G2"/>
    <mergeCell ref="B19:G19"/>
    <mergeCell ref="B3:G3"/>
    <mergeCell ref="B4:G4"/>
    <mergeCell ref="B5:G5"/>
    <mergeCell ref="B12:F12"/>
    <mergeCell ref="B13:E13"/>
    <mergeCell ref="C9:G9"/>
    <mergeCell ref="C7:G7"/>
    <mergeCell ref="B14:E14"/>
    <mergeCell ref="B15:E15"/>
    <mergeCell ref="B16:E16"/>
  </mergeCells>
  <printOptions horizontalCentered="1"/>
  <pageMargins left="0.31496062992125984" right="0.31496062992125984" top="0.74803149606299213" bottom="0.35433070866141736" header="0.31496062992125984" footer="0.31496062992125984"/>
  <pageSetup scale="80" orientation="portrait" copies="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0.39997558519241921"/>
  </sheetPr>
  <dimension ref="B1:D35"/>
  <sheetViews>
    <sheetView view="pageBreakPreview" zoomScaleNormal="100" zoomScaleSheetLayoutView="100" workbookViewId="0">
      <selection activeCell="B39" sqref="B39"/>
    </sheetView>
  </sheetViews>
  <sheetFormatPr baseColWidth="10" defaultRowHeight="14.5"/>
  <cols>
    <col min="1" max="1" width="35.7265625" customWidth="1"/>
    <col min="2" max="2" width="62.1796875" customWidth="1"/>
    <col min="3" max="3" width="11.7265625" customWidth="1"/>
    <col min="4" max="4" width="28.453125" customWidth="1"/>
  </cols>
  <sheetData>
    <row r="1" spans="2:4" ht="15" thickBot="1"/>
    <row r="2" spans="2:4" ht="27.75" customHeight="1" thickBot="1">
      <c r="B2" s="197" t="s">
        <v>20</v>
      </c>
      <c r="C2" s="198"/>
      <c r="D2" s="199"/>
    </row>
    <row r="3" spans="2:4" ht="8.25" customHeight="1" thickBot="1">
      <c r="B3" s="231"/>
      <c r="C3" s="232"/>
      <c r="D3" s="233"/>
    </row>
    <row r="4" spans="2:4" ht="42" customHeight="1" thickBot="1">
      <c r="B4" s="229" t="s">
        <v>26</v>
      </c>
      <c r="C4" s="230"/>
      <c r="D4" s="66" t="s">
        <v>84</v>
      </c>
    </row>
    <row r="5" spans="2:4" ht="9" customHeight="1" thickBot="1">
      <c r="B5" s="231"/>
      <c r="C5" s="232"/>
      <c r="D5" s="233"/>
    </row>
    <row r="6" spans="2:4" ht="26.25" customHeight="1">
      <c r="B6" s="200" t="s">
        <v>68</v>
      </c>
      <c r="C6" s="201"/>
      <c r="D6" s="202"/>
    </row>
    <row r="7" spans="2:4">
      <c r="B7" s="214" t="s">
        <v>67</v>
      </c>
      <c r="C7" s="215"/>
      <c r="D7" s="67"/>
    </row>
    <row r="8" spans="2:4">
      <c r="B8" s="212" t="s">
        <v>65</v>
      </c>
      <c r="C8" s="213"/>
      <c r="D8" s="68">
        <v>0.125</v>
      </c>
    </row>
    <row r="9" spans="2:4" ht="28.5" customHeight="1">
      <c r="B9" s="212" t="s">
        <v>66</v>
      </c>
      <c r="C9" s="213"/>
      <c r="D9" s="68">
        <v>0.01</v>
      </c>
    </row>
    <row r="10" spans="2:4" ht="19.5" customHeight="1">
      <c r="B10" s="216" t="s">
        <v>69</v>
      </c>
      <c r="C10" s="217"/>
      <c r="D10" s="69">
        <f>SUM(D8:D9)</f>
        <v>0.13500000000000001</v>
      </c>
    </row>
    <row r="11" spans="2:4">
      <c r="B11" s="220" t="s">
        <v>85</v>
      </c>
      <c r="C11" s="221"/>
      <c r="D11" s="67"/>
    </row>
    <row r="12" spans="2:4">
      <c r="B12" s="218" t="s">
        <v>70</v>
      </c>
      <c r="C12" s="219"/>
      <c r="D12" s="68">
        <v>0.01</v>
      </c>
    </row>
    <row r="13" spans="2:4">
      <c r="B13" s="218" t="s">
        <v>71</v>
      </c>
      <c r="C13" s="219"/>
      <c r="D13" s="68">
        <v>0.02</v>
      </c>
    </row>
    <row r="14" spans="2:4">
      <c r="B14" s="218" t="s">
        <v>72</v>
      </c>
      <c r="C14" s="219"/>
      <c r="D14" s="68">
        <v>2E-3</v>
      </c>
    </row>
    <row r="15" spans="2:4" ht="45" customHeight="1">
      <c r="B15" s="212" t="s">
        <v>73</v>
      </c>
      <c r="C15" s="213"/>
      <c r="D15" s="68">
        <v>0.01</v>
      </c>
    </row>
    <row r="16" spans="2:4">
      <c r="B16" s="218" t="s">
        <v>74</v>
      </c>
      <c r="C16" s="219"/>
      <c r="D16" s="68">
        <v>3.0000000000000001E-3</v>
      </c>
    </row>
    <row r="17" spans="2:4">
      <c r="B17" s="222" t="s">
        <v>86</v>
      </c>
      <c r="C17" s="223"/>
      <c r="D17" s="69">
        <f>SUM(D12:D16)</f>
        <v>4.5000000000000005E-2</v>
      </c>
    </row>
    <row r="18" spans="2:4">
      <c r="B18" s="220" t="s">
        <v>75</v>
      </c>
      <c r="C18" s="221"/>
      <c r="D18" s="67"/>
    </row>
    <row r="19" spans="2:4" ht="30" customHeight="1">
      <c r="B19" s="212" t="s">
        <v>76</v>
      </c>
      <c r="C19" s="213"/>
      <c r="D19" s="68">
        <v>0.06</v>
      </c>
    </row>
    <row r="20" spans="2:4">
      <c r="B20" s="243" t="s">
        <v>77</v>
      </c>
      <c r="C20" s="244"/>
      <c r="D20" s="70">
        <f>SUM(D19:D19)</f>
        <v>0.06</v>
      </c>
    </row>
    <row r="21" spans="2:4" ht="26.25" customHeight="1" thickBot="1">
      <c r="B21" s="236" t="s">
        <v>78</v>
      </c>
      <c r="C21" s="237"/>
      <c r="D21" s="71">
        <f>+D10+D17+D20</f>
        <v>0.24000000000000002</v>
      </c>
    </row>
    <row r="22" spans="2:4" ht="9" customHeight="1" thickBot="1">
      <c r="B22" s="203"/>
      <c r="C22" s="204"/>
      <c r="D22" s="205"/>
    </row>
    <row r="23" spans="2:4" ht="27" customHeight="1">
      <c r="B23" s="200" t="s">
        <v>79</v>
      </c>
      <c r="C23" s="201"/>
      <c r="D23" s="202"/>
    </row>
    <row r="24" spans="2:4">
      <c r="B24" s="234" t="s">
        <v>80</v>
      </c>
      <c r="C24" s="235"/>
      <c r="D24" s="72">
        <v>0.01</v>
      </c>
    </row>
    <row r="25" spans="2:4" ht="25.5" customHeight="1" thickBot="1">
      <c r="B25" s="236" t="s">
        <v>81</v>
      </c>
      <c r="C25" s="237"/>
      <c r="D25" s="71">
        <f>+D24</f>
        <v>0.01</v>
      </c>
    </row>
    <row r="26" spans="2:4" ht="10.5" customHeight="1" thickBot="1">
      <c r="B26" s="206"/>
      <c r="C26" s="207"/>
      <c r="D26" s="208"/>
    </row>
    <row r="27" spans="2:4" ht="25.5" customHeight="1">
      <c r="B27" s="238" t="s">
        <v>17</v>
      </c>
      <c r="C27" s="239"/>
      <c r="D27" s="240"/>
    </row>
    <row r="28" spans="2:4">
      <c r="B28" s="241" t="s">
        <v>87</v>
      </c>
      <c r="C28" s="242"/>
      <c r="D28" s="73">
        <v>0.05</v>
      </c>
    </row>
    <row r="29" spans="2:4" ht="25.5" customHeight="1" thickBot="1">
      <c r="B29" s="236" t="s">
        <v>82</v>
      </c>
      <c r="C29" s="237"/>
      <c r="D29" s="71">
        <f>+D28</f>
        <v>0.05</v>
      </c>
    </row>
    <row r="30" spans="2:4" ht="10.5" customHeight="1" thickBot="1">
      <c r="B30" s="209"/>
      <c r="C30" s="210"/>
      <c r="D30" s="211"/>
    </row>
    <row r="31" spans="2:4" ht="25.5" customHeight="1" thickBot="1">
      <c r="B31" s="224" t="s">
        <v>83</v>
      </c>
      <c r="C31" s="225"/>
      <c r="D31" s="74">
        <f>+D29+D25+D21</f>
        <v>0.30000000000000004</v>
      </c>
    </row>
    <row r="32" spans="2:4" ht="9.75" customHeight="1" thickBot="1">
      <c r="B32" s="75"/>
      <c r="C32" s="12"/>
      <c r="D32" s="76"/>
    </row>
    <row r="33" spans="2:4" ht="81" customHeight="1" thickBot="1">
      <c r="B33" s="226" t="s">
        <v>88</v>
      </c>
      <c r="C33" s="227"/>
      <c r="D33" s="228"/>
    </row>
    <row r="34" spans="2:4" ht="10.5" customHeight="1" thickBot="1">
      <c r="B34" s="163"/>
      <c r="C34" s="164"/>
      <c r="D34" s="165"/>
    </row>
    <row r="35" spans="2:4">
      <c r="B35" s="13"/>
      <c r="C35" s="13"/>
      <c r="D35" s="12"/>
    </row>
  </sheetData>
  <mergeCells count="31">
    <mergeCell ref="B31:C31"/>
    <mergeCell ref="B33:D33"/>
    <mergeCell ref="B4:C4"/>
    <mergeCell ref="B3:D3"/>
    <mergeCell ref="B5:D5"/>
    <mergeCell ref="B24:C24"/>
    <mergeCell ref="B25:C25"/>
    <mergeCell ref="B27:D27"/>
    <mergeCell ref="B28:C28"/>
    <mergeCell ref="B29:C29"/>
    <mergeCell ref="B18:C18"/>
    <mergeCell ref="B19:C19"/>
    <mergeCell ref="B20:C20"/>
    <mergeCell ref="B21:C21"/>
    <mergeCell ref="B23:D23"/>
    <mergeCell ref="B2:D2"/>
    <mergeCell ref="B6:D6"/>
    <mergeCell ref="B22:D22"/>
    <mergeCell ref="B26:D26"/>
    <mergeCell ref="B30:D30"/>
    <mergeCell ref="B8:C8"/>
    <mergeCell ref="B9:C9"/>
    <mergeCell ref="B7:C7"/>
    <mergeCell ref="B10:C10"/>
    <mergeCell ref="B12:C12"/>
    <mergeCell ref="B13:C13"/>
    <mergeCell ref="B14:C14"/>
    <mergeCell ref="B15:C15"/>
    <mergeCell ref="B16:C16"/>
    <mergeCell ref="B11:C11"/>
    <mergeCell ref="B17:C17"/>
  </mergeCells>
  <printOptions horizontalCentered="1"/>
  <pageMargins left="0.31496062992125984" right="0.31496062992125984" top="0.51181102362204722" bottom="0.35433070866141736" header="0.31496062992125984" footer="0.31496062992125984"/>
  <pageSetup scale="95" orientation="portrait" copies="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39997558519241921"/>
  </sheetPr>
  <dimension ref="B1:H34"/>
  <sheetViews>
    <sheetView view="pageBreakPreview" zoomScaleNormal="100" zoomScaleSheetLayoutView="100" workbookViewId="0">
      <selection activeCell="D10" sqref="D10"/>
    </sheetView>
  </sheetViews>
  <sheetFormatPr baseColWidth="10" defaultRowHeight="14.5"/>
  <cols>
    <col min="1" max="1" width="45.26953125" customWidth="1"/>
    <col min="2" max="2" width="22" bestFit="1" customWidth="1"/>
    <col min="3" max="3" width="10.26953125" bestFit="1" customWidth="1"/>
    <col min="4" max="4" width="15.1796875" bestFit="1" customWidth="1"/>
    <col min="5" max="5" width="14.1796875" bestFit="1" customWidth="1"/>
    <col min="6" max="6" width="17.81640625" bestFit="1" customWidth="1"/>
    <col min="7" max="7" width="9" bestFit="1" customWidth="1"/>
    <col min="8" max="8" width="10.54296875" bestFit="1" customWidth="1"/>
  </cols>
  <sheetData>
    <row r="1" spans="2:8" ht="15" thickBot="1"/>
    <row r="2" spans="2:8" ht="15" thickBot="1">
      <c r="B2" s="248" t="s">
        <v>23</v>
      </c>
      <c r="C2" s="249"/>
      <c r="D2" s="249"/>
      <c r="E2" s="249"/>
      <c r="F2" s="249"/>
      <c r="G2" s="249"/>
      <c r="H2" s="250"/>
    </row>
    <row r="3" spans="2:8" ht="15" thickBot="1">
      <c r="B3" s="24"/>
      <c r="C3" s="25"/>
      <c r="D3" s="25"/>
      <c r="E3" s="25"/>
      <c r="F3" s="26"/>
      <c r="G3" s="26"/>
      <c r="H3" s="27"/>
    </row>
    <row r="4" spans="2:8" ht="15" thickBot="1">
      <c r="B4" s="28" t="s">
        <v>1</v>
      </c>
      <c r="C4" s="249" t="s">
        <v>24</v>
      </c>
      <c r="D4" s="249"/>
      <c r="E4" s="249"/>
      <c r="F4" s="249"/>
      <c r="G4" s="249"/>
      <c r="H4" s="29" t="s">
        <v>3</v>
      </c>
    </row>
    <row r="5" spans="2:8" ht="15" thickBot="1">
      <c r="B5" s="22" t="s">
        <v>8</v>
      </c>
      <c r="C5" s="251" t="s">
        <v>9</v>
      </c>
      <c r="D5" s="184"/>
      <c r="E5" s="184"/>
      <c r="F5" s="184"/>
      <c r="G5" s="252"/>
      <c r="H5" s="23" t="s">
        <v>10</v>
      </c>
    </row>
    <row r="6" spans="2:8" ht="15" thickBot="1">
      <c r="B6" s="24"/>
      <c r="C6" s="25"/>
      <c r="D6" s="25"/>
      <c r="E6" s="25"/>
      <c r="F6" s="26"/>
      <c r="G6" s="26"/>
      <c r="H6" s="27"/>
    </row>
    <row r="7" spans="2:8">
      <c r="B7" s="253" t="s">
        <v>25</v>
      </c>
      <c r="C7" s="254"/>
      <c r="D7" s="254"/>
      <c r="E7" s="254"/>
      <c r="F7" s="254"/>
      <c r="G7" s="254"/>
      <c r="H7" s="255"/>
    </row>
    <row r="8" spans="2:8">
      <c r="B8" s="30" t="s">
        <v>26</v>
      </c>
      <c r="C8" s="31" t="s">
        <v>3</v>
      </c>
      <c r="D8" s="31" t="s">
        <v>4</v>
      </c>
      <c r="E8" s="31" t="s">
        <v>27</v>
      </c>
      <c r="F8" s="32" t="s">
        <v>28</v>
      </c>
      <c r="G8" s="32" t="s">
        <v>29</v>
      </c>
      <c r="H8" s="33" t="s">
        <v>30</v>
      </c>
    </row>
    <row r="9" spans="2:8">
      <c r="B9" s="34" t="s">
        <v>31</v>
      </c>
      <c r="C9" s="35" t="s">
        <v>32</v>
      </c>
      <c r="D9" s="36">
        <v>8.5000000000000006E-2</v>
      </c>
      <c r="E9" s="35"/>
      <c r="F9" s="37">
        <v>2810</v>
      </c>
      <c r="G9" s="37">
        <f>+ROUND(D9*F9,0)</f>
        <v>239</v>
      </c>
      <c r="H9" s="256"/>
    </row>
    <row r="10" spans="2:8">
      <c r="B10" s="34" t="s">
        <v>33</v>
      </c>
      <c r="C10" s="35" t="s">
        <v>34</v>
      </c>
      <c r="D10" s="36">
        <v>5.0000000000000001E-4</v>
      </c>
      <c r="E10" s="35"/>
      <c r="F10" s="37">
        <v>8740</v>
      </c>
      <c r="G10" s="37">
        <f>+ROUND(D10*F10,0)</f>
        <v>4</v>
      </c>
      <c r="H10" s="257"/>
    </row>
    <row r="11" spans="2:8">
      <c r="B11" s="34" t="s">
        <v>35</v>
      </c>
      <c r="C11" s="35" t="s">
        <v>36</v>
      </c>
      <c r="D11" s="36">
        <v>0.01</v>
      </c>
      <c r="E11" s="35"/>
      <c r="F11" s="37">
        <v>6249</v>
      </c>
      <c r="G11" s="37">
        <f>+ROUND(D11*F11,0)</f>
        <v>62</v>
      </c>
      <c r="H11" s="257"/>
    </row>
    <row r="12" spans="2:8">
      <c r="B12" s="34"/>
      <c r="C12" s="35"/>
      <c r="D12" s="36"/>
      <c r="E12" s="35"/>
      <c r="F12" s="37"/>
      <c r="G12" s="37"/>
      <c r="H12" s="257"/>
    </row>
    <row r="13" spans="2:8" ht="15" thickBot="1">
      <c r="B13" s="245" t="s">
        <v>37</v>
      </c>
      <c r="C13" s="246"/>
      <c r="D13" s="246"/>
      <c r="E13" s="246"/>
      <c r="F13" s="246"/>
      <c r="G13" s="247"/>
      <c r="H13" s="38">
        <f>+SUM(G9:G12)</f>
        <v>305</v>
      </c>
    </row>
    <row r="14" spans="2:8" ht="15" thickBot="1">
      <c r="B14" s="39"/>
      <c r="C14" s="40"/>
      <c r="D14" s="40"/>
      <c r="E14" s="40"/>
      <c r="F14" s="41"/>
      <c r="G14" s="41"/>
      <c r="H14" s="42"/>
    </row>
    <row r="15" spans="2:8">
      <c r="B15" s="263" t="s">
        <v>38</v>
      </c>
      <c r="C15" s="264"/>
      <c r="D15" s="264"/>
      <c r="E15" s="264"/>
      <c r="F15" s="264"/>
      <c r="G15" s="264"/>
      <c r="H15" s="265"/>
    </row>
    <row r="16" spans="2:8">
      <c r="B16" s="43" t="s">
        <v>26</v>
      </c>
      <c r="C16" s="44" t="s">
        <v>3</v>
      </c>
      <c r="D16" s="44" t="s">
        <v>39</v>
      </c>
      <c r="E16" s="44"/>
      <c r="F16" s="45" t="s">
        <v>28</v>
      </c>
      <c r="G16" s="45" t="s">
        <v>29</v>
      </c>
      <c r="H16" s="46" t="s">
        <v>30</v>
      </c>
    </row>
    <row r="17" spans="2:8">
      <c r="B17" s="34" t="s">
        <v>40</v>
      </c>
      <c r="C17" s="35"/>
      <c r="D17" s="47">
        <v>0.1</v>
      </c>
      <c r="E17" s="35"/>
      <c r="F17" s="37">
        <v>2374</v>
      </c>
      <c r="G17" s="37">
        <f>+ROUND(D17*F17,0)</f>
        <v>237</v>
      </c>
      <c r="H17" s="256"/>
    </row>
    <row r="18" spans="2:8">
      <c r="B18" s="34" t="s">
        <v>41</v>
      </c>
      <c r="C18" s="35" t="s">
        <v>42</v>
      </c>
      <c r="D18" s="48">
        <v>180</v>
      </c>
      <c r="E18" s="35"/>
      <c r="F18" s="37">
        <v>73333</v>
      </c>
      <c r="G18" s="37">
        <f>+ROUND(F18/D18,0)</f>
        <v>407</v>
      </c>
      <c r="H18" s="257"/>
    </row>
    <row r="19" spans="2:8" ht="15" thickBot="1">
      <c r="B19" s="258" t="s">
        <v>43</v>
      </c>
      <c r="C19" s="259"/>
      <c r="D19" s="259"/>
      <c r="E19" s="259"/>
      <c r="F19" s="259"/>
      <c r="G19" s="260"/>
      <c r="H19" s="49">
        <f>+SUM(G17:G18)</f>
        <v>644</v>
      </c>
    </row>
    <row r="20" spans="2:8" ht="15" thickBot="1">
      <c r="B20" s="24"/>
      <c r="C20" s="25"/>
      <c r="D20" s="25"/>
      <c r="E20" s="25"/>
      <c r="F20" s="26"/>
      <c r="G20" s="26"/>
      <c r="H20" s="27"/>
    </row>
    <row r="21" spans="2:8">
      <c r="B21" s="253" t="s">
        <v>44</v>
      </c>
      <c r="C21" s="254"/>
      <c r="D21" s="254"/>
      <c r="E21" s="254"/>
      <c r="F21" s="254"/>
      <c r="G21" s="254"/>
      <c r="H21" s="255"/>
    </row>
    <row r="22" spans="2:8">
      <c r="B22" s="30" t="s">
        <v>26</v>
      </c>
      <c r="C22" s="31" t="s">
        <v>4</v>
      </c>
      <c r="D22" s="32" t="s">
        <v>39</v>
      </c>
      <c r="E22" s="31" t="s">
        <v>45</v>
      </c>
      <c r="F22" s="31" t="s">
        <v>28</v>
      </c>
      <c r="G22" s="32" t="s">
        <v>29</v>
      </c>
      <c r="H22" s="33" t="s">
        <v>30</v>
      </c>
    </row>
    <row r="23" spans="2:8">
      <c r="B23" s="50" t="s">
        <v>46</v>
      </c>
      <c r="C23" s="2">
        <v>1</v>
      </c>
      <c r="D23" s="51">
        <f>+D18</f>
        <v>180</v>
      </c>
      <c r="E23" s="52">
        <v>0.8</v>
      </c>
      <c r="F23" s="53">
        <v>94900</v>
      </c>
      <c r="G23" s="53">
        <f>+ROUND(C23*(F23+(F23*E23))/D23,0)</f>
        <v>949</v>
      </c>
      <c r="H23" s="266"/>
    </row>
    <row r="24" spans="2:8">
      <c r="B24" s="50" t="s">
        <v>47</v>
      </c>
      <c r="C24" s="2">
        <v>1</v>
      </c>
      <c r="D24" s="51">
        <f>+D23</f>
        <v>180</v>
      </c>
      <c r="E24" s="52">
        <v>0.8</v>
      </c>
      <c r="F24" s="53">
        <v>47450</v>
      </c>
      <c r="G24" s="53">
        <f t="shared" ref="G24:G26" si="0">+ROUND(C24*(F24+(F24*E24))/D24,0)</f>
        <v>475</v>
      </c>
      <c r="H24" s="267"/>
    </row>
    <row r="25" spans="2:8">
      <c r="B25" s="50" t="s">
        <v>48</v>
      </c>
      <c r="C25" s="2">
        <v>1</v>
      </c>
      <c r="D25" s="51">
        <f>+D24</f>
        <v>180</v>
      </c>
      <c r="E25" s="52">
        <v>0.8</v>
      </c>
      <c r="F25" s="53">
        <v>47450</v>
      </c>
      <c r="G25" s="53">
        <f t="shared" si="0"/>
        <v>475</v>
      </c>
      <c r="H25" s="267"/>
    </row>
    <row r="26" spans="2:8">
      <c r="B26" s="50" t="s">
        <v>49</v>
      </c>
      <c r="C26" s="2">
        <v>1</v>
      </c>
      <c r="D26" s="51">
        <f>+D25</f>
        <v>180</v>
      </c>
      <c r="E26" s="52">
        <v>0.8</v>
      </c>
      <c r="F26" s="53">
        <v>47450</v>
      </c>
      <c r="G26" s="53">
        <f t="shared" si="0"/>
        <v>475</v>
      </c>
      <c r="H26" s="267"/>
    </row>
    <row r="27" spans="2:8" ht="15" thickBot="1">
      <c r="B27" s="258" t="s">
        <v>50</v>
      </c>
      <c r="C27" s="259"/>
      <c r="D27" s="259"/>
      <c r="E27" s="259"/>
      <c r="F27" s="259"/>
      <c r="G27" s="260"/>
      <c r="H27" s="49">
        <f>+SUM(G23:G26)</f>
        <v>2374</v>
      </c>
    </row>
    <row r="28" spans="2:8" ht="15" thickBot="1">
      <c r="B28" s="24"/>
      <c r="C28" s="25"/>
      <c r="D28" s="25"/>
      <c r="E28" s="25"/>
      <c r="F28" s="26"/>
      <c r="G28" s="26"/>
      <c r="H28" s="27"/>
    </row>
    <row r="29" spans="2:8">
      <c r="B29" s="253" t="s">
        <v>51</v>
      </c>
      <c r="C29" s="254"/>
      <c r="D29" s="254"/>
      <c r="E29" s="254"/>
      <c r="F29" s="254"/>
      <c r="G29" s="254"/>
      <c r="H29" s="255"/>
    </row>
    <row r="30" spans="2:8">
      <c r="B30" s="30" t="s">
        <v>26</v>
      </c>
      <c r="C30" s="31" t="s">
        <v>4</v>
      </c>
      <c r="D30" s="31" t="s">
        <v>52</v>
      </c>
      <c r="E30" s="31" t="s">
        <v>53</v>
      </c>
      <c r="F30" s="32" t="s">
        <v>28</v>
      </c>
      <c r="G30" s="32" t="s">
        <v>29</v>
      </c>
      <c r="H30" s="33" t="s">
        <v>30</v>
      </c>
    </row>
    <row r="31" spans="2:8">
      <c r="B31" s="54"/>
      <c r="C31" s="2"/>
      <c r="D31" s="2"/>
      <c r="E31" s="2"/>
      <c r="F31" s="55"/>
      <c r="G31" s="55"/>
      <c r="H31" s="56"/>
    </row>
    <row r="32" spans="2:8" ht="15" thickBot="1">
      <c r="B32" s="258" t="s">
        <v>54</v>
      </c>
      <c r="C32" s="259"/>
      <c r="D32" s="259"/>
      <c r="E32" s="259"/>
      <c r="F32" s="259"/>
      <c r="G32" s="260"/>
      <c r="H32" s="49">
        <f>+SUM(G28:G31)</f>
        <v>0</v>
      </c>
    </row>
    <row r="33" spans="2:8" ht="15" thickBot="1">
      <c r="B33" s="24"/>
      <c r="C33" s="25"/>
      <c r="D33" s="25"/>
      <c r="E33" s="25"/>
      <c r="F33" s="26"/>
      <c r="G33" s="26"/>
      <c r="H33" s="27"/>
    </row>
    <row r="34" spans="2:8" ht="15" thickBot="1">
      <c r="B34" s="261" t="s">
        <v>55</v>
      </c>
      <c r="C34" s="262"/>
      <c r="D34" s="262"/>
      <c r="E34" s="262"/>
      <c r="F34" s="262"/>
      <c r="G34" s="262"/>
      <c r="H34" s="57">
        <f>+ROUND(H32+H27+H19+H13,0)</f>
        <v>3323</v>
      </c>
    </row>
  </sheetData>
  <mergeCells count="15">
    <mergeCell ref="B29:H29"/>
    <mergeCell ref="B32:G32"/>
    <mergeCell ref="B34:G34"/>
    <mergeCell ref="B15:H15"/>
    <mergeCell ref="H17:H18"/>
    <mergeCell ref="B19:G19"/>
    <mergeCell ref="B21:H21"/>
    <mergeCell ref="H23:H26"/>
    <mergeCell ref="B27:G27"/>
    <mergeCell ref="B13:G13"/>
    <mergeCell ref="B2:H2"/>
    <mergeCell ref="C4:G4"/>
    <mergeCell ref="C5:G5"/>
    <mergeCell ref="B7:H7"/>
    <mergeCell ref="H9:H12"/>
  </mergeCells>
  <printOptions horizontalCentered="1"/>
  <pageMargins left="0.31496062992125984" right="0.31496062992125984" top="0.74803149606299213" bottom="0.74803149606299213" header="0.31496062992125984" footer="0.31496062992125984"/>
  <pageSetup scale="95" orientation="portrait" copies="2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39997558519241921"/>
  </sheetPr>
  <dimension ref="B1:H29"/>
  <sheetViews>
    <sheetView view="pageBreakPreview" zoomScaleNormal="100" zoomScaleSheetLayoutView="100" workbookViewId="0">
      <selection activeCell="G11" sqref="G11"/>
    </sheetView>
  </sheetViews>
  <sheetFormatPr baseColWidth="10" defaultRowHeight="14.5"/>
  <cols>
    <col min="1" max="1" width="45.453125" customWidth="1"/>
    <col min="2" max="2" width="27.1796875" bestFit="1" customWidth="1"/>
    <col min="3" max="3" width="10.26953125" bestFit="1" customWidth="1"/>
    <col min="4" max="4" width="15.1796875" bestFit="1" customWidth="1"/>
    <col min="5" max="5" width="14.1796875" bestFit="1" customWidth="1"/>
    <col min="6" max="6" width="17.81640625" bestFit="1" customWidth="1"/>
    <col min="7" max="7" width="10.54296875" bestFit="1" customWidth="1"/>
  </cols>
  <sheetData>
    <row r="1" spans="2:8" ht="15" thickBot="1"/>
    <row r="2" spans="2:8" ht="15" thickBot="1">
      <c r="B2" s="261" t="s">
        <v>23</v>
      </c>
      <c r="C2" s="262"/>
      <c r="D2" s="262"/>
      <c r="E2" s="262"/>
      <c r="F2" s="262"/>
      <c r="G2" s="262"/>
      <c r="H2" s="271"/>
    </row>
    <row r="3" spans="2:8" ht="15" thickBot="1">
      <c r="B3" s="24"/>
      <c r="C3" s="25"/>
      <c r="D3" s="25"/>
      <c r="E3" s="25"/>
      <c r="F3" s="26"/>
      <c r="G3" s="26"/>
      <c r="H3" s="27"/>
    </row>
    <row r="4" spans="2:8" ht="15" thickBot="1">
      <c r="B4" s="28" t="s">
        <v>1</v>
      </c>
      <c r="C4" s="272" t="s">
        <v>24</v>
      </c>
      <c r="D4" s="262"/>
      <c r="E4" s="262"/>
      <c r="F4" s="262"/>
      <c r="G4" s="273"/>
      <c r="H4" s="29" t="s">
        <v>3</v>
      </c>
    </row>
    <row r="5" spans="2:8" ht="35.25" customHeight="1" thickBot="1">
      <c r="B5" s="22" t="s">
        <v>12</v>
      </c>
      <c r="C5" s="274" t="s">
        <v>13</v>
      </c>
      <c r="D5" s="275"/>
      <c r="E5" s="275"/>
      <c r="F5" s="275"/>
      <c r="G5" s="276"/>
      <c r="H5" s="23" t="s">
        <v>14</v>
      </c>
    </row>
    <row r="6" spans="2:8" ht="15" thickBot="1">
      <c r="B6" s="24"/>
      <c r="C6" s="25"/>
      <c r="D6" s="25"/>
      <c r="E6" s="25"/>
      <c r="F6" s="26"/>
      <c r="G6" s="26"/>
      <c r="H6" s="27"/>
    </row>
    <row r="7" spans="2:8">
      <c r="B7" s="268" t="s">
        <v>25</v>
      </c>
      <c r="C7" s="269"/>
      <c r="D7" s="269"/>
      <c r="E7" s="269"/>
      <c r="F7" s="269"/>
      <c r="G7" s="269"/>
      <c r="H7" s="270"/>
    </row>
    <row r="8" spans="2:8">
      <c r="B8" s="30" t="s">
        <v>26</v>
      </c>
      <c r="C8" s="31" t="s">
        <v>3</v>
      </c>
      <c r="D8" s="31" t="s">
        <v>4</v>
      </c>
      <c r="E8" s="31" t="s">
        <v>27</v>
      </c>
      <c r="F8" s="32" t="s">
        <v>28</v>
      </c>
      <c r="G8" s="32" t="s">
        <v>29</v>
      </c>
      <c r="H8" s="33" t="s">
        <v>30</v>
      </c>
    </row>
    <row r="9" spans="2:8">
      <c r="B9" s="54"/>
      <c r="C9" s="2"/>
      <c r="D9" s="58"/>
      <c r="E9" s="2"/>
      <c r="F9" s="55"/>
      <c r="G9" s="55"/>
      <c r="H9" s="56"/>
    </row>
    <row r="10" spans="2:8" ht="15" thickBot="1">
      <c r="B10" s="258" t="s">
        <v>37</v>
      </c>
      <c r="C10" s="259"/>
      <c r="D10" s="259"/>
      <c r="E10" s="259"/>
      <c r="F10" s="259"/>
      <c r="G10" s="260"/>
      <c r="H10" s="59">
        <f>+SUM(G9:G9)</f>
        <v>0</v>
      </c>
    </row>
    <row r="11" spans="2:8" ht="15" thickBot="1">
      <c r="B11" s="24"/>
      <c r="C11" s="25"/>
      <c r="D11" s="25"/>
      <c r="E11" s="25"/>
      <c r="F11" s="26"/>
      <c r="G11" s="26"/>
      <c r="H11" s="27"/>
    </row>
    <row r="12" spans="2:8">
      <c r="B12" s="268" t="s">
        <v>38</v>
      </c>
      <c r="C12" s="269"/>
      <c r="D12" s="269"/>
      <c r="E12" s="269"/>
      <c r="F12" s="269"/>
      <c r="G12" s="269"/>
      <c r="H12" s="270"/>
    </row>
    <row r="13" spans="2:8">
      <c r="B13" s="30" t="s">
        <v>26</v>
      </c>
      <c r="C13" s="31" t="s">
        <v>3</v>
      </c>
      <c r="D13" s="31" t="s">
        <v>39</v>
      </c>
      <c r="E13" s="31"/>
      <c r="F13" s="32" t="s">
        <v>28</v>
      </c>
      <c r="G13" s="32" t="s">
        <v>29</v>
      </c>
      <c r="H13" s="33" t="s">
        <v>30</v>
      </c>
    </row>
    <row r="14" spans="2:8">
      <c r="B14" s="50" t="s">
        <v>40</v>
      </c>
      <c r="C14" s="2"/>
      <c r="D14" s="60">
        <v>0.1</v>
      </c>
      <c r="E14" s="2"/>
      <c r="F14" s="53">
        <v>1335</v>
      </c>
      <c r="G14" s="53">
        <f>+ROUND(D14*F14,0)</f>
        <v>134</v>
      </c>
      <c r="H14" s="266"/>
    </row>
    <row r="15" spans="2:8">
      <c r="B15" s="61" t="s">
        <v>56</v>
      </c>
      <c r="C15" s="2" t="s">
        <v>57</v>
      </c>
      <c r="D15" s="62">
        <v>32</v>
      </c>
      <c r="E15" s="2"/>
      <c r="F15" s="53">
        <v>252484</v>
      </c>
      <c r="G15" s="53">
        <f>+ROUND(F15/D15,0)</f>
        <v>7890</v>
      </c>
      <c r="H15" s="267"/>
    </row>
    <row r="16" spans="2:8">
      <c r="B16" s="61" t="s">
        <v>58</v>
      </c>
      <c r="C16" s="2" t="s">
        <v>57</v>
      </c>
      <c r="D16" s="62">
        <f>+D15</f>
        <v>32</v>
      </c>
      <c r="E16" s="2"/>
      <c r="F16" s="53">
        <v>278061</v>
      </c>
      <c r="G16" s="53">
        <f>+ROUND(F16/D16,0)</f>
        <v>8689</v>
      </c>
      <c r="H16" s="277"/>
    </row>
    <row r="17" spans="2:8" ht="15" thickBot="1">
      <c r="B17" s="258" t="s">
        <v>43</v>
      </c>
      <c r="C17" s="259"/>
      <c r="D17" s="259"/>
      <c r="E17" s="259"/>
      <c r="F17" s="259"/>
      <c r="G17" s="260"/>
      <c r="H17" s="49">
        <f>+SUM(G14:G16)</f>
        <v>16713</v>
      </c>
    </row>
    <row r="18" spans="2:8" ht="15" thickBot="1">
      <c r="B18" s="24"/>
      <c r="C18" s="25"/>
      <c r="D18" s="25"/>
      <c r="E18" s="25"/>
      <c r="F18" s="26"/>
      <c r="G18" s="26"/>
      <c r="H18" s="27"/>
    </row>
    <row r="19" spans="2:8">
      <c r="B19" s="268" t="s">
        <v>44</v>
      </c>
      <c r="C19" s="269"/>
      <c r="D19" s="269"/>
      <c r="E19" s="269"/>
      <c r="F19" s="269"/>
      <c r="G19" s="269"/>
      <c r="H19" s="270"/>
    </row>
    <row r="20" spans="2:8">
      <c r="B20" s="30" t="s">
        <v>26</v>
      </c>
      <c r="C20" s="31" t="s">
        <v>4</v>
      </c>
      <c r="D20" s="32" t="s">
        <v>39</v>
      </c>
      <c r="E20" s="31" t="s">
        <v>45</v>
      </c>
      <c r="F20" s="31" t="s">
        <v>28</v>
      </c>
      <c r="G20" s="32" t="s">
        <v>29</v>
      </c>
      <c r="H20" s="33" t="s">
        <v>30</v>
      </c>
    </row>
    <row r="21" spans="2:8">
      <c r="B21" s="50" t="s">
        <v>49</v>
      </c>
      <c r="C21" s="2">
        <v>1</v>
      </c>
      <c r="D21" s="62">
        <f>+D16*2</f>
        <v>64</v>
      </c>
      <c r="E21" s="52">
        <v>0.8</v>
      </c>
      <c r="F21" s="53">
        <v>47450</v>
      </c>
      <c r="G21" s="53">
        <f>+ROUND((F21+(F21*E21))/D21,0)</f>
        <v>1335</v>
      </c>
      <c r="H21" s="56"/>
    </row>
    <row r="22" spans="2:8" ht="15" thickBot="1">
      <c r="B22" s="258" t="s">
        <v>50</v>
      </c>
      <c r="C22" s="259"/>
      <c r="D22" s="259"/>
      <c r="E22" s="259"/>
      <c r="F22" s="259"/>
      <c r="G22" s="260"/>
      <c r="H22" s="49">
        <f>+SUM(G21:G21)</f>
        <v>1335</v>
      </c>
    </row>
    <row r="23" spans="2:8" ht="15" thickBot="1">
      <c r="B23" s="24"/>
      <c r="C23" s="25"/>
      <c r="D23" s="25"/>
      <c r="E23" s="25"/>
      <c r="F23" s="26"/>
      <c r="G23" s="26"/>
      <c r="H23" s="27"/>
    </row>
    <row r="24" spans="2:8">
      <c r="B24" s="268" t="s">
        <v>51</v>
      </c>
      <c r="C24" s="269"/>
      <c r="D24" s="269"/>
      <c r="E24" s="269"/>
      <c r="F24" s="269"/>
      <c r="G24" s="269"/>
      <c r="H24" s="270"/>
    </row>
    <row r="25" spans="2:8">
      <c r="B25" s="30" t="s">
        <v>26</v>
      </c>
      <c r="C25" s="31" t="s">
        <v>4</v>
      </c>
      <c r="D25" s="31" t="s">
        <v>52</v>
      </c>
      <c r="E25" s="31" t="s">
        <v>53</v>
      </c>
      <c r="F25" s="32" t="s">
        <v>28</v>
      </c>
      <c r="G25" s="32" t="s">
        <v>29</v>
      </c>
      <c r="H25" s="33" t="s">
        <v>30</v>
      </c>
    </row>
    <row r="26" spans="2:8">
      <c r="B26" s="54"/>
      <c r="C26" s="2"/>
      <c r="D26" s="2"/>
      <c r="E26" s="2"/>
      <c r="F26" s="55"/>
      <c r="G26" s="55"/>
      <c r="H26" s="56"/>
    </row>
    <row r="27" spans="2:8" ht="15" thickBot="1">
      <c r="B27" s="258" t="s">
        <v>54</v>
      </c>
      <c r="C27" s="259"/>
      <c r="D27" s="259"/>
      <c r="E27" s="259"/>
      <c r="F27" s="259"/>
      <c r="G27" s="260"/>
      <c r="H27" s="63"/>
    </row>
    <row r="28" spans="2:8" ht="15" thickBot="1">
      <c r="B28" s="24"/>
      <c r="C28" s="25"/>
      <c r="D28" s="25"/>
      <c r="E28" s="25"/>
      <c r="F28" s="26"/>
      <c r="G28" s="26"/>
      <c r="H28" s="27"/>
    </row>
    <row r="29" spans="2:8" ht="15" thickBot="1">
      <c r="B29" s="261" t="s">
        <v>59</v>
      </c>
      <c r="C29" s="262"/>
      <c r="D29" s="262"/>
      <c r="E29" s="262"/>
      <c r="F29" s="262"/>
      <c r="G29" s="262"/>
      <c r="H29" s="57">
        <f>+ROUND(H27+H22+H17+H10,0)</f>
        <v>18048</v>
      </c>
    </row>
  </sheetData>
  <mergeCells count="13">
    <mergeCell ref="B29:G29"/>
    <mergeCell ref="H14:H16"/>
    <mergeCell ref="B17:G17"/>
    <mergeCell ref="B19:H19"/>
    <mergeCell ref="B22:G22"/>
    <mergeCell ref="B24:H24"/>
    <mergeCell ref="B27:G27"/>
    <mergeCell ref="B12:H12"/>
    <mergeCell ref="B2:H2"/>
    <mergeCell ref="C4:G4"/>
    <mergeCell ref="C5:G5"/>
    <mergeCell ref="B7:H7"/>
    <mergeCell ref="B10:G10"/>
  </mergeCells>
  <printOptions horizontalCentered="1"/>
  <pageMargins left="0.31496062992125984" right="0.31496062992125984" top="0.74803149606299213" bottom="0.74803149606299213" header="0.31496062992125984" footer="0.31496062992125984"/>
  <pageSetup scale="90" orientation="portrait" copies="2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39997558519241921"/>
  </sheetPr>
  <dimension ref="B1:H29"/>
  <sheetViews>
    <sheetView view="pageBreakPreview" zoomScaleNormal="100" zoomScaleSheetLayoutView="100" workbookViewId="0">
      <selection activeCell="C5" sqref="C5:G5"/>
    </sheetView>
  </sheetViews>
  <sheetFormatPr baseColWidth="10" defaultRowHeight="14.5"/>
  <cols>
    <col min="1" max="1" width="45.453125" customWidth="1"/>
    <col min="2" max="2" width="24" customWidth="1"/>
    <col min="3" max="3" width="15.453125" customWidth="1"/>
    <col min="4" max="4" width="15.1796875" bestFit="1" customWidth="1"/>
    <col min="5" max="5" width="15.1796875" customWidth="1"/>
    <col min="6" max="6" width="17.81640625" bestFit="1" customWidth="1"/>
    <col min="7" max="7" width="12.26953125" customWidth="1"/>
  </cols>
  <sheetData>
    <row r="1" spans="2:8" ht="15" thickBot="1"/>
    <row r="2" spans="2:8" ht="15" thickBot="1">
      <c r="B2" s="261" t="s">
        <v>23</v>
      </c>
      <c r="C2" s="262"/>
      <c r="D2" s="262"/>
      <c r="E2" s="262"/>
      <c r="F2" s="262"/>
      <c r="G2" s="262"/>
      <c r="H2" s="271"/>
    </row>
    <row r="3" spans="2:8" ht="15" thickBot="1">
      <c r="B3" s="24"/>
      <c r="C3" s="25"/>
      <c r="D3" s="25"/>
      <c r="E3" s="25"/>
      <c r="F3" s="26"/>
      <c r="G3" s="26"/>
      <c r="H3" s="27"/>
    </row>
    <row r="4" spans="2:8" ht="15" thickBot="1">
      <c r="B4" s="28" t="s">
        <v>1</v>
      </c>
      <c r="C4" s="272" t="s">
        <v>24</v>
      </c>
      <c r="D4" s="262"/>
      <c r="E4" s="262"/>
      <c r="F4" s="262"/>
      <c r="G4" s="273"/>
      <c r="H4" s="29" t="s">
        <v>3</v>
      </c>
    </row>
    <row r="5" spans="2:8" ht="27.75" customHeight="1" thickBot="1">
      <c r="B5" s="22" t="s">
        <v>60</v>
      </c>
      <c r="C5" s="274" t="s">
        <v>64</v>
      </c>
      <c r="D5" s="275"/>
      <c r="E5" s="275"/>
      <c r="F5" s="275"/>
      <c r="G5" s="276"/>
      <c r="H5" s="23" t="s">
        <v>14</v>
      </c>
    </row>
    <row r="6" spans="2:8" ht="15" thickBot="1">
      <c r="B6" s="24"/>
      <c r="C6" s="25"/>
      <c r="D6" s="25"/>
      <c r="E6" s="25"/>
      <c r="F6" s="26"/>
      <c r="G6" s="26"/>
      <c r="H6" s="27"/>
    </row>
    <row r="7" spans="2:8">
      <c r="B7" s="268" t="s">
        <v>25</v>
      </c>
      <c r="C7" s="269"/>
      <c r="D7" s="269"/>
      <c r="E7" s="269"/>
      <c r="F7" s="269"/>
      <c r="G7" s="269"/>
      <c r="H7" s="270"/>
    </row>
    <row r="8" spans="2:8">
      <c r="B8" s="30" t="s">
        <v>26</v>
      </c>
      <c r="C8" s="31" t="s">
        <v>3</v>
      </c>
      <c r="D8" s="31" t="s">
        <v>4</v>
      </c>
      <c r="E8" s="31" t="s">
        <v>27</v>
      </c>
      <c r="F8" s="32" t="s">
        <v>28</v>
      </c>
      <c r="G8" s="32" t="s">
        <v>29</v>
      </c>
      <c r="H8" s="33" t="s">
        <v>30</v>
      </c>
    </row>
    <row r="9" spans="2:8">
      <c r="B9" s="54"/>
      <c r="C9" s="2"/>
      <c r="D9" s="58"/>
      <c r="E9" s="2"/>
      <c r="F9" s="55"/>
      <c r="G9" s="55"/>
      <c r="H9" s="56"/>
    </row>
    <row r="10" spans="2:8" ht="15" thickBot="1">
      <c r="B10" s="258" t="s">
        <v>37</v>
      </c>
      <c r="C10" s="259"/>
      <c r="D10" s="259"/>
      <c r="E10" s="259"/>
      <c r="F10" s="259"/>
      <c r="G10" s="260"/>
      <c r="H10" s="59">
        <f>+SUM(G9:G9)</f>
        <v>0</v>
      </c>
    </row>
    <row r="11" spans="2:8" ht="15" thickBot="1">
      <c r="B11" s="24"/>
      <c r="C11" s="25"/>
      <c r="D11" s="25"/>
      <c r="E11" s="25"/>
      <c r="F11" s="26"/>
      <c r="G11" s="26"/>
      <c r="H11" s="27"/>
    </row>
    <row r="12" spans="2:8">
      <c r="B12" s="268" t="s">
        <v>38</v>
      </c>
      <c r="C12" s="269"/>
      <c r="D12" s="269"/>
      <c r="E12" s="269"/>
      <c r="F12" s="269"/>
      <c r="G12" s="269"/>
      <c r="H12" s="270"/>
    </row>
    <row r="13" spans="2:8">
      <c r="B13" s="30" t="s">
        <v>26</v>
      </c>
      <c r="C13" s="31" t="s">
        <v>3</v>
      </c>
      <c r="D13" s="31" t="s">
        <v>39</v>
      </c>
      <c r="E13" s="31"/>
      <c r="F13" s="32" t="s">
        <v>28</v>
      </c>
      <c r="G13" s="32" t="s">
        <v>29</v>
      </c>
      <c r="H13" s="33" t="s">
        <v>30</v>
      </c>
    </row>
    <row r="14" spans="2:8">
      <c r="B14" s="64" t="s">
        <v>40</v>
      </c>
      <c r="C14" s="2"/>
      <c r="D14" s="60">
        <v>0.1</v>
      </c>
      <c r="E14" s="2"/>
      <c r="F14" s="53">
        <v>569</v>
      </c>
      <c r="G14" s="53">
        <f>+ROUND(D14*F14,0)</f>
        <v>57</v>
      </c>
      <c r="H14" s="266"/>
    </row>
    <row r="15" spans="2:8">
      <c r="B15" s="61" t="s">
        <v>167</v>
      </c>
      <c r="C15" s="2" t="s">
        <v>57</v>
      </c>
      <c r="D15" s="65">
        <v>150</v>
      </c>
      <c r="E15" s="2"/>
      <c r="F15" s="53">
        <v>122719</v>
      </c>
      <c r="G15" s="53">
        <f>+ROUND(F15/D15,0)</f>
        <v>818</v>
      </c>
      <c r="H15" s="267"/>
    </row>
    <row r="16" spans="2:8">
      <c r="B16" s="61" t="s">
        <v>61</v>
      </c>
      <c r="C16" s="2" t="s">
        <v>57</v>
      </c>
      <c r="D16" s="65">
        <f>+D15</f>
        <v>150</v>
      </c>
      <c r="E16" s="2"/>
      <c r="F16" s="53">
        <v>248770</v>
      </c>
      <c r="G16" s="53">
        <f>+ROUND(F16/D16,0)</f>
        <v>1658</v>
      </c>
      <c r="H16" s="277"/>
    </row>
    <row r="17" spans="2:8" ht="15" thickBot="1">
      <c r="B17" s="258" t="s">
        <v>43</v>
      </c>
      <c r="C17" s="259"/>
      <c r="D17" s="259"/>
      <c r="E17" s="259"/>
      <c r="F17" s="259"/>
      <c r="G17" s="260"/>
      <c r="H17" s="49">
        <f>+SUM(G14:G16)</f>
        <v>2533</v>
      </c>
    </row>
    <row r="18" spans="2:8" ht="15" thickBot="1">
      <c r="B18" s="24"/>
      <c r="C18" s="25"/>
      <c r="D18" s="25"/>
      <c r="E18" s="25"/>
      <c r="F18" s="26"/>
      <c r="G18" s="26"/>
      <c r="H18" s="27"/>
    </row>
    <row r="19" spans="2:8">
      <c r="B19" s="268" t="s">
        <v>44</v>
      </c>
      <c r="C19" s="269"/>
      <c r="D19" s="269"/>
      <c r="E19" s="269"/>
      <c r="F19" s="269"/>
      <c r="G19" s="269"/>
      <c r="H19" s="270"/>
    </row>
    <row r="20" spans="2:8">
      <c r="B20" s="30" t="s">
        <v>26</v>
      </c>
      <c r="C20" s="31" t="s">
        <v>4</v>
      </c>
      <c r="D20" s="32" t="s">
        <v>39</v>
      </c>
      <c r="E20" s="31" t="s">
        <v>45</v>
      </c>
      <c r="F20" s="31" t="s">
        <v>28</v>
      </c>
      <c r="G20" s="32" t="s">
        <v>29</v>
      </c>
      <c r="H20" s="33" t="s">
        <v>30</v>
      </c>
    </row>
    <row r="21" spans="2:8">
      <c r="B21" s="54" t="s">
        <v>49</v>
      </c>
      <c r="C21" s="2">
        <v>1</v>
      </c>
      <c r="D21" s="65">
        <f>+D15</f>
        <v>150</v>
      </c>
      <c r="E21" s="52">
        <v>0.8</v>
      </c>
      <c r="F21" s="53">
        <v>47450</v>
      </c>
      <c r="G21" s="53">
        <f>+ROUND((F21+(F21*E21))/D21,0)</f>
        <v>569</v>
      </c>
      <c r="H21" s="56"/>
    </row>
    <row r="22" spans="2:8" ht="15" thickBot="1">
      <c r="B22" s="258" t="s">
        <v>50</v>
      </c>
      <c r="C22" s="259"/>
      <c r="D22" s="259"/>
      <c r="E22" s="259"/>
      <c r="F22" s="259"/>
      <c r="G22" s="260"/>
      <c r="H22" s="49">
        <f>+SUM(G21:G21)</f>
        <v>569</v>
      </c>
    </row>
    <row r="23" spans="2:8" ht="15" thickBot="1">
      <c r="B23" s="24"/>
      <c r="C23" s="25"/>
      <c r="D23" s="25"/>
      <c r="E23" s="25"/>
      <c r="F23" s="26"/>
      <c r="G23" s="26"/>
      <c r="H23" s="27"/>
    </row>
    <row r="24" spans="2:8">
      <c r="B24" s="268" t="s">
        <v>51</v>
      </c>
      <c r="C24" s="269"/>
      <c r="D24" s="269"/>
      <c r="E24" s="269"/>
      <c r="F24" s="269"/>
      <c r="G24" s="269"/>
      <c r="H24" s="270"/>
    </row>
    <row r="25" spans="2:8">
      <c r="B25" s="30" t="s">
        <v>26</v>
      </c>
      <c r="C25" s="31" t="s">
        <v>4</v>
      </c>
      <c r="D25" s="31" t="s">
        <v>52</v>
      </c>
      <c r="E25" s="31" t="s">
        <v>53</v>
      </c>
      <c r="F25" s="32" t="s">
        <v>28</v>
      </c>
      <c r="G25" s="32" t="s">
        <v>29</v>
      </c>
      <c r="H25" s="33" t="s">
        <v>30</v>
      </c>
    </row>
    <row r="26" spans="2:8">
      <c r="B26" s="54"/>
      <c r="C26" s="2"/>
      <c r="D26" s="55"/>
      <c r="E26" s="55"/>
      <c r="F26" s="55"/>
      <c r="G26" s="55"/>
      <c r="H26" s="56"/>
    </row>
    <row r="27" spans="2:8" ht="15" thickBot="1">
      <c r="B27" s="258" t="s">
        <v>62</v>
      </c>
      <c r="C27" s="259"/>
      <c r="D27" s="259"/>
      <c r="E27" s="259"/>
      <c r="F27" s="259"/>
      <c r="G27" s="260"/>
      <c r="H27" s="59">
        <f>+G26</f>
        <v>0</v>
      </c>
    </row>
    <row r="28" spans="2:8" ht="15" thickBot="1">
      <c r="B28" s="24"/>
      <c r="C28" s="25"/>
      <c r="D28" s="25"/>
      <c r="E28" s="25"/>
      <c r="F28" s="26"/>
      <c r="G28" s="26"/>
      <c r="H28" s="27"/>
    </row>
    <row r="29" spans="2:8" ht="15" thickBot="1">
      <c r="B29" s="261" t="s">
        <v>63</v>
      </c>
      <c r="C29" s="262"/>
      <c r="D29" s="262"/>
      <c r="E29" s="262"/>
      <c r="F29" s="262"/>
      <c r="G29" s="262"/>
      <c r="H29" s="57">
        <f>+ROUND(H27+H22+H17+H10,0)</f>
        <v>3102</v>
      </c>
    </row>
  </sheetData>
  <mergeCells count="13">
    <mergeCell ref="B29:G29"/>
    <mergeCell ref="H14:H16"/>
    <mergeCell ref="B17:G17"/>
    <mergeCell ref="B19:H19"/>
    <mergeCell ref="B22:G22"/>
    <mergeCell ref="B24:H24"/>
    <mergeCell ref="B27:G27"/>
    <mergeCell ref="B12:H12"/>
    <mergeCell ref="B2:H2"/>
    <mergeCell ref="C4:G4"/>
    <mergeCell ref="C5:G5"/>
    <mergeCell ref="B7:H7"/>
    <mergeCell ref="B10:G10"/>
  </mergeCells>
  <printOptions horizontalCentered="1"/>
  <pageMargins left="0.31496062992125984" right="0.31496062992125984" top="0.74803149606299213" bottom="0.74803149606299213" header="0.31496062992125984" footer="0.31496062992125984"/>
  <pageSetup scale="85" orientation="portrait" copies="2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0.39997558519241921"/>
  </sheetPr>
  <dimension ref="B1:J27"/>
  <sheetViews>
    <sheetView view="pageBreakPreview" zoomScaleNormal="100" zoomScaleSheetLayoutView="100" workbookViewId="0">
      <selection activeCell="B8" sqref="B8:J8"/>
    </sheetView>
  </sheetViews>
  <sheetFormatPr baseColWidth="10" defaultColWidth="11.453125" defaultRowHeight="14.5"/>
  <cols>
    <col min="1" max="1" width="20.1796875" style="20" customWidth="1"/>
    <col min="2" max="2" width="24" style="20" customWidth="1"/>
    <col min="3" max="3" width="12.54296875" style="20" customWidth="1"/>
    <col min="4" max="4" width="12.26953125" style="20" bestFit="1" customWidth="1"/>
    <col min="5" max="5" width="13.26953125" style="20" customWidth="1"/>
    <col min="6" max="6" width="10.1796875" style="20" customWidth="1"/>
    <col min="7" max="7" width="10.7265625" style="20" customWidth="1"/>
    <col min="8" max="8" width="16.453125" style="20" customWidth="1"/>
    <col min="9" max="9" width="18.54296875" style="20" customWidth="1"/>
    <col min="10" max="10" width="12.81640625" style="20" customWidth="1"/>
    <col min="11" max="16384" width="11.453125" style="20"/>
  </cols>
  <sheetData>
    <row r="1" spans="2:10" ht="15" thickBot="1"/>
    <row r="2" spans="2:10" ht="19.5" customHeight="1" thickBot="1">
      <c r="B2" s="278" t="s">
        <v>38</v>
      </c>
      <c r="C2" s="279"/>
      <c r="D2" s="279"/>
      <c r="E2" s="279"/>
      <c r="F2" s="279"/>
      <c r="G2" s="280"/>
      <c r="H2" s="280"/>
      <c r="I2" s="280"/>
      <c r="J2" s="281"/>
    </row>
    <row r="3" spans="2:10" ht="44.25" customHeight="1">
      <c r="B3" s="136" t="s">
        <v>90</v>
      </c>
      <c r="C3" s="137" t="s">
        <v>91</v>
      </c>
      <c r="D3" s="100" t="s">
        <v>92</v>
      </c>
      <c r="E3" s="100" t="s">
        <v>93</v>
      </c>
      <c r="F3" s="100" t="s">
        <v>94</v>
      </c>
      <c r="G3" s="100" t="s">
        <v>95</v>
      </c>
      <c r="H3" s="100" t="s">
        <v>96</v>
      </c>
      <c r="I3" s="100" t="s">
        <v>97</v>
      </c>
      <c r="J3" s="138" t="s">
        <v>98</v>
      </c>
    </row>
    <row r="4" spans="2:10">
      <c r="B4" s="78" t="s">
        <v>99</v>
      </c>
      <c r="C4" s="79" t="s">
        <v>57</v>
      </c>
      <c r="D4" s="80">
        <v>321300</v>
      </c>
      <c r="E4" s="80">
        <v>309400</v>
      </c>
      <c r="F4" s="80">
        <f>+ROUND(261800*1.19,0)</f>
        <v>311542</v>
      </c>
      <c r="G4" s="80">
        <v>170000</v>
      </c>
      <c r="H4" s="80"/>
      <c r="I4" s="80"/>
      <c r="J4" s="81">
        <f>ROUND(AVERAGE(D4:I4),0)</f>
        <v>278061</v>
      </c>
    </row>
    <row r="5" spans="2:10">
      <c r="B5" s="78" t="s">
        <v>100</v>
      </c>
      <c r="C5" s="79" t="s">
        <v>57</v>
      </c>
      <c r="D5" s="80">
        <v>297500</v>
      </c>
      <c r="E5" s="80">
        <v>285600</v>
      </c>
      <c r="F5" s="80">
        <f>ROUND(238000*1.19,0)</f>
        <v>283220</v>
      </c>
      <c r="G5" s="80">
        <v>170000</v>
      </c>
      <c r="H5" s="80">
        <f>ROUND(190000*1.19,0)</f>
        <v>226100</v>
      </c>
      <c r="I5" s="80"/>
      <c r="J5" s="81">
        <f>ROUND(AVERAGE(D5:I5),0)</f>
        <v>252484</v>
      </c>
    </row>
    <row r="6" spans="2:10">
      <c r="B6" s="78" t="s">
        <v>101</v>
      </c>
      <c r="C6" s="79" t="s">
        <v>102</v>
      </c>
      <c r="D6" s="80">
        <f>ROUND(1011500/8,0)</f>
        <v>126438</v>
      </c>
      <c r="E6" s="80">
        <f>ROUND(952000/8,0)</f>
        <v>119000</v>
      </c>
      <c r="F6" s="80"/>
      <c r="G6" s="80"/>
      <c r="H6" s="80"/>
      <c r="I6" s="80">
        <v>102000</v>
      </c>
      <c r="J6" s="81">
        <f>ROUND(AVERAGE(D6:I6),0)</f>
        <v>115813</v>
      </c>
    </row>
    <row r="7" spans="2:10">
      <c r="B7" s="78" t="s">
        <v>61</v>
      </c>
      <c r="C7" s="79" t="s">
        <v>57</v>
      </c>
      <c r="D7" s="80">
        <v>351050</v>
      </c>
      <c r="E7" s="80">
        <v>333200</v>
      </c>
      <c r="F7" s="80">
        <f>+ROUND(214200*1.19,0)</f>
        <v>254898</v>
      </c>
      <c r="G7" s="80">
        <v>150000</v>
      </c>
      <c r="H7" s="80">
        <f>+ROUND(130000*1.19,0)</f>
        <v>154700</v>
      </c>
      <c r="I7" s="80"/>
      <c r="J7" s="81">
        <f>ROUND(AVERAGE(D7:I7),0)</f>
        <v>248770</v>
      </c>
    </row>
    <row r="8" spans="2:10" ht="11.25" customHeight="1">
      <c r="B8" s="282"/>
      <c r="C8" s="283"/>
      <c r="D8" s="283"/>
      <c r="E8" s="283"/>
      <c r="F8" s="283"/>
      <c r="G8" s="283"/>
      <c r="H8" s="283"/>
      <c r="I8" s="283"/>
      <c r="J8" s="284"/>
    </row>
    <row r="9" spans="2:10" ht="27" customHeight="1">
      <c r="B9" s="139" t="s">
        <v>90</v>
      </c>
      <c r="C9" s="140" t="s">
        <v>91</v>
      </c>
      <c r="D9" s="140" t="s">
        <v>103</v>
      </c>
      <c r="E9" s="140" t="s">
        <v>104</v>
      </c>
      <c r="F9" s="140" t="s">
        <v>105</v>
      </c>
      <c r="G9" s="140" t="s">
        <v>106</v>
      </c>
      <c r="H9" s="82"/>
      <c r="I9" s="82"/>
      <c r="J9" s="77" t="s">
        <v>98</v>
      </c>
    </row>
    <row r="10" spans="2:10" ht="15" thickBot="1">
      <c r="B10" s="141" t="s">
        <v>41</v>
      </c>
      <c r="C10" s="142" t="s">
        <v>107</v>
      </c>
      <c r="D10" s="143">
        <f>ROUND(2000000/30,0)</f>
        <v>66667</v>
      </c>
      <c r="E10" s="143">
        <f>ROUND(2500000/30,0)</f>
        <v>83333</v>
      </c>
      <c r="F10" s="143">
        <f>ROUND(2200000/30,0)</f>
        <v>73333</v>
      </c>
      <c r="G10" s="143">
        <v>70000</v>
      </c>
      <c r="H10" s="144"/>
      <c r="I10" s="144"/>
      <c r="J10" s="145">
        <f>ROUND(AVERAGE(D10:I10),0)</f>
        <v>73333</v>
      </c>
    </row>
    <row r="11" spans="2:10" ht="15" thickBot="1">
      <c r="B11" s="147"/>
      <c r="J11" s="148"/>
    </row>
    <row r="12" spans="2:10" ht="21" customHeight="1">
      <c r="B12" s="285" t="s">
        <v>108</v>
      </c>
      <c r="C12" s="286"/>
      <c r="D12" s="286"/>
      <c r="E12" s="286"/>
      <c r="F12" s="286"/>
      <c r="G12" s="286"/>
      <c r="H12" s="287"/>
      <c r="J12" s="148"/>
    </row>
    <row r="13" spans="2:10" ht="18" customHeight="1">
      <c r="B13" s="288" t="s">
        <v>109</v>
      </c>
      <c r="C13" s="289"/>
      <c r="D13" s="289"/>
      <c r="E13" s="289"/>
      <c r="F13" s="289"/>
      <c r="G13" s="289"/>
      <c r="H13" s="81">
        <v>1423500</v>
      </c>
      <c r="J13" s="148"/>
    </row>
    <row r="14" spans="2:10" ht="66.75" customHeight="1">
      <c r="B14" s="139" t="s">
        <v>26</v>
      </c>
      <c r="C14" s="140" t="s">
        <v>3</v>
      </c>
      <c r="D14" s="140" t="s">
        <v>110</v>
      </c>
      <c r="E14" s="83" t="s">
        <v>111</v>
      </c>
      <c r="F14" s="83" t="s">
        <v>112</v>
      </c>
      <c r="G14" s="83" t="s">
        <v>113</v>
      </c>
      <c r="H14" s="96" t="s">
        <v>166</v>
      </c>
      <c r="J14" s="148"/>
    </row>
    <row r="15" spans="2:10">
      <c r="B15" s="84" t="s">
        <v>49</v>
      </c>
      <c r="C15" s="85" t="s">
        <v>114</v>
      </c>
      <c r="D15" s="86" t="s">
        <v>115</v>
      </c>
      <c r="E15" s="87">
        <v>1423500</v>
      </c>
      <c r="F15" s="88">
        <f>ROUND(E15/30,0)</f>
        <v>47450</v>
      </c>
      <c r="G15" s="89">
        <f>+E15/H13</f>
        <v>1</v>
      </c>
      <c r="H15" s="97">
        <v>0.8</v>
      </c>
      <c r="J15" s="148"/>
    </row>
    <row r="16" spans="2:10">
      <c r="B16" s="90" t="s">
        <v>116</v>
      </c>
      <c r="C16" s="85" t="s">
        <v>114</v>
      </c>
      <c r="D16" s="86" t="s">
        <v>115</v>
      </c>
      <c r="E16" s="87">
        <f>+E15</f>
        <v>1423500</v>
      </c>
      <c r="F16" s="88">
        <f>ROUND(E16/30,0)</f>
        <v>47450</v>
      </c>
      <c r="G16" s="89">
        <f>+E16/H13</f>
        <v>1</v>
      </c>
      <c r="H16" s="97">
        <f>+H15</f>
        <v>0.8</v>
      </c>
      <c r="J16" s="148"/>
    </row>
    <row r="17" spans="2:10">
      <c r="B17" s="90" t="s">
        <v>117</v>
      </c>
      <c r="C17" s="85" t="s">
        <v>114</v>
      </c>
      <c r="D17" s="86" t="s">
        <v>115</v>
      </c>
      <c r="E17" s="87">
        <f>+E16</f>
        <v>1423500</v>
      </c>
      <c r="F17" s="88">
        <f>ROUND(E17/30,0)</f>
        <v>47450</v>
      </c>
      <c r="G17" s="89">
        <f>+E17/H13</f>
        <v>1</v>
      </c>
      <c r="H17" s="97">
        <f>+H15</f>
        <v>0.8</v>
      </c>
      <c r="J17" s="148"/>
    </row>
    <row r="18" spans="2:10">
      <c r="B18" s="84" t="s">
        <v>118</v>
      </c>
      <c r="C18" s="85" t="s">
        <v>114</v>
      </c>
      <c r="D18" s="86" t="s">
        <v>115</v>
      </c>
      <c r="E18" s="87">
        <f>71175*30</f>
        <v>2135250</v>
      </c>
      <c r="F18" s="88">
        <f>ROUND(E18/30,0)</f>
        <v>71175</v>
      </c>
      <c r="G18" s="89">
        <f>+E18/H13</f>
        <v>1.5</v>
      </c>
      <c r="H18" s="97">
        <f>+H15</f>
        <v>0.8</v>
      </c>
      <c r="J18" s="148"/>
    </row>
    <row r="19" spans="2:10">
      <c r="B19" s="90" t="s">
        <v>119</v>
      </c>
      <c r="C19" s="85" t="s">
        <v>114</v>
      </c>
      <c r="D19" s="86" t="s">
        <v>115</v>
      </c>
      <c r="E19" s="87">
        <f>94900*30</f>
        <v>2847000</v>
      </c>
      <c r="F19" s="88">
        <f>ROUND(E19/30,0)</f>
        <v>94900</v>
      </c>
      <c r="G19" s="89">
        <f>+E19/H13</f>
        <v>2</v>
      </c>
      <c r="H19" s="97">
        <f>+H15</f>
        <v>0.8</v>
      </c>
      <c r="J19" s="148"/>
    </row>
    <row r="20" spans="2:10">
      <c r="B20" s="91"/>
      <c r="C20" s="92"/>
      <c r="D20" s="92"/>
      <c r="E20" s="92"/>
      <c r="F20" s="92"/>
      <c r="G20" s="92"/>
      <c r="H20" s="98"/>
      <c r="J20" s="148"/>
    </row>
    <row r="21" spans="2:10">
      <c r="B21" s="290" t="s">
        <v>120</v>
      </c>
      <c r="C21" s="291"/>
      <c r="D21" s="291"/>
      <c r="E21" s="132" t="s">
        <v>29</v>
      </c>
      <c r="F21" s="92"/>
      <c r="G21" s="92"/>
      <c r="H21" s="98"/>
      <c r="J21" s="148"/>
    </row>
    <row r="22" spans="2:10">
      <c r="B22" s="294" t="s">
        <v>121</v>
      </c>
      <c r="C22" s="295"/>
      <c r="D22" s="295"/>
      <c r="E22" s="133">
        <v>1423500</v>
      </c>
      <c r="F22" s="92"/>
      <c r="G22" s="92"/>
      <c r="H22" s="98"/>
      <c r="J22" s="148"/>
    </row>
    <row r="23" spans="2:10">
      <c r="B23" s="294" t="s">
        <v>122</v>
      </c>
      <c r="C23" s="295"/>
      <c r="D23" s="295"/>
      <c r="E23" s="133">
        <v>200000</v>
      </c>
      <c r="F23" s="134">
        <f>+E23/E22</f>
        <v>0.14049877063575694</v>
      </c>
      <c r="G23" s="92"/>
      <c r="H23" s="98"/>
      <c r="J23" s="148"/>
    </row>
    <row r="24" spans="2:10">
      <c r="B24" s="296" t="s">
        <v>123</v>
      </c>
      <c r="C24" s="297"/>
      <c r="D24" s="297"/>
      <c r="E24" s="151">
        <f>+E22+E23</f>
        <v>1623500</v>
      </c>
      <c r="F24" s="92"/>
      <c r="G24" s="92"/>
      <c r="H24" s="98"/>
      <c r="J24" s="148"/>
    </row>
    <row r="25" spans="2:10">
      <c r="B25" s="296" t="s">
        <v>124</v>
      </c>
      <c r="C25" s="297"/>
      <c r="D25" s="297"/>
      <c r="E25" s="152">
        <f>+ROUND(E22*1.8,0)</f>
        <v>2562300</v>
      </c>
      <c r="F25" s="92"/>
      <c r="G25" s="92"/>
      <c r="H25" s="98"/>
      <c r="J25" s="148"/>
    </row>
    <row r="26" spans="2:10">
      <c r="B26" s="296" t="s">
        <v>125</v>
      </c>
      <c r="C26" s="297"/>
      <c r="D26" s="297"/>
      <c r="E26" s="135">
        <f>+ROUND(E25/30,0)</f>
        <v>85410</v>
      </c>
      <c r="F26" s="92"/>
      <c r="G26" s="92"/>
      <c r="H26" s="98"/>
      <c r="J26" s="148"/>
    </row>
    <row r="27" spans="2:10" ht="15" thickBot="1">
      <c r="B27" s="292" t="s">
        <v>126</v>
      </c>
      <c r="C27" s="293"/>
      <c r="D27" s="293"/>
      <c r="E27" s="146">
        <f>+ROUND(E22/30,1)</f>
        <v>47450</v>
      </c>
      <c r="F27" s="93"/>
      <c r="G27" s="93"/>
      <c r="H27" s="99"/>
      <c r="I27" s="149"/>
      <c r="J27" s="150"/>
    </row>
  </sheetData>
  <mergeCells count="11">
    <mergeCell ref="B27:D27"/>
    <mergeCell ref="B22:D22"/>
    <mergeCell ref="B23:D23"/>
    <mergeCell ref="B24:D24"/>
    <mergeCell ref="B25:D25"/>
    <mergeCell ref="B26:D26"/>
    <mergeCell ref="B2:J2"/>
    <mergeCell ref="B8:J8"/>
    <mergeCell ref="B12:H12"/>
    <mergeCell ref="B13:G13"/>
    <mergeCell ref="B21:D21"/>
  </mergeCells>
  <printOptions horizontalCentered="1"/>
  <pageMargins left="0.31496062992125984" right="0.31496062992125984" top="0.74803149606299213" bottom="0.35433070866141736" header="0.31496062992125984" footer="0.31496062992125984"/>
  <pageSetup orientation="landscape" copies="2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 tint="0.39997558519241921"/>
  </sheetPr>
  <dimension ref="B1:N6"/>
  <sheetViews>
    <sheetView view="pageBreakPreview" zoomScale="115" zoomScaleNormal="100" zoomScaleSheetLayoutView="115" workbookViewId="0">
      <selection activeCell="A10" sqref="A10"/>
    </sheetView>
  </sheetViews>
  <sheetFormatPr baseColWidth="10" defaultColWidth="11.453125" defaultRowHeight="14.5"/>
  <cols>
    <col min="1" max="1" width="6.54296875" style="20" customWidth="1"/>
    <col min="2" max="16384" width="11.453125" style="20"/>
  </cols>
  <sheetData>
    <row r="1" spans="2:14" ht="15" thickBot="1"/>
    <row r="2" spans="2:14" ht="22.5" customHeight="1" thickBot="1">
      <c r="B2" s="298" t="s">
        <v>25</v>
      </c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300"/>
    </row>
    <row r="3" spans="2:14" ht="37.5" customHeight="1">
      <c r="B3" s="101" t="s">
        <v>127</v>
      </c>
      <c r="C3" s="102" t="s">
        <v>91</v>
      </c>
      <c r="D3" s="103" t="s">
        <v>128</v>
      </c>
      <c r="E3" s="102" t="s">
        <v>129</v>
      </c>
      <c r="F3" s="103" t="s">
        <v>130</v>
      </c>
      <c r="G3" s="102" t="s">
        <v>131</v>
      </c>
      <c r="H3" s="103" t="s">
        <v>132</v>
      </c>
      <c r="I3" s="103" t="s">
        <v>133</v>
      </c>
      <c r="J3" s="104" t="s">
        <v>134</v>
      </c>
      <c r="K3" s="104" t="s">
        <v>135</v>
      </c>
      <c r="L3" s="104" t="s">
        <v>136</v>
      </c>
      <c r="M3" s="104" t="s">
        <v>137</v>
      </c>
      <c r="N3" s="105" t="s">
        <v>98</v>
      </c>
    </row>
    <row r="4" spans="2:14">
      <c r="B4" s="128" t="s">
        <v>31</v>
      </c>
      <c r="C4" s="94" t="s">
        <v>138</v>
      </c>
      <c r="D4" s="95">
        <f>ROUND(2500*1.05,0)</f>
        <v>2625</v>
      </c>
      <c r="E4" s="95">
        <v>3075</v>
      </c>
      <c r="F4" s="95">
        <v>2730</v>
      </c>
      <c r="G4" s="95"/>
      <c r="H4" s="95"/>
      <c r="I4" s="95"/>
      <c r="J4" s="129"/>
      <c r="K4" s="129"/>
      <c r="L4" s="129"/>
      <c r="M4" s="129"/>
      <c r="N4" s="106">
        <f>ROUND(AVERAGE(D4:M4),0)</f>
        <v>2810</v>
      </c>
    </row>
    <row r="5" spans="2:14">
      <c r="B5" s="128" t="s">
        <v>139</v>
      </c>
      <c r="C5" s="94" t="s">
        <v>140</v>
      </c>
      <c r="D5" s="95"/>
      <c r="E5" s="95">
        <v>9900</v>
      </c>
      <c r="F5" s="95"/>
      <c r="G5" s="95">
        <v>9999</v>
      </c>
      <c r="H5" s="95">
        <f>ROUND(7563*1.19,0)</f>
        <v>9000</v>
      </c>
      <c r="I5" s="95">
        <f>ROUND(8800*1.19,9)</f>
        <v>10472</v>
      </c>
      <c r="J5" s="129"/>
      <c r="K5" s="129"/>
      <c r="L5" s="129"/>
      <c r="M5" s="129">
        <f>ROUND(3638.93*1.19,0)</f>
        <v>4330</v>
      </c>
      <c r="N5" s="106">
        <f>ROUND(AVERAGE(D5:M5),0)</f>
        <v>8740</v>
      </c>
    </row>
    <row r="6" spans="2:14" ht="15" thickBot="1">
      <c r="B6" s="130" t="s">
        <v>35</v>
      </c>
      <c r="C6" s="107" t="s">
        <v>36</v>
      </c>
      <c r="D6" s="108"/>
      <c r="E6" s="108">
        <v>8700</v>
      </c>
      <c r="F6" s="108">
        <v>6500</v>
      </c>
      <c r="G6" s="108"/>
      <c r="H6" s="108">
        <f>ROUND(2605*1.19,0)</f>
        <v>3100</v>
      </c>
      <c r="I6" s="108"/>
      <c r="J6" s="131"/>
      <c r="K6" s="131"/>
      <c r="L6" s="131"/>
      <c r="M6" s="131">
        <f>ROUND(5624.91*1.19,0)</f>
        <v>6694</v>
      </c>
      <c r="N6" s="109">
        <f>ROUND(AVERAGE(D6:M6),0)</f>
        <v>6249</v>
      </c>
    </row>
  </sheetData>
  <mergeCells count="1">
    <mergeCell ref="B2:N2"/>
  </mergeCells>
  <printOptions horizontalCentered="1"/>
  <pageMargins left="0.31496062992125984" right="0.31496062992125984" top="0.74803149606299213" bottom="0.74803149606299213" header="0.31496062992125984" footer="0.31496062992125984"/>
  <pageSetup scale="85" orientation="landscape" copies="2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9" tint="0.39997558519241921"/>
  </sheetPr>
  <dimension ref="B1:G25"/>
  <sheetViews>
    <sheetView tabSelected="1" view="pageBreakPreview" zoomScaleNormal="100" zoomScaleSheetLayoutView="100" workbookViewId="0">
      <selection activeCell="F25" sqref="F25"/>
    </sheetView>
  </sheetViews>
  <sheetFormatPr baseColWidth="10" defaultColWidth="11.453125" defaultRowHeight="14.5"/>
  <cols>
    <col min="1" max="1" width="13.81640625" style="20" customWidth="1"/>
    <col min="2" max="2" width="7.453125" style="21" customWidth="1"/>
    <col min="3" max="3" width="53.1796875" style="20" customWidth="1"/>
    <col min="4" max="4" width="14.54296875" style="20" customWidth="1"/>
    <col min="5" max="5" width="6.7265625" style="21" customWidth="1"/>
    <col min="6" max="6" width="51.453125" style="20" customWidth="1"/>
    <col min="7" max="7" width="14.54296875" style="20" customWidth="1"/>
    <col min="8" max="16384" width="11.453125" style="20"/>
  </cols>
  <sheetData>
    <row r="1" spans="2:7" ht="15" thickBot="1"/>
    <row r="2" spans="2:7">
      <c r="B2" s="304" t="s">
        <v>141</v>
      </c>
      <c r="C2" s="305"/>
      <c r="D2" s="306"/>
      <c r="E2" s="304" t="s">
        <v>141</v>
      </c>
      <c r="F2" s="305"/>
      <c r="G2" s="306"/>
    </row>
    <row r="3" spans="2:7">
      <c r="B3" s="307" t="s">
        <v>142</v>
      </c>
      <c r="C3" s="308"/>
      <c r="D3" s="309"/>
      <c r="E3" s="307" t="s">
        <v>142</v>
      </c>
      <c r="F3" s="308"/>
      <c r="G3" s="309"/>
    </row>
    <row r="4" spans="2:7">
      <c r="B4" s="307" t="s">
        <v>143</v>
      </c>
      <c r="C4" s="308"/>
      <c r="D4" s="309"/>
      <c r="E4" s="307" t="s">
        <v>143</v>
      </c>
      <c r="F4" s="308"/>
      <c r="G4" s="309"/>
    </row>
    <row r="5" spans="2:7">
      <c r="B5" s="307" t="s">
        <v>144</v>
      </c>
      <c r="C5" s="308"/>
      <c r="D5" s="309"/>
      <c r="E5" s="307" t="s">
        <v>144</v>
      </c>
      <c r="F5" s="308"/>
      <c r="G5" s="309"/>
    </row>
    <row r="6" spans="2:7" ht="15" thickBot="1">
      <c r="B6" s="310" t="s">
        <v>145</v>
      </c>
      <c r="C6" s="311"/>
      <c r="D6" s="312"/>
      <c r="E6" s="310" t="s">
        <v>163</v>
      </c>
      <c r="F6" s="311"/>
      <c r="G6" s="312"/>
    </row>
    <row r="7" spans="2:7" ht="15" thickBot="1">
      <c r="B7" s="313"/>
      <c r="C7" s="314"/>
      <c r="D7" s="315"/>
      <c r="E7" s="301"/>
      <c r="F7" s="302"/>
      <c r="G7" s="303"/>
    </row>
    <row r="8" spans="2:7">
      <c r="B8" s="110" t="s">
        <v>146</v>
      </c>
      <c r="C8" s="111" t="s">
        <v>2</v>
      </c>
      <c r="D8" s="112" t="s">
        <v>147</v>
      </c>
      <c r="E8" s="110" t="s">
        <v>146</v>
      </c>
      <c r="F8" s="111" t="s">
        <v>2</v>
      </c>
      <c r="G8" s="112" t="s">
        <v>147</v>
      </c>
    </row>
    <row r="9" spans="2:7">
      <c r="B9" s="113">
        <v>1</v>
      </c>
      <c r="C9" s="114" t="s">
        <v>148</v>
      </c>
      <c r="D9" s="115">
        <v>100</v>
      </c>
      <c r="E9" s="113">
        <v>1</v>
      </c>
      <c r="F9" s="114" t="s">
        <v>148</v>
      </c>
      <c r="G9" s="115">
        <v>100</v>
      </c>
    </row>
    <row r="10" spans="2:7">
      <c r="B10" s="113">
        <v>2</v>
      </c>
      <c r="C10" s="114" t="s">
        <v>149</v>
      </c>
      <c r="D10" s="116"/>
      <c r="E10" s="113">
        <v>2</v>
      </c>
      <c r="F10" s="114" t="s">
        <v>149</v>
      </c>
      <c r="G10" s="116"/>
    </row>
    <row r="11" spans="2:7">
      <c r="B11" s="117">
        <v>2.1</v>
      </c>
      <c r="C11" s="118" t="s">
        <v>150</v>
      </c>
      <c r="D11" s="116">
        <v>8.33</v>
      </c>
      <c r="E11" s="117">
        <v>2.1</v>
      </c>
      <c r="F11" s="118" t="s">
        <v>150</v>
      </c>
      <c r="G11" s="116">
        <v>8.33</v>
      </c>
    </row>
    <row r="12" spans="2:7">
      <c r="B12" s="117">
        <v>2.2000000000000002</v>
      </c>
      <c r="C12" s="118" t="s">
        <v>151</v>
      </c>
      <c r="D12" s="116">
        <v>8.33</v>
      </c>
      <c r="E12" s="117">
        <v>2.2000000000000002</v>
      </c>
      <c r="F12" s="118" t="s">
        <v>151</v>
      </c>
      <c r="G12" s="116">
        <v>8.33</v>
      </c>
    </row>
    <row r="13" spans="2:7">
      <c r="B13" s="117">
        <v>2.2999999999999998</v>
      </c>
      <c r="C13" s="118" t="s">
        <v>152</v>
      </c>
      <c r="D13" s="116">
        <v>1</v>
      </c>
      <c r="E13" s="117">
        <v>2.2999999999999998</v>
      </c>
      <c r="F13" s="118" t="s">
        <v>152</v>
      </c>
      <c r="G13" s="116">
        <v>1</v>
      </c>
    </row>
    <row r="14" spans="2:7">
      <c r="B14" s="117">
        <v>2.4</v>
      </c>
      <c r="C14" s="118" t="s">
        <v>153</v>
      </c>
      <c r="D14" s="116">
        <v>4.17</v>
      </c>
      <c r="E14" s="117">
        <v>2.4</v>
      </c>
      <c r="F14" s="118" t="s">
        <v>153</v>
      </c>
      <c r="G14" s="116">
        <v>4.17</v>
      </c>
    </row>
    <row r="15" spans="2:7">
      <c r="B15" s="117">
        <v>2.5</v>
      </c>
      <c r="C15" s="118" t="s">
        <v>154</v>
      </c>
      <c r="D15" s="116"/>
      <c r="E15" s="117">
        <v>2.5</v>
      </c>
      <c r="F15" s="118" t="s">
        <v>154</v>
      </c>
      <c r="G15" s="116"/>
    </row>
    <row r="16" spans="2:7">
      <c r="B16" s="117"/>
      <c r="C16" s="118" t="s">
        <v>155</v>
      </c>
      <c r="D16" s="116">
        <v>12</v>
      </c>
      <c r="E16" s="117"/>
      <c r="F16" s="118" t="s">
        <v>155</v>
      </c>
      <c r="G16" s="116">
        <v>12</v>
      </c>
    </row>
    <row r="17" spans="2:7">
      <c r="B17" s="117"/>
      <c r="C17" s="118" t="s">
        <v>156</v>
      </c>
      <c r="D17" s="116">
        <v>8.5</v>
      </c>
      <c r="E17" s="117"/>
      <c r="F17" s="118" t="s">
        <v>156</v>
      </c>
      <c r="G17" s="116">
        <v>8.5</v>
      </c>
    </row>
    <row r="18" spans="2:7">
      <c r="B18" s="117"/>
      <c r="C18" s="118" t="s">
        <v>157</v>
      </c>
      <c r="D18" s="116">
        <v>6.96</v>
      </c>
      <c r="E18" s="117"/>
      <c r="F18" s="118" t="s">
        <v>157</v>
      </c>
      <c r="G18" s="116">
        <v>6.96</v>
      </c>
    </row>
    <row r="19" spans="2:7">
      <c r="B19" s="117">
        <v>2.6</v>
      </c>
      <c r="C19" s="118" t="s">
        <v>158</v>
      </c>
      <c r="D19" s="116">
        <v>4</v>
      </c>
      <c r="E19" s="117">
        <v>2.6</v>
      </c>
      <c r="F19" s="118" t="s">
        <v>158</v>
      </c>
      <c r="G19" s="116">
        <v>4</v>
      </c>
    </row>
    <row r="20" spans="2:7">
      <c r="B20" s="117">
        <v>2.7</v>
      </c>
      <c r="C20" s="118" t="s">
        <v>159</v>
      </c>
      <c r="D20" s="116">
        <v>2</v>
      </c>
      <c r="E20" s="117">
        <v>2.7</v>
      </c>
      <c r="F20" s="118" t="s">
        <v>159</v>
      </c>
      <c r="G20" s="116">
        <v>2</v>
      </c>
    </row>
    <row r="21" spans="2:7">
      <c r="B21" s="117">
        <v>2.8</v>
      </c>
      <c r="C21" s="118" t="s">
        <v>160</v>
      </c>
      <c r="D21" s="116">
        <v>3</v>
      </c>
      <c r="E21" s="117">
        <v>2.8</v>
      </c>
      <c r="F21" s="118" t="s">
        <v>160</v>
      </c>
      <c r="G21" s="116">
        <v>3</v>
      </c>
    </row>
    <row r="22" spans="2:7">
      <c r="B22" s="117">
        <v>2.9</v>
      </c>
      <c r="C22" s="118" t="s">
        <v>161</v>
      </c>
      <c r="D22" s="119">
        <v>14.05</v>
      </c>
      <c r="E22" s="117">
        <v>2.9</v>
      </c>
      <c r="F22" s="118" t="s">
        <v>161</v>
      </c>
      <c r="G22" s="120" t="s">
        <v>164</v>
      </c>
    </row>
    <row r="23" spans="2:7">
      <c r="B23" s="121">
        <v>2.1</v>
      </c>
      <c r="C23" s="118" t="s">
        <v>162</v>
      </c>
      <c r="D23" s="119">
        <v>7.66</v>
      </c>
      <c r="E23" s="121">
        <v>2.1</v>
      </c>
      <c r="F23" s="118" t="s">
        <v>162</v>
      </c>
      <c r="G23" s="120" t="s">
        <v>164</v>
      </c>
    </row>
    <row r="24" spans="2:7" ht="15" thickBot="1">
      <c r="B24" s="122"/>
      <c r="C24" s="123" t="s">
        <v>165</v>
      </c>
      <c r="D24" s="124">
        <f>SUM(D11:D23)</f>
        <v>80</v>
      </c>
      <c r="E24" s="122"/>
      <c r="F24" s="123" t="s">
        <v>165</v>
      </c>
      <c r="G24" s="124">
        <f>SUM(G11:G21)</f>
        <v>58.29</v>
      </c>
    </row>
    <row r="25" spans="2:7">
      <c r="B25" s="125"/>
      <c r="C25" s="126"/>
      <c r="D25" s="127">
        <f>+D24/100</f>
        <v>0.8</v>
      </c>
      <c r="E25" s="125"/>
      <c r="F25" s="126"/>
      <c r="G25" s="127">
        <f>+G24/100</f>
        <v>0.58289999999999997</v>
      </c>
    </row>
  </sheetData>
  <mergeCells count="12">
    <mergeCell ref="E7:G7"/>
    <mergeCell ref="B2:D2"/>
    <mergeCell ref="B3:D3"/>
    <mergeCell ref="B4:D4"/>
    <mergeCell ref="B5:D5"/>
    <mergeCell ref="B6:D6"/>
    <mergeCell ref="B7:D7"/>
    <mergeCell ref="E2:G2"/>
    <mergeCell ref="E3:G3"/>
    <mergeCell ref="E4:G4"/>
    <mergeCell ref="E5:G5"/>
    <mergeCell ref="E6:G6"/>
  </mergeCells>
  <printOptions horizontalCentered="1"/>
  <pageMargins left="0.51181102362204722" right="0.51181102362204722" top="0.74803149606299213" bottom="0.74803149606299213" header="0.31496062992125984" footer="0.31496062992125984"/>
  <pageSetup orientation="portrait" copies="2" r:id="rId1"/>
  <colBreaks count="1" manualBreakCount="1">
    <brk id="4" min="1" max="23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8</vt:i4>
      </vt:variant>
    </vt:vector>
  </HeadingPairs>
  <TitlesOfParts>
    <vt:vector size="16" baseType="lpstr">
      <vt:lpstr>obra</vt:lpstr>
      <vt:lpstr>desglose AUI</vt:lpstr>
      <vt:lpstr>APU 1.1</vt:lpstr>
      <vt:lpstr>APU 2.1</vt:lpstr>
      <vt:lpstr>APU 2.2</vt:lpstr>
      <vt:lpstr>equipos y jornales</vt:lpstr>
      <vt:lpstr>materiales</vt:lpstr>
      <vt:lpstr>analisis de prestaciones</vt:lpstr>
      <vt:lpstr>'analisis de prestaciones'!Área_de_impresión</vt:lpstr>
      <vt:lpstr>'APU 1.1'!Área_de_impresión</vt:lpstr>
      <vt:lpstr>'APU 2.1'!Área_de_impresión</vt:lpstr>
      <vt:lpstr>'APU 2.2'!Área_de_impresión</vt:lpstr>
      <vt:lpstr>'desglose AUI'!Área_de_impresión</vt:lpstr>
      <vt:lpstr>'equipos y jornales'!Área_de_impresión</vt:lpstr>
      <vt:lpstr>materiales!Área_de_impresión</vt:lpstr>
      <vt:lpstr>obra!Área_de_impresión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2025-08-12T21:45:45Z</dcterms:modified>
</cp:coreProperties>
</file>