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C:\Users\Alexander Dávila\OneDrive\Escritorio\INN SOLUCTION\AMBIENTE\LA VIRGINIA\IMPLEMENTACION_ACCIONES_DMI_GUASIMO_2024664000049\GENERALES\"/>
    </mc:Choice>
  </mc:AlternateContent>
  <xr:revisionPtr revIDLastSave="0" documentId="13_ncr:1_{FE519646-88EC-4933-AAC3-86DCC5FAD5EF}" xr6:coauthVersionLast="47" xr6:coauthVersionMax="47" xr10:uidLastSave="{00000000-0000-0000-0000-000000000000}"/>
  <bookViews>
    <workbookView xWindow="-110" yWindow="-110" windowWidth="19420" windowHeight="10300" tabRatio="842" activeTab="1" xr2:uid="{00000000-000D-0000-FFFF-FFFF00000000}"/>
  </bookViews>
  <sheets>
    <sheet name="CADENA DE VALOR" sheetId="19" r:id="rId1"/>
    <sheet name="PRESUPUESTO ESTUFA" sheetId="18" r:id="rId2"/>
    <sheet name="UNITARIOS PROYECTO OK" sheetId="32" r:id="rId3"/>
    <sheet name="ANALISIS PRECIOS UNITARIOS " sheetId="31" r:id="rId4"/>
    <sheet name="ANALISIS TRANSPORTE A HOMBRO" sheetId="34" r:id="rId5"/>
    <sheet name="ANALISIS TRANS VEHIC" sheetId="33" r:id="rId6"/>
    <sheet name="MEMORIAS SENDEROS" sheetId="35" r:id="rId7"/>
    <sheet name="MEMORIAS DE CALCULO ESTUFAS " sheetId="30" r:id="rId8"/>
    <sheet name="ESTUDIO DE MERCADO" sheetId="27" r:id="rId9"/>
    <sheet name="ESPECIFICACIONES TECNICAS" sheetId="28" state="hidden" r:id="rId10"/>
    <sheet name="FACTOR PRESTACIONAL " sheetId="29" r:id="rId11"/>
    <sheet name="AU OBRA " sheetId="21" r:id="rId12"/>
    <sheet name="A U - INTERVENTORIA" sheetId="26" r:id="rId13"/>
    <sheet name="Anexo FM" sheetId="23" r:id="rId14"/>
  </sheets>
  <externalReferences>
    <externalReference r:id="rId15"/>
    <externalReference r:id="rId16"/>
    <externalReference r:id="rId17"/>
    <externalReference r:id="rId18"/>
    <externalReference r:id="rId19"/>
    <externalReference r:id="rId20"/>
    <externalReference r:id="rId21"/>
  </externalReferences>
  <definedNames>
    <definedName name="_xlnm._FilterDatabase" localSheetId="1" hidden="1">'PRESUPUESTO ESTUFA'!$B$10:$G$10</definedName>
    <definedName name="_xlnm.Print_Area" localSheetId="12">'A U - INTERVENTORIA'!$A$1:$I$50</definedName>
    <definedName name="_xlnm.Print_Area" localSheetId="13">'Anexo FM'!$A$1:$C$39</definedName>
    <definedName name="_xlnm.Print_Area" localSheetId="11">'AU OBRA '!$B$1:$K$58</definedName>
    <definedName name="_xlnm.Print_Area">#REF!</definedName>
    <definedName name="_xlnm.Database" localSheetId="11">#REF!</definedName>
    <definedName name="_xlnm.Database">#REF!</definedName>
    <definedName name="e">#REF!</definedName>
    <definedName name="LISTA_MA" localSheetId="11">#REF!</definedName>
    <definedName name="LISTA_MA">#REF!</definedName>
    <definedName name="PRESTACIONES">'[1]CONCRETO 175'!$D$5</definedName>
    <definedName name="SUBA">'[2]SUB APU'!$A:$D</definedName>
  </definedNames>
  <calcPr calcId="191029"/>
</workbook>
</file>

<file path=xl/calcChain.xml><?xml version="1.0" encoding="utf-8"?>
<calcChain xmlns="http://schemas.openxmlformats.org/spreadsheetml/2006/main">
  <c r="C44" i="18" l="1"/>
  <c r="F177" i="30" s="1"/>
  <c r="K180" i="30" s="1"/>
  <c r="G216" i="32"/>
  <c r="G217" i="32"/>
  <c r="F67" i="34"/>
  <c r="F68" i="34" s="1"/>
  <c r="F69" i="34" s="1"/>
  <c r="I42" i="26"/>
  <c r="I41" i="26"/>
  <c r="I40" i="26"/>
  <c r="I38" i="26"/>
  <c r="I37" i="26"/>
  <c r="I36" i="26"/>
  <c r="I34" i="26"/>
  <c r="I33" i="26"/>
  <c r="I32" i="26"/>
  <c r="I10" i="26" a="1"/>
  <c r="J10" i="26" s="1"/>
  <c r="F101" i="35"/>
  <c r="D41" i="18"/>
  <c r="C41" i="18"/>
  <c r="P213" i="30"/>
  <c r="P214" i="30"/>
  <c r="P216" i="30"/>
  <c r="P217" i="30"/>
  <c r="P218" i="30"/>
  <c r="O215" i="30"/>
  <c r="P215" i="30" s="1"/>
  <c r="K214" i="30"/>
  <c r="O224" i="35"/>
  <c r="P224" i="35" s="1"/>
  <c r="O220" i="35"/>
  <c r="O219" i="35"/>
  <c r="N220" i="35"/>
  <c r="N219" i="35"/>
  <c r="P216" i="35"/>
  <c r="P217" i="35"/>
  <c r="P218" i="35"/>
  <c r="P221" i="35"/>
  <c r="P222" i="35"/>
  <c r="P223" i="35"/>
  <c r="P225" i="35"/>
  <c r="P226" i="35"/>
  <c r="P227" i="35"/>
  <c r="P228" i="35"/>
  <c r="P229" i="35"/>
  <c r="P230" i="35"/>
  <c r="P231" i="35"/>
  <c r="G102" i="31"/>
  <c r="F102" i="31"/>
  <c r="H102" i="31" s="1"/>
  <c r="F99" i="31"/>
  <c r="H99" i="31" s="1"/>
  <c r="F101" i="31" s="1"/>
  <c r="H101" i="31" s="1"/>
  <c r="P115" i="35"/>
  <c r="O215" i="35"/>
  <c r="P215" i="35" s="1"/>
  <c r="O214" i="35"/>
  <c r="P214" i="35" s="1"/>
  <c r="P213" i="35"/>
  <c r="P212" i="35"/>
  <c r="P211" i="35"/>
  <c r="P210" i="35"/>
  <c r="P209" i="35"/>
  <c r="O208" i="35"/>
  <c r="P208" i="35" s="1"/>
  <c r="O207" i="35"/>
  <c r="P207" i="35" s="1"/>
  <c r="O206" i="35"/>
  <c r="P206" i="35" s="1"/>
  <c r="P205" i="35"/>
  <c r="O204" i="35"/>
  <c r="P204" i="35" s="1"/>
  <c r="O203" i="35"/>
  <c r="P203" i="35" s="1"/>
  <c r="O202" i="35"/>
  <c r="N202" i="35"/>
  <c r="O201" i="35"/>
  <c r="P201" i="35" s="1"/>
  <c r="O200" i="35"/>
  <c r="P200" i="35" s="1"/>
  <c r="K199" i="35"/>
  <c r="E194" i="35"/>
  <c r="B194" i="35"/>
  <c r="E192" i="35"/>
  <c r="E191" i="35"/>
  <c r="E190" i="35"/>
  <c r="P148" i="35"/>
  <c r="P147" i="35"/>
  <c r="P146" i="35"/>
  <c r="M143" i="35"/>
  <c r="E143" i="35"/>
  <c r="B143" i="35"/>
  <c r="K141" i="35"/>
  <c r="E141" i="35"/>
  <c r="O140" i="35"/>
  <c r="K140" i="35"/>
  <c r="E140" i="35"/>
  <c r="E139" i="35"/>
  <c r="N137" i="35"/>
  <c r="K137" i="35"/>
  <c r="H137" i="35"/>
  <c r="D137" i="35"/>
  <c r="P114" i="35"/>
  <c r="P113" i="35"/>
  <c r="P112" i="35"/>
  <c r="P111" i="35"/>
  <c r="P110" i="35"/>
  <c r="P109" i="35"/>
  <c r="P108" i="35"/>
  <c r="P107" i="35"/>
  <c r="P106" i="35"/>
  <c r="P105" i="35"/>
  <c r="P104" i="35"/>
  <c r="M101" i="35"/>
  <c r="E101" i="35"/>
  <c r="B101" i="35"/>
  <c r="P65" i="35"/>
  <c r="P64" i="35"/>
  <c r="P63" i="35"/>
  <c r="P62" i="35"/>
  <c r="N61" i="35"/>
  <c r="P61" i="35" s="1"/>
  <c r="N60" i="35"/>
  <c r="N188" i="35" s="1"/>
  <c r="N59" i="35"/>
  <c r="P59" i="35" s="1"/>
  <c r="M56" i="35"/>
  <c r="F56" i="35"/>
  <c r="E56" i="35"/>
  <c r="B56" i="35"/>
  <c r="K54" i="35"/>
  <c r="E54" i="35"/>
  <c r="O53" i="35"/>
  <c r="K53" i="35"/>
  <c r="E53" i="35"/>
  <c r="E52" i="35"/>
  <c r="N50" i="35"/>
  <c r="K50" i="35"/>
  <c r="H50" i="35"/>
  <c r="F50" i="35"/>
  <c r="D50" i="35"/>
  <c r="P13" i="35"/>
  <c r="P37" i="35" s="1"/>
  <c r="L37" i="35" s="1"/>
  <c r="M10" i="35"/>
  <c r="F10" i="35"/>
  <c r="K13" i="35" s="1"/>
  <c r="E10" i="35"/>
  <c r="B10" i="35"/>
  <c r="K4" i="35"/>
  <c r="O205" i="30"/>
  <c r="P205" i="30" s="1"/>
  <c r="O204" i="30"/>
  <c r="P204" i="30" s="1"/>
  <c r="O203" i="30"/>
  <c r="P203" i="30" s="1"/>
  <c r="P206" i="30"/>
  <c r="P207" i="30"/>
  <c r="P208" i="30"/>
  <c r="P209" i="30"/>
  <c r="P210" i="30"/>
  <c r="O212" i="30"/>
  <c r="P212" i="30" s="1"/>
  <c r="O211" i="30"/>
  <c r="P211" i="30" s="1"/>
  <c r="P202" i="30"/>
  <c r="O200" i="30"/>
  <c r="P200" i="30" s="1"/>
  <c r="O199" i="30"/>
  <c r="O198" i="30"/>
  <c r="P198" i="30" s="1"/>
  <c r="N199" i="30"/>
  <c r="O201" i="30"/>
  <c r="P201" i="30" s="1"/>
  <c r="O197" i="30"/>
  <c r="P197" i="30" s="1"/>
  <c r="K196" i="30"/>
  <c r="P195" i="30"/>
  <c r="P196" i="30"/>
  <c r="O192" i="30"/>
  <c r="P192" i="30" s="1"/>
  <c r="O191" i="30"/>
  <c r="P191" i="30" s="1"/>
  <c r="O190" i="30"/>
  <c r="P190" i="30" s="1"/>
  <c r="O193" i="30"/>
  <c r="P193" i="30" s="1"/>
  <c r="O194" i="30"/>
  <c r="O189" i="30"/>
  <c r="P189" i="30" s="1"/>
  <c r="N194" i="30"/>
  <c r="O187" i="30"/>
  <c r="P187" i="30" s="1"/>
  <c r="O186" i="30"/>
  <c r="P186" i="30" s="1"/>
  <c r="O185" i="30"/>
  <c r="P185" i="30" s="1"/>
  <c r="O184" i="30"/>
  <c r="P184" i="30" s="1"/>
  <c r="O183" i="30"/>
  <c r="P183" i="30" s="1"/>
  <c r="O182" i="30"/>
  <c r="P182" i="30" s="1"/>
  <c r="P188" i="30"/>
  <c r="G12" i="31"/>
  <c r="H12" i="31" s="1"/>
  <c r="H13" i="31" s="1"/>
  <c r="H10" i="31"/>
  <c r="H9" i="31"/>
  <c r="H8" i="31"/>
  <c r="G7" i="31"/>
  <c r="H7" i="31" s="1"/>
  <c r="G6" i="31"/>
  <c r="H6" i="31" s="1"/>
  <c r="G58" i="34"/>
  <c r="D58" i="33"/>
  <c r="D44" i="18"/>
  <c r="M194" i="35" s="1"/>
  <c r="E58" i="33"/>
  <c r="F87" i="31" s="1"/>
  <c r="E177" i="30"/>
  <c r="F96" i="31"/>
  <c r="H96" i="31" s="1"/>
  <c r="F95" i="31" s="1"/>
  <c r="H94" i="31"/>
  <c r="F93" i="31" s="1"/>
  <c r="F46" i="18" s="1"/>
  <c r="G46" i="18" s="1"/>
  <c r="F92" i="31"/>
  <c r="H92" i="31" s="1"/>
  <c r="F91" i="31" s="1"/>
  <c r="F45" i="18" s="1"/>
  <c r="F90" i="31"/>
  <c r="H90" i="31" s="1"/>
  <c r="F89" i="31" s="1"/>
  <c r="B177" i="30"/>
  <c r="P181" i="30"/>
  <c r="E175" i="30"/>
  <c r="E174" i="30"/>
  <c r="E173" i="30"/>
  <c r="E108" i="32"/>
  <c r="E142" i="32" s="1"/>
  <c r="E176" i="32" s="1"/>
  <c r="E218" i="32" s="1"/>
  <c r="E77" i="32"/>
  <c r="E219" i="32" s="1"/>
  <c r="A75" i="32"/>
  <c r="G18" i="31"/>
  <c r="H17" i="31"/>
  <c r="G77" i="31"/>
  <c r="F77" i="31"/>
  <c r="E88" i="32"/>
  <c r="E154" i="32" s="1"/>
  <c r="C69" i="31"/>
  <c r="G71" i="31"/>
  <c r="F71" i="31"/>
  <c r="F70" i="31"/>
  <c r="H70" i="31" s="1"/>
  <c r="F4" i="27"/>
  <c r="F11" i="27"/>
  <c r="F7" i="27"/>
  <c r="F28" i="18" s="1"/>
  <c r="A7" i="27"/>
  <c r="F6" i="27"/>
  <c r="F27" i="18" s="1"/>
  <c r="F5" i="27"/>
  <c r="F26" i="18" s="1"/>
  <c r="P219" i="35" l="1"/>
  <c r="G154" i="32"/>
  <c r="E188" i="32"/>
  <c r="E229" i="32" s="1"/>
  <c r="E120" i="32"/>
  <c r="I10" i="26"/>
  <c r="H49" i="26" s="1"/>
  <c r="I49" i="26" s="1"/>
  <c r="M177" i="30"/>
  <c r="P60" i="35"/>
  <c r="P199" i="30"/>
  <c r="M232" i="35"/>
  <c r="N232" i="35" s="1"/>
  <c r="P232" i="35" s="1"/>
  <c r="P220" i="35"/>
  <c r="P202" i="35"/>
  <c r="P175" i="35"/>
  <c r="F100" i="31"/>
  <c r="H100" i="31" s="1"/>
  <c r="F98" i="31" s="1"/>
  <c r="F41" i="18" s="1"/>
  <c r="P194" i="30"/>
  <c r="F194" i="35"/>
  <c r="K197" i="35" s="1"/>
  <c r="P127" i="35"/>
  <c r="L127" i="35" s="1"/>
  <c r="P82" i="35"/>
  <c r="L82" i="35" s="1"/>
  <c r="U60" i="35" s="1"/>
  <c r="U61" i="35" s="1"/>
  <c r="H77" i="31"/>
  <c r="F78" i="31" s="1"/>
  <c r="H78" i="31" s="1"/>
  <c r="F76" i="31" s="1"/>
  <c r="F73" i="31"/>
  <c r="H73" i="31" s="1"/>
  <c r="H71" i="31"/>
  <c r="F72" i="31" s="1"/>
  <c r="H72" i="31" s="1"/>
  <c r="P238" i="30" l="1"/>
  <c r="L175" i="35"/>
  <c r="M233" i="35"/>
  <c r="N233" i="35" s="1"/>
  <c r="P233" i="35" s="1"/>
  <c r="P266" i="35" s="1"/>
  <c r="F69" i="31"/>
  <c r="F25" i="18" s="1"/>
  <c r="L238" i="30" l="1"/>
  <c r="P240" i="30"/>
  <c r="L266" i="35"/>
  <c r="P268" i="35"/>
  <c r="E41" i="18"/>
  <c r="E44" i="18" l="1"/>
  <c r="E45" i="18"/>
  <c r="G45" i="18" s="1"/>
  <c r="G41" i="18"/>
  <c r="P136" i="30" l="1"/>
  <c r="P137" i="30"/>
  <c r="P135" i="30"/>
  <c r="E132" i="30"/>
  <c r="C40" i="18"/>
  <c r="C39" i="18"/>
  <c r="B132" i="30"/>
  <c r="G65" i="31"/>
  <c r="F65" i="31"/>
  <c r="F64" i="31"/>
  <c r="H64" i="31" s="1"/>
  <c r="F63" i="31"/>
  <c r="H63" i="31" s="1"/>
  <c r="F62" i="31"/>
  <c r="H62" i="31" s="1"/>
  <c r="G58" i="31"/>
  <c r="F58" i="31"/>
  <c r="F57" i="31"/>
  <c r="H57" i="31" s="1"/>
  <c r="F56" i="31"/>
  <c r="H56" i="31" s="1"/>
  <c r="F55" i="31"/>
  <c r="H55" i="31" s="1"/>
  <c r="F54" i="31"/>
  <c r="H54" i="31" s="1"/>
  <c r="F53" i="31"/>
  <c r="H53" i="31" s="1"/>
  <c r="C16" i="31"/>
  <c r="F18" i="31"/>
  <c r="E25" i="32"/>
  <c r="G25" i="32" s="1"/>
  <c r="H27" i="32" s="1"/>
  <c r="E11" i="32" s="1"/>
  <c r="G11" i="32" s="1"/>
  <c r="H16" i="32" s="1"/>
  <c r="E57" i="32"/>
  <c r="G57" i="32" s="1"/>
  <c r="H59" i="32" s="1"/>
  <c r="K59" i="32" s="1"/>
  <c r="M59" i="32" s="1"/>
  <c r="B32" i="32"/>
  <c r="H54" i="32"/>
  <c r="S49" i="32"/>
  <c r="H48" i="32"/>
  <c r="G36" i="32"/>
  <c r="H41" i="32" s="1"/>
  <c r="C12" i="18"/>
  <c r="G283" i="32"/>
  <c r="H285" i="32" s="1"/>
  <c r="G277" i="32"/>
  <c r="H280" i="32" s="1"/>
  <c r="G273" i="32"/>
  <c r="G272" i="32"/>
  <c r="H269" i="32"/>
  <c r="G256" i="32"/>
  <c r="H258" i="32" s="1"/>
  <c r="H253" i="32"/>
  <c r="G246" i="32"/>
  <c r="G245" i="32"/>
  <c r="G240" i="32"/>
  <c r="H242" i="32" s="1"/>
  <c r="G229" i="32"/>
  <c r="H231" i="32" s="1"/>
  <c r="E199" i="32" s="1"/>
  <c r="G199" i="32" s="1"/>
  <c r="H204" i="32" s="1"/>
  <c r="H226" i="32"/>
  <c r="F218" i="32"/>
  <c r="F219" i="32" s="1"/>
  <c r="G215" i="32"/>
  <c r="G214" i="32"/>
  <c r="G213" i="32"/>
  <c r="G212" i="32"/>
  <c r="G211" i="32"/>
  <c r="G210" i="32"/>
  <c r="G209" i="32"/>
  <c r="G208" i="32"/>
  <c r="G207" i="32"/>
  <c r="G188" i="32"/>
  <c r="H190" i="32" s="1"/>
  <c r="H185" i="32"/>
  <c r="E177" i="32"/>
  <c r="F176" i="32"/>
  <c r="G176" i="32" s="1"/>
  <c r="G175" i="32"/>
  <c r="H172" i="32"/>
  <c r="H156" i="32"/>
  <c r="H151" i="32"/>
  <c r="F142" i="32"/>
  <c r="G142" i="32" s="1"/>
  <c r="G141" i="32"/>
  <c r="H138" i="32"/>
  <c r="B128" i="32"/>
  <c r="F120" i="32"/>
  <c r="H117" i="32"/>
  <c r="F108" i="32"/>
  <c r="G108" i="32" s="1"/>
  <c r="G107" i="32"/>
  <c r="B95" i="32"/>
  <c r="F88" i="32"/>
  <c r="G88" i="32" s="1"/>
  <c r="H90" i="32" s="1"/>
  <c r="H85" i="32"/>
  <c r="F76" i="32"/>
  <c r="F77" i="32" s="1"/>
  <c r="F75" i="32"/>
  <c r="G75" i="32" s="1"/>
  <c r="B63" i="32"/>
  <c r="H22" i="32"/>
  <c r="G218" i="32" l="1"/>
  <c r="F177" i="32"/>
  <c r="G177" i="32" s="1"/>
  <c r="H179" i="32" s="1"/>
  <c r="H192" i="32" s="1"/>
  <c r="F21" i="18" s="1"/>
  <c r="H247" i="32"/>
  <c r="H260" i="32" s="1"/>
  <c r="H29" i="32"/>
  <c r="F12" i="18" s="1"/>
  <c r="G12" i="18" s="1"/>
  <c r="G76" i="32"/>
  <c r="H61" i="32"/>
  <c r="F13" i="18" s="1"/>
  <c r="G13" i="18" s="1"/>
  <c r="F132" i="30"/>
  <c r="K135" i="30" s="1"/>
  <c r="F143" i="35"/>
  <c r="K146" i="35" s="1"/>
  <c r="H65" i="31"/>
  <c r="F66" i="31" s="1"/>
  <c r="H66" i="31" s="1"/>
  <c r="H58" i="31"/>
  <c r="F59" i="31" s="1"/>
  <c r="H59" i="31" s="1"/>
  <c r="F52" i="31" s="1"/>
  <c r="F40" i="18" s="1"/>
  <c r="G40" i="18" s="1"/>
  <c r="H18" i="31"/>
  <c r="F67" i="31"/>
  <c r="H67" i="31" s="1"/>
  <c r="G120" i="32"/>
  <c r="H122" i="32" s="1"/>
  <c r="E99" i="32" s="1"/>
  <c r="G99" i="32" s="1"/>
  <c r="H104" i="32" s="1"/>
  <c r="H145" i="32"/>
  <c r="H158" i="32" s="1"/>
  <c r="F20" i="18" s="1"/>
  <c r="H111" i="32"/>
  <c r="G219" i="32"/>
  <c r="H220" i="32" s="1"/>
  <c r="H233" i="32" s="1"/>
  <c r="F22" i="18" s="1"/>
  <c r="H274" i="32"/>
  <c r="H287" i="32" s="1"/>
  <c r="F32" i="18" s="1"/>
  <c r="G77" i="32"/>
  <c r="H79" i="32" s="1"/>
  <c r="K90" i="32"/>
  <c r="M90" i="32" s="1"/>
  <c r="E67" i="32"/>
  <c r="G67" i="32" s="1"/>
  <c r="H72" i="32" s="1"/>
  <c r="K122" i="32"/>
  <c r="M122" i="32" s="1"/>
  <c r="E132" i="32"/>
  <c r="K156" i="32"/>
  <c r="M156" i="32" s="1"/>
  <c r="K190" i="32"/>
  <c r="M190" i="32" s="1"/>
  <c r="E166" i="32"/>
  <c r="K27" i="32"/>
  <c r="M27" i="32" s="1"/>
  <c r="K231" i="32"/>
  <c r="M231" i="32" s="1"/>
  <c r="G14" i="18" l="1"/>
  <c r="F61" i="31"/>
  <c r="F39" i="18" s="1"/>
  <c r="G39" i="18" s="1"/>
  <c r="I260" i="32"/>
  <c r="F31" i="18"/>
  <c r="F20" i="31"/>
  <c r="H20" i="31" s="1"/>
  <c r="F19" i="31"/>
  <c r="H19" i="31" s="1"/>
  <c r="H124" i="32"/>
  <c r="F19" i="18" s="1"/>
  <c r="M235" i="32"/>
  <c r="N235" i="32" s="1"/>
  <c r="H92" i="32"/>
  <c r="F18" i="18" s="1"/>
  <c r="F16" i="31" l="1"/>
  <c r="F16" i="18" s="1"/>
  <c r="C38" i="18" l="1"/>
  <c r="G48" i="31"/>
  <c r="F48" i="31"/>
  <c r="H48" i="31" s="1"/>
  <c r="F49" i="31" s="1"/>
  <c r="H49" i="31" s="1"/>
  <c r="F47" i="31"/>
  <c r="H47" i="31" s="1"/>
  <c r="G46" i="31"/>
  <c r="F46" i="31"/>
  <c r="H46" i="31" s="1"/>
  <c r="G41" i="31"/>
  <c r="E38" i="31"/>
  <c r="H38" i="31" s="1"/>
  <c r="C37" i="31"/>
  <c r="F41" i="31"/>
  <c r="H40" i="31"/>
  <c r="H39" i="31"/>
  <c r="D22" i="31"/>
  <c r="H24" i="31"/>
  <c r="C22" i="31"/>
  <c r="G25" i="31"/>
  <c r="F25" i="31"/>
  <c r="G33" i="31"/>
  <c r="H30" i="31"/>
  <c r="F33" i="31"/>
  <c r="H32" i="31"/>
  <c r="H31" i="31"/>
  <c r="P54" i="30"/>
  <c r="M90" i="30"/>
  <c r="M45" i="30"/>
  <c r="E90" i="30"/>
  <c r="B90" i="30"/>
  <c r="F90" i="30"/>
  <c r="N50" i="30"/>
  <c r="P50" i="30" s="1"/>
  <c r="N49" i="30"/>
  <c r="P51" i="30"/>
  <c r="P52" i="30"/>
  <c r="P53" i="30"/>
  <c r="N48" i="30"/>
  <c r="P48" i="30" s="1"/>
  <c r="F10" i="30"/>
  <c r="K13" i="30" s="1"/>
  <c r="E10" i="30"/>
  <c r="P103" i="30"/>
  <c r="P102" i="30"/>
  <c r="P101" i="30"/>
  <c r="P100" i="30"/>
  <c r="P99" i="30"/>
  <c r="P98" i="30"/>
  <c r="P97" i="30"/>
  <c r="P96" i="30"/>
  <c r="P95" i="30"/>
  <c r="P94" i="30"/>
  <c r="P93" i="30"/>
  <c r="F45" i="30"/>
  <c r="E45" i="30"/>
  <c r="B45" i="30"/>
  <c r="H87" i="31"/>
  <c r="F86" i="31"/>
  <c r="H86" i="31" s="1"/>
  <c r="H82" i="31"/>
  <c r="F81" i="31"/>
  <c r="H81" i="31" s="1"/>
  <c r="M10" i="30"/>
  <c r="B10" i="30"/>
  <c r="P158" i="30"/>
  <c r="L158" i="30" s="1"/>
  <c r="M132" i="30"/>
  <c r="O129" i="30"/>
  <c r="N126" i="30"/>
  <c r="K126" i="30"/>
  <c r="H126" i="30"/>
  <c r="D126" i="30"/>
  <c r="K39" i="30"/>
  <c r="H39" i="30"/>
  <c r="F39" i="30"/>
  <c r="D39" i="30"/>
  <c r="P13" i="30"/>
  <c r="K130" i="30"/>
  <c r="E43" i="30"/>
  <c r="O42" i="30"/>
  <c r="E129" i="30"/>
  <c r="E41" i="30"/>
  <c r="N39" i="30"/>
  <c r="P49" i="30" l="1"/>
  <c r="N171" i="30"/>
  <c r="P116" i="30"/>
  <c r="L116" i="30" s="1"/>
  <c r="H25" i="31"/>
  <c r="F26" i="31" s="1"/>
  <c r="H26" i="31" s="1"/>
  <c r="F22" i="31" s="1"/>
  <c r="F35" i="18" s="1"/>
  <c r="G35" i="18" s="1"/>
  <c r="H41" i="31"/>
  <c r="F42" i="31" s="1"/>
  <c r="H42" i="31" s="1"/>
  <c r="F37" i="31" s="1"/>
  <c r="F36" i="18" s="1"/>
  <c r="G36" i="18" s="1"/>
  <c r="F45" i="31"/>
  <c r="F80" i="31"/>
  <c r="F85" i="31"/>
  <c r="F44" i="18" s="1"/>
  <c r="G44" i="18" s="1"/>
  <c r="G47" i="18" s="1"/>
  <c r="H33" i="31"/>
  <c r="F34" i="31" s="1"/>
  <c r="H34" i="31" s="1"/>
  <c r="P71" i="30"/>
  <c r="L71" i="30" s="1"/>
  <c r="U49" i="30" s="1"/>
  <c r="U50" i="30" s="1"/>
  <c r="P26" i="30"/>
  <c r="L26" i="30" s="1"/>
  <c r="K43" i="30"/>
  <c r="E128" i="30"/>
  <c r="E130" i="30"/>
  <c r="E42" i="30"/>
  <c r="F38" i="18" l="1"/>
  <c r="G38" i="18" s="1"/>
  <c r="F29" i="31"/>
  <c r="I34" i="21"/>
  <c r="I33" i="21"/>
  <c r="I32" i="21"/>
  <c r="E25" i="21"/>
  <c r="H25" i="21" s="1"/>
  <c r="I24" i="21" s="1"/>
  <c r="E19" i="21"/>
  <c r="H19" i="21" s="1"/>
  <c r="I18" i="21" s="1"/>
  <c r="D27" i="29"/>
  <c r="E19" i="26" s="1"/>
  <c r="H19" i="26" s="1"/>
  <c r="I18" i="26" s="1"/>
  <c r="C27" i="29"/>
  <c r="E21" i="26" s="1"/>
  <c r="H21" i="26" s="1"/>
  <c r="B24" i="29"/>
  <c r="B27" i="29" s="1"/>
  <c r="E23" i="21" s="1"/>
  <c r="H23" i="21" s="1"/>
  <c r="E27" i="21" l="1"/>
  <c r="H27" i="21" s="1"/>
  <c r="I26" i="21" s="1"/>
  <c r="I28" i="26"/>
  <c r="D17" i="26"/>
  <c r="E21" i="21"/>
  <c r="H21" i="21" s="1"/>
  <c r="I20" i="21" s="1"/>
  <c r="F37" i="18"/>
  <c r="G37" i="18" s="1"/>
  <c r="G42" i="18" s="1"/>
  <c r="H11" i="31"/>
  <c r="F5" i="31" s="1"/>
  <c r="F17" i="18" s="1"/>
  <c r="I22" i="21"/>
  <c r="I28" i="21" l="1"/>
  <c r="D17" i="21"/>
  <c r="I43" i="21" l="1"/>
  <c r="F48" i="18" l="1"/>
  <c r="F52" i="18"/>
  <c r="G17" i="18" l="1"/>
  <c r="G18" i="18"/>
  <c r="G19" i="18"/>
  <c r="G20" i="18"/>
  <c r="G21" i="18"/>
  <c r="G22" i="18"/>
  <c r="G28" i="18"/>
  <c r="I37" i="21"/>
  <c r="I38" i="21"/>
  <c r="I39" i="21"/>
  <c r="I40" i="21"/>
  <c r="I42" i="21"/>
  <c r="I36" i="21"/>
  <c r="B6" i="19" l="1"/>
  <c r="G6" i="19" l="1"/>
  <c r="C3" i="23" l="1"/>
  <c r="C10" i="23"/>
  <c r="C11" i="23"/>
  <c r="C32" i="23"/>
  <c r="C34" i="23"/>
  <c r="G32" i="18"/>
  <c r="G31" i="18"/>
  <c r="G33" i="18" s="1"/>
  <c r="G27" i="18"/>
  <c r="G26" i="18"/>
  <c r="G25" i="18"/>
  <c r="G29" i="18" l="1"/>
  <c r="C16" i="23"/>
  <c r="C36" i="23" s="1"/>
  <c r="B5" i="19"/>
  <c r="G16" i="18"/>
  <c r="G23" i="18" s="1"/>
  <c r="B4" i="19" l="1"/>
  <c r="D4" i="19" s="1"/>
  <c r="E4" i="19" s="1"/>
  <c r="G48" i="18"/>
  <c r="D5" i="19"/>
  <c r="G5" i="19" s="1"/>
  <c r="E5" i="19" l="1"/>
  <c r="G4" i="19"/>
  <c r="B3" i="19"/>
  <c r="B2" i="19"/>
  <c r="G49" i="18" l="1"/>
  <c r="G50" i="18"/>
  <c r="G51" i="18" s="1"/>
  <c r="B7" i="19"/>
  <c r="D2" i="19"/>
  <c r="E2" i="19" s="1"/>
  <c r="D3" i="19"/>
  <c r="E3" i="19" s="1"/>
  <c r="G52" i="18" l="1"/>
  <c r="E17" i="26" s="1"/>
  <c r="B8" i="19"/>
  <c r="I11" i="21"/>
  <c r="D7" i="19"/>
  <c r="G3" i="19"/>
  <c r="G2" i="19"/>
  <c r="E7" i="19"/>
  <c r="G7" i="19" l="1"/>
  <c r="G8" i="19" s="1"/>
  <c r="E8" i="19"/>
  <c r="C5" i="19"/>
  <c r="F5" i="19" s="1"/>
  <c r="C4" i="19"/>
  <c r="F4" i="19" s="1"/>
  <c r="C3" i="19"/>
  <c r="F3" i="19" s="1"/>
  <c r="C2" i="19"/>
  <c r="C7" i="19" l="1"/>
  <c r="F2" i="19"/>
  <c r="F7" i="19" s="1"/>
  <c r="F9" i="19" s="1"/>
  <c r="I10" i="21" l="1" a="1"/>
  <c r="J10" i="21" l="1"/>
  <c r="I10" i="21"/>
  <c r="H50" i="21" s="1"/>
  <c r="G7" i="18"/>
  <c r="I50" i="21" l="1"/>
  <c r="I41" i="21" l="1"/>
  <c r="D35" i="21" s="1"/>
  <c r="G53" i="18" l="1"/>
  <c r="G54" i="18" s="1"/>
  <c r="E17" i="21"/>
  <c r="E35" i="21"/>
  <c r="H31" i="21"/>
  <c r="I31" i="21" s="1"/>
  <c r="D30" i="21" s="1"/>
  <c r="H45" i="21"/>
  <c r="I11" i="26" l="1"/>
  <c r="H45" i="26"/>
  <c r="E30" i="21"/>
  <c r="I45" i="21"/>
  <c r="H46" i="21"/>
  <c r="H49" i="21"/>
  <c r="I49" i="21" s="1"/>
  <c r="H39" i="26" l="1"/>
  <c r="I39" i="26" s="1"/>
  <c r="D35" i="26" s="1"/>
  <c r="E35" i="26" s="1"/>
  <c r="H31" i="26"/>
  <c r="I31" i="26" s="1"/>
  <c r="D30" i="26" s="1"/>
  <c r="E30" i="26" s="1"/>
  <c r="H48" i="26"/>
  <c r="I48" i="26" s="1"/>
  <c r="H46" i="26"/>
  <c r="I45" i="26"/>
  <c r="H47" i="21"/>
  <c r="I46" i="21"/>
  <c r="H47" i="26" l="1"/>
  <c r="I47" i="26" s="1"/>
  <c r="I46" i="26"/>
  <c r="H48" i="21"/>
  <c r="I48" i="21" s="1"/>
  <c r="I47" i="21"/>
  <c r="I50" i="26" l="1"/>
  <c r="D44" i="26"/>
  <c r="E44" i="26" s="1"/>
  <c r="G56" i="26" s="1"/>
  <c r="D44" i="21"/>
  <c r="F13" i="21" s="1"/>
  <c r="E44" i="21" l="1"/>
  <c r="G57" i="21" s="1"/>
  <c r="G13" i="21" l="1"/>
  <c r="K42" i="30"/>
  <c r="K129" i="30"/>
  <c r="K4" i="30"/>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<sst xmlns="http://schemas.openxmlformats.org/spreadsheetml/2006/main" count="1694" uniqueCount="585">
  <si>
    <t>COSTO TOTAL</t>
  </si>
  <si>
    <t>UND</t>
  </si>
  <si>
    <t>KG</t>
  </si>
  <si>
    <t>M2</t>
  </si>
  <si>
    <t>PRESUPUESTO GENERAL</t>
  </si>
  <si>
    <t>ITEM</t>
  </si>
  <si>
    <t>DESCRIPCION</t>
  </si>
  <si>
    <t>UNID.</t>
  </si>
  <si>
    <t>V. UNITARIO</t>
  </si>
  <si>
    <t>CANTIDAD</t>
  </si>
  <si>
    <t>V. TOTAL</t>
  </si>
  <si>
    <t>A</t>
  </si>
  <si>
    <t>PRELIMINARES</t>
  </si>
  <si>
    <t>A1.1</t>
  </si>
  <si>
    <t>SUB TOTAL</t>
  </si>
  <si>
    <t>B</t>
  </si>
  <si>
    <t>B1.2</t>
  </si>
  <si>
    <t>B1.3</t>
  </si>
  <si>
    <t>B1.4</t>
  </si>
  <si>
    <t xml:space="preserve">SUB TOTAL </t>
  </si>
  <si>
    <t>C</t>
  </si>
  <si>
    <t>SUB TOTAL COSTOS DIRECTOS</t>
  </si>
  <si>
    <t>B1.1</t>
  </si>
  <si>
    <t>B1.5</t>
  </si>
  <si>
    <t>JORNAL</t>
  </si>
  <si>
    <t>ANÁLISIS DE PRECIOS UNITARIOS</t>
  </si>
  <si>
    <t>PROYECTO:</t>
  </si>
  <si>
    <t>INSTALACIÓN DE ESTUFAS ECOEFICIENTES PARA VIVIENDA RURAL</t>
  </si>
  <si>
    <t>ACTIVIDAD:</t>
  </si>
  <si>
    <t xml:space="preserve">ITEM: </t>
  </si>
  <si>
    <t xml:space="preserve">UNIDAD: </t>
  </si>
  <si>
    <t>I. EQUIPO</t>
  </si>
  <si>
    <t>Descripción</t>
  </si>
  <si>
    <t>Unidad</t>
  </si>
  <si>
    <t>Tarifa/Hora</t>
  </si>
  <si>
    <t>Rendimiento</t>
  </si>
  <si>
    <t>Valor-Unit.</t>
  </si>
  <si>
    <t>HERRAMIENTA MENOR</t>
  </si>
  <si>
    <t>%</t>
  </si>
  <si>
    <t>ajustado rendimiento</t>
  </si>
  <si>
    <t>Sub-Total</t>
  </si>
  <si>
    <t>III. TRANSPORTES</t>
  </si>
  <si>
    <t>Vol. Peso o Cant.</t>
  </si>
  <si>
    <t>Distancia</t>
  </si>
  <si>
    <t>M3-Km</t>
  </si>
  <si>
    <t>Tarifa</t>
  </si>
  <si>
    <t>IV. MANO DE OBRA</t>
  </si>
  <si>
    <t>Cuadrilla AA 1Of+1Ay (Albañilería)</t>
  </si>
  <si>
    <t>Total Costo Directo</t>
  </si>
  <si>
    <t>II. MATERIALES EN OBRA</t>
  </si>
  <si>
    <t>Precio-Unit.</t>
  </si>
  <si>
    <t>Cantidad</t>
  </si>
  <si>
    <t>und</t>
  </si>
  <si>
    <t>ajustado según APU's básicos</t>
  </si>
  <si>
    <t>Vol. Peso ó Cant.</t>
  </si>
  <si>
    <t>Suministro e Instalación KIT de Herrajes</t>
  </si>
  <si>
    <t>Mampostería ladrillo adobe macizo de 5x10x20 cm</t>
  </si>
  <si>
    <t>Suministro e Instalación de vitrificado</t>
  </si>
  <si>
    <t>Mampostería ladrillo tipo farol de 10x20x40 cm 3 huecos</t>
  </si>
  <si>
    <t>D</t>
  </si>
  <si>
    <t>C1.1</t>
  </si>
  <si>
    <t>C1.2</t>
  </si>
  <si>
    <t>C1.3</t>
  </si>
  <si>
    <t>D.1.1</t>
  </si>
  <si>
    <t xml:space="preserve">Manejo y mantenimiento de la estufa eficiente </t>
  </si>
  <si>
    <t>D.1.2</t>
  </si>
  <si>
    <t>Refrigerios</t>
  </si>
  <si>
    <t>Jornadas</t>
  </si>
  <si>
    <t>VALOR TOTAL</t>
  </si>
  <si>
    <t>DESCRIPCIÓN</t>
  </si>
  <si>
    <t>UNIDAD</t>
  </si>
  <si>
    <t>CANT.</t>
  </si>
  <si>
    <t>DEDICACIÓN/MES</t>
  </si>
  <si>
    <t>MESES</t>
  </si>
  <si>
    <t>VALOR UNITARIO</t>
  </si>
  <si>
    <t>PERSONAL (incluye prestaciones)</t>
  </si>
  <si>
    <t>mes</t>
  </si>
  <si>
    <t>VARIOS</t>
  </si>
  <si>
    <t>Comunicaciones</t>
  </si>
  <si>
    <t>A N A L I S I S      D E L       A U</t>
  </si>
  <si>
    <t>COSTO DIRECTO</t>
  </si>
  <si>
    <t>COSTO TOTAL (antes de interventoría)</t>
  </si>
  <si>
    <t>ADMINISTRACION   ( A )                 &gt;&gt;</t>
  </si>
  <si>
    <t>&gt;&gt;</t>
  </si>
  <si>
    <t>Director (a) de Obra</t>
  </si>
  <si>
    <t>Gastos de oficina y papelería</t>
  </si>
  <si>
    <t>Gastos bancarios (diferentes al cuatro por mil)</t>
  </si>
  <si>
    <t>DEDUCC. - IMP.</t>
  </si>
  <si>
    <t>Industria y comercio</t>
  </si>
  <si>
    <t>Estampilla Pro-Adulto Mayor</t>
  </si>
  <si>
    <t>Estampilla Pro- Cultura</t>
  </si>
  <si>
    <t>Impuesto de seguridad</t>
  </si>
  <si>
    <t>ADMINISTRACION         ( A )</t>
  </si>
  <si>
    <t>UTILIDAD                       ( U )</t>
  </si>
  <si>
    <t>PORCENTAJE TOTAL DE AU</t>
  </si>
  <si>
    <t>ADMINISTRACION</t>
  </si>
  <si>
    <t>CALCULO DEL FACTOR MULTIPLICADOR</t>
  </si>
  <si>
    <t>HONORARIOS MENSUAL  BASICO</t>
  </si>
  <si>
    <t>PRESTACIONES SOCIALES</t>
  </si>
  <si>
    <t>2.1</t>
  </si>
  <si>
    <t>Prima mensual</t>
  </si>
  <si>
    <t>2.2</t>
  </si>
  <si>
    <t>Cesantía mensual</t>
  </si>
  <si>
    <t>2.3</t>
  </si>
  <si>
    <t>Intereses de cesantías</t>
  </si>
  <si>
    <t>2.4</t>
  </si>
  <si>
    <t>Salud</t>
  </si>
  <si>
    <t>2.5</t>
  </si>
  <si>
    <t>Pensión</t>
  </si>
  <si>
    <t>2.6</t>
  </si>
  <si>
    <t>SENA</t>
  </si>
  <si>
    <t>2.7</t>
  </si>
  <si>
    <t>ICBF</t>
  </si>
  <si>
    <t>2.8</t>
  </si>
  <si>
    <t>2.9</t>
  </si>
  <si>
    <t>Vacaciones</t>
  </si>
  <si>
    <t>Dotación</t>
  </si>
  <si>
    <t xml:space="preserve">SUBTOTAL  2  -  PRESTACIONES SOCIALES    </t>
  </si>
  <si>
    <t>COSTOS INDIRECTOS</t>
  </si>
  <si>
    <t>GASTOS LEGALES Y DE ADMINISTRACION</t>
  </si>
  <si>
    <t>3.1</t>
  </si>
  <si>
    <t>Gastos directos no reembolsables</t>
  </si>
  <si>
    <t>3.2</t>
  </si>
  <si>
    <t>Arriendos oficinas</t>
  </si>
  <si>
    <t>3.3</t>
  </si>
  <si>
    <t>Servcios públicos</t>
  </si>
  <si>
    <t>3.4</t>
  </si>
  <si>
    <t>Mantenimiento y operación de oficinas</t>
  </si>
  <si>
    <t>3.5</t>
  </si>
  <si>
    <t>Utiles y papelería</t>
  </si>
  <si>
    <t>3.6</t>
  </si>
  <si>
    <t>Gastos legales y bancarios</t>
  </si>
  <si>
    <t>3.7</t>
  </si>
  <si>
    <t>Gastos de tranporte y vehículos</t>
  </si>
  <si>
    <t>3.8</t>
  </si>
  <si>
    <t>Sistematización y Administración</t>
  </si>
  <si>
    <t>3.9</t>
  </si>
  <si>
    <t>Salarios y Prestaciones no reembolsables</t>
  </si>
  <si>
    <t>3.10</t>
  </si>
  <si>
    <t>Personal administrativo</t>
  </si>
  <si>
    <t>3.11</t>
  </si>
  <si>
    <t>Preparación de propuesta</t>
  </si>
  <si>
    <t xml:space="preserve">SUBTOTAL  3  -  COSTOS INDIRECTOS    </t>
  </si>
  <si>
    <t>CARGO POR HONORARIOS</t>
  </si>
  <si>
    <t xml:space="preserve">SUBTOTAL  4  -  HONORARIOS     </t>
  </si>
  <si>
    <t xml:space="preserve">                                                                                              </t>
  </si>
  <si>
    <r>
      <t>FACTOR MULTIPLICADOR</t>
    </r>
    <r>
      <rPr>
        <b/>
        <sz val="12"/>
        <rFont val="Arial"/>
        <family val="2"/>
      </rPr>
      <t xml:space="preserve">   =   (  1 + 2 + 3 + 4  ) / 100</t>
    </r>
  </si>
  <si>
    <t>Suministro de Material Vegetal</t>
  </si>
  <si>
    <t>IMPLEMENTACION HUERTO LEÑERO</t>
  </si>
  <si>
    <t>SUMINISTRO E INSTALACION</t>
  </si>
  <si>
    <t>Capacitación para la operación y mantenimiento de la estufa ecoeficiente (Manual )</t>
  </si>
  <si>
    <t>TALLERES</t>
  </si>
  <si>
    <t>Arriendos</t>
  </si>
  <si>
    <t>Muebles y enseres</t>
  </si>
  <si>
    <t>Polizas</t>
  </si>
  <si>
    <t xml:space="preserve">Valla </t>
  </si>
  <si>
    <t xml:space="preserve">TALLERES </t>
  </si>
  <si>
    <t>ACTVIDADES</t>
  </si>
  <si>
    <t>CADENA DE VALOR</t>
  </si>
  <si>
    <t>Material Vegetal - Plantulas</t>
  </si>
  <si>
    <t>Elementos Mayores</t>
  </si>
  <si>
    <t>Elementos Menores</t>
  </si>
  <si>
    <t xml:space="preserve">PROYECTO:        </t>
  </si>
  <si>
    <t xml:space="preserve">COTIZACION N°2 </t>
  </si>
  <si>
    <t xml:space="preserve">COTIZACION N°1- </t>
  </si>
  <si>
    <t>HUERTO LEÑERO</t>
  </si>
  <si>
    <t>ESTUFAS ECO EFICIENTE MOVIL</t>
  </si>
  <si>
    <t>COTIZACION N°1</t>
  </si>
  <si>
    <t>COTIZACION N°3</t>
  </si>
  <si>
    <t>C1.4</t>
  </si>
  <si>
    <t>Control Hormiga</t>
  </si>
  <si>
    <t>SUPERVISION</t>
  </si>
  <si>
    <t>MUNICIPIO DE LA VIRGINIA - RISARALDA</t>
  </si>
  <si>
    <t>MEJORAMIENTO DE SENDEROS</t>
  </si>
  <si>
    <t>Poda y Desmonte</t>
  </si>
  <si>
    <t>Recuperacion de caminos</t>
  </si>
  <si>
    <t>E</t>
  </si>
  <si>
    <t>E.1.1</t>
  </si>
  <si>
    <t>E.1.2</t>
  </si>
  <si>
    <t>E.1.3</t>
  </si>
  <si>
    <t>ML</t>
  </si>
  <si>
    <t xml:space="preserve"> </t>
  </si>
  <si>
    <t>B1.6</t>
  </si>
  <si>
    <t>B1.7</t>
  </si>
  <si>
    <t>SUMINISTRO E INSTALACION ESTUFA FIJA</t>
  </si>
  <si>
    <t>Construcción piso en concreto espesor 8 cms</t>
  </si>
  <si>
    <t>M3</t>
  </si>
  <si>
    <t>IMPLEMENTACIÓN DE ACCIONES DE CONSERVACIÓN, PRODUCCCIÓN SOSTENIBLE Y CONSUMO RESPONSABLE EN AREAS DE INTERES AMBIENTAL DEL D.M.I GUASIMO EN EL MUNICIPIO DE LA VIRGINIA</t>
  </si>
  <si>
    <t xml:space="preserve">Geolocalizacion del sitio, localizacion y replanteo </t>
  </si>
  <si>
    <t xml:space="preserve">Tecnologo en obras Civiles </t>
  </si>
  <si>
    <t>m2</t>
  </si>
  <si>
    <t xml:space="preserve">FACTOR PRESTACIONAL </t>
  </si>
  <si>
    <t>ANÁLISIS MANO DE OBRA</t>
  </si>
  <si>
    <t>Salario Mínimo Mensual Legal Vigente año 2023</t>
  </si>
  <si>
    <t>Subsidio de Transporte (salario &lt;= 2 SMMLV)</t>
  </si>
  <si>
    <t>FACTOR PRESTACIONAL</t>
  </si>
  <si>
    <t>SALARIO &lt;= 2 SMMLV</t>
  </si>
  <si>
    <t>SALARIO &gt; 2 SMMLV</t>
  </si>
  <si>
    <t>PERSONAL TÉCNICO, OPERATIVO
Riesgo Clase V</t>
  </si>
  <si>
    <t>PERSONAL TÉCNICO, OPERATIVO
Riesgo Clase II</t>
  </si>
  <si>
    <t>Cesantías</t>
  </si>
  <si>
    <t>Intereses cesantías</t>
  </si>
  <si>
    <t>Prima</t>
  </si>
  <si>
    <t>SEGURIDAD SOCIAL</t>
  </si>
  <si>
    <t>Aportes régimen general de pensiones (I.V.M.)</t>
  </si>
  <si>
    <t>Aporte riesgos profesionales A.R.L.</t>
  </si>
  <si>
    <t>Aportes régimen contributivo de salud</t>
  </si>
  <si>
    <t>Certificado trabajo seguro en alturas</t>
  </si>
  <si>
    <t>OTROS APORTES</t>
  </si>
  <si>
    <t>Aportes FIC</t>
  </si>
  <si>
    <t>I.C.B.F.</t>
  </si>
  <si>
    <t>Comfamiliar</t>
  </si>
  <si>
    <t>Subsidio de transporte</t>
  </si>
  <si>
    <t>Días festivos (18 al año)</t>
  </si>
  <si>
    <t>Exámenes médicos de ingreso y egreso</t>
  </si>
  <si>
    <t xml:space="preserve">Contador </t>
  </si>
  <si>
    <t xml:space="preserve">Secretaria </t>
  </si>
  <si>
    <t xml:space="preserve">VALOR TOTAL PERSONAL ADMINISTRATIVO Y OPERATIVO </t>
  </si>
  <si>
    <t xml:space="preserve">Almacenista </t>
  </si>
  <si>
    <t xml:space="preserve">COSTOS DE LEGALIZACION </t>
  </si>
  <si>
    <t xml:space="preserve">Impuesto a la renta </t>
  </si>
  <si>
    <t xml:space="preserve">Estampilla de la justicia </t>
  </si>
  <si>
    <t xml:space="preserve">Polizas </t>
  </si>
  <si>
    <t xml:space="preserve">PORCENTAJE </t>
  </si>
  <si>
    <t>PREACTA DE OBRA</t>
  </si>
  <si>
    <t>FECHA</t>
  </si>
  <si>
    <t>DD</t>
  </si>
  <si>
    <t>MM</t>
  </si>
  <si>
    <t>AA</t>
  </si>
  <si>
    <t>ACTA N°</t>
  </si>
  <si>
    <t>ELABORO</t>
  </si>
  <si>
    <t>OBJETO DEL CONTRATO</t>
  </si>
  <si>
    <t>SUPERVISOR</t>
  </si>
  <si>
    <t>NIT O C.C.</t>
  </si>
  <si>
    <t>CONTRATO N°</t>
  </si>
  <si>
    <t>CONTRATANTE</t>
  </si>
  <si>
    <t>CAPÍTULO</t>
  </si>
  <si>
    <t xml:space="preserve">UBICACIÓN </t>
  </si>
  <si>
    <t xml:space="preserve">Descripción </t>
  </si>
  <si>
    <t>Dimensiones</t>
  </si>
  <si>
    <t>No Elem.</t>
  </si>
  <si>
    <t>Medida Total</t>
  </si>
  <si>
    <t>Ancho</t>
  </si>
  <si>
    <t>Alto</t>
  </si>
  <si>
    <t>Long</t>
  </si>
  <si>
    <t>OBSERVACIONES:</t>
  </si>
  <si>
    <t>ACUMULADO EN ITEM</t>
  </si>
  <si>
    <t>TOTAL</t>
  </si>
  <si>
    <t xml:space="preserve">OBSERVACION </t>
  </si>
  <si>
    <t>Detalle: Demolicion de area de concreto existente y retiro del mismo.</t>
  </si>
  <si>
    <t xml:space="preserve">MEMORIAS DE CALCULO </t>
  </si>
  <si>
    <t>ZONA RURAL</t>
  </si>
  <si>
    <t>E.1.4</t>
  </si>
  <si>
    <t xml:space="preserve">Suministro e instalacion de pasamanos en madera </t>
  </si>
  <si>
    <t>M</t>
  </si>
  <si>
    <t>MAT</t>
  </si>
  <si>
    <t>MAT,028</t>
  </si>
  <si>
    <t>MAT,323</t>
  </si>
  <si>
    <t>Un</t>
  </si>
  <si>
    <t>MAT,164</t>
  </si>
  <si>
    <t>Kg</t>
  </si>
  <si>
    <t>M . O</t>
  </si>
  <si>
    <t>MOB017</t>
  </si>
  <si>
    <t>Cuadrilla G 1 Of + 2 Ay (jornal + prestaciones)</t>
  </si>
  <si>
    <t>Día</t>
  </si>
  <si>
    <t>EQUIPO</t>
  </si>
  <si>
    <t>EQU002</t>
  </si>
  <si>
    <t>Herramienta menor (% mano obra)</t>
  </si>
  <si>
    <t>%MO</t>
  </si>
  <si>
    <t>ANALISIS DE PRECIOS UNITARIOS ECO ESTUFAS</t>
  </si>
  <si>
    <r>
      <t>M</t>
    </r>
    <r>
      <rPr>
        <b/>
        <vertAlign val="superscript"/>
        <sz val="10"/>
        <rFont val="Arial"/>
        <family val="2"/>
      </rPr>
      <t>2</t>
    </r>
  </si>
  <si>
    <t>MAT,176</t>
  </si>
  <si>
    <t>Guadua basa longitud promedio = 5 m</t>
  </si>
  <si>
    <t>Gl</t>
  </si>
  <si>
    <t>Lb</t>
  </si>
  <si>
    <r>
      <t>M</t>
    </r>
    <r>
      <rPr>
        <vertAlign val="superscript"/>
        <sz val="10"/>
        <rFont val="Arial"/>
        <family val="2"/>
      </rPr>
      <t>3</t>
    </r>
  </si>
  <si>
    <t>MOB015</t>
  </si>
  <si>
    <t>Cuadrilla E 1 Of + 1 Ay (jornal + prestaciones)</t>
  </si>
  <si>
    <t xml:space="preserve">Taller de capacitación para la operación y mantenimiento de la Estufa Ecoeficiente (Manual, Carta de beneficio y otros). </t>
  </si>
  <si>
    <t>m3</t>
  </si>
  <si>
    <t>G-03-(P7)B</t>
  </si>
  <si>
    <t>Viaje</t>
  </si>
  <si>
    <t>2 Ayudantes (jornal + prestaciones)</t>
  </si>
  <si>
    <t>EQU066</t>
  </si>
  <si>
    <t>Campero tipo JEEP</t>
  </si>
  <si>
    <t>Transporte materiales a la vereda La Gorgonia en JEEP, incluye cargue y descargue</t>
  </si>
  <si>
    <t>Monitorear los impactos del uso de las estufas ecoeficientes</t>
  </si>
  <si>
    <t xml:space="preserve">MUNICIPIO DE LA VIRGINIA </t>
  </si>
  <si>
    <t>Detalle: Existen zonas donde el paso es demasido angosto y debido a sus altas pendientes hay abismos que genera mucho riesgo de accidente al paso de las personas y turistas, teniendo en cuenta que hay unas personas mas vunerables que otras.</t>
  </si>
  <si>
    <t>Recuperacion de caminos tramo No 1.</t>
  </si>
  <si>
    <t>Recuperacion de caminos tramo No 2.</t>
  </si>
  <si>
    <t>Recuperacion de caminos tramo No 3.</t>
  </si>
  <si>
    <t>Recuperacion de caminos tramo No 4.</t>
  </si>
  <si>
    <t>Recuperacion de caminos tramo No 5.</t>
  </si>
  <si>
    <t xml:space="preserve">Detalle: a lo largo del trayecto de los senderos existen varios tramos que generan dificultad al paso de turistas y personal, debido a que la madera que conforman los pasos de huella y contrahuella estan deteriorado a no existen lo cual ocasiona la perdida del material (tierra) que a su vez se forma una gran pendiente que se evidencia el alto riesgo al paso por esos caminos. </t>
  </si>
  <si>
    <t xml:space="preserve">Recuperacion de caminos tramo No 6. </t>
  </si>
  <si>
    <t>Suministro e instalacion de pasamanos en madera tramo No 1</t>
  </si>
  <si>
    <t>Suministro e instalacion de pasamanos en madera tramo No 2</t>
  </si>
  <si>
    <t>Suministro e instalacion de pasamanos en madera tramo No 3</t>
  </si>
  <si>
    <t>Suministro e instalacion de pasamanos en madera tramo No 4</t>
  </si>
  <si>
    <t>Suministro e instalacion de pasamanos en madera tramo No 5</t>
  </si>
  <si>
    <t>Suministro e instalacion de pasamanos en madera tramo No 6</t>
  </si>
  <si>
    <t>Suministro e instalacion de pasamanos en madera tramo No 7</t>
  </si>
  <si>
    <t>Suministro e instalacion de pasamanos en madera tramo No 8</t>
  </si>
  <si>
    <t>Suministro e instalacion de pasamanos en madera tramo No 9</t>
  </si>
  <si>
    <t>Suministro e instalacion de pasamanos en madera tramo No 10</t>
  </si>
  <si>
    <t>Suministro e instalacion de pasamanos en madera tramo No 11</t>
  </si>
  <si>
    <t>Suministro e instalacion de pasamanos en madera tramo No 12</t>
  </si>
  <si>
    <t>Recuperacion de caminos tramo No 7.</t>
  </si>
  <si>
    <t>Detalle: se requiere la poda, desmonte de plantas y  ramificaciones presentes en el camino obstruyendo el paso y otras  que sobresalen en en el mismo, lo cual genera riesgo al paso de turistas y peronal que realiza acciones en la zona.</t>
  </si>
  <si>
    <t>Transporte materiales a la vereda el aguacate en JEEP, incluye cargue y descargue</t>
  </si>
  <si>
    <t>Cerramiento - Pasamanos en poste de madera tres horizontales de proteccion inc excavacion</t>
  </si>
  <si>
    <t xml:space="preserve">Tornillos de anclaje inoxidable + tuercas y arandelas </t>
  </si>
  <si>
    <t>Kit</t>
  </si>
  <si>
    <t xml:space="preserve">Poste de madera pino patula inmunizado </t>
  </si>
  <si>
    <t xml:space="preserve">Horizontal media madera pino patula inmunizado </t>
  </si>
  <si>
    <t>E.P</t>
  </si>
  <si>
    <t>1-01-23 - E.P</t>
  </si>
  <si>
    <t>1-01-19</t>
  </si>
  <si>
    <t>Cerramiento provisional con señalizador y tela de cerramiento</t>
  </si>
  <si>
    <t>MAT,351</t>
  </si>
  <si>
    <t>Señalizador tubular de 1 m (2 líneas de cinta)</t>
  </si>
  <si>
    <t>MAT,394</t>
  </si>
  <si>
    <t>Tela de cerramiento a = 2,10 m (rollo por 100 m)</t>
  </si>
  <si>
    <r>
      <t>M</t>
    </r>
    <r>
      <rPr>
        <vertAlign val="superscript"/>
        <sz val="10"/>
        <rFont val="Arial"/>
        <family val="2"/>
      </rPr>
      <t>2</t>
    </r>
  </si>
  <si>
    <t>MOB003</t>
  </si>
  <si>
    <t>Ayudante (jornal + prestaciones)</t>
  </si>
  <si>
    <t xml:space="preserve">Preparacion del terreno manualmente incluye demoliciones de estructuras existentes </t>
  </si>
  <si>
    <t>Localización y Replanteo</t>
  </si>
  <si>
    <t>1.1</t>
  </si>
  <si>
    <t>HC</t>
  </si>
  <si>
    <t>Mortero 1:4 In situ</t>
  </si>
  <si>
    <t>Melaza (Miel de Purga)</t>
  </si>
  <si>
    <t>Cuadrilla AA (Mampostería) 2Of y 1 Ay</t>
  </si>
  <si>
    <t>Ladrillo macizos rústicos de 5x10x20 cm</t>
  </si>
  <si>
    <t>ajustado según mo</t>
  </si>
  <si>
    <t>Mampostería Ladrillos Sencillo de 10x20x40 cm</t>
  </si>
  <si>
    <t>Suministro e Instalación de STC Vitrificado</t>
  </si>
  <si>
    <t>Tableta vitifricada de 25 X 25</t>
  </si>
  <si>
    <t>und-Km</t>
  </si>
  <si>
    <t>Video Beam</t>
  </si>
  <si>
    <t>Kit Papeleria (listado asistencia, compromisos, etc)</t>
  </si>
  <si>
    <t>4.1</t>
  </si>
  <si>
    <t>Kit Papelería (tabla, lapicero, papelería, etc.)</t>
  </si>
  <si>
    <t>Impresión encuesta</t>
  </si>
  <si>
    <t>Transporte (moto con combustible)</t>
  </si>
  <si>
    <t>Profesional técnico - Incluye prestaciones sociales</t>
  </si>
  <si>
    <t>Secretario (a) de Planeacion e Infraestructura (M.P.)</t>
  </si>
  <si>
    <t>Profesional responsable estructuración del proyecto (M.P.)</t>
  </si>
  <si>
    <t>Profesional responsable interventoría estructuración (M.P.)</t>
  </si>
  <si>
    <t>OCTUBRE 2024.</t>
  </si>
  <si>
    <t>MUNICIPIO: LA VIRGINIA RDA.</t>
  </si>
  <si>
    <t>A1.2</t>
  </si>
  <si>
    <t xml:space="preserve">Tecnologo  en obras Civiles </t>
  </si>
  <si>
    <t xml:space="preserve"> E.P</t>
  </si>
  <si>
    <t xml:space="preserve">Acarreo horizontal </t>
  </si>
  <si>
    <t xml:space="preserve">Retiro de escombros </t>
  </si>
  <si>
    <t xml:space="preserve">Mts </t>
  </si>
  <si>
    <t>1-15-13</t>
  </si>
  <si>
    <t>Barrera viva triple con vetiver, limoncillo, lirio y afines</t>
  </si>
  <si>
    <t>MAT,313</t>
  </si>
  <si>
    <t>Plántula (vetiver, limoncillo, lirio y afines), altura promedio 0.25 m</t>
  </si>
  <si>
    <t>MAT,139</t>
  </si>
  <si>
    <t>Fertilizante</t>
  </si>
  <si>
    <t>MAT,568</t>
  </si>
  <si>
    <t>Calfos (Fertilizante uso agrícola)</t>
  </si>
  <si>
    <t>MAT,509</t>
  </si>
  <si>
    <t>Bórax</t>
  </si>
  <si>
    <t>MAT,191</t>
  </si>
  <si>
    <t>Insecticida</t>
  </si>
  <si>
    <t>1-15-02</t>
  </si>
  <si>
    <t>Trinchos doble en guadua h libre = 1,00 m</t>
  </si>
  <si>
    <t>MAT,177</t>
  </si>
  <si>
    <t>Guadua sobrebasa</t>
  </si>
  <si>
    <t>MAT,029</t>
  </si>
  <si>
    <t xml:space="preserve">Alambre galvanizado C 12 </t>
  </si>
  <si>
    <t>EQU001</t>
  </si>
  <si>
    <t>Control de aguas</t>
  </si>
  <si>
    <t>E.1.5</t>
  </si>
  <si>
    <t>E.1.6</t>
  </si>
  <si>
    <t xml:space="preserve">Suministro de Material Vegetal incluye transporte, cargue y descargue </t>
  </si>
  <si>
    <t>Estufa eco eficiente movil</t>
  </si>
  <si>
    <t>COTIZACION FERTILIZANTE ORGANICO</t>
  </si>
  <si>
    <t>1-15-07</t>
  </si>
  <si>
    <t>MATERIALES</t>
  </si>
  <si>
    <t>MAT,312</t>
  </si>
  <si>
    <t>Plántula (nacedero, carey, leucaena, matarratón), altura promedio 0.25 m</t>
  </si>
  <si>
    <t>EQU053</t>
  </si>
  <si>
    <t>Transporte (% materiales)</t>
  </si>
  <si>
    <t>%Mat</t>
  </si>
  <si>
    <t>M. O</t>
  </si>
  <si>
    <t>MOB018</t>
  </si>
  <si>
    <t>Cuadrilla H 4 Ay (jornal + prestaciones)</t>
  </si>
  <si>
    <t>MOB011</t>
  </si>
  <si>
    <t>Acarreo horizontal</t>
  </si>
  <si>
    <t>1-01-10</t>
  </si>
  <si>
    <t>Cargue de material manual</t>
  </si>
  <si>
    <r>
      <t>M</t>
    </r>
    <r>
      <rPr>
        <b/>
        <vertAlign val="superscript"/>
        <sz val="10"/>
        <rFont val="Arial"/>
        <family val="2"/>
      </rPr>
      <t>3</t>
    </r>
  </si>
  <si>
    <t>Suministro e instalación de ladrillo tipo bocadillo, Liviano de  5x10x20 cm</t>
  </si>
  <si>
    <t xml:space="preserve">Talleristas especialista en medio ambiente o similar </t>
  </si>
  <si>
    <t xml:space="preserve">TRANSPORTE DE MATERIALES AL SITIO </t>
  </si>
  <si>
    <t>F</t>
  </si>
  <si>
    <t>F.1.1</t>
  </si>
  <si>
    <t>F.1.2</t>
  </si>
  <si>
    <t>F.1.3</t>
  </si>
  <si>
    <t>G-03-03</t>
  </si>
  <si>
    <t>Transporte materiales en mula (carga = 100 Kg/Km)</t>
  </si>
  <si>
    <t>Carga-Km</t>
  </si>
  <si>
    <t>EQU037</t>
  </si>
  <si>
    <t>Transporte de materiales en mula (100 Kg/Km)</t>
  </si>
  <si>
    <t>Cg</t>
  </si>
  <si>
    <t>G-03-04</t>
  </si>
  <si>
    <t>Transporte materiales a hombro (carga = 23 Kg/Km)</t>
  </si>
  <si>
    <t>G-03-05</t>
  </si>
  <si>
    <t>Disposición en botadero</t>
  </si>
  <si>
    <t>Pago tarifa disposición final</t>
  </si>
  <si>
    <t>G-03-06</t>
  </si>
  <si>
    <t>Transporte materiales a obra (no incluye descargue)</t>
  </si>
  <si>
    <t>Tn-Km</t>
  </si>
  <si>
    <t>Camión dobletroque</t>
  </si>
  <si>
    <t>Tn</t>
  </si>
  <si>
    <t>NOMBRE Y APELIDOS</t>
  </si>
  <si>
    <t>CEDULA</t>
  </si>
  <si>
    <t>TELEFONO</t>
  </si>
  <si>
    <t>VEREDA</t>
  </si>
  <si>
    <t>VEHICULO</t>
  </si>
  <si>
    <t>(Km)/Ton</t>
  </si>
  <si>
    <t>VALOR</t>
  </si>
  <si>
    <t>ALBA NIDIA ESPINOSA</t>
  </si>
  <si>
    <t xml:space="preserve">Caserio la Palma </t>
  </si>
  <si>
    <t>ALBEIRO AGUDELO PAREJA</t>
  </si>
  <si>
    <t>Caserio la Palma</t>
  </si>
  <si>
    <t>ALCIDES ACEVEDO GRISALES</t>
  </si>
  <si>
    <t>El agucate finca Villa Alicia</t>
  </si>
  <si>
    <t>ANA DE DIOS SEPULVEDA</t>
  </si>
  <si>
    <t>La palma finca Veranda</t>
  </si>
  <si>
    <t>BERNARDA ROMAN CARDONA</t>
  </si>
  <si>
    <t>3115697848-3146037976</t>
  </si>
  <si>
    <t>Sector el norte la Palma</t>
  </si>
  <si>
    <t>CARLOS ARTURO ESPINOSA</t>
  </si>
  <si>
    <t>La palma el jardin de la Vaga</t>
  </si>
  <si>
    <t>CONSTANZA LORENA GARCES</t>
  </si>
  <si>
    <t>El Aguacate finca el Milagro</t>
  </si>
  <si>
    <t>DANIELA JIMENEZ AGUDELO</t>
  </si>
  <si>
    <t>GERALDINE SANTA OSORIO</t>
  </si>
  <si>
    <t>3145976586-3145976586</t>
  </si>
  <si>
    <t>La palma sector la Rivera</t>
  </si>
  <si>
    <t>GLORIA AMPARO BENJUMEA</t>
  </si>
  <si>
    <t>GUSTAVO ANTONIO TORO</t>
  </si>
  <si>
    <t>IRNEY OSORIO BOLAÑOS</t>
  </si>
  <si>
    <t>3186595725-3217746880</t>
  </si>
  <si>
    <t>JAIME ANDRES HERNANDEZ TORO</t>
  </si>
  <si>
    <t>El Aguacate finca el Progreso</t>
  </si>
  <si>
    <t>JAMES DE JESUS CASTAÑO</t>
  </si>
  <si>
    <t>JANETH DUQUE AGUDELO</t>
  </si>
  <si>
    <t xml:space="preserve">JESUS EMILIO CORREA MONTOYA </t>
  </si>
  <si>
    <t>La Palma finca el limon</t>
  </si>
  <si>
    <t>JORGE LUIS CASTAÑO MARIN</t>
  </si>
  <si>
    <t>3137125487-3126258918</t>
  </si>
  <si>
    <t>Sector el norte la Carmelita</t>
  </si>
  <si>
    <t>JOSE ARTUBE RIVERA ECHEVERRY</t>
  </si>
  <si>
    <t>JOSE GUILLERMO LOPEZ</t>
  </si>
  <si>
    <t>El aguacate finca san Mateo</t>
  </si>
  <si>
    <t>JOSE JESUS PINEDA QUINCHIA</t>
  </si>
  <si>
    <t>La palma finca la Mejora</t>
  </si>
  <si>
    <t>JOSE NICOLAS MARIN MOLINA</t>
  </si>
  <si>
    <t>El aguacate finca Buenos Aires</t>
  </si>
  <si>
    <t>JULIAN ANDRES BEDOYA BENJUMEA</t>
  </si>
  <si>
    <t>JULIO ANIBAL CARDONA ZULUAGA</t>
  </si>
  <si>
    <t>La palma</t>
  </si>
  <si>
    <t>JULIO CESAR CASTAÑEDA</t>
  </si>
  <si>
    <t>La Palma Sector la Rivera</t>
  </si>
  <si>
    <t>LEONARDO DIAZ CARDONA</t>
  </si>
  <si>
    <t>La palma secotr el norte</t>
  </si>
  <si>
    <t>LIZETH SANTA OSORIO</t>
  </si>
  <si>
    <t>LUIS ERNESTO USMA ZAPATA</t>
  </si>
  <si>
    <t>LUIS FERNANDO QUINTERO</t>
  </si>
  <si>
    <t>LUIS MAJIN BEDOYA CORREA</t>
  </si>
  <si>
    <t>LUZ MARINA CARDONA ZULUAGA</t>
  </si>
  <si>
    <t>LUZ MARINA ESCOBAR</t>
  </si>
  <si>
    <t>La palma sector el Norte</t>
  </si>
  <si>
    <t>LUZ MARY ARENAS PRECIADO</t>
  </si>
  <si>
    <t>LUZ MERY CASTAÑO AGUDELO</t>
  </si>
  <si>
    <t>MARCO AURELIO DIAZ</t>
  </si>
  <si>
    <t>MARIA FABIOLA VANEGAS</t>
  </si>
  <si>
    <t>MARIA ILAIM GONZALES SUAREZ</t>
  </si>
  <si>
    <t>El aguacate caserio</t>
  </si>
  <si>
    <t>MARIA ISABEL DUQUE ALZATE</t>
  </si>
  <si>
    <t>MARIA ISABEL QUINTERO DIAZ</t>
  </si>
  <si>
    <t>MARIA LUCIA GRAJALES</t>
  </si>
  <si>
    <t>MARIA MARLENY ALZATE DE DUQUE</t>
  </si>
  <si>
    <t>MARINA ALZATE DE MENDOZA</t>
  </si>
  <si>
    <t>Caserio la Palma sector cancha</t>
  </si>
  <si>
    <t>MARIA MARLENY DUQUE DE AGUDELO</t>
  </si>
  <si>
    <t>9,,2</t>
  </si>
  <si>
    <t>MARLENI MOTATO GAÑAN</t>
  </si>
  <si>
    <t>MARTHA ELENA VANEGAS</t>
  </si>
  <si>
    <t>MAURICIO AUSIQUE RODRIGUEZ</t>
  </si>
  <si>
    <t>NOEL ENRIQUE BARBOSA</t>
  </si>
  <si>
    <t>La Palma finca Churimal</t>
  </si>
  <si>
    <t>NORA ZULETA</t>
  </si>
  <si>
    <t>El aguacate finca la Roncadora</t>
  </si>
  <si>
    <t>OLGA LUCIA ROJAS GONZALES</t>
  </si>
  <si>
    <t>El aguacate</t>
  </si>
  <si>
    <t>OLGA YENSIRLE VANEGAS</t>
  </si>
  <si>
    <t>RUBIALBA GALLEGO</t>
  </si>
  <si>
    <t>8.7</t>
  </si>
  <si>
    <t>SANDRA PATRICIA VELEZ ANGEL</t>
  </si>
  <si>
    <t>TERESA DE JESUS RENDON</t>
  </si>
  <si>
    <t>El Aguacate</t>
  </si>
  <si>
    <t>VIRGELINA GAÑAN MOTATO</t>
  </si>
  <si>
    <t>YAMILE  OSORIO ZAPATA</t>
  </si>
  <si>
    <t>YARISMA MENDOZA TORRES</t>
  </si>
  <si>
    <t>3216337550-3116609825</t>
  </si>
  <si>
    <t xml:space="preserve">SUBTOTAL PROMEDIO </t>
  </si>
  <si>
    <t>Viaje/Ton</t>
  </si>
  <si>
    <t>TRANSPORTE A HOMBRO</t>
  </si>
  <si>
    <t>(Metros)</t>
  </si>
  <si>
    <t xml:space="preserve">SUBTOTAL PROMEDIO DISTANCIA KM Y PRECIO </t>
  </si>
  <si>
    <t xml:space="preserve">Detalle transporte a hombro </t>
  </si>
  <si>
    <t xml:space="preserve">Construccion de estufas </t>
  </si>
  <si>
    <t>1-04-13</t>
  </si>
  <si>
    <t>Placa de contrapiso en concreto de 20,7 Mpa  e = 0,07 m</t>
  </si>
  <si>
    <t>MAT,368</t>
  </si>
  <si>
    <t>Tabla para formaleta de 1" x 10" x 2,9 m</t>
  </si>
  <si>
    <t>MAT,487</t>
  </si>
  <si>
    <t>Varillón de sajo 3 x 3</t>
  </si>
  <si>
    <t>MAT,333</t>
  </si>
  <si>
    <t>Puntilla (Promedio)</t>
  </si>
  <si>
    <t>MAT,039</t>
  </si>
  <si>
    <t>Antisol blanco</t>
  </si>
  <si>
    <t>MAT,012</t>
  </si>
  <si>
    <t>ACPM</t>
  </si>
  <si>
    <t>ITEMS</t>
  </si>
  <si>
    <t>G-01-04</t>
  </si>
  <si>
    <t xml:space="preserve">Concreto de 20,7 Mpa (Producción) </t>
  </si>
  <si>
    <t>MOB005</t>
  </si>
  <si>
    <t>Cuadrilla A 1 Of + 4 Ay (jornal + prestaciones)</t>
  </si>
  <si>
    <t xml:space="preserve">Ladrillo semirefractario </t>
  </si>
  <si>
    <t>Peso Kg</t>
  </si>
  <si>
    <t>Ladrillo macizo 10-20-40</t>
  </si>
  <si>
    <t xml:space="preserve">Ladrillo farol </t>
  </si>
  <si>
    <t xml:space="preserve">Arena </t>
  </si>
  <si>
    <t xml:space="preserve">Herrajes y accesorios </t>
  </si>
  <si>
    <t>Tableta vitrificada + pegante y emboquillados</t>
  </si>
  <si>
    <t xml:space="preserve">Andamio, incluye arnes y línea de vida- inc transportes al sitio </t>
  </si>
  <si>
    <t>E.1.7</t>
  </si>
  <si>
    <t>1-03-22</t>
  </si>
  <si>
    <t>EQU034</t>
  </si>
  <si>
    <t>Compactador  manual (canguro)</t>
  </si>
  <si>
    <t>Lleno compactado con material transportado manual</t>
  </si>
  <si>
    <t>Peso Kg - Long</t>
  </si>
  <si>
    <t xml:space="preserve">Lleno compactado con material transportado manual para complemento trinchos </t>
  </si>
  <si>
    <t xml:space="preserve">Lleno compactado con material transportado manual para complemento senderos y gradas </t>
  </si>
  <si>
    <t xml:space="preserve">debido </t>
  </si>
  <si>
    <t>Detalle: Según lo analizado debido a la angosto algunas zonas de los senderos se hace necesario construir trinchos en areas donde se genera mayor riesgo al paso de personas, asi mismo se debe hacer el lleno con material transportado para garantizar el ancho minimo.</t>
  </si>
  <si>
    <t>Detalle: se hace necesario incluir el transporte en jeep para que pueda transitar por via destapada, ademas como complemento se debe trasnportar el material  a lomo de mula y por utimo a hombro debido al grado de dificulltad que existe se hace necesario incluirlo.</t>
  </si>
  <si>
    <t>Detalle: se nota la socavacion en las gradas existentes y senderos por ello se reuiere transportar material para hacer llenado de los mismos debido a que las personas al pasar por estas zonas se accidentan con facilidad y  se hace necesario incluir el transporte en jeep para que pueda transitar por via destapada, ademas como complemento se debe transportar el material  a lomo de mula y por utimo a hombro debido al grado de dificulltad que existe se hace necesario incluirlo.</t>
  </si>
  <si>
    <t xml:space="preserve">INTERVENTORIA </t>
  </si>
  <si>
    <t xml:space="preserve">VALOR TOTAL </t>
  </si>
  <si>
    <t xml:space="preserve">ADMINISTRACIÓN </t>
  </si>
  <si>
    <t xml:space="preserve">UTILIDAD </t>
  </si>
  <si>
    <t xml:space="preserve">IVA SOBRE UTILIDAD </t>
  </si>
  <si>
    <t>Gorro chino en lamina calibre 20 para el ducto</t>
  </si>
  <si>
    <t>Ducto de chimenea 5” x 3.40 metros en lámina galvanizada
grafada</t>
  </si>
  <si>
    <t>Planchas de dos (2) puestos con medidas 29 x 56 cm en
fundición</t>
  </si>
  <si>
    <t>Separador de 56 x 11 cm en fundición</t>
  </si>
  <si>
    <t>Parrilla descenizadero en fundición con medidas
37,5 x 19,5 cm</t>
  </si>
  <si>
    <t>Escuadra en ángulo 1,1/4 x 1/8 1,20 x 1,20 con protector de
tubo de 3/4</t>
  </si>
  <si>
    <t>Compuerta para leña en fundición de 19 x 17 x 6 cm de
profundidad</t>
  </si>
  <si>
    <t>Oído en lamina con tapa corrediza de 20 x 11 cm largo</t>
  </si>
  <si>
    <t>Ceniceros o registros con tapa y manija en aluminio de
15 x 12 x 10 de profundidad</t>
  </si>
  <si>
    <t xml:space="preserve">Calentador de agua en acero inoxidable 22 x 20 x 29cm de
profundidad
</t>
  </si>
  <si>
    <t>Horno en acero inoxidable calibre 3.04 con tapa en acero
inoxidable y bandeja auxiliar 27x30x46 cm de profundidad.</t>
  </si>
  <si>
    <t xml:space="preserve">Transporte materiales a hombro (carga = 23 Kg/Km) </t>
  </si>
  <si>
    <t xml:space="preserve">ANALISIS TRANSPORTE A HOMBRO ZONA DE PROTECCION GUASIMO </t>
  </si>
  <si>
    <t xml:space="preserve">Distancia  recorrido x carga </t>
  </si>
  <si>
    <t xml:space="preserve">Promedio Distancias minima area interna senderos </t>
  </si>
  <si>
    <t xml:space="preserve">Promedio Distancias intermedia  area interna senderos </t>
  </si>
  <si>
    <t xml:space="preserve">Metros de distancia aproximada </t>
  </si>
  <si>
    <t>SUBTOTAL</t>
  </si>
  <si>
    <t>SUBTOTAL PROMEDIO DISTANCIA TRANSPORTE MATERIAL ESTUFAS Y SENDEROS GUASIMO</t>
  </si>
  <si>
    <t xml:space="preserve">Director (a) de Interventor </t>
  </si>
  <si>
    <t>EDWARD ESTEBAN ALVAREZ BENJUMEA</t>
  </si>
  <si>
    <t>Secretario de Planeación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</si>
</sst>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_-&quot;$&quot;* #,##0.00_-;\-&quot;$&quot;* #,##0.00_-;_-&quot;$&quot;* &quot;-&quot;??_-;_-@_-"/>
    <numFmt numFmtId="167" formatCode="_(&quot;$&quot;\ * #,##0.00_);_(&quot;$&quot;\ * \(#,##0.00\);_(&quot;$&quot;\ * &quot;-&quot;??_);_(@_)"/>
    <numFmt numFmtId="168" formatCode="_(* #,##0_);_(* \(#,##0\);_(* &quot;-&quot;??_);_(@_)"/>
    <numFmt numFmtId="169" formatCode="_(&quot;$&quot;* #,##0.00_);_(&quot;$&quot;* \(#,##0.00\);_(&quot;$&quot;* &quot;-&quot;??_);_(@_)"/>
    <numFmt numFmtId="170" formatCode="_(&quot;$&quot;* #,##0_);_(&quot;$&quot;* \(#,##0\);_(&quot;$&quot;* &quot;-&quot;_);_(@_)"/>
    <numFmt numFmtId="171" formatCode="_(* #,##0.00_);_(* \(#,##0.00\);_(* &quot;-&quot;??_);_(@_)"/>
    <numFmt numFmtId="172" formatCode="[$€]#,##0"/>
    <numFmt numFmtId="173" formatCode="_ &quot;$&quot;\ * #,##0_ ;_ &quot;$&quot;\ * \-#,##0_ ;_ &quot;$&quot;\ * &quot;-&quot;_ ;_ @_ "/>
    <numFmt numFmtId="174" formatCode="_(&quot;C$&quot;* #,##0.00_);_(&quot;C$&quot;* \(#,##0.00\);_(&quot;C$&quot;* &quot;-&quot;??_);_(@_)"/>
    <numFmt numFmtId="175" formatCode="&quot;$&quot;\ #,##0.00"/>
    <numFmt numFmtId="176" formatCode="_-* #,##0.00_-;\-* #,##0.00_-;_-* &quot;-&quot;_-;_-@_-"/>
    <numFmt numFmtId="177" formatCode="#,##0.000"/>
    <numFmt numFmtId="178" formatCode="#,##0.0"/>
    <numFmt numFmtId="179" formatCode="#,##0.00_);\-#,##0.00"/>
    <numFmt numFmtId="180" formatCode="#,##0.0000"/>
    <numFmt numFmtId="181" formatCode="_ * #,##0.00_ ;_ * \-#,##0.00_ ;_ * &quot;-&quot;??_ ;_ @_ "/>
    <numFmt numFmtId="182" formatCode="&quot;$&quot;#,##0.00"/>
    <numFmt numFmtId="183" formatCode="_-[$$-240A]\ * #,##0_ ;_-[$$-240A]\ * \-#,##0\ ;_-[$$-240A]\ * &quot;-&quot;_ ;_-@_ "/>
    <numFmt numFmtId="184" formatCode="#,##0.0;[Red]\-#,##0.0"/>
    <numFmt numFmtId="185" formatCode="0.0%"/>
    <numFmt numFmtId="186" formatCode="&quot;$&quot;#,##0"/>
    <numFmt numFmtId="187" formatCode="_ &quot;$&quot;\ * #,##0_ ;_ &quot;$&quot;\ * \-#,##0_ ;_ &quot;$&quot;\ * &quot;-&quot;??_ ;_ @_ "/>
    <numFmt numFmtId="188" formatCode="&quot;$&quot;\ #,##0"/>
    <numFmt numFmtId="189" formatCode="_-&quot;$&quot;\ * #,##0_-;\-&quot;$&quot;\ * #,##0_-;_-&quot;$&quot;\ * &quot;-&quot;??_-;_-@_-"/>
    <numFmt numFmtId="190" formatCode="_-* #,##0_-;\-* #,##0_-;_-* &quot;-&quot;??_-;_-@_-"/>
    <numFmt numFmtId="191" formatCode="#,##0.000;\-#,##0.000"/>
    <numFmt numFmtId="192" formatCode="_-* #,##0.000\ _€_-;\-* #,##0.000\ _€_-;_-* &quot;-&quot;??\ _€_-;_-@_-"/>
  </numFmts>
  <fonts count="87">
    <font>
      <sz val="11"/>
      <color theme="1"/>
      <name val="Calibri"/>
      <family val="2"/>
      <scheme val="minor"/>
    </font>
    <font>
      <sz val="11"/>
      <color theme="1"/>
      <name val="Calibri"/>
      <family val="2"/>
      <scheme val="minor"/>
    </font>
    <font>
      <sz val="10"/>
      <name val="Arial"/>
      <family val="2"/>
    </font>
    <font>
      <sz val="11"/>
      <color indexed="8"/>
      <name val="Calibri"/>
      <family val="2"/>
    </font>
    <font>
      <sz val="10"/>
      <color theme="1"/>
      <name val="Arial"/>
      <family val="2"/>
    </font>
    <font>
      <sz val="10"/>
      <color theme="1"/>
      <name val="Trebuchet MS"/>
      <family val="2"/>
    </font>
    <font>
      <sz val="8"/>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2"/>
      <color indexed="8"/>
      <name val="Arial"/>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Times New Roman"/>
      <family val="1"/>
    </font>
    <font>
      <u/>
      <sz val="11"/>
      <color theme="10"/>
      <name val="Calibri"/>
      <family val="2"/>
      <scheme val="minor"/>
    </font>
    <font>
      <b/>
      <sz val="10"/>
      <name val="Arial"/>
      <family val="2"/>
    </font>
    <font>
      <sz val="10"/>
      <color rgb="FF000000"/>
      <name val="Times New Roman"/>
      <family val="1"/>
    </font>
    <font>
      <b/>
      <sz val="12"/>
      <name val="Arial"/>
      <family val="2"/>
    </font>
    <font>
      <sz val="12"/>
      <name val="Calibri"/>
      <family val="2"/>
    </font>
    <font>
      <sz val="10"/>
      <color indexed="8"/>
      <name val="Times New Roman"/>
      <family val="1"/>
    </font>
    <font>
      <sz val="11"/>
      <name val="Calibri"/>
      <family val="2"/>
      <scheme val="minor"/>
    </font>
    <font>
      <b/>
      <sz val="11"/>
      <name val="Arial Narrow"/>
      <family val="2"/>
    </font>
    <font>
      <b/>
      <sz val="16"/>
      <name val="Arial"/>
      <family val="2"/>
    </font>
    <font>
      <b/>
      <sz val="10"/>
      <color rgb="FFFF0000"/>
      <name val="Arial"/>
      <family val="2"/>
    </font>
    <font>
      <sz val="8"/>
      <name val="Arial"/>
      <family val="2"/>
    </font>
    <font>
      <sz val="8"/>
      <color rgb="FFC00000"/>
      <name val="Arial"/>
      <family val="2"/>
    </font>
    <font>
      <sz val="8"/>
      <color theme="0"/>
      <name val="Arial"/>
      <family val="2"/>
    </font>
    <font>
      <b/>
      <sz val="8"/>
      <name val="Arial"/>
      <family val="2"/>
    </font>
    <font>
      <sz val="10"/>
      <color indexed="8"/>
      <name val="MS Sans Serif"/>
      <family val="2"/>
    </font>
    <font>
      <sz val="8"/>
      <color indexed="8"/>
      <name val="Arial"/>
      <family val="2"/>
    </font>
    <font>
      <sz val="8"/>
      <color rgb="FF000000"/>
      <name val="Arial"/>
      <family val="2"/>
    </font>
    <font>
      <sz val="8"/>
      <color theme="1"/>
      <name val="Arial"/>
      <family val="2"/>
    </font>
    <font>
      <b/>
      <sz val="11"/>
      <color theme="1"/>
      <name val="Calibri"/>
      <family val="2"/>
      <scheme val="minor"/>
    </font>
    <font>
      <b/>
      <sz val="10"/>
      <color theme="1"/>
      <name val="Calibri"/>
      <family val="2"/>
      <scheme val="minor"/>
    </font>
    <font>
      <b/>
      <sz val="10"/>
      <color theme="1"/>
      <name val="Arial"/>
      <family val="2"/>
    </font>
    <font>
      <sz val="11"/>
      <name val="Courier New"/>
      <family val="3"/>
    </font>
    <font>
      <b/>
      <sz val="11"/>
      <name val="Courier New"/>
      <family val="3"/>
    </font>
    <font>
      <b/>
      <sz val="13.5"/>
      <name val="Arial"/>
      <family val="2"/>
    </font>
    <font>
      <sz val="9.5"/>
      <name val="Arial"/>
      <family val="2"/>
    </font>
    <font>
      <b/>
      <sz val="12"/>
      <color theme="1"/>
      <name val="Arial"/>
      <family val="2"/>
    </font>
    <font>
      <sz val="12"/>
      <name val="Arial"/>
      <family val="2"/>
    </font>
    <font>
      <sz val="12"/>
      <color theme="1"/>
      <name val="Arial"/>
      <family val="2"/>
    </font>
    <font>
      <b/>
      <sz val="11"/>
      <name val="Arial"/>
      <family val="2"/>
    </font>
    <font>
      <sz val="11"/>
      <name val="Arial"/>
      <family val="2"/>
    </font>
    <font>
      <b/>
      <sz val="14"/>
      <name val="Arial"/>
      <family val="2"/>
    </font>
    <font>
      <sz val="9"/>
      <name val="Arial"/>
      <family val="2"/>
    </font>
    <font>
      <b/>
      <sz val="11"/>
      <color theme="1"/>
      <name val="Arial Narrow"/>
      <family val="2"/>
    </font>
    <font>
      <sz val="9"/>
      <color theme="1"/>
      <name val="Calibri"/>
      <family val="2"/>
      <scheme val="minor"/>
    </font>
    <font>
      <i/>
      <sz val="11"/>
      <color theme="1"/>
      <name val="Calibri"/>
      <family val="2"/>
      <scheme val="minor"/>
    </font>
    <font>
      <i/>
      <sz val="10"/>
      <color theme="1"/>
      <name val="Calibri"/>
      <family val="2"/>
      <scheme val="minor"/>
    </font>
    <font>
      <b/>
      <i/>
      <u/>
      <sz val="11"/>
      <color theme="1"/>
      <name val="Calibri"/>
      <family val="2"/>
      <scheme val="minor"/>
    </font>
    <font>
      <sz val="11"/>
      <color theme="0"/>
      <name val="Calibri"/>
      <family val="2"/>
      <scheme val="minor"/>
    </font>
    <font>
      <b/>
      <sz val="9"/>
      <color indexed="9"/>
      <name val="Arial"/>
      <family val="2"/>
    </font>
    <font>
      <sz val="10"/>
      <color indexed="8"/>
      <name val="Arial"/>
      <family val="2"/>
    </font>
    <font>
      <b/>
      <sz val="10"/>
      <color indexed="8"/>
      <name val="Arial"/>
      <family val="2"/>
    </font>
    <font>
      <b/>
      <sz val="9"/>
      <name val="Arial"/>
      <family val="2"/>
    </font>
    <font>
      <b/>
      <sz val="8.5"/>
      <name val="Arial"/>
      <family val="2"/>
    </font>
    <font>
      <b/>
      <sz val="12"/>
      <color theme="1"/>
      <name val="Arimo"/>
    </font>
    <font>
      <b/>
      <sz val="11"/>
      <color theme="1"/>
      <name val="Calibri"/>
      <family val="2"/>
    </font>
    <font>
      <sz val="11"/>
      <color theme="1"/>
      <name val="Calibri"/>
      <family val="2"/>
    </font>
    <font>
      <sz val="11"/>
      <name val="Calibri"/>
      <family val="2"/>
    </font>
    <font>
      <b/>
      <sz val="9"/>
      <color theme="1"/>
      <name val="Arimo"/>
    </font>
    <font>
      <b/>
      <sz val="11"/>
      <name val="Calibri"/>
      <family val="2"/>
    </font>
    <font>
      <b/>
      <sz val="10"/>
      <color theme="1"/>
      <name val="Arimo"/>
    </font>
    <font>
      <sz val="9"/>
      <name val="Calibri"/>
      <family val="2"/>
    </font>
    <font>
      <b/>
      <sz val="10"/>
      <color indexed="9"/>
      <name val="Arial"/>
      <family val="2"/>
    </font>
    <font>
      <b/>
      <sz val="16"/>
      <color theme="1"/>
      <name val="Arial"/>
      <family val="2"/>
    </font>
    <font>
      <b/>
      <vertAlign val="superscript"/>
      <sz val="10"/>
      <name val="Arial"/>
      <family val="2"/>
    </font>
    <font>
      <sz val="9"/>
      <color theme="1"/>
      <name val="Arial"/>
      <family val="2"/>
    </font>
    <font>
      <vertAlign val="superscript"/>
      <sz val="10"/>
      <name val="Arial"/>
      <family val="2"/>
    </font>
    <font>
      <b/>
      <sz val="11"/>
      <color theme="1"/>
      <name val="Arial"/>
      <family val="2"/>
    </font>
    <font>
      <sz val="9"/>
      <color rgb="FFC00000"/>
      <name val="Arial"/>
      <family val="2"/>
    </font>
    <font>
      <sz val="11"/>
      <color theme="1"/>
      <name val="Arial"/>
      <family val="2"/>
    </font>
    <font>
      <b/>
      <sz val="11"/>
      <name val="Calibri"/>
      <family val="2"/>
      <scheme val="minor"/>
    </font>
    <font>
      <b/>
      <i/>
      <sz val="11"/>
      <color theme="1"/>
      <name val="Calibri"/>
      <family val="2"/>
      <scheme val="minor"/>
    </font>
    <font>
      <b/>
      <i/>
      <sz val="10"/>
      <name val="Arial"/>
      <family val="2"/>
    </font>
  </fonts>
  <fills count="46">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55"/>
      </patternFill>
    </fill>
    <fill>
      <patternFill patternType="solid">
        <fgColor theme="0" tint="-0.49998474074526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indexed="22"/>
        <bgColor indexed="64"/>
      </patternFill>
    </fill>
    <fill>
      <patternFill patternType="solid">
        <fgColor indexed="4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D8D8D8"/>
        <bgColor rgb="FFD8D8D8"/>
      </patternFill>
    </fill>
    <fill>
      <patternFill patternType="solid">
        <fgColor theme="0" tint="-0.14999847407452621"/>
        <bgColor rgb="FFD8D8D8"/>
      </patternFill>
    </fill>
    <fill>
      <patternFill patternType="solid">
        <fgColor rgb="FFC0C0C0"/>
        <bgColor rgb="FFC0C0C0"/>
      </patternFill>
    </fill>
    <fill>
      <patternFill patternType="solid">
        <fgColor theme="9" tint="0.79998168889431442"/>
        <bgColor indexed="64"/>
      </patternFill>
    </fill>
    <fill>
      <patternFill patternType="solid">
        <fgColor theme="6"/>
      </patternFill>
    </fill>
    <fill>
      <patternFill patternType="solid">
        <fgColor theme="7"/>
      </patternFill>
    </fill>
    <fill>
      <patternFill patternType="solid">
        <fgColor indexed="25"/>
        <bgColor indexed="64"/>
      </patternFill>
    </fill>
    <fill>
      <patternFill patternType="solid">
        <fgColor indexed="56"/>
        <bgColor indexed="64"/>
      </patternFill>
    </fill>
    <fill>
      <patternFill patternType="solid">
        <fgColor indexed="10"/>
        <bgColor indexed="64"/>
      </patternFill>
    </fill>
    <fill>
      <patternFill patternType="solid">
        <fgColor indexed="57"/>
        <bgColor indexed="64"/>
      </patternFill>
    </fill>
    <fill>
      <patternFill patternType="solid">
        <fgColor rgb="FFFFC000"/>
        <bgColor indexed="64"/>
      </patternFill>
    </fill>
  </fills>
  <borders count="1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rgb="FF000000"/>
      </left>
      <right/>
      <top/>
      <bottom/>
      <diagonal/>
    </border>
    <border>
      <left/>
      <right style="thin">
        <color rgb="FF000000"/>
      </right>
      <top/>
      <bottom/>
      <diagonal/>
    </border>
    <border>
      <left style="medium">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right/>
      <top/>
      <bottom style="medium">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right style="thin">
        <color rgb="FF000000"/>
      </right>
      <top style="thin">
        <color rgb="FF000000"/>
      </top>
      <bottom/>
      <diagonal/>
    </border>
  </borders>
  <cellStyleXfs count="146">
    <xf numFmtId="0" fontId="0" fillId="0" borderId="0"/>
    <xf numFmtId="0" fontId="2" fillId="0" borderId="0"/>
    <xf numFmtId="0" fontId="2" fillId="0" borderId="0"/>
    <xf numFmtId="0" fontId="2" fillId="0" borderId="0"/>
    <xf numFmtId="0" fontId="1" fillId="0" borderId="0"/>
    <xf numFmtId="167" fontId="3" fillId="0" borderId="0" applyFont="0" applyFill="0" applyBorder="0" applyAlignment="0" applyProtection="0"/>
    <xf numFmtId="0" fontId="2" fillId="0" borderId="0"/>
    <xf numFmtId="168" fontId="2"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0" fontId="1" fillId="0" borderId="0"/>
    <xf numFmtId="0" fontId="2" fillId="0" borderId="0"/>
    <xf numFmtId="0" fontId="5" fillId="0" borderId="0"/>
    <xf numFmtId="171" fontId="2" fillId="0" borderId="0" applyFont="0" applyFill="0" applyBorder="0" applyAlignment="0" applyProtection="0"/>
    <xf numFmtId="41" fontId="5" fillId="0" borderId="0" applyFont="0" applyFill="0" applyBorder="0" applyAlignment="0" applyProtection="0"/>
    <xf numFmtId="165"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13" borderId="0" applyNumberFormat="0" applyBorder="0" applyAlignment="0" applyProtection="0"/>
    <xf numFmtId="0" fontId="7" fillId="15"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9" borderId="0" applyNumberFormat="0" applyBorder="0" applyAlignment="0" applyProtection="0"/>
    <xf numFmtId="0" fontId="8" fillId="4" borderId="0" applyNumberFormat="0" applyBorder="0" applyAlignment="0" applyProtection="0"/>
    <xf numFmtId="0" fontId="9" fillId="23" borderId="15" applyNumberFormat="0" applyAlignment="0" applyProtection="0"/>
    <xf numFmtId="0" fontId="10" fillId="24" borderId="16" applyNumberFormat="0" applyAlignment="0" applyProtection="0"/>
    <xf numFmtId="172" fontId="2" fillId="0" borderId="0" applyFont="0" applyFill="0" applyBorder="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0" borderId="17" applyNumberFormat="0" applyFill="0" applyAlignment="0" applyProtection="0"/>
    <xf numFmtId="0" fontId="14" fillId="0" borderId="18" applyNumberFormat="0" applyFill="0" applyAlignment="0" applyProtection="0"/>
    <xf numFmtId="0" fontId="15" fillId="0" borderId="19" applyNumberFormat="0" applyFill="0" applyAlignment="0" applyProtection="0"/>
    <xf numFmtId="0" fontId="15" fillId="0" borderId="0" applyNumberFormat="0" applyFill="0" applyBorder="0" applyAlignment="0" applyProtection="0"/>
    <xf numFmtId="0" fontId="16" fillId="8" borderId="15" applyNumberFormat="0" applyAlignment="0" applyProtection="0"/>
    <xf numFmtId="0" fontId="17" fillId="0" borderId="20" applyNumberFormat="0" applyFill="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44" fontId="18" fillId="0" borderId="0" applyFont="0" applyFill="0" applyBorder="0" applyAlignment="0" applyProtection="0"/>
    <xf numFmtId="0" fontId="19" fillId="1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11" borderId="21" applyNumberFormat="0" applyFont="0" applyAlignment="0" applyProtection="0"/>
    <xf numFmtId="0" fontId="20" fillId="23" borderId="22"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18" fillId="0" borderId="0" applyFont="0" applyFill="0" applyBorder="0" applyAlignment="0" applyProtection="0"/>
    <xf numFmtId="0" fontId="21" fillId="0" borderId="0" applyNumberFormat="0" applyFill="0" applyBorder="0" applyAlignment="0" applyProtection="0"/>
    <xf numFmtId="0" fontId="22" fillId="0" borderId="23" applyNumberFormat="0" applyFill="0" applyAlignment="0" applyProtection="0"/>
    <xf numFmtId="0" fontId="23" fillId="0" borderId="0" applyNumberFormat="0" applyFill="0" applyBorder="0" applyAlignment="0" applyProtection="0"/>
    <xf numFmtId="0" fontId="2" fillId="0" borderId="0"/>
    <xf numFmtId="0" fontId="2" fillId="0" borderId="0"/>
    <xf numFmtId="0" fontId="1" fillId="0" borderId="0"/>
    <xf numFmtId="43" fontId="24" fillId="0" borderId="0" applyFont="0" applyFill="0" applyBorder="0" applyAlignment="0" applyProtection="0"/>
    <xf numFmtId="43" fontId="1" fillId="0" borderId="0" applyFont="0" applyFill="0" applyBorder="0" applyAlignment="0" applyProtection="0"/>
    <xf numFmtId="0" fontId="25" fillId="0" borderId="0" applyNumberFormat="0" applyFill="0" applyBorder="0" applyAlignment="0" applyProtection="0"/>
    <xf numFmtId="39" fontId="24" fillId="0" borderId="0"/>
    <xf numFmtId="0" fontId="1"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41"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1"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1" fillId="0" borderId="0" applyFont="0" applyFill="0" applyBorder="0" applyAlignment="0" applyProtection="0"/>
    <xf numFmtId="0" fontId="27" fillId="0" borderId="0"/>
    <xf numFmtId="167" fontId="30" fillId="0" borderId="0" applyFont="0" applyFill="0" applyBorder="0" applyAlignment="0" applyProtection="0"/>
    <xf numFmtId="0" fontId="2" fillId="0" borderId="0"/>
    <xf numFmtId="0" fontId="2" fillId="0" borderId="0"/>
    <xf numFmtId="174" fontId="2" fillId="0" borderId="0" applyFont="0" applyFill="0" applyBorder="0" applyAlignment="0" applyProtection="0"/>
    <xf numFmtId="9" fontId="2" fillId="0" borderId="0" applyFont="0" applyFill="0" applyBorder="0" applyAlignment="0" applyProtection="0"/>
    <xf numFmtId="0" fontId="39" fillId="0" borderId="0"/>
    <xf numFmtId="0" fontId="2" fillId="0" borderId="0"/>
    <xf numFmtId="181" fontId="2" fillId="0" borderId="0" applyFont="0" applyFill="0" applyBorder="0" applyAlignment="0" applyProtection="0"/>
    <xf numFmtId="9" fontId="2" fillId="0" borderId="0" applyFont="0" applyFill="0" applyBorder="0" applyAlignment="0" applyProtection="0"/>
    <xf numFmtId="13" fontId="2" fillId="0" borderId="0" applyFont="0" applyFill="0" applyProtection="0"/>
    <xf numFmtId="0" fontId="2" fillId="0" borderId="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 fillId="0" borderId="0"/>
    <xf numFmtId="43"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81" fontId="2" fillId="0" borderId="0" applyFont="0" applyFill="0" applyBorder="0" applyAlignment="0" applyProtection="0"/>
    <xf numFmtId="0" fontId="2" fillId="0" borderId="0"/>
    <xf numFmtId="0" fontId="2" fillId="0" borderId="0"/>
    <xf numFmtId="0" fontId="2" fillId="0" borderId="0"/>
    <xf numFmtId="0" fontId="1" fillId="0" borderId="0"/>
    <xf numFmtId="0" fontId="2" fillId="0" borderId="0"/>
    <xf numFmtId="9" fontId="2" fillId="0" borderId="0" applyFont="0" applyFill="0" applyBorder="0" applyAlignment="0" applyProtection="0"/>
    <xf numFmtId="0" fontId="62" fillId="39" borderId="0" applyNumberFormat="0" applyBorder="0" applyAlignment="0" applyProtection="0"/>
    <xf numFmtId="0" fontId="62" fillId="40" borderId="0" applyNumberFormat="0" applyBorder="0" applyAlignment="0" applyProtection="0"/>
  </cellStyleXfs>
  <cellXfs count="1000">
    <xf numFmtId="0" fontId="0" fillId="0" borderId="0" xfId="0"/>
    <xf numFmtId="0" fontId="0" fillId="0" borderId="0" xfId="0" applyAlignment="1">
      <alignment vertical="center"/>
    </xf>
    <xf numFmtId="0" fontId="0" fillId="0" borderId="0" xfId="0" applyAlignment="1">
      <alignment horizontal="center" vertical="center"/>
    </xf>
    <xf numFmtId="0" fontId="31" fillId="0" borderId="0" xfId="0" applyFont="1" applyAlignment="1">
      <alignment vertical="center"/>
    </xf>
    <xf numFmtId="0" fontId="32" fillId="0" borderId="6" xfId="117" applyFont="1" applyBorder="1" applyAlignment="1" applyProtection="1">
      <alignment vertical="center" wrapText="1"/>
      <protection locked="0"/>
    </xf>
    <xf numFmtId="0" fontId="26" fillId="25" borderId="13" xfId="116" applyFont="1" applyFill="1" applyBorder="1" applyAlignment="1">
      <alignment horizontal="center" vertical="center" wrapText="1"/>
    </xf>
    <xf numFmtId="3" fontId="26" fillId="25" borderId="11" xfId="116" applyNumberFormat="1" applyFont="1" applyFill="1" applyBorder="1" applyAlignment="1">
      <alignment vertical="center" wrapText="1"/>
    </xf>
    <xf numFmtId="0" fontId="2" fillId="0" borderId="0" xfId="116" applyAlignment="1">
      <alignment vertical="center" wrapText="1"/>
    </xf>
    <xf numFmtId="0" fontId="26" fillId="0" borderId="1" xfId="116" applyFont="1" applyBorder="1" applyAlignment="1">
      <alignment horizontal="center" vertical="center" wrapText="1"/>
    </xf>
    <xf numFmtId="175" fontId="26" fillId="0" borderId="1" xfId="118" applyNumberFormat="1" applyFont="1" applyBorder="1" applyAlignment="1">
      <alignment horizontal="center" vertical="center" wrapText="1"/>
    </xf>
    <xf numFmtId="171" fontId="26" fillId="0" borderId="1" xfId="13" applyFont="1" applyBorder="1" applyAlignment="1">
      <alignment horizontal="center" vertical="center" wrapText="1"/>
    </xf>
    <xf numFmtId="0" fontId="2" fillId="0" borderId="1" xfId="116" applyBorder="1" applyAlignment="1">
      <alignment vertical="center" wrapText="1"/>
    </xf>
    <xf numFmtId="176" fontId="2" fillId="0" borderId="0" xfId="113" applyNumberFormat="1" applyFont="1" applyAlignment="1">
      <alignment vertical="center" wrapText="1"/>
    </xf>
    <xf numFmtId="175" fontId="2" fillId="0" borderId="0" xfId="116" applyNumberFormat="1" applyAlignment="1">
      <alignment vertical="center" wrapText="1"/>
    </xf>
    <xf numFmtId="43" fontId="2" fillId="0" borderId="0" xfId="116" applyNumberFormat="1" applyAlignment="1">
      <alignment vertical="center" wrapText="1"/>
    </xf>
    <xf numFmtId="0" fontId="2" fillId="2" borderId="0" xfId="116" applyFill="1" applyAlignment="1">
      <alignment vertical="center" wrapText="1"/>
    </xf>
    <xf numFmtId="0" fontId="26" fillId="0" borderId="0" xfId="116" applyFont="1" applyAlignment="1">
      <alignment horizontal="center" vertical="center" wrapText="1"/>
    </xf>
    <xf numFmtId="0" fontId="34" fillId="0" borderId="0" xfId="116" applyFont="1" applyAlignment="1">
      <alignment vertical="center" wrapText="1"/>
    </xf>
    <xf numFmtId="175" fontId="2" fillId="0" borderId="0" xfId="118" applyNumberFormat="1" applyFont="1" applyBorder="1" applyAlignment="1">
      <alignment horizontal="right" vertical="center" wrapText="1"/>
    </xf>
    <xf numFmtId="3" fontId="26" fillId="0" borderId="1" xfId="116" applyNumberFormat="1" applyFont="1" applyBorder="1" applyAlignment="1">
      <alignment horizontal="center" vertical="center" wrapText="1"/>
    </xf>
    <xf numFmtId="166" fontId="2" fillId="0" borderId="0" xfId="116" applyNumberFormat="1" applyAlignment="1">
      <alignment vertical="center" wrapText="1"/>
    </xf>
    <xf numFmtId="0" fontId="2" fillId="0" borderId="0" xfId="116" applyAlignment="1">
      <alignment horizontal="center" vertical="center" wrapText="1"/>
    </xf>
    <xf numFmtId="0" fontId="35" fillId="0" borderId="0" xfId="2" applyFont="1" applyAlignment="1">
      <alignment vertical="center"/>
    </xf>
    <xf numFmtId="0" fontId="36" fillId="0" borderId="0" xfId="0" applyFont="1" applyAlignment="1">
      <alignment vertical="center"/>
    </xf>
    <xf numFmtId="0" fontId="35" fillId="0" borderId="0" xfId="0" applyFont="1" applyAlignment="1">
      <alignment vertical="center"/>
    </xf>
    <xf numFmtId="44" fontId="35" fillId="0" borderId="0" xfId="90" applyFont="1" applyAlignment="1">
      <alignment vertical="center"/>
    </xf>
    <xf numFmtId="0" fontId="37" fillId="0" borderId="0" xfId="0" applyFont="1" applyAlignment="1">
      <alignment vertical="center"/>
    </xf>
    <xf numFmtId="0" fontId="38" fillId="0" borderId="0" xfId="2" quotePrefix="1" applyFont="1" applyAlignment="1">
      <alignment horizontal="left" vertical="center"/>
    </xf>
    <xf numFmtId="0" fontId="38" fillId="28" borderId="0" xfId="2" applyFont="1" applyFill="1" applyAlignment="1">
      <alignment horizontal="left" vertical="center"/>
    </xf>
    <xf numFmtId="0" fontId="38" fillId="28" borderId="0" xfId="2" applyFont="1" applyFill="1" applyAlignment="1">
      <alignment vertical="center"/>
    </xf>
    <xf numFmtId="0" fontId="35" fillId="28" borderId="0" xfId="2" applyFont="1" applyFill="1" applyAlignment="1">
      <alignment horizontal="center" vertical="center"/>
    </xf>
    <xf numFmtId="0" fontId="38" fillId="28" borderId="0" xfId="2" quotePrefix="1" applyFont="1" applyFill="1" applyAlignment="1">
      <alignment horizontal="left" vertical="center"/>
    </xf>
    <xf numFmtId="0" fontId="35" fillId="28" borderId="0" xfId="2" applyFont="1" applyFill="1" applyAlignment="1">
      <alignment vertical="center"/>
    </xf>
    <xf numFmtId="0" fontId="38" fillId="0" borderId="0" xfId="2" applyFont="1" applyAlignment="1">
      <alignment vertical="center"/>
    </xf>
    <xf numFmtId="0" fontId="35" fillId="0" borderId="39" xfId="2" applyFont="1" applyBorder="1" applyAlignment="1">
      <alignment horizontal="center" vertical="center"/>
    </xf>
    <xf numFmtId="0" fontId="35" fillId="0" borderId="39" xfId="2" quotePrefix="1" applyFont="1" applyBorder="1" applyAlignment="1">
      <alignment horizontal="center" vertical="center"/>
    </xf>
    <xf numFmtId="0" fontId="35" fillId="0" borderId="29" xfId="2" applyFont="1" applyBorder="1" applyAlignment="1">
      <alignment horizontal="center" vertical="center"/>
    </xf>
    <xf numFmtId="0" fontId="35" fillId="0" borderId="40" xfId="2" applyFont="1" applyBorder="1" applyAlignment="1">
      <alignment vertical="center"/>
    </xf>
    <xf numFmtId="3" fontId="35" fillId="0" borderId="1" xfId="2" applyNumberFormat="1" applyFont="1" applyBorder="1" applyAlignment="1">
      <alignment horizontal="center" vertical="center"/>
    </xf>
    <xf numFmtId="4" fontId="35" fillId="0" borderId="1" xfId="2" applyNumberFormat="1" applyFont="1" applyBorder="1" applyAlignment="1">
      <alignment vertical="center"/>
    </xf>
    <xf numFmtId="4" fontId="35" fillId="0" borderId="42" xfId="2" applyNumberFormat="1" applyFont="1" applyBorder="1" applyAlignment="1">
      <alignment vertical="center"/>
    </xf>
    <xf numFmtId="0" fontId="35" fillId="0" borderId="43" xfId="2" applyFont="1" applyBorder="1" applyAlignment="1">
      <alignment vertical="center"/>
    </xf>
    <xf numFmtId="3" fontId="35" fillId="0" borderId="5" xfId="2" applyNumberFormat="1" applyFont="1" applyBorder="1" applyAlignment="1">
      <alignment horizontal="center" vertical="center"/>
    </xf>
    <xf numFmtId="4" fontId="35" fillId="0" borderId="5" xfId="2" applyNumberFormat="1" applyFont="1" applyBorder="1" applyAlignment="1">
      <alignment vertical="center"/>
    </xf>
    <xf numFmtId="3" fontId="35" fillId="0" borderId="5" xfId="2" applyNumberFormat="1" applyFont="1" applyBorder="1" applyAlignment="1">
      <alignment vertical="center"/>
    </xf>
    <xf numFmtId="3" fontId="35" fillId="0" borderId="4" xfId="2" applyNumberFormat="1" applyFont="1" applyBorder="1" applyAlignment="1">
      <alignment horizontal="center" vertical="center"/>
    </xf>
    <xf numFmtId="3" fontId="35" fillId="0" borderId="4" xfId="2" applyNumberFormat="1" applyFont="1" applyBorder="1" applyAlignment="1">
      <alignment vertical="center"/>
    </xf>
    <xf numFmtId="4" fontId="35" fillId="0" borderId="4" xfId="2" applyNumberFormat="1" applyFont="1" applyBorder="1" applyAlignment="1">
      <alignment vertical="center"/>
    </xf>
    <xf numFmtId="4" fontId="35" fillId="0" borderId="45" xfId="2" applyNumberFormat="1" applyFont="1" applyBorder="1" applyAlignment="1">
      <alignment vertical="center"/>
    </xf>
    <xf numFmtId="0" fontId="35" fillId="0" borderId="46" xfId="2" applyFont="1" applyBorder="1" applyAlignment="1">
      <alignment vertical="center"/>
    </xf>
    <xf numFmtId="0" fontId="38" fillId="0" borderId="0" xfId="2" applyFont="1" applyAlignment="1">
      <alignment horizontal="center" vertical="center"/>
    </xf>
    <xf numFmtId="4" fontId="35" fillId="0" borderId="47" xfId="2" applyNumberFormat="1" applyFont="1" applyBorder="1" applyAlignment="1">
      <alignment vertical="center"/>
    </xf>
    <xf numFmtId="0" fontId="38" fillId="0" borderId="6" xfId="2" applyFont="1" applyBorder="1" applyAlignment="1">
      <alignment vertical="center"/>
    </xf>
    <xf numFmtId="0" fontId="35" fillId="0" borderId="6" xfId="2" applyFont="1" applyBorder="1" applyAlignment="1">
      <alignment vertical="center"/>
    </xf>
    <xf numFmtId="0" fontId="35" fillId="0" borderId="48" xfId="2" applyFont="1" applyBorder="1" applyAlignment="1">
      <alignment vertical="center"/>
    </xf>
    <xf numFmtId="0" fontId="35" fillId="0" borderId="49" xfId="2" applyFont="1" applyBorder="1" applyAlignment="1">
      <alignment vertical="center"/>
    </xf>
    <xf numFmtId="0" fontId="35" fillId="0" borderId="50" xfId="2" applyFont="1" applyBorder="1" applyAlignment="1">
      <alignment vertical="center"/>
    </xf>
    <xf numFmtId="0" fontId="35" fillId="0" borderId="28" xfId="2" applyFont="1" applyBorder="1" applyAlignment="1">
      <alignment horizontal="center" vertical="center"/>
    </xf>
    <xf numFmtId="0" fontId="35" fillId="0" borderId="12" xfId="2" applyFont="1" applyBorder="1" applyAlignment="1">
      <alignment vertical="center"/>
    </xf>
    <xf numFmtId="0" fontId="35" fillId="0" borderId="30" xfId="2" applyFont="1" applyBorder="1" applyAlignment="1">
      <alignment vertical="center"/>
    </xf>
    <xf numFmtId="178" fontId="35" fillId="0" borderId="1" xfId="2" applyNumberFormat="1" applyFont="1" applyBorder="1" applyAlignment="1">
      <alignment horizontal="center" vertical="center"/>
    </xf>
    <xf numFmtId="4" fontId="35" fillId="0" borderId="1" xfId="2" applyNumberFormat="1" applyFont="1" applyBorder="1" applyAlignment="1">
      <alignment horizontal="center" vertical="center"/>
    </xf>
    <xf numFmtId="0" fontId="35" fillId="0" borderId="1" xfId="2" applyFont="1" applyBorder="1" applyAlignment="1">
      <alignment vertical="center"/>
    </xf>
    <xf numFmtId="178" fontId="35" fillId="0" borderId="1" xfId="2" applyNumberFormat="1" applyFont="1" applyBorder="1" applyAlignment="1">
      <alignment vertical="center"/>
    </xf>
    <xf numFmtId="0" fontId="35" fillId="0" borderId="3" xfId="2" applyFont="1" applyBorder="1" applyAlignment="1">
      <alignment vertical="center"/>
    </xf>
    <xf numFmtId="0" fontId="35" fillId="0" borderId="44" xfId="2" applyFont="1" applyBorder="1" applyAlignment="1">
      <alignment vertical="center"/>
    </xf>
    <xf numFmtId="2" fontId="35" fillId="0" borderId="1" xfId="119" applyNumberFormat="1" applyFont="1" applyBorder="1" applyAlignment="1">
      <alignment horizontal="center" vertical="center"/>
    </xf>
    <xf numFmtId="2" fontId="35" fillId="0" borderId="4" xfId="119" applyNumberFormat="1" applyFont="1" applyBorder="1" applyAlignment="1">
      <alignment horizontal="center" vertical="center"/>
    </xf>
    <xf numFmtId="180" fontId="35" fillId="0" borderId="4" xfId="2" applyNumberFormat="1" applyFont="1" applyBorder="1" applyAlignment="1">
      <alignment vertical="center"/>
    </xf>
    <xf numFmtId="4" fontId="35" fillId="0" borderId="51" xfId="2" applyNumberFormat="1" applyFont="1" applyBorder="1" applyAlignment="1">
      <alignment vertical="center"/>
    </xf>
    <xf numFmtId="4" fontId="35" fillId="0" borderId="0" xfId="0" applyNumberFormat="1" applyFont="1" applyAlignment="1">
      <alignment vertical="center"/>
    </xf>
    <xf numFmtId="0" fontId="35" fillId="0" borderId="0" xfId="2" applyFont="1" applyAlignment="1">
      <alignment horizontal="center" vertical="center"/>
    </xf>
    <xf numFmtId="0" fontId="38" fillId="0" borderId="0" xfId="2" applyFont="1" applyAlignment="1">
      <alignment horizontal="centerContinuous" vertical="center"/>
    </xf>
    <xf numFmtId="0" fontId="35" fillId="0" borderId="0" xfId="2" applyFont="1" applyAlignment="1">
      <alignment horizontal="centerContinuous" vertical="center"/>
    </xf>
    <xf numFmtId="2" fontId="35" fillId="28" borderId="0" xfId="2" applyNumberFormat="1" applyFont="1" applyFill="1" applyAlignment="1">
      <alignment horizontal="center" vertical="center"/>
    </xf>
    <xf numFmtId="179" fontId="40" fillId="0" borderId="0" xfId="120" applyNumberFormat="1" applyFont="1" applyAlignment="1">
      <alignment horizontal="right" vertical="center"/>
    </xf>
    <xf numFmtId="165" fontId="41" fillId="0" borderId="1" xfId="83" applyFont="1" applyFill="1" applyBorder="1" applyAlignment="1">
      <alignment horizontal="right" vertical="center" wrapText="1"/>
    </xf>
    <xf numFmtId="177" fontId="35" fillId="0" borderId="1" xfId="2" applyNumberFormat="1" applyFont="1" applyBorder="1" applyAlignment="1">
      <alignment vertical="center"/>
    </xf>
    <xf numFmtId="179" fontId="40" fillId="0" borderId="52" xfId="120" applyNumberFormat="1" applyFont="1" applyBorder="1" applyAlignment="1">
      <alignment horizontal="right" vertical="center"/>
    </xf>
    <xf numFmtId="165" fontId="35" fillId="0" borderId="0" xfId="83" applyFont="1" applyAlignment="1">
      <alignment vertical="center"/>
    </xf>
    <xf numFmtId="0" fontId="42" fillId="0" borderId="0" xfId="0" applyFont="1" applyAlignment="1">
      <alignment vertical="center"/>
    </xf>
    <xf numFmtId="0" fontId="42" fillId="2" borderId="0" xfId="0" applyFont="1" applyFill="1" applyAlignment="1">
      <alignment vertical="center"/>
    </xf>
    <xf numFmtId="177" fontId="35" fillId="2" borderId="1" xfId="2" applyNumberFormat="1" applyFont="1" applyFill="1" applyBorder="1" applyAlignment="1">
      <alignment vertical="center"/>
    </xf>
    <xf numFmtId="165" fontId="41" fillId="2" borderId="1" xfId="83" applyFont="1" applyFill="1" applyBorder="1" applyAlignment="1">
      <alignment horizontal="right" vertical="center" wrapText="1"/>
    </xf>
    <xf numFmtId="175" fontId="0" fillId="0" borderId="0" xfId="0" applyNumberFormat="1"/>
    <xf numFmtId="175" fontId="43" fillId="0" borderId="0" xfId="0" applyNumberFormat="1" applyFont="1"/>
    <xf numFmtId="0" fontId="2" fillId="0" borderId="0" xfId="2"/>
    <xf numFmtId="0" fontId="2" fillId="0" borderId="35" xfId="2" applyBorder="1"/>
    <xf numFmtId="43" fontId="0" fillId="0" borderId="0" xfId="0" applyNumberFormat="1"/>
    <xf numFmtId="182" fontId="0" fillId="0" borderId="0" xfId="0" applyNumberFormat="1"/>
    <xf numFmtId="0" fontId="46" fillId="0" borderId="0" xfId="1" applyFont="1" applyAlignment="1">
      <alignment vertical="center"/>
    </xf>
    <xf numFmtId="0" fontId="47" fillId="0" borderId="0" xfId="1" applyFont="1" applyAlignment="1">
      <alignment horizontal="center" vertical="center"/>
    </xf>
    <xf numFmtId="10" fontId="46" fillId="0" borderId="0" xfId="123" applyNumberFormat="1" applyFont="1" applyAlignment="1">
      <alignment horizontal="center" vertical="center"/>
    </xf>
    <xf numFmtId="0" fontId="46" fillId="0" borderId="0" xfId="1" applyFont="1" applyAlignment="1">
      <alignment horizontal="center" vertical="center"/>
    </xf>
    <xf numFmtId="10" fontId="46" fillId="0" borderId="0" xfId="123" applyNumberFormat="1" applyFont="1" applyAlignment="1">
      <alignment horizontal="right" vertical="center"/>
    </xf>
    <xf numFmtId="0" fontId="47" fillId="0" borderId="0" xfId="1" applyFont="1" applyAlignment="1">
      <alignment vertical="center"/>
    </xf>
    <xf numFmtId="0" fontId="2" fillId="26" borderId="8" xfId="2" applyFill="1" applyBorder="1" applyAlignment="1">
      <alignment horizontal="centerContinuous" vertical="center"/>
    </xf>
    <xf numFmtId="0" fontId="28" fillId="0" borderId="1" xfId="1" applyFont="1" applyBorder="1" applyAlignment="1">
      <alignment vertical="center"/>
    </xf>
    <xf numFmtId="0" fontId="28" fillId="0" borderId="1" xfId="1" applyFont="1" applyBorder="1" applyAlignment="1">
      <alignment horizontal="center" vertical="center"/>
    </xf>
    <xf numFmtId="10" fontId="51" fillId="0" borderId="1" xfId="123" applyNumberFormat="1" applyFont="1" applyBorder="1" applyAlignment="1">
      <alignment horizontal="center" vertical="center"/>
    </xf>
    <xf numFmtId="0" fontId="51" fillId="0" borderId="1" xfId="1" applyFont="1" applyBorder="1" applyAlignment="1">
      <alignment vertical="center"/>
    </xf>
    <xf numFmtId="0" fontId="50" fillId="0" borderId="1" xfId="2" applyFont="1" applyBorder="1" applyAlignment="1">
      <alignment vertical="top"/>
    </xf>
    <xf numFmtId="0" fontId="52" fillId="0" borderId="1" xfId="2" applyFont="1" applyBorder="1" applyAlignment="1">
      <alignment vertical="top"/>
    </xf>
    <xf numFmtId="10" fontId="53" fillId="0" borderId="52" xfId="123" applyNumberFormat="1" applyFont="1" applyFill="1" applyBorder="1" applyAlignment="1">
      <alignment horizontal="center" vertical="center"/>
    </xf>
    <xf numFmtId="10" fontId="54" fillId="0" borderId="52" xfId="123" applyNumberFormat="1" applyFont="1" applyBorder="1" applyAlignment="1">
      <alignment horizontal="center" vertical="center"/>
    </xf>
    <xf numFmtId="10" fontId="54" fillId="0" borderId="53" xfId="123" applyNumberFormat="1" applyFont="1" applyBorder="1" applyAlignment="1">
      <alignment horizontal="center" vertical="center"/>
    </xf>
    <xf numFmtId="10" fontId="54" fillId="0" borderId="54" xfId="123" applyNumberFormat="1" applyFont="1" applyBorder="1" applyAlignment="1">
      <alignment horizontal="center" vertical="center"/>
    </xf>
    <xf numFmtId="10" fontId="54" fillId="0" borderId="55" xfId="123" applyNumberFormat="1" applyFont="1" applyBorder="1" applyAlignment="1">
      <alignment horizontal="center" vertical="center"/>
    </xf>
    <xf numFmtId="10" fontId="54" fillId="0" borderId="52" xfId="123" applyNumberFormat="1" applyFont="1" applyFill="1" applyBorder="1" applyAlignment="1">
      <alignment horizontal="center" vertical="center"/>
    </xf>
    <xf numFmtId="10" fontId="54" fillId="0" borderId="36" xfId="123" applyNumberFormat="1" applyFont="1" applyBorder="1" applyAlignment="1">
      <alignment horizontal="center" vertical="center"/>
    </xf>
    <xf numFmtId="4" fontId="55" fillId="31" borderId="52" xfId="122" applyNumberFormat="1" applyFont="1" applyFill="1" applyBorder="1" applyAlignment="1">
      <alignment horizontal="center" vertical="center"/>
    </xf>
    <xf numFmtId="0" fontId="0" fillId="0" borderId="1" xfId="0" applyBorder="1"/>
    <xf numFmtId="175" fontId="0" fillId="0" borderId="1" xfId="0" applyNumberFormat="1" applyBorder="1"/>
    <xf numFmtId="190" fontId="0" fillId="0" borderId="1" xfId="128" applyNumberFormat="1" applyFont="1" applyBorder="1"/>
    <xf numFmtId="175" fontId="0" fillId="26" borderId="1" xfId="0" applyNumberFormat="1" applyFill="1" applyBorder="1"/>
    <xf numFmtId="0" fontId="4" fillId="0" borderId="1" xfId="0" applyFont="1" applyBorder="1"/>
    <xf numFmtId="175" fontId="43" fillId="0" borderId="1" xfId="0" applyNumberFormat="1" applyFont="1" applyBorder="1"/>
    <xf numFmtId="175" fontId="43" fillId="32" borderId="1" xfId="0" applyNumberFormat="1" applyFont="1" applyFill="1" applyBorder="1"/>
    <xf numFmtId="188" fontId="43" fillId="32" borderId="1" xfId="0" applyNumberFormat="1" applyFont="1" applyFill="1" applyBorder="1"/>
    <xf numFmtId="0" fontId="43" fillId="32" borderId="1" xfId="0" applyFont="1" applyFill="1" applyBorder="1"/>
    <xf numFmtId="0" fontId="43" fillId="32" borderId="1" xfId="0" applyFont="1" applyFill="1" applyBorder="1" applyAlignment="1">
      <alignment horizontal="center"/>
    </xf>
    <xf numFmtId="0" fontId="43" fillId="32" borderId="1" xfId="0" applyFont="1" applyFill="1" applyBorder="1" applyAlignment="1">
      <alignment wrapText="1"/>
    </xf>
    <xf numFmtId="0" fontId="43" fillId="0" borderId="0" xfId="0" applyFont="1" applyAlignment="1">
      <alignment vertical="center"/>
    </xf>
    <xf numFmtId="0" fontId="57" fillId="0" borderId="0" xfId="0" applyFont="1" applyAlignment="1">
      <alignment vertical="center"/>
    </xf>
    <xf numFmtId="44" fontId="2" fillId="0" borderId="0" xfId="116" applyNumberFormat="1" applyAlignment="1">
      <alignment vertical="center" wrapText="1"/>
    </xf>
    <xf numFmtId="44" fontId="43" fillId="0" borderId="1" xfId="129" applyFont="1" applyBorder="1"/>
    <xf numFmtId="175" fontId="43" fillId="0" borderId="1" xfId="129" applyNumberFormat="1" applyFont="1" applyBorder="1"/>
    <xf numFmtId="4" fontId="38" fillId="32" borderId="47" xfId="2" applyNumberFormat="1" applyFont="1" applyFill="1" applyBorder="1" applyAlignment="1">
      <alignment vertical="center"/>
    </xf>
    <xf numFmtId="0" fontId="2" fillId="0" borderId="1" xfId="2" applyBorder="1"/>
    <xf numFmtId="0" fontId="49" fillId="0" borderId="1" xfId="2" applyFont="1" applyBorder="1" applyAlignment="1">
      <alignment horizontal="center" vertical="center"/>
    </xf>
    <xf numFmtId="184" fontId="49" fillId="0" borderId="1" xfId="122" applyNumberFormat="1" applyFont="1" applyBorder="1" applyAlignment="1">
      <alignment horizontal="center" vertical="center"/>
    </xf>
    <xf numFmtId="0" fontId="44" fillId="2" borderId="0" xfId="0" applyFont="1" applyFill="1" applyAlignment="1">
      <alignment vertical="center" wrapText="1"/>
    </xf>
    <xf numFmtId="0" fontId="32" fillId="2" borderId="6" xfId="117" applyFont="1" applyFill="1" applyBorder="1" applyAlignment="1" applyProtection="1">
      <alignment vertical="center" wrapText="1"/>
      <protection locked="0"/>
    </xf>
    <xf numFmtId="44" fontId="62" fillId="2" borderId="0" xfId="129" applyFont="1" applyFill="1" applyAlignment="1">
      <alignment vertical="center"/>
    </xf>
    <xf numFmtId="44" fontId="0" fillId="0" borderId="0" xfId="129" applyFont="1"/>
    <xf numFmtId="8" fontId="43" fillId="26" borderId="1" xfId="0" applyNumberFormat="1" applyFont="1" applyFill="1" applyBorder="1"/>
    <xf numFmtId="0" fontId="33" fillId="25" borderId="29" xfId="116" applyFont="1" applyFill="1" applyBorder="1" applyAlignment="1">
      <alignment horizontal="center" vertical="center" wrapText="1"/>
    </xf>
    <xf numFmtId="189" fontId="32" fillId="2" borderId="6" xfId="117" applyNumberFormat="1" applyFont="1" applyFill="1" applyBorder="1" applyAlignment="1" applyProtection="1">
      <alignment horizontal="center" vertical="center" wrapText="1"/>
      <protection locked="0"/>
    </xf>
    <xf numFmtId="0" fontId="26" fillId="0" borderId="7" xfId="116" applyFont="1" applyBorder="1" applyAlignment="1">
      <alignment vertical="center" wrapText="1"/>
    </xf>
    <xf numFmtId="0" fontId="26" fillId="0" borderId="8" xfId="116" applyFont="1" applyBorder="1" applyAlignment="1">
      <alignment vertical="center" wrapText="1"/>
    </xf>
    <xf numFmtId="0" fontId="2" fillId="0" borderId="9" xfId="116" applyBorder="1" applyAlignment="1">
      <alignment horizontal="center" vertical="center" wrapText="1"/>
    </xf>
    <xf numFmtId="0" fontId="26" fillId="0" borderId="40" xfId="116" applyFont="1" applyBorder="1" applyAlignment="1">
      <alignment horizontal="center" vertical="center" wrapText="1"/>
    </xf>
    <xf numFmtId="0" fontId="26" fillId="0" borderId="43" xfId="116" applyFont="1" applyBorder="1" applyAlignment="1">
      <alignment horizontal="center" vertical="center" wrapText="1"/>
    </xf>
    <xf numFmtId="0" fontId="26" fillId="0" borderId="46" xfId="116" applyFont="1" applyBorder="1" applyAlignment="1">
      <alignment horizontal="center" vertical="center" wrapText="1"/>
    </xf>
    <xf numFmtId="0" fontId="51" fillId="0" borderId="0" xfId="64" applyFont="1"/>
    <xf numFmtId="0" fontId="66" fillId="0" borderId="58" xfId="64" applyFont="1" applyBorder="1" applyAlignment="1">
      <alignment horizontal="centerContinuous" vertical="center"/>
    </xf>
    <xf numFmtId="0" fontId="66" fillId="0" borderId="58" xfId="64" applyFont="1" applyBorder="1" applyAlignment="1">
      <alignment horizontal="center" vertical="center" wrapText="1"/>
    </xf>
    <xf numFmtId="0" fontId="28" fillId="0" borderId="1" xfId="64" applyFont="1" applyBorder="1"/>
    <xf numFmtId="0" fontId="51" fillId="0" borderId="1" xfId="64" applyFont="1" applyBorder="1"/>
    <xf numFmtId="0" fontId="51" fillId="0" borderId="1" xfId="64" applyFont="1" applyBorder="1" applyAlignment="1">
      <alignment horizontal="left" indent="1"/>
    </xf>
    <xf numFmtId="10" fontId="51" fillId="0" borderId="1" xfId="143" applyNumberFormat="1" applyFont="1" applyFill="1" applyBorder="1"/>
    <xf numFmtId="10" fontId="55" fillId="0" borderId="1" xfId="143" applyNumberFormat="1" applyFont="1" applyFill="1" applyBorder="1"/>
    <xf numFmtId="0" fontId="28" fillId="0" borderId="32" xfId="0" applyFont="1" applyBorder="1" applyAlignment="1">
      <alignment horizontal="left" vertical="center"/>
    </xf>
    <xf numFmtId="0" fontId="63" fillId="0" borderId="33" xfId="0" applyFont="1" applyBorder="1" applyAlignment="1">
      <alignment horizontal="center" vertical="center"/>
    </xf>
    <xf numFmtId="0" fontId="63" fillId="0" borderId="34" xfId="0" applyFont="1" applyBorder="1" applyAlignment="1">
      <alignment horizontal="center" vertical="center"/>
    </xf>
    <xf numFmtId="0" fontId="51" fillId="0" borderId="35" xfId="64" applyFont="1" applyBorder="1"/>
    <xf numFmtId="187" fontId="28" fillId="2" borderId="0" xfId="57" applyNumberFormat="1" applyFont="1" applyFill="1" applyBorder="1"/>
    <xf numFmtId="0" fontId="64" fillId="0" borderId="0" xfId="0" applyFont="1" applyAlignment="1">
      <alignment horizontal="center" vertical="center"/>
    </xf>
    <xf numFmtId="0" fontId="64" fillId="0" borderId="36" xfId="0" applyFont="1" applyBorder="1" applyAlignment="1">
      <alignment vertical="center"/>
    </xf>
    <xf numFmtId="0" fontId="65" fillId="0" borderId="7" xfId="0" applyFont="1" applyBorder="1" applyAlignment="1">
      <alignment vertical="center"/>
    </xf>
    <xf numFmtId="0" fontId="64" fillId="0" borderId="8" xfId="0" applyFont="1" applyBorder="1" applyAlignment="1">
      <alignment vertical="center"/>
    </xf>
    <xf numFmtId="0" fontId="64" fillId="0" borderId="8" xfId="0" applyFont="1" applyBorder="1" applyAlignment="1">
      <alignment horizontal="center" vertical="center"/>
    </xf>
    <xf numFmtId="0" fontId="64" fillId="0" borderId="9" xfId="0" applyFont="1" applyBorder="1" applyAlignment="1">
      <alignment vertical="center"/>
    </xf>
    <xf numFmtId="43" fontId="0" fillId="0" borderId="0" xfId="128" applyFont="1" applyAlignment="1">
      <alignment vertical="center"/>
    </xf>
    <xf numFmtId="0" fontId="2" fillId="0" borderId="32" xfId="2" applyBorder="1"/>
    <xf numFmtId="0" fontId="2" fillId="0" borderId="33" xfId="2" applyBorder="1"/>
    <xf numFmtId="3" fontId="2" fillId="0" borderId="35" xfId="2" applyNumberFormat="1" applyBorder="1"/>
    <xf numFmtId="183" fontId="2" fillId="0" borderId="0" xfId="2" applyNumberFormat="1"/>
    <xf numFmtId="186" fontId="2" fillId="0" borderId="0" xfId="2" applyNumberFormat="1"/>
    <xf numFmtId="3" fontId="2" fillId="0" borderId="35" xfId="2" applyNumberFormat="1" applyBorder="1" applyAlignment="1">
      <alignment horizontal="center"/>
    </xf>
    <xf numFmtId="0" fontId="2" fillId="0" borderId="0" xfId="2" applyAlignment="1">
      <alignment vertical="center" wrapText="1"/>
    </xf>
    <xf numFmtId="4" fontId="2" fillId="0" borderId="0" xfId="2" applyNumberFormat="1"/>
    <xf numFmtId="0" fontId="48" fillId="26" borderId="7" xfId="2" applyFont="1" applyFill="1" applyBorder="1" applyAlignment="1">
      <alignment horizontal="centerContinuous" vertical="center"/>
    </xf>
    <xf numFmtId="3" fontId="26" fillId="26" borderId="8" xfId="2" applyNumberFormat="1" applyFont="1" applyFill="1" applyBorder="1" applyAlignment="1">
      <alignment horizontal="centerContinuous" vertical="center"/>
    </xf>
    <xf numFmtId="184" fontId="2" fillId="26" borderId="8" xfId="122" applyNumberFormat="1" applyFont="1" applyFill="1" applyBorder="1" applyAlignment="1">
      <alignment horizontal="centerContinuous" vertical="center"/>
    </xf>
    <xf numFmtId="178" fontId="2" fillId="26" borderId="8" xfId="2" applyNumberFormat="1" applyFill="1" applyBorder="1" applyAlignment="1">
      <alignment horizontal="centerContinuous" vertical="center"/>
    </xf>
    <xf numFmtId="3" fontId="26" fillId="0" borderId="35" xfId="2" applyNumberFormat="1" applyFont="1" applyBorder="1"/>
    <xf numFmtId="0" fontId="35" fillId="0" borderId="0" xfId="2" applyFont="1" applyAlignment="1">
      <alignment vertical="center" wrapText="1"/>
    </xf>
    <xf numFmtId="0" fontId="38" fillId="0" borderId="35" xfId="2" applyFont="1" applyBorder="1" applyAlignment="1">
      <alignment vertical="top"/>
    </xf>
    <xf numFmtId="0" fontId="26" fillId="0" borderId="35" xfId="2" applyFont="1" applyBorder="1"/>
    <xf numFmtId="0" fontId="26" fillId="0" borderId="0" xfId="2" applyFont="1" applyAlignment="1">
      <alignment horizontal="left"/>
    </xf>
    <xf numFmtId="0" fontId="26" fillId="0" borderId="0" xfId="2" quotePrefix="1" applyFont="1"/>
    <xf numFmtId="186" fontId="26" fillId="0" borderId="0" xfId="2" quotePrefix="1" applyNumberFormat="1" applyFont="1"/>
    <xf numFmtId="178" fontId="2" fillId="0" borderId="0" xfId="2" applyNumberFormat="1"/>
    <xf numFmtId="3" fontId="26" fillId="0" borderId="35" xfId="2" applyNumberFormat="1" applyFont="1" applyBorder="1" applyAlignment="1">
      <alignment horizontal="center"/>
    </xf>
    <xf numFmtId="0" fontId="26" fillId="26" borderId="7" xfId="2" quotePrefix="1" applyFont="1" applyFill="1" applyBorder="1" applyAlignment="1">
      <alignment horizontal="left"/>
    </xf>
    <xf numFmtId="0" fontId="2" fillId="26" borderId="7" xfId="2" applyFill="1" applyBorder="1"/>
    <xf numFmtId="4" fontId="26" fillId="26" borderId="8" xfId="2" applyNumberFormat="1" applyFont="1" applyFill="1" applyBorder="1"/>
    <xf numFmtId="9" fontId="2" fillId="26" borderId="8" xfId="123" applyFont="1" applyFill="1" applyBorder="1"/>
    <xf numFmtId="3" fontId="2" fillId="0" borderId="35" xfId="2" applyNumberFormat="1" applyBorder="1" applyAlignment="1">
      <alignment horizontal="center" vertical="center" wrapText="1"/>
    </xf>
    <xf numFmtId="0" fontId="38" fillId="29" borderId="47" xfId="2" quotePrefix="1" applyFont="1" applyFill="1" applyBorder="1" applyAlignment="1">
      <alignment horizontal="center" vertical="center" wrapText="1"/>
    </xf>
    <xf numFmtId="184" fontId="38" fillId="29" borderId="47" xfId="122" applyNumberFormat="1" applyFont="1" applyFill="1" applyBorder="1" applyAlignment="1">
      <alignment horizontal="center" vertical="center" wrapText="1"/>
    </xf>
    <xf numFmtId="178" fontId="38" fillId="29" borderId="47" xfId="2" applyNumberFormat="1" applyFont="1" applyFill="1" applyBorder="1" applyAlignment="1">
      <alignment horizontal="center" vertical="center" wrapText="1"/>
    </xf>
    <xf numFmtId="0" fontId="38" fillId="0" borderId="0" xfId="2" quotePrefix="1" applyFont="1" applyAlignment="1">
      <alignment horizontal="center"/>
    </xf>
    <xf numFmtId="184" fontId="38" fillId="0" borderId="0" xfId="122" applyNumberFormat="1" applyFont="1" applyBorder="1" applyAlignment="1">
      <alignment horizontal="center"/>
    </xf>
    <xf numFmtId="178" fontId="38" fillId="0" borderId="0" xfId="2" applyNumberFormat="1" applyFont="1" applyAlignment="1">
      <alignment horizontal="center"/>
    </xf>
    <xf numFmtId="3" fontId="26" fillId="29" borderId="30" xfId="2" applyNumberFormat="1" applyFont="1" applyFill="1" applyBorder="1"/>
    <xf numFmtId="10" fontId="26" fillId="29" borderId="42" xfId="2" applyNumberFormat="1" applyFont="1" applyFill="1" applyBorder="1" applyAlignment="1">
      <alignment horizontal="center"/>
    </xf>
    <xf numFmtId="0" fontId="2" fillId="0" borderId="0" xfId="2" quotePrefix="1" applyAlignment="1" applyProtection="1">
      <alignment horizontal="left"/>
      <protection locked="0"/>
    </xf>
    <xf numFmtId="0" fontId="49" fillId="0" borderId="0" xfId="2" applyFont="1" applyAlignment="1">
      <alignment horizontal="center"/>
    </xf>
    <xf numFmtId="184" fontId="49" fillId="0" borderId="0" xfId="122" applyNumberFormat="1" applyFont="1" applyBorder="1" applyAlignment="1">
      <alignment horizontal="center"/>
    </xf>
    <xf numFmtId="9" fontId="49" fillId="0" borderId="0" xfId="122" applyNumberFormat="1" applyFont="1" applyBorder="1" applyAlignment="1">
      <alignment horizontal="center"/>
    </xf>
    <xf numFmtId="178" fontId="2" fillId="0" borderId="0" xfId="2" applyNumberFormat="1" applyAlignment="1">
      <alignment horizontal="center"/>
    </xf>
    <xf numFmtId="0" fontId="2" fillId="0" borderId="0" xfId="2" applyAlignment="1" applyProtection="1">
      <alignment horizontal="left"/>
      <protection locked="0"/>
    </xf>
    <xf numFmtId="0" fontId="26" fillId="29" borderId="12" xfId="2" applyFont="1" applyFill="1" applyBorder="1" applyAlignment="1">
      <alignment horizontal="left"/>
    </xf>
    <xf numFmtId="0" fontId="26" fillId="29" borderId="30" xfId="2" applyFont="1" applyFill="1" applyBorder="1" applyAlignment="1">
      <alignment horizontal="left"/>
    </xf>
    <xf numFmtId="10" fontId="26" fillId="29" borderId="1" xfId="2" applyNumberFormat="1" applyFont="1" applyFill="1" applyBorder="1" applyAlignment="1">
      <alignment horizontal="center"/>
    </xf>
    <xf numFmtId="0" fontId="26" fillId="30" borderId="12" xfId="2" quotePrefix="1" applyFont="1" applyFill="1" applyBorder="1" applyAlignment="1">
      <alignment horizontal="left"/>
    </xf>
    <xf numFmtId="0" fontId="2" fillId="30" borderId="30" xfId="2" applyFill="1" applyBorder="1"/>
    <xf numFmtId="184" fontId="2" fillId="30" borderId="30" xfId="122" applyNumberFormat="1" applyFont="1" applyFill="1" applyBorder="1"/>
    <xf numFmtId="10" fontId="26" fillId="30" borderId="41" xfId="123" applyNumberFormat="1" applyFont="1" applyFill="1" applyBorder="1" applyAlignment="1">
      <alignment horizontal="center"/>
    </xf>
    <xf numFmtId="185" fontId="2" fillId="0" borderId="0" xfId="123" applyNumberFormat="1" applyFont="1" applyBorder="1" applyAlignment="1">
      <alignment horizontal="center"/>
    </xf>
    <xf numFmtId="44" fontId="26" fillId="30" borderId="30" xfId="129" applyFont="1" applyFill="1" applyBorder="1"/>
    <xf numFmtId="10" fontId="2" fillId="0" borderId="0" xfId="123" applyNumberFormat="1" applyFont="1" applyBorder="1" applyAlignment="1">
      <alignment horizontal="center"/>
    </xf>
    <xf numFmtId="0" fontId="28" fillId="30" borderId="12" xfId="2" applyFont="1" applyFill="1" applyBorder="1" applyAlignment="1">
      <alignment vertical="center"/>
    </xf>
    <xf numFmtId="0" fontId="51" fillId="30" borderId="30" xfId="2" applyFont="1" applyFill="1" applyBorder="1" applyAlignment="1">
      <alignment vertical="center"/>
    </xf>
    <xf numFmtId="3" fontId="2" fillId="0" borderId="37" xfId="2" applyNumberFormat="1" applyBorder="1" applyAlignment="1">
      <alignment horizontal="center"/>
    </xf>
    <xf numFmtId="0" fontId="2" fillId="0" borderId="37" xfId="2" applyBorder="1"/>
    <xf numFmtId="0" fontId="2" fillId="0" borderId="6" xfId="2" applyBorder="1"/>
    <xf numFmtId="178" fontId="2" fillId="0" borderId="6" xfId="2" applyNumberFormat="1" applyBorder="1" applyAlignment="1">
      <alignment horizontal="center"/>
    </xf>
    <xf numFmtId="0" fontId="2" fillId="0" borderId="0" xfId="2" applyAlignment="1">
      <alignment horizontal="left"/>
    </xf>
    <xf numFmtId="44" fontId="2" fillId="0" borderId="33" xfId="129" applyFont="1" applyBorder="1"/>
    <xf numFmtId="44" fontId="2" fillId="0" borderId="0" xfId="129" applyFont="1"/>
    <xf numFmtId="44" fontId="2" fillId="26" borderId="8" xfId="129" applyFont="1" applyFill="1" applyBorder="1" applyAlignment="1">
      <alignment horizontal="centerContinuous" vertical="center"/>
    </xf>
    <xf numFmtId="44" fontId="35" fillId="0" borderId="0" xfId="129" applyFont="1" applyAlignment="1">
      <alignment vertical="center" wrapText="1"/>
    </xf>
    <xf numFmtId="44" fontId="26" fillId="0" borderId="0" xfId="129" applyFont="1" applyAlignment="1">
      <alignment horizontal="center"/>
    </xf>
    <xf numFmtId="44" fontId="26" fillId="26" borderId="8" xfId="129" applyFont="1" applyFill="1" applyBorder="1" applyAlignment="1">
      <alignment horizontal="center"/>
    </xf>
    <xf numFmtId="44" fontId="26" fillId="26" borderId="9" xfId="129" applyFont="1" applyFill="1" applyBorder="1" applyAlignment="1">
      <alignment horizontal="center"/>
    </xf>
    <xf numFmtId="44" fontId="38" fillId="29" borderId="47" xfId="129" quotePrefix="1" applyFont="1" applyFill="1" applyBorder="1" applyAlignment="1">
      <alignment horizontal="center" vertical="center" wrapText="1"/>
    </xf>
    <xf numFmtId="44" fontId="38" fillId="0" borderId="0" xfId="129" applyFont="1" applyAlignment="1">
      <alignment horizontal="center"/>
    </xf>
    <xf numFmtId="44" fontId="2" fillId="0" borderId="2" xfId="129" applyFont="1" applyBorder="1" applyAlignment="1">
      <alignment horizontal="center"/>
    </xf>
    <xf numFmtId="44" fontId="2" fillId="0" borderId="52" xfId="129" applyFont="1" applyBorder="1" applyAlignment="1">
      <alignment horizontal="center"/>
    </xf>
    <xf numFmtId="44" fontId="26" fillId="0" borderId="52" xfId="129" applyFont="1" applyBorder="1" applyAlignment="1">
      <alignment horizontal="center"/>
    </xf>
    <xf numFmtId="44" fontId="2" fillId="0" borderId="51" xfId="129" applyFont="1" applyBorder="1" applyAlignment="1">
      <alignment horizontal="center"/>
    </xf>
    <xf numFmtId="44" fontId="2" fillId="0" borderId="0" xfId="129" applyFont="1" applyAlignment="1">
      <alignment horizontal="center"/>
    </xf>
    <xf numFmtId="44" fontId="2" fillId="0" borderId="6" xfId="129" applyFont="1" applyBorder="1" applyAlignment="1">
      <alignment horizontal="center"/>
    </xf>
    <xf numFmtId="44" fontId="26" fillId="0" borderId="0" xfId="129" applyFont="1"/>
    <xf numFmtId="44" fontId="2" fillId="0" borderId="31" xfId="129" applyFont="1" applyBorder="1" applyAlignment="1">
      <alignment horizontal="center"/>
    </xf>
    <xf numFmtId="44" fontId="2" fillId="0" borderId="54" xfId="129" applyFont="1" applyBorder="1" applyAlignment="1">
      <alignment horizontal="center"/>
    </xf>
    <xf numFmtId="178" fontId="2" fillId="0" borderId="1" xfId="2" applyNumberFormat="1" applyBorder="1" applyAlignment="1">
      <alignment horizontal="center" vertical="center"/>
    </xf>
    <xf numFmtId="44" fontId="2" fillId="0" borderId="1" xfId="129" applyFont="1" applyBorder="1" applyAlignment="1">
      <alignment horizontal="center" vertical="center"/>
    </xf>
    <xf numFmtId="0" fontId="2" fillId="0" borderId="1" xfId="2" applyBorder="1" applyAlignment="1">
      <alignment horizontal="left" vertical="center" wrapText="1"/>
    </xf>
    <xf numFmtId="184" fontId="2" fillId="0" borderId="1" xfId="122" applyNumberFormat="1" applyFont="1" applyBorder="1" applyAlignment="1">
      <alignment horizontal="center"/>
    </xf>
    <xf numFmtId="44" fontId="2" fillId="0" borderId="1" xfId="129" applyFont="1" applyBorder="1" applyAlignment="1">
      <alignment vertical="center"/>
    </xf>
    <xf numFmtId="0" fontId="2" fillId="0" borderId="13" xfId="2" applyBorder="1" applyAlignment="1">
      <alignment vertical="center" wrapText="1"/>
    </xf>
    <xf numFmtId="0" fontId="2" fillId="0" borderId="11" xfId="2" applyBorder="1" applyAlignment="1">
      <alignment vertical="center" wrapText="1"/>
    </xf>
    <xf numFmtId="0" fontId="49" fillId="0" borderId="11" xfId="2" applyFont="1" applyBorder="1" applyAlignment="1">
      <alignment horizontal="center" vertical="center"/>
    </xf>
    <xf numFmtId="184" fontId="49" fillId="0" borderId="11" xfId="122" applyNumberFormat="1" applyFont="1" applyBorder="1" applyAlignment="1">
      <alignment horizontal="center" vertical="center"/>
    </xf>
    <xf numFmtId="184" fontId="49" fillId="0" borderId="11" xfId="122" applyNumberFormat="1" applyFont="1" applyBorder="1" applyAlignment="1">
      <alignment horizontal="center"/>
    </xf>
    <xf numFmtId="178" fontId="2" fillId="0" borderId="11" xfId="2" applyNumberFormat="1" applyBorder="1" applyAlignment="1">
      <alignment horizontal="center" vertical="center"/>
    </xf>
    <xf numFmtId="44" fontId="2" fillId="0" borderId="11" xfId="129" applyFont="1" applyBorder="1" applyAlignment="1">
      <alignment horizontal="center" vertical="center"/>
    </xf>
    <xf numFmtId="44" fontId="2" fillId="0" borderId="60" xfId="129" applyFont="1" applyBorder="1" applyAlignment="1">
      <alignment horizontal="center" vertical="center"/>
    </xf>
    <xf numFmtId="0" fontId="2" fillId="0" borderId="2" xfId="2" applyBorder="1" applyAlignment="1">
      <alignment horizontal="left" vertical="center" wrapText="1"/>
    </xf>
    <xf numFmtId="44" fontId="2" fillId="0" borderId="52" xfId="129" applyFont="1" applyBorder="1" applyAlignment="1">
      <alignment horizontal="center" vertical="center"/>
    </xf>
    <xf numFmtId="0" fontId="49" fillId="0" borderId="4" xfId="2" applyFont="1" applyBorder="1" applyAlignment="1">
      <alignment horizontal="center" vertical="center"/>
    </xf>
    <xf numFmtId="184" fontId="49" fillId="0" borderId="4" xfId="122" applyNumberFormat="1" applyFont="1" applyBorder="1" applyAlignment="1">
      <alignment horizontal="center" vertical="center"/>
    </xf>
    <xf numFmtId="184" fontId="2" fillId="0" borderId="4" xfId="122" applyNumberFormat="1" applyFont="1" applyBorder="1" applyAlignment="1">
      <alignment horizontal="center"/>
    </xf>
    <xf numFmtId="178" fontId="2" fillId="0" borderId="4" xfId="2" applyNumberFormat="1" applyBorder="1" applyAlignment="1">
      <alignment horizontal="center" vertical="center"/>
    </xf>
    <xf numFmtId="44" fontId="2" fillId="0" borderId="4" xfId="129" applyFont="1" applyBorder="1" applyAlignment="1">
      <alignment vertical="center"/>
    </xf>
    <xf numFmtId="44" fontId="2" fillId="0" borderId="51" xfId="129" applyFont="1" applyBorder="1" applyAlignment="1">
      <alignment horizontal="center" vertical="center"/>
    </xf>
    <xf numFmtId="44" fontId="2" fillId="0" borderId="64" xfId="129" applyFont="1" applyBorder="1" applyAlignment="1">
      <alignment horizontal="center"/>
    </xf>
    <xf numFmtId="44" fontId="2" fillId="0" borderId="53" xfId="129" applyFont="1" applyBorder="1" applyAlignment="1">
      <alignment horizontal="center"/>
    </xf>
    <xf numFmtId="0" fontId="2" fillId="0" borderId="31" xfId="2" applyBorder="1" applyAlignment="1">
      <alignment horizontal="left" vertical="center" wrapText="1"/>
    </xf>
    <xf numFmtId="0" fontId="2" fillId="0" borderId="5" xfId="2" applyBorder="1" applyAlignment="1">
      <alignment horizontal="left" vertical="center" wrapText="1"/>
    </xf>
    <xf numFmtId="0" fontId="49" fillId="0" borderId="5" xfId="2" applyFont="1" applyBorder="1" applyAlignment="1">
      <alignment horizontal="center" vertical="center"/>
    </xf>
    <xf numFmtId="184" fontId="49" fillId="0" borderId="5" xfId="122" applyNumberFormat="1" applyFont="1" applyBorder="1" applyAlignment="1">
      <alignment horizontal="center" vertical="center"/>
    </xf>
    <xf numFmtId="184" fontId="2" fillId="0" borderId="5" xfId="122" applyNumberFormat="1" applyFont="1" applyBorder="1" applyAlignment="1">
      <alignment horizontal="center"/>
    </xf>
    <xf numFmtId="178" fontId="2" fillId="0" borderId="5" xfId="2" applyNumberFormat="1" applyBorder="1" applyAlignment="1">
      <alignment horizontal="center" vertical="center"/>
    </xf>
    <xf numFmtId="44" fontId="2" fillId="0" borderId="5" xfId="129" applyFont="1" applyBorder="1" applyAlignment="1">
      <alignment horizontal="center" vertical="center"/>
    </xf>
    <xf numFmtId="44" fontId="2" fillId="0" borderId="54" xfId="129" applyFont="1" applyBorder="1" applyAlignment="1">
      <alignment horizontal="center" vertical="center"/>
    </xf>
    <xf numFmtId="0" fontId="26" fillId="30" borderId="48" xfId="2" quotePrefix="1" applyFont="1" applyFill="1" applyBorder="1" applyAlignment="1">
      <alignment horizontal="left"/>
    </xf>
    <xf numFmtId="0" fontId="2" fillId="30" borderId="49" xfId="2" applyFill="1" applyBorder="1"/>
    <xf numFmtId="184" fontId="2" fillId="30" borderId="49" xfId="122" applyNumberFormat="1" applyFont="1" applyFill="1" applyBorder="1"/>
    <xf numFmtId="10" fontId="26" fillId="30" borderId="56" xfId="123" applyNumberFormat="1" applyFont="1" applyFill="1" applyBorder="1" applyAlignment="1">
      <alignment horizontal="center"/>
    </xf>
    <xf numFmtId="40" fontId="2" fillId="0" borderId="1" xfId="122" applyNumberFormat="1" applyFont="1" applyBorder="1" applyAlignment="1">
      <alignment horizontal="center"/>
    </xf>
    <xf numFmtId="10" fontId="2" fillId="0" borderId="1" xfId="123" applyNumberFormat="1" applyFont="1" applyFill="1" applyBorder="1" applyAlignment="1">
      <alignment horizontal="center"/>
    </xf>
    <xf numFmtId="44" fontId="35" fillId="0" borderId="1" xfId="129" applyFont="1" applyBorder="1" applyAlignment="1">
      <alignment horizontal="center"/>
    </xf>
    <xf numFmtId="0" fontId="26" fillId="29" borderId="13" xfId="2" quotePrefix="1" applyFont="1" applyFill="1" applyBorder="1" applyAlignment="1">
      <alignment horizontal="left"/>
    </xf>
    <xf numFmtId="0" fontId="2" fillId="29" borderId="11" xfId="2" applyFill="1" applyBorder="1" applyAlignment="1">
      <alignment horizontal="left"/>
    </xf>
    <xf numFmtId="44" fontId="2" fillId="0" borderId="11" xfId="129" applyFont="1" applyBorder="1" applyAlignment="1">
      <alignment horizontal="center"/>
    </xf>
    <xf numFmtId="44" fontId="2" fillId="0" borderId="60" xfId="129" applyFont="1" applyBorder="1" applyAlignment="1">
      <alignment horizontal="center"/>
    </xf>
    <xf numFmtId="0" fontId="2" fillId="0" borderId="2" xfId="2" applyBorder="1"/>
    <xf numFmtId="0" fontId="2" fillId="0" borderId="14" xfId="2" applyBorder="1" applyAlignment="1">
      <alignment horizontal="left"/>
    </xf>
    <xf numFmtId="0" fontId="2" fillId="0" borderId="4" xfId="2" applyBorder="1"/>
    <xf numFmtId="40" fontId="2" fillId="0" borderId="4" xfId="122" applyNumberFormat="1" applyFont="1" applyBorder="1" applyAlignment="1">
      <alignment horizontal="center"/>
    </xf>
    <xf numFmtId="10" fontId="2" fillId="0" borderId="4" xfId="123" applyNumberFormat="1" applyFont="1" applyFill="1" applyBorder="1" applyAlignment="1">
      <alignment horizontal="center"/>
    </xf>
    <xf numFmtId="44" fontId="35" fillId="0" borderId="4" xfId="129" applyFont="1" applyBorder="1" applyAlignment="1">
      <alignment horizontal="center"/>
    </xf>
    <xf numFmtId="44" fontId="2" fillId="0" borderId="57" xfId="129" applyFont="1" applyBorder="1" applyAlignment="1">
      <alignment horizontal="center"/>
    </xf>
    <xf numFmtId="44" fontId="2" fillId="0" borderId="55" xfId="129" applyFont="1" applyBorder="1" applyAlignment="1">
      <alignment horizontal="center"/>
    </xf>
    <xf numFmtId="0" fontId="26" fillId="29" borderId="7" xfId="2" applyFont="1" applyFill="1" applyBorder="1"/>
    <xf numFmtId="0" fontId="2" fillId="29" borderId="8" xfId="2" applyFill="1" applyBorder="1"/>
    <xf numFmtId="3" fontId="26" fillId="29" borderId="8" xfId="2" applyNumberFormat="1" applyFont="1" applyFill="1" applyBorder="1"/>
    <xf numFmtId="44" fontId="2" fillId="0" borderId="65" xfId="129" applyFont="1" applyBorder="1" applyAlignment="1">
      <alignment horizontal="center"/>
    </xf>
    <xf numFmtId="44" fontId="2" fillId="0" borderId="66" xfId="129" applyFont="1" applyBorder="1"/>
    <xf numFmtId="43" fontId="55" fillId="30" borderId="41" xfId="128" applyFont="1" applyFill="1" applyBorder="1" applyAlignment="1">
      <alignment horizontal="center" vertical="center"/>
    </xf>
    <xf numFmtId="43" fontId="26" fillId="26" borderId="8" xfId="123" applyNumberFormat="1" applyFont="1" applyFill="1" applyBorder="1"/>
    <xf numFmtId="44" fontId="26" fillId="26" borderId="8" xfId="129" applyFont="1" applyFill="1" applyBorder="1" applyAlignment="1"/>
    <xf numFmtId="0" fontId="43" fillId="0" borderId="0" xfId="0" applyFont="1"/>
    <xf numFmtId="0" fontId="0" fillId="28" borderId="0" xfId="0" applyFill="1"/>
    <xf numFmtId="0" fontId="69" fillId="35" borderId="67" xfId="0" applyFont="1" applyFill="1" applyBorder="1" applyAlignment="1">
      <alignment horizontal="center" vertical="center" wrapText="1"/>
    </xf>
    <xf numFmtId="0" fontId="69" fillId="35" borderId="68" xfId="0" applyFont="1" applyFill="1" applyBorder="1" applyAlignment="1">
      <alignment horizontal="center" vertical="center" wrapText="1"/>
    </xf>
    <xf numFmtId="0" fontId="70" fillId="0" borderId="69" xfId="0" applyFont="1" applyBorder="1" applyAlignment="1">
      <alignment horizontal="center" vertical="center" wrapText="1"/>
    </xf>
    <xf numFmtId="0" fontId="70" fillId="0" borderId="70" xfId="0" applyFont="1" applyBorder="1" applyAlignment="1">
      <alignment horizontal="center" vertical="center" wrapText="1"/>
    </xf>
    <xf numFmtId="0" fontId="70" fillId="0" borderId="0" xfId="0" applyFont="1" applyAlignment="1">
      <alignment vertical="center"/>
    </xf>
    <xf numFmtId="0" fontId="69" fillId="35" borderId="68" xfId="0" applyFont="1" applyFill="1" applyBorder="1" applyAlignment="1">
      <alignment vertical="center"/>
    </xf>
    <xf numFmtId="43" fontId="69" fillId="28" borderId="27" xfId="128" applyFont="1" applyFill="1" applyBorder="1" applyAlignment="1">
      <alignment horizontal="center" vertical="center" wrapText="1"/>
    </xf>
    <xf numFmtId="39" fontId="70" fillId="0" borderId="45" xfId="0" applyNumberFormat="1" applyFont="1" applyBorder="1" applyAlignment="1">
      <alignment horizontal="center" vertical="center"/>
    </xf>
    <xf numFmtId="0" fontId="72" fillId="35" borderId="78" xfId="0" applyFont="1" applyFill="1" applyBorder="1" applyAlignment="1">
      <alignment horizontal="center" vertical="center" wrapText="1"/>
    </xf>
    <xf numFmtId="0" fontId="45" fillId="37" borderId="87" xfId="0" applyFont="1" applyFill="1" applyBorder="1" applyAlignment="1">
      <alignment horizontal="center" vertical="center"/>
    </xf>
    <xf numFmtId="39" fontId="70" fillId="0" borderId="13" xfId="0" applyNumberFormat="1" applyFont="1" applyBorder="1" applyAlignment="1">
      <alignment vertical="center" wrapText="1"/>
    </xf>
    <xf numFmtId="2" fontId="70" fillId="0" borderId="11" xfId="0" applyNumberFormat="1" applyFont="1" applyBorder="1" applyAlignment="1">
      <alignment vertical="center"/>
    </xf>
    <xf numFmtId="39" fontId="0" fillId="0" borderId="0" xfId="0" applyNumberFormat="1"/>
    <xf numFmtId="0" fontId="70" fillId="0" borderId="2" xfId="0" applyFont="1" applyBorder="1" applyAlignment="1">
      <alignment vertical="center" wrapText="1"/>
    </xf>
    <xf numFmtId="2" fontId="70" fillId="0" borderId="1" xfId="0" applyNumberFormat="1" applyFont="1" applyBorder="1" applyAlignment="1">
      <alignment vertical="center"/>
    </xf>
    <xf numFmtId="0" fontId="70" fillId="0" borderId="1" xfId="0" applyFont="1" applyBorder="1"/>
    <xf numFmtId="2" fontId="0" fillId="0" borderId="0" xfId="0" applyNumberFormat="1"/>
    <xf numFmtId="0" fontId="70" fillId="0" borderId="4" xfId="0" applyFont="1" applyBorder="1"/>
    <xf numFmtId="0" fontId="70" fillId="0" borderId="89" xfId="0" applyFont="1" applyBorder="1"/>
    <xf numFmtId="0" fontId="57" fillId="2" borderId="89" xfId="0" applyFont="1" applyFill="1" applyBorder="1"/>
    <xf numFmtId="0" fontId="73" fillId="2" borderId="95" xfId="0" applyFont="1" applyFill="1" applyBorder="1"/>
    <xf numFmtId="0" fontId="1" fillId="0" borderId="0" xfId="0" applyFont="1"/>
    <xf numFmtId="39" fontId="70" fillId="0" borderId="104" xfId="0" applyNumberFormat="1" applyFont="1" applyBorder="1" applyAlignment="1">
      <alignment vertical="center" wrapText="1"/>
    </xf>
    <xf numFmtId="2" fontId="70" fillId="0" borderId="105" xfId="0" applyNumberFormat="1" applyFont="1" applyBorder="1" applyAlignment="1">
      <alignment vertical="center"/>
    </xf>
    <xf numFmtId="0" fontId="70" fillId="0" borderId="107" xfId="0" applyFont="1" applyBorder="1" applyAlignment="1">
      <alignment vertical="center" wrapText="1"/>
    </xf>
    <xf numFmtId="2" fontId="70" fillId="0" borderId="108" xfId="0" applyNumberFormat="1" applyFont="1" applyBorder="1" applyAlignment="1">
      <alignment vertical="center"/>
    </xf>
    <xf numFmtId="0" fontId="70" fillId="0" borderId="108" xfId="0" applyFont="1" applyBorder="1"/>
    <xf numFmtId="0" fontId="70" fillId="0" borderId="112" xfId="0" applyFont="1" applyBorder="1"/>
    <xf numFmtId="49" fontId="26" fillId="0" borderId="35" xfId="0" applyNumberFormat="1" applyFont="1" applyBorder="1" applyAlignment="1" applyProtection="1">
      <alignment horizontal="center" vertical="center"/>
      <protection locked="0"/>
    </xf>
    <xf numFmtId="39" fontId="26" fillId="0" borderId="74" xfId="0" applyNumberFormat="1" applyFont="1" applyBorder="1" applyAlignment="1" applyProtection="1">
      <alignment horizontal="center" vertical="center"/>
      <protection locked="0"/>
    </xf>
    <xf numFmtId="43" fontId="26" fillId="0" borderId="0" xfId="128" applyFont="1" applyFill="1" applyBorder="1" applyAlignment="1" applyProtection="1">
      <alignment horizontal="center" vertical="center"/>
    </xf>
    <xf numFmtId="165" fontId="26" fillId="0" borderId="36" xfId="0" applyNumberFormat="1" applyFont="1" applyBorder="1" applyAlignment="1">
      <alignment vertical="center"/>
    </xf>
    <xf numFmtId="39" fontId="26" fillId="0" borderId="74" xfId="0" applyNumberFormat="1" applyFont="1" applyBorder="1" applyAlignment="1">
      <alignment horizontal="center" vertical="center"/>
    </xf>
    <xf numFmtId="43" fontId="2" fillId="0" borderId="0" xfId="128" applyFont="1" applyFill="1" applyBorder="1" applyAlignment="1" applyProtection="1">
      <alignment horizontal="center" vertical="center"/>
    </xf>
    <xf numFmtId="3" fontId="2" fillId="0" borderId="0" xfId="0" applyNumberFormat="1" applyFont="1" applyAlignment="1">
      <alignment horizontal="right" vertical="center"/>
    </xf>
    <xf numFmtId="165" fontId="2" fillId="0" borderId="36" xfId="0" applyNumberFormat="1" applyFont="1" applyBorder="1" applyAlignment="1">
      <alignment vertical="center"/>
    </xf>
    <xf numFmtId="43" fontId="2" fillId="0" borderId="0" xfId="128" applyFont="1" applyFill="1" applyBorder="1" applyAlignment="1">
      <alignment horizontal="center" vertical="center"/>
    </xf>
    <xf numFmtId="192" fontId="2" fillId="0" borderId="0" xfId="128" applyNumberFormat="1" applyFont="1" applyFill="1" applyBorder="1" applyAlignment="1">
      <alignment horizontal="center" vertical="center"/>
    </xf>
    <xf numFmtId="39" fontId="76" fillId="42" borderId="35" xfId="145" applyNumberFormat="1" applyFont="1" applyFill="1" applyBorder="1" applyAlignment="1">
      <alignment horizontal="center" vertical="center"/>
    </xf>
    <xf numFmtId="39" fontId="76" fillId="43" borderId="37" xfId="144" applyNumberFormat="1" applyFont="1" applyFill="1" applyBorder="1" applyAlignment="1">
      <alignment horizontal="center" vertical="center"/>
    </xf>
    <xf numFmtId="39" fontId="26" fillId="0" borderId="75" xfId="0" applyNumberFormat="1" applyFont="1" applyBorder="1" applyAlignment="1">
      <alignment horizontal="center" vertical="center"/>
    </xf>
    <xf numFmtId="39" fontId="2" fillId="0" borderId="115" xfId="0" applyNumberFormat="1" applyFont="1" applyBorder="1" applyAlignment="1">
      <alignment horizontal="justify" vertical="center"/>
    </xf>
    <xf numFmtId="39" fontId="2" fillId="0" borderId="115" xfId="0" applyNumberFormat="1" applyFont="1" applyBorder="1" applyAlignment="1">
      <alignment horizontal="center" vertical="center"/>
    </xf>
    <xf numFmtId="43" fontId="2" fillId="0" borderId="115" xfId="128" applyFont="1" applyFill="1" applyBorder="1" applyAlignment="1">
      <alignment horizontal="center" vertical="center"/>
    </xf>
    <xf numFmtId="3" fontId="2" fillId="0" borderId="115" xfId="0" applyNumberFormat="1" applyFont="1" applyBorder="1" applyAlignment="1">
      <alignment horizontal="right" vertical="center"/>
    </xf>
    <xf numFmtId="191" fontId="2" fillId="0" borderId="115" xfId="0" applyNumberFormat="1" applyFont="1" applyBorder="1" applyAlignment="1">
      <alignment horizontal="center" vertical="center"/>
    </xf>
    <xf numFmtId="39" fontId="26" fillId="0" borderId="1" xfId="0" applyNumberFormat="1" applyFont="1" applyBorder="1" applyAlignment="1" applyProtection="1">
      <alignment horizontal="center" vertical="center"/>
      <protection locked="0"/>
    </xf>
    <xf numFmtId="39" fontId="26" fillId="0" borderId="1" xfId="0" applyNumberFormat="1" applyFont="1" applyBorder="1" applyAlignment="1" applyProtection="1">
      <alignment horizontal="justify" vertical="center"/>
      <protection locked="0"/>
    </xf>
    <xf numFmtId="43" fontId="26" fillId="0" borderId="1" xfId="128" applyFont="1" applyFill="1" applyBorder="1" applyAlignment="1" applyProtection="1">
      <alignment horizontal="center" vertical="center"/>
    </xf>
    <xf numFmtId="3" fontId="26" fillId="0" borderId="1" xfId="0" applyNumberFormat="1" applyFont="1" applyBorder="1" applyAlignment="1">
      <alignment horizontal="right" vertical="center"/>
    </xf>
    <xf numFmtId="191" fontId="26" fillId="0" borderId="1" xfId="0" applyNumberFormat="1" applyFont="1" applyBorder="1" applyAlignment="1">
      <alignment horizontal="center" vertical="center"/>
    </xf>
    <xf numFmtId="39" fontId="26" fillId="0" borderId="1" xfId="0" applyNumberFormat="1" applyFont="1" applyBorder="1" applyAlignment="1">
      <alignment horizontal="center" vertical="center"/>
    </xf>
    <xf numFmtId="39" fontId="2" fillId="0" borderId="1" xfId="0" applyNumberFormat="1" applyFont="1" applyBorder="1" applyAlignment="1">
      <alignment horizontal="justify" vertical="center"/>
    </xf>
    <xf numFmtId="39" fontId="2" fillId="0" borderId="1" xfId="0" applyNumberFormat="1" applyFont="1" applyBorder="1" applyAlignment="1">
      <alignment horizontal="center" vertical="center"/>
    </xf>
    <xf numFmtId="3" fontId="2" fillId="0" borderId="1" xfId="0" applyNumberFormat="1" applyFont="1" applyBorder="1" applyAlignment="1">
      <alignment horizontal="right" vertical="center"/>
    </xf>
    <xf numFmtId="191" fontId="2" fillId="0" borderId="1" xfId="0" applyNumberFormat="1" applyFont="1" applyBorder="1" applyAlignment="1">
      <alignment horizontal="center" vertical="center"/>
    </xf>
    <xf numFmtId="43" fontId="2" fillId="0" borderId="1" xfId="128" applyFont="1" applyFill="1" applyBorder="1" applyAlignment="1">
      <alignment horizontal="center" vertical="center"/>
    </xf>
    <xf numFmtId="0" fontId="77" fillId="0" borderId="0" xfId="0" applyFont="1" applyAlignment="1">
      <alignment horizontal="center" vertical="center"/>
    </xf>
    <xf numFmtId="39" fontId="2" fillId="0" borderId="116" xfId="0" applyNumberFormat="1" applyFont="1" applyBorder="1" applyAlignment="1">
      <alignment horizontal="justify" vertical="center"/>
    </xf>
    <xf numFmtId="39" fontId="2" fillId="0" borderId="116" xfId="0" applyNumberFormat="1" applyFont="1" applyBorder="1" applyAlignment="1">
      <alignment horizontal="center" vertical="center"/>
    </xf>
    <xf numFmtId="43" fontId="2" fillId="0" borderId="116" xfId="128" applyFont="1" applyFill="1" applyBorder="1" applyAlignment="1" applyProtection="1">
      <alignment horizontal="center" vertical="center"/>
    </xf>
    <xf numFmtId="191" fontId="2" fillId="0" borderId="116" xfId="0" applyNumberFormat="1" applyFont="1" applyBorder="1" applyAlignment="1">
      <alignment horizontal="center" vertical="center"/>
    </xf>
    <xf numFmtId="39" fontId="76" fillId="44" borderId="35" xfId="0" applyNumberFormat="1" applyFont="1" applyFill="1" applyBorder="1" applyAlignment="1">
      <alignment horizontal="center" vertical="center"/>
    </xf>
    <xf numFmtId="39" fontId="26" fillId="0" borderId="116" xfId="0" applyNumberFormat="1" applyFont="1" applyBorder="1" applyAlignment="1">
      <alignment horizontal="center" vertical="center"/>
    </xf>
    <xf numFmtId="39" fontId="26" fillId="2" borderId="116" xfId="0" applyNumberFormat="1" applyFont="1" applyFill="1" applyBorder="1" applyAlignment="1" applyProtection="1">
      <alignment horizontal="center" vertical="center"/>
      <protection locked="0"/>
    </xf>
    <xf numFmtId="43" fontId="26" fillId="2" borderId="116" xfId="128" applyFont="1" applyFill="1" applyBorder="1" applyAlignment="1">
      <alignment horizontal="center" vertical="center"/>
    </xf>
    <xf numFmtId="39" fontId="26" fillId="0" borderId="116" xfId="0" applyNumberFormat="1" applyFont="1" applyBorder="1" applyAlignment="1" applyProtection="1">
      <alignment horizontal="center" vertical="center"/>
      <protection locked="0"/>
    </xf>
    <xf numFmtId="43" fontId="26" fillId="0" borderId="116" xfId="128" applyFont="1" applyFill="1" applyBorder="1" applyAlignment="1">
      <alignment horizontal="center" vertical="center"/>
    </xf>
    <xf numFmtId="43" fontId="2" fillId="0" borderId="116" xfId="128" applyFont="1" applyFill="1" applyBorder="1" applyAlignment="1">
      <alignment horizontal="center" vertical="center"/>
    </xf>
    <xf numFmtId="0" fontId="81" fillId="0" borderId="0" xfId="0" applyFont="1" applyAlignment="1">
      <alignment vertical="center"/>
    </xf>
    <xf numFmtId="37" fontId="70" fillId="0" borderId="116" xfId="0" applyNumberFormat="1" applyFont="1" applyBorder="1" applyAlignment="1">
      <alignment vertical="center" wrapText="1"/>
    </xf>
    <xf numFmtId="2" fontId="70" fillId="0" borderId="116" xfId="0" applyNumberFormat="1" applyFont="1" applyBorder="1" applyAlignment="1">
      <alignment vertical="center"/>
    </xf>
    <xf numFmtId="0" fontId="0" fillId="0" borderId="116" xfId="0" applyBorder="1"/>
    <xf numFmtId="0" fontId="70" fillId="0" borderId="116" xfId="0" applyFont="1" applyBorder="1"/>
    <xf numFmtId="37" fontId="70" fillId="0" borderId="13" xfId="0" applyNumberFormat="1" applyFont="1" applyBorder="1" applyAlignment="1">
      <alignment vertical="center" wrapText="1"/>
    </xf>
    <xf numFmtId="37" fontId="70" fillId="0" borderId="11" xfId="0" applyNumberFormat="1" applyFont="1" applyBorder="1" applyAlignment="1">
      <alignment vertical="center" wrapText="1"/>
    </xf>
    <xf numFmtId="37" fontId="70" fillId="0" borderId="2" xfId="0" applyNumberFormat="1" applyFont="1" applyBorder="1" applyAlignment="1">
      <alignment vertical="center" wrapText="1"/>
    </xf>
    <xf numFmtId="37" fontId="70" fillId="0" borderId="1" xfId="0" applyNumberFormat="1" applyFont="1" applyBorder="1" applyAlignment="1">
      <alignment vertical="center" wrapText="1"/>
    </xf>
    <xf numFmtId="0" fontId="70" fillId="0" borderId="0" xfId="0" applyFont="1"/>
    <xf numFmtId="0" fontId="57" fillId="2" borderId="0" xfId="0" applyFont="1" applyFill="1"/>
    <xf numFmtId="0" fontId="73" fillId="2" borderId="0" xfId="0" applyFont="1" applyFill="1"/>
    <xf numFmtId="0" fontId="70" fillId="0" borderId="115" xfId="0" applyFont="1" applyBorder="1"/>
    <xf numFmtId="165" fontId="2" fillId="0" borderId="38" xfId="0" applyNumberFormat="1" applyFont="1" applyBorder="1" applyAlignment="1">
      <alignment vertical="center"/>
    </xf>
    <xf numFmtId="49" fontId="26" fillId="0" borderId="32" xfId="0" applyNumberFormat="1" applyFont="1" applyBorder="1" applyAlignment="1" applyProtection="1">
      <alignment horizontal="center" vertical="center"/>
      <protection locked="0"/>
    </xf>
    <xf numFmtId="39" fontId="26" fillId="0" borderId="72" xfId="0" applyNumberFormat="1" applyFont="1" applyBorder="1" applyAlignment="1" applyProtection="1">
      <alignment horizontal="center" vertical="center"/>
      <protection locked="0"/>
    </xf>
    <xf numFmtId="39" fontId="26" fillId="0" borderId="33" xfId="0" applyNumberFormat="1" applyFont="1" applyBorder="1" applyAlignment="1" applyProtection="1">
      <alignment horizontal="justify" vertical="center"/>
      <protection locked="0"/>
    </xf>
    <xf numFmtId="39" fontId="26" fillId="0" borderId="33" xfId="0" applyNumberFormat="1" applyFont="1" applyBorder="1" applyAlignment="1" applyProtection="1">
      <alignment horizontal="center" vertical="center"/>
      <protection locked="0"/>
    </xf>
    <xf numFmtId="43" fontId="26" fillId="0" borderId="33" xfId="128" applyFont="1" applyFill="1" applyBorder="1" applyAlignment="1" applyProtection="1">
      <alignment horizontal="center" vertical="center"/>
    </xf>
    <xf numFmtId="3" fontId="26" fillId="0" borderId="33" xfId="0" applyNumberFormat="1" applyFont="1" applyBorder="1" applyAlignment="1">
      <alignment horizontal="right" vertical="center"/>
    </xf>
    <xf numFmtId="191" fontId="26" fillId="0" borderId="33" xfId="0" applyNumberFormat="1" applyFont="1" applyBorder="1" applyAlignment="1">
      <alignment horizontal="center" vertical="center"/>
    </xf>
    <xf numFmtId="165" fontId="26" fillId="0" borderId="34" xfId="0" applyNumberFormat="1" applyFont="1" applyBorder="1" applyAlignment="1">
      <alignment vertical="center"/>
    </xf>
    <xf numFmtId="39" fontId="2" fillId="0" borderId="0" xfId="0" applyNumberFormat="1" applyFont="1" applyAlignment="1">
      <alignment horizontal="justify" vertical="center"/>
    </xf>
    <xf numFmtId="39" fontId="2" fillId="0" borderId="0" xfId="0" applyNumberFormat="1" applyFont="1" applyAlignment="1">
      <alignment horizontal="center" vertical="center"/>
    </xf>
    <xf numFmtId="191" fontId="2" fillId="0" borderId="0" xfId="0" applyNumberFormat="1" applyFont="1" applyAlignment="1">
      <alignment horizontal="center" vertical="center"/>
    </xf>
    <xf numFmtId="10" fontId="2" fillId="0" borderId="0" xfId="116" applyNumberFormat="1" applyAlignment="1">
      <alignment vertical="center" wrapText="1"/>
    </xf>
    <xf numFmtId="39" fontId="26" fillId="0" borderId="0" xfId="0" applyNumberFormat="1" applyFont="1" applyAlignment="1" applyProtection="1">
      <alignment horizontal="justify" vertical="center"/>
      <protection locked="0"/>
    </xf>
    <xf numFmtId="39" fontId="26" fillId="0" borderId="0" xfId="0" applyNumberFormat="1" applyFont="1" applyAlignment="1" applyProtection="1">
      <alignment horizontal="center" vertical="center"/>
      <protection locked="0"/>
    </xf>
    <xf numFmtId="3" fontId="26" fillId="0" borderId="0" xfId="0" applyNumberFormat="1" applyFont="1" applyAlignment="1">
      <alignment horizontal="right" vertical="center"/>
    </xf>
    <xf numFmtId="191" fontId="26" fillId="0" borderId="0" xfId="0" applyNumberFormat="1" applyFont="1" applyAlignment="1">
      <alignment horizontal="center" vertical="center"/>
    </xf>
    <xf numFmtId="39" fontId="2" fillId="2" borderId="115" xfId="0" applyNumberFormat="1" applyFont="1" applyFill="1" applyBorder="1" applyAlignment="1">
      <alignment horizontal="justify" vertical="center"/>
    </xf>
    <xf numFmtId="39" fontId="2" fillId="2" borderId="115" xfId="0" applyNumberFormat="1" applyFont="1" applyFill="1" applyBorder="1" applyAlignment="1">
      <alignment horizontal="center" vertical="center"/>
    </xf>
    <xf numFmtId="3" fontId="2" fillId="2" borderId="115" xfId="0" applyNumberFormat="1" applyFont="1" applyFill="1" applyBorder="1" applyAlignment="1">
      <alignment horizontal="right" vertical="center"/>
    </xf>
    <xf numFmtId="191" fontId="2" fillId="2" borderId="115" xfId="0" applyNumberFormat="1" applyFont="1" applyFill="1" applyBorder="1" applyAlignment="1">
      <alignment horizontal="center" vertical="center"/>
    </xf>
    <xf numFmtId="39" fontId="2" fillId="2" borderId="1" xfId="0" applyNumberFormat="1" applyFont="1" applyFill="1" applyBorder="1" applyAlignment="1">
      <alignment horizontal="justify" vertical="center"/>
    </xf>
    <xf numFmtId="39" fontId="2" fillId="2" borderId="1" xfId="0" applyNumberFormat="1" applyFont="1" applyFill="1" applyBorder="1" applyAlignment="1">
      <alignment horizontal="center" vertical="center"/>
    </xf>
    <xf numFmtId="43" fontId="2" fillId="2" borderId="1" xfId="128" applyFont="1" applyFill="1" applyBorder="1" applyAlignment="1">
      <alignment horizontal="center" vertical="center"/>
    </xf>
    <xf numFmtId="3" fontId="2" fillId="2" borderId="1" xfId="0" applyNumberFormat="1" applyFont="1" applyFill="1" applyBorder="1" applyAlignment="1">
      <alignment horizontal="right" vertical="center"/>
    </xf>
    <xf numFmtId="191" fontId="2" fillId="2" borderId="1" xfId="0" applyNumberFormat="1" applyFont="1" applyFill="1" applyBorder="1" applyAlignment="1">
      <alignment horizontal="center" vertical="center"/>
    </xf>
    <xf numFmtId="49" fontId="26" fillId="0" borderId="13" xfId="0" applyNumberFormat="1" applyFont="1" applyBorder="1" applyAlignment="1" applyProtection="1">
      <alignment horizontal="center" vertical="center"/>
      <protection locked="0"/>
    </xf>
    <xf numFmtId="39" fontId="26" fillId="0" borderId="11" xfId="0" applyNumberFormat="1" applyFont="1" applyBorder="1" applyAlignment="1" applyProtection="1">
      <alignment horizontal="center" vertical="center"/>
      <protection locked="0"/>
    </xf>
    <xf numFmtId="39" fontId="26" fillId="0" borderId="11" xfId="0" applyNumberFormat="1" applyFont="1" applyBorder="1" applyAlignment="1" applyProtection="1">
      <alignment horizontal="justify" vertical="center"/>
      <protection locked="0"/>
    </xf>
    <xf numFmtId="43" fontId="26" fillId="0" borderId="11" xfId="128" applyFont="1" applyFill="1" applyBorder="1" applyAlignment="1" applyProtection="1">
      <alignment horizontal="center" vertical="center"/>
    </xf>
    <xf numFmtId="3" fontId="26" fillId="0" borderId="11" xfId="0" applyNumberFormat="1" applyFont="1" applyBorder="1" applyAlignment="1">
      <alignment horizontal="right" vertical="center"/>
    </xf>
    <xf numFmtId="191" fontId="26" fillId="0" borderId="11" xfId="0" applyNumberFormat="1" applyFont="1" applyBorder="1" applyAlignment="1">
      <alignment horizontal="center" vertical="center"/>
    </xf>
    <xf numFmtId="165" fontId="26" fillId="0" borderId="60" xfId="0" applyNumberFormat="1" applyFont="1" applyBorder="1" applyAlignment="1">
      <alignment vertical="center"/>
    </xf>
    <xf numFmtId="49" fontId="26" fillId="0" borderId="2" xfId="0" applyNumberFormat="1" applyFont="1" applyBorder="1" applyAlignment="1" applyProtection="1">
      <alignment horizontal="center" vertical="center"/>
      <protection locked="0"/>
    </xf>
    <xf numFmtId="165" fontId="26" fillId="0" borderId="52" xfId="0" applyNumberFormat="1" applyFont="1" applyBorder="1" applyAlignment="1">
      <alignment vertical="center"/>
    </xf>
    <xf numFmtId="165" fontId="2" fillId="2" borderId="52" xfId="0" applyNumberFormat="1" applyFont="1" applyFill="1" applyBorder="1" applyAlignment="1">
      <alignment vertical="center"/>
    </xf>
    <xf numFmtId="39" fontId="76" fillId="42" borderId="2" xfId="145" applyNumberFormat="1" applyFont="1" applyFill="1" applyBorder="1" applyAlignment="1">
      <alignment horizontal="center" vertical="center"/>
    </xf>
    <xf numFmtId="165" fontId="2" fillId="0" borderId="52" xfId="0" applyNumberFormat="1" applyFont="1" applyBorder="1" applyAlignment="1">
      <alignment vertical="center"/>
    </xf>
    <xf numFmtId="39" fontId="76" fillId="43" borderId="14" xfId="144" applyNumberFormat="1" applyFont="1" applyFill="1" applyBorder="1" applyAlignment="1">
      <alignment horizontal="center" vertical="center"/>
    </xf>
    <xf numFmtId="39" fontId="26" fillId="0" borderId="4" xfId="0" applyNumberFormat="1" applyFont="1" applyBorder="1" applyAlignment="1">
      <alignment horizontal="center" vertical="center"/>
    </xf>
    <xf numFmtId="39" fontId="2" fillId="0" borderId="4" xfId="0" applyNumberFormat="1" applyFont="1" applyBorder="1" applyAlignment="1">
      <alignment horizontal="justify" vertical="center"/>
    </xf>
    <xf numFmtId="39" fontId="2" fillId="0" borderId="4" xfId="0" applyNumberFormat="1" applyFont="1" applyBorder="1" applyAlignment="1">
      <alignment horizontal="center" vertical="center"/>
    </xf>
    <xf numFmtId="43" fontId="2" fillId="0" borderId="4" xfId="128" applyFont="1" applyFill="1" applyBorder="1" applyAlignment="1">
      <alignment horizontal="center" vertical="center"/>
    </xf>
    <xf numFmtId="3" fontId="2" fillId="0" borderId="4" xfId="0" applyNumberFormat="1" applyFont="1" applyBorder="1" applyAlignment="1">
      <alignment horizontal="right" vertical="center"/>
    </xf>
    <xf numFmtId="191" fontId="2" fillId="0" borderId="4" xfId="0" applyNumberFormat="1" applyFont="1" applyBorder="1" applyAlignment="1">
      <alignment horizontal="center" vertical="center"/>
    </xf>
    <xf numFmtId="165" fontId="2" fillId="0" borderId="51" xfId="0" applyNumberFormat="1" applyFont="1" applyBorder="1" applyAlignment="1">
      <alignment vertical="center"/>
    </xf>
    <xf numFmtId="43" fontId="2" fillId="0" borderId="115" xfId="128" applyFont="1" applyFill="1" applyBorder="1" applyAlignment="1" applyProtection="1">
      <alignment horizontal="center" vertical="center"/>
    </xf>
    <xf numFmtId="43" fontId="26" fillId="0" borderId="33" xfId="128" applyFont="1" applyFill="1" applyBorder="1" applyAlignment="1">
      <alignment horizontal="center" vertical="center"/>
    </xf>
    <xf numFmtId="44" fontId="35" fillId="0" borderId="0" xfId="129" applyFont="1" applyAlignment="1">
      <alignment vertical="center"/>
    </xf>
    <xf numFmtId="3" fontId="35" fillId="0" borderId="116" xfId="2" applyNumberFormat="1" applyFont="1" applyBorder="1" applyAlignment="1">
      <alignment horizontal="center" vertical="center"/>
    </xf>
    <xf numFmtId="4" fontId="35" fillId="0" borderId="116" xfId="2" applyNumberFormat="1" applyFont="1" applyBorder="1" applyAlignment="1">
      <alignment vertical="center"/>
    </xf>
    <xf numFmtId="177" fontId="35" fillId="32" borderId="116" xfId="2" applyNumberFormat="1" applyFont="1" applyFill="1" applyBorder="1" applyAlignment="1">
      <alignment vertical="center"/>
    </xf>
    <xf numFmtId="4" fontId="35" fillId="0" borderId="121" xfId="2" applyNumberFormat="1" applyFont="1" applyBorder="1" applyAlignment="1">
      <alignment vertical="center"/>
    </xf>
    <xf numFmtId="3" fontId="35" fillId="0" borderId="118" xfId="2" applyNumberFormat="1" applyFont="1" applyBorder="1" applyAlignment="1">
      <alignment horizontal="center" vertical="center"/>
    </xf>
    <xf numFmtId="4" fontId="35" fillId="0" borderId="118" xfId="2" applyNumberFormat="1" applyFont="1" applyBorder="1" applyAlignment="1">
      <alignment vertical="center"/>
    </xf>
    <xf numFmtId="3" fontId="35" fillId="0" borderId="118" xfId="2" applyNumberFormat="1" applyFont="1" applyBorder="1" applyAlignment="1">
      <alignment vertical="center"/>
    </xf>
    <xf numFmtId="0" fontId="38" fillId="0" borderId="115" xfId="2" applyFont="1" applyBorder="1" applyAlignment="1">
      <alignment vertical="center"/>
    </xf>
    <xf numFmtId="0" fontId="35" fillId="0" borderId="115" xfId="2" applyFont="1" applyBorder="1" applyAlignment="1">
      <alignment vertical="center"/>
    </xf>
    <xf numFmtId="0" fontId="35" fillId="0" borderId="119" xfId="2" applyFont="1" applyBorder="1" applyAlignment="1">
      <alignment vertical="center"/>
    </xf>
    <xf numFmtId="178" fontId="35" fillId="0" borderId="116" xfId="2" applyNumberFormat="1" applyFont="1" applyBorder="1" applyAlignment="1">
      <alignment horizontal="center" vertical="center"/>
    </xf>
    <xf numFmtId="4" fontId="35" fillId="0" borderId="116" xfId="2" applyNumberFormat="1" applyFont="1" applyBorder="1" applyAlignment="1">
      <alignment horizontal="center" vertical="center"/>
    </xf>
    <xf numFmtId="0" fontId="35" fillId="0" borderId="116" xfId="2" applyFont="1" applyBorder="1" applyAlignment="1">
      <alignment vertical="center"/>
    </xf>
    <xf numFmtId="178" fontId="35" fillId="0" borderId="116" xfId="2" applyNumberFormat="1" applyFont="1" applyBorder="1" applyAlignment="1">
      <alignment vertical="center"/>
    </xf>
    <xf numFmtId="2" fontId="35" fillId="0" borderId="116" xfId="119" applyNumberFormat="1" applyFont="1" applyBorder="1" applyAlignment="1">
      <alignment horizontal="center" vertical="center"/>
    </xf>
    <xf numFmtId="179" fontId="40" fillId="32" borderId="0" xfId="120" applyNumberFormat="1" applyFont="1" applyFill="1" applyAlignment="1">
      <alignment horizontal="right" vertical="center"/>
    </xf>
    <xf numFmtId="165" fontId="41" fillId="0" borderId="116" xfId="83" applyFont="1" applyFill="1" applyBorder="1" applyAlignment="1">
      <alignment horizontal="right" vertical="center" wrapText="1"/>
    </xf>
    <xf numFmtId="165" fontId="41" fillId="32" borderId="116" xfId="83" applyFont="1" applyFill="1" applyBorder="1" applyAlignment="1">
      <alignment horizontal="right" vertical="center" wrapText="1"/>
    </xf>
    <xf numFmtId="177" fontId="35" fillId="0" borderId="116" xfId="2" applyNumberFormat="1" applyFont="1" applyBorder="1" applyAlignment="1">
      <alignment vertical="center"/>
    </xf>
    <xf numFmtId="4" fontId="35" fillId="0" borderId="46" xfId="2" applyNumberFormat="1" applyFont="1" applyBorder="1" applyAlignment="1">
      <alignment vertical="center"/>
    </xf>
    <xf numFmtId="3" fontId="35" fillId="0" borderId="116" xfId="2" applyNumberFormat="1" applyFont="1" applyBorder="1" applyAlignment="1">
      <alignment vertical="center"/>
    </xf>
    <xf numFmtId="4" fontId="35" fillId="32" borderId="116" xfId="2" applyNumberFormat="1" applyFont="1" applyFill="1" applyBorder="1" applyAlignment="1">
      <alignment vertical="center"/>
    </xf>
    <xf numFmtId="4" fontId="35" fillId="0" borderId="0" xfId="2" applyNumberFormat="1" applyFont="1" applyAlignment="1">
      <alignment vertical="center"/>
    </xf>
    <xf numFmtId="180" fontId="35" fillId="0" borderId="116" xfId="2" applyNumberFormat="1" applyFont="1" applyBorder="1" applyAlignment="1">
      <alignment vertical="center"/>
    </xf>
    <xf numFmtId="4" fontId="35" fillId="0" borderId="52" xfId="2" applyNumberFormat="1" applyFont="1" applyBorder="1" applyAlignment="1">
      <alignment vertical="center"/>
    </xf>
    <xf numFmtId="165" fontId="41" fillId="0" borderId="4" xfId="83" applyFont="1" applyFill="1" applyBorder="1" applyAlignment="1">
      <alignment horizontal="right" vertical="center" wrapText="1"/>
    </xf>
    <xf numFmtId="44" fontId="35" fillId="32" borderId="0" xfId="129" applyFont="1" applyFill="1" applyAlignment="1">
      <alignment vertical="center"/>
    </xf>
    <xf numFmtId="43" fontId="35" fillId="0" borderId="0" xfId="128" applyFont="1" applyAlignment="1">
      <alignment vertical="center"/>
    </xf>
    <xf numFmtId="0" fontId="56" fillId="0" borderId="49" xfId="121" applyFont="1" applyBorder="1"/>
    <xf numFmtId="0" fontId="56" fillId="0" borderId="0" xfId="121" applyFont="1"/>
    <xf numFmtId="0" fontId="79" fillId="0" borderId="0" xfId="0" applyFont="1" applyAlignment="1">
      <alignment horizontal="left"/>
    </xf>
    <xf numFmtId="0" fontId="56" fillId="0" borderId="0" xfId="139" applyFont="1"/>
    <xf numFmtId="0" fontId="79" fillId="0" borderId="117" xfId="0" applyFont="1" applyBorder="1" applyAlignment="1">
      <alignment horizontal="left"/>
    </xf>
    <xf numFmtId="0" fontId="56" fillId="0" borderId="117" xfId="121" applyFont="1" applyBorder="1"/>
    <xf numFmtId="0" fontId="79" fillId="0" borderId="0" xfId="0" applyFont="1"/>
    <xf numFmtId="0" fontId="79" fillId="0" borderId="0" xfId="0" applyFont="1" applyAlignment="1">
      <alignment vertical="center"/>
    </xf>
    <xf numFmtId="0" fontId="82" fillId="0" borderId="0" xfId="0" applyFont="1" applyAlignment="1">
      <alignment vertical="center"/>
    </xf>
    <xf numFmtId="0" fontId="83" fillId="0" borderId="0" xfId="0" applyFont="1"/>
    <xf numFmtId="0" fontId="2" fillId="0" borderId="116" xfId="116" applyBorder="1" applyAlignment="1">
      <alignment vertical="center" wrapText="1"/>
    </xf>
    <xf numFmtId="0" fontId="2" fillId="0" borderId="116" xfId="116" applyBorder="1" applyAlignment="1">
      <alignment horizontal="center" vertical="center" wrapText="1"/>
    </xf>
    <xf numFmtId="43" fontId="2" fillId="0" borderId="116" xfId="128" applyFont="1" applyBorder="1" applyAlignment="1">
      <alignment horizontal="right" vertical="center" wrapText="1"/>
    </xf>
    <xf numFmtId="44" fontId="2" fillId="2" borderId="116" xfId="129" applyFont="1" applyFill="1" applyBorder="1" applyAlignment="1">
      <alignment horizontal="right" vertical="center" wrapText="1" shrinkToFit="1"/>
    </xf>
    <xf numFmtId="0" fontId="26" fillId="26" borderId="118" xfId="116" applyFont="1" applyFill="1" applyBorder="1" applyAlignment="1">
      <alignment vertical="center" wrapText="1"/>
    </xf>
    <xf numFmtId="0" fontId="2" fillId="0" borderId="11" xfId="116" applyBorder="1" applyAlignment="1">
      <alignment horizontal="center" vertical="center" wrapText="1"/>
    </xf>
    <xf numFmtId="175" fontId="2" fillId="0" borderId="11" xfId="118" applyNumberFormat="1" applyFont="1" applyBorder="1" applyAlignment="1">
      <alignment horizontal="right" vertical="center" wrapText="1"/>
    </xf>
    <xf numFmtId="0" fontId="2" fillId="0" borderId="4" xfId="116" applyBorder="1" applyAlignment="1">
      <alignment horizontal="center" vertical="center" wrapText="1"/>
    </xf>
    <xf numFmtId="43" fontId="2" fillId="0" borderId="4" xfId="128" applyFont="1" applyBorder="1" applyAlignment="1">
      <alignment horizontal="right" vertical="center" wrapText="1"/>
    </xf>
    <xf numFmtId="44" fontId="2" fillId="2" borderId="4" xfId="129" applyFont="1" applyFill="1" applyBorder="1" applyAlignment="1">
      <alignment horizontal="right" vertical="center" wrapText="1" shrinkToFit="1"/>
    </xf>
    <xf numFmtId="171" fontId="2" fillId="0" borderId="51" xfId="13" applyFont="1" applyFill="1" applyBorder="1" applyAlignment="1">
      <alignment horizontal="right" vertical="center" wrapText="1" shrinkToFit="1"/>
    </xf>
    <xf numFmtId="3" fontId="35" fillId="0" borderId="12" xfId="2" applyNumberFormat="1" applyFont="1" applyBorder="1" applyAlignment="1">
      <alignment vertical="center"/>
    </xf>
    <xf numFmtId="49" fontId="65" fillId="0" borderId="32" xfId="0" applyNumberFormat="1" applyFont="1" applyBorder="1" applyAlignment="1" applyProtection="1">
      <alignment horizontal="center" vertical="center"/>
      <protection locked="0"/>
    </xf>
    <xf numFmtId="39" fontId="76" fillId="43" borderId="35" xfId="144" applyNumberFormat="1" applyFont="1" applyFill="1" applyBorder="1" applyAlignment="1">
      <alignment horizontal="center" vertical="center"/>
    </xf>
    <xf numFmtId="0" fontId="0" fillId="0" borderId="116" xfId="0" applyBorder="1" applyAlignment="1">
      <alignment wrapText="1"/>
    </xf>
    <xf numFmtId="175" fontId="0" fillId="0" borderId="116" xfId="0" applyNumberFormat="1" applyBorder="1"/>
    <xf numFmtId="0" fontId="0" fillId="0" borderId="7" xfId="0" applyBorder="1"/>
    <xf numFmtId="0" fontId="0" fillId="0" borderId="8" xfId="0" applyBorder="1"/>
    <xf numFmtId="0" fontId="0" fillId="0" borderId="9" xfId="0" applyBorder="1"/>
    <xf numFmtId="0" fontId="0" fillId="0" borderId="32" xfId="0" applyBorder="1"/>
    <xf numFmtId="0" fontId="0" fillId="0" borderId="33" xfId="0" applyBorder="1"/>
    <xf numFmtId="0" fontId="0" fillId="0" borderId="34" xfId="0" applyBorder="1"/>
    <xf numFmtId="0" fontId="0" fillId="0" borderId="37" xfId="0" applyBorder="1"/>
    <xf numFmtId="0" fontId="0" fillId="0" borderId="115" xfId="0" applyBorder="1"/>
    <xf numFmtId="0" fontId="0" fillId="0" borderId="38" xfId="0" applyBorder="1"/>
    <xf numFmtId="0" fontId="43" fillId="26" borderId="13" xfId="0" applyFont="1" applyFill="1" applyBorder="1" applyAlignment="1">
      <alignment horizontal="center" wrapText="1"/>
    </xf>
    <xf numFmtId="0" fontId="43" fillId="26" borderId="11" xfId="0" applyFont="1" applyFill="1" applyBorder="1" applyAlignment="1">
      <alignment horizontal="center"/>
    </xf>
    <xf numFmtId="0" fontId="43" fillId="26" borderId="60" xfId="0" applyFont="1" applyFill="1" applyBorder="1" applyAlignment="1">
      <alignment horizontal="center"/>
    </xf>
    <xf numFmtId="0" fontId="0" fillId="0" borderId="2" xfId="0" applyBorder="1" applyAlignment="1">
      <alignment wrapText="1"/>
    </xf>
    <xf numFmtId="44" fontId="0" fillId="0" borderId="52" xfId="129" applyFont="1" applyBorder="1"/>
    <xf numFmtId="0" fontId="0" fillId="0" borderId="2" xfId="0" applyBorder="1"/>
    <xf numFmtId="0" fontId="0" fillId="0" borderId="14" xfId="0" applyBorder="1"/>
    <xf numFmtId="44" fontId="0" fillId="0" borderId="4" xfId="129" applyFont="1" applyBorder="1"/>
    <xf numFmtId="0" fontId="0" fillId="0" borderId="4" xfId="0" applyBorder="1"/>
    <xf numFmtId="175" fontId="0" fillId="0" borderId="4" xfId="0" applyNumberFormat="1" applyBorder="1"/>
    <xf numFmtId="44" fontId="0" fillId="0" borderId="51" xfId="129" applyFont="1" applyBorder="1"/>
    <xf numFmtId="6" fontId="0" fillId="0" borderId="4" xfId="0" applyNumberFormat="1" applyBorder="1"/>
    <xf numFmtId="0" fontId="0" fillId="0" borderId="57" xfId="0" applyBorder="1" applyAlignment="1">
      <alignment wrapText="1"/>
    </xf>
    <xf numFmtId="175" fontId="0" fillId="0" borderId="50" xfId="0" applyNumberFormat="1" applyBorder="1"/>
    <xf numFmtId="0" fontId="0" fillId="0" borderId="50" xfId="0" applyBorder="1"/>
    <xf numFmtId="44" fontId="0" fillId="0" borderId="55" xfId="129" applyFont="1" applyBorder="1"/>
    <xf numFmtId="0" fontId="43" fillId="26" borderId="65" xfId="0" applyFont="1" applyFill="1" applyBorder="1" applyAlignment="1">
      <alignment horizontal="center" wrapText="1"/>
    </xf>
    <xf numFmtId="0" fontId="43" fillId="26" borderId="124" xfId="0" applyFont="1" applyFill="1" applyBorder="1" applyAlignment="1">
      <alignment horizontal="center"/>
    </xf>
    <xf numFmtId="0" fontId="43" fillId="26" borderId="66" xfId="0" applyFont="1" applyFill="1" applyBorder="1" applyAlignment="1">
      <alignment horizontal="center"/>
    </xf>
    <xf numFmtId="43" fontId="2" fillId="2" borderId="115" xfId="128" applyFont="1" applyFill="1" applyBorder="1" applyAlignment="1" applyProtection="1">
      <alignment horizontal="center" vertical="center"/>
    </xf>
    <xf numFmtId="0" fontId="26" fillId="0" borderId="74" xfId="0" applyFont="1" applyBorder="1" applyAlignment="1">
      <alignment horizontal="center" vertical="center"/>
    </xf>
    <xf numFmtId="0" fontId="2" fillId="0" borderId="0" xfId="0" applyFont="1" applyAlignment="1">
      <alignment vertical="center"/>
    </xf>
    <xf numFmtId="0" fontId="26" fillId="26" borderId="118" xfId="116" applyFont="1" applyFill="1" applyBorder="1" applyAlignment="1">
      <alignment horizontal="center" vertical="center" wrapText="1"/>
    </xf>
    <xf numFmtId="0" fontId="26" fillId="0" borderId="13" xfId="116" applyFont="1" applyBorder="1" applyAlignment="1">
      <alignment horizontal="center" vertical="center" wrapText="1"/>
    </xf>
    <xf numFmtId="0" fontId="2" fillId="0" borderId="11" xfId="116" applyBorder="1" applyAlignment="1">
      <alignment vertical="center" wrapText="1"/>
    </xf>
    <xf numFmtId="171" fontId="2" fillId="0" borderId="60" xfId="13" applyFont="1" applyFill="1" applyBorder="1" applyAlignment="1">
      <alignment horizontal="right" vertical="center" wrapText="1" shrinkToFit="1"/>
    </xf>
    <xf numFmtId="0" fontId="26" fillId="0" borderId="14" xfId="116" applyFont="1" applyBorder="1" applyAlignment="1">
      <alignment horizontal="center" vertical="center" wrapText="1"/>
    </xf>
    <xf numFmtId="0" fontId="2" fillId="0" borderId="4" xfId="116" applyBorder="1" applyAlignment="1">
      <alignment vertical="center" wrapText="1"/>
    </xf>
    <xf numFmtId="0" fontId="26" fillId="26" borderId="13" xfId="116" applyFont="1" applyFill="1" applyBorder="1" applyAlignment="1">
      <alignment horizontal="right" vertical="center"/>
    </xf>
    <xf numFmtId="0" fontId="26" fillId="26" borderId="11" xfId="116" applyFont="1" applyFill="1" applyBorder="1" applyAlignment="1">
      <alignment vertical="center" wrapText="1"/>
    </xf>
    <xf numFmtId="43" fontId="26" fillId="26" borderId="11" xfId="128" applyFont="1" applyFill="1" applyBorder="1" applyAlignment="1">
      <alignment vertical="center" wrapText="1"/>
    </xf>
    <xf numFmtId="44" fontId="26" fillId="26" borderId="11" xfId="129" applyFont="1" applyFill="1" applyBorder="1" applyAlignment="1">
      <alignment vertical="center" wrapText="1"/>
    </xf>
    <xf numFmtId="43" fontId="26" fillId="26" borderId="60" xfId="116" applyNumberFormat="1" applyFont="1" applyFill="1" applyBorder="1" applyAlignment="1">
      <alignment vertical="center" wrapText="1"/>
    </xf>
    <xf numFmtId="0" fontId="26" fillId="26" borderId="14" xfId="116" applyFont="1" applyFill="1" applyBorder="1" applyAlignment="1">
      <alignment horizontal="center" vertical="center" wrapText="1"/>
    </xf>
    <xf numFmtId="0" fontId="26" fillId="26" borderId="4" xfId="116" applyFont="1" applyFill="1" applyBorder="1" applyAlignment="1">
      <alignment vertical="center" wrapText="1"/>
    </xf>
    <xf numFmtId="43" fontId="26" fillId="26" borderId="4" xfId="128" applyFont="1" applyFill="1" applyBorder="1" applyAlignment="1">
      <alignment vertical="center" wrapText="1"/>
    </xf>
    <xf numFmtId="44" fontId="26" fillId="26" borderId="4" xfId="129" applyFont="1" applyFill="1" applyBorder="1" applyAlignment="1">
      <alignment vertical="center" wrapText="1"/>
    </xf>
    <xf numFmtId="0" fontId="26" fillId="26" borderId="51" xfId="116" applyFont="1" applyFill="1" applyBorder="1" applyAlignment="1">
      <alignment vertical="center" wrapText="1"/>
    </xf>
    <xf numFmtId="0" fontId="29" fillId="0" borderId="11" xfId="114" applyFont="1" applyBorder="1" applyAlignment="1">
      <alignment horizontal="center" vertical="top" wrapText="1"/>
    </xf>
    <xf numFmtId="43" fontId="2" fillId="0" borderId="11" xfId="128" applyFont="1" applyBorder="1" applyAlignment="1">
      <alignment horizontal="right" vertical="center" wrapText="1"/>
    </xf>
    <xf numFmtId="44" fontId="2" fillId="2" borderId="11" xfId="129" applyFont="1" applyFill="1" applyBorder="1" applyAlignment="1">
      <alignment horizontal="right" vertical="center" wrapText="1" shrinkToFit="1"/>
    </xf>
    <xf numFmtId="0" fontId="26" fillId="0" borderId="2" xfId="116" applyFont="1" applyBorder="1" applyAlignment="1">
      <alignment horizontal="center" vertical="center" wrapText="1"/>
    </xf>
    <xf numFmtId="0" fontId="29" fillId="0" borderId="116" xfId="114" applyFont="1" applyBorder="1" applyAlignment="1">
      <alignment horizontal="center" vertical="top" wrapText="1"/>
    </xf>
    <xf numFmtId="171" fontId="2" fillId="0" borderId="52" xfId="13" applyFont="1" applyFill="1" applyBorder="1" applyAlignment="1">
      <alignment horizontal="right" vertical="center" wrapText="1" shrinkToFit="1"/>
    </xf>
    <xf numFmtId="0" fontId="26" fillId="26" borderId="13" xfId="116" applyFont="1" applyFill="1" applyBorder="1" applyAlignment="1">
      <alignment horizontal="right" vertical="center" wrapText="1"/>
    </xf>
    <xf numFmtId="0" fontId="26" fillId="2" borderId="13" xfId="116" applyFont="1" applyFill="1" applyBorder="1" applyAlignment="1">
      <alignment horizontal="center" vertical="center" wrapText="1"/>
    </xf>
    <xf numFmtId="0" fontId="2" fillId="2" borderId="11" xfId="116" applyFill="1" applyBorder="1" applyAlignment="1">
      <alignment vertical="center" wrapText="1"/>
    </xf>
    <xf numFmtId="0" fontId="2" fillId="2" borderId="11" xfId="116" applyFill="1" applyBorder="1" applyAlignment="1">
      <alignment horizontal="center" vertical="center" wrapText="1"/>
    </xf>
    <xf numFmtId="0" fontId="26" fillId="2" borderId="2" xfId="116" applyFont="1" applyFill="1" applyBorder="1" applyAlignment="1">
      <alignment horizontal="center" vertical="center" wrapText="1"/>
    </xf>
    <xf numFmtId="0" fontId="4" fillId="2" borderId="116" xfId="116" applyFont="1" applyFill="1" applyBorder="1" applyAlignment="1">
      <alignment vertical="center" wrapText="1"/>
    </xf>
    <xf numFmtId="0" fontId="2" fillId="2" borderId="116" xfId="116" applyFill="1" applyBorder="1" applyAlignment="1">
      <alignment horizontal="center" vertical="center" wrapText="1"/>
    </xf>
    <xf numFmtId="0" fontId="2" fillId="2" borderId="116" xfId="116" applyFill="1" applyBorder="1" applyAlignment="1">
      <alignment vertical="center" wrapText="1"/>
    </xf>
    <xf numFmtId="0" fontId="26" fillId="2" borderId="14" xfId="116" applyFont="1" applyFill="1" applyBorder="1" applyAlignment="1">
      <alignment horizontal="center" vertical="center" wrapText="1"/>
    </xf>
    <xf numFmtId="0" fontId="2" fillId="2" borderId="4" xfId="116" applyFill="1" applyBorder="1" applyAlignment="1">
      <alignment vertical="center" wrapText="1"/>
    </xf>
    <xf numFmtId="0" fontId="2" fillId="2" borderId="4" xfId="116" applyFill="1" applyBorder="1" applyAlignment="1">
      <alignment horizontal="center" vertical="center" wrapText="1"/>
    </xf>
    <xf numFmtId="171" fontId="26" fillId="26" borderId="60" xfId="116" applyNumberFormat="1" applyFont="1" applyFill="1" applyBorder="1" applyAlignment="1">
      <alignment vertical="center" wrapText="1"/>
    </xf>
    <xf numFmtId="171" fontId="26" fillId="26" borderId="51" xfId="116" applyNumberFormat="1" applyFont="1" applyFill="1" applyBorder="1" applyAlignment="1">
      <alignment vertical="center" wrapText="1"/>
    </xf>
    <xf numFmtId="0" fontId="2" fillId="2" borderId="11" xfId="116" applyFill="1" applyBorder="1" applyAlignment="1">
      <alignment horizontal="left" vertical="center" wrapText="1"/>
    </xf>
    <xf numFmtId="0" fontId="2" fillId="2" borderId="4" xfId="116" applyFill="1" applyBorder="1" applyAlignment="1">
      <alignment horizontal="left" vertical="center" wrapText="1"/>
    </xf>
    <xf numFmtId="171" fontId="2" fillId="0" borderId="4" xfId="13" applyFont="1" applyFill="1" applyBorder="1" applyAlignment="1">
      <alignment horizontal="right" vertical="center" wrapText="1" shrinkToFit="1"/>
    </xf>
    <xf numFmtId="43" fontId="2" fillId="0" borderId="4" xfId="128" applyFont="1" applyFill="1" applyBorder="1" applyAlignment="1">
      <alignment horizontal="right" vertical="center" wrapText="1" shrinkToFit="1"/>
    </xf>
    <xf numFmtId="44" fontId="2" fillId="0" borderId="4" xfId="129" applyFont="1" applyFill="1" applyBorder="1" applyAlignment="1">
      <alignment horizontal="right" vertical="center" wrapText="1" shrinkToFit="1"/>
    </xf>
    <xf numFmtId="0" fontId="26" fillId="26" borderId="59" xfId="116" applyFont="1" applyFill="1" applyBorder="1" applyAlignment="1">
      <alignment horizontal="right" vertical="center" wrapText="1"/>
    </xf>
    <xf numFmtId="0" fontId="26" fillId="26" borderId="59" xfId="116" applyFont="1" applyFill="1" applyBorder="1" applyAlignment="1">
      <alignment vertical="center" wrapText="1"/>
    </xf>
    <xf numFmtId="43" fontId="2" fillId="0" borderId="116" xfId="128" applyFont="1" applyBorder="1" applyAlignment="1">
      <alignment vertical="center" wrapText="1"/>
    </xf>
    <xf numFmtId="44" fontId="2" fillId="0" borderId="116" xfId="129" applyFont="1" applyBorder="1" applyAlignment="1">
      <alignment vertical="center" wrapText="1"/>
    </xf>
    <xf numFmtId="44" fontId="2" fillId="0" borderId="52" xfId="116" applyNumberFormat="1" applyBorder="1" applyAlignment="1">
      <alignment vertical="center" wrapText="1"/>
    </xf>
    <xf numFmtId="39" fontId="2" fillId="0" borderId="116" xfId="116" applyNumberFormat="1" applyBorder="1" applyAlignment="1">
      <alignment vertical="center" wrapText="1"/>
    </xf>
    <xf numFmtId="39" fontId="2" fillId="0" borderId="4" xfId="116" applyNumberFormat="1" applyBorder="1" applyAlignment="1">
      <alignment vertical="center" wrapText="1"/>
    </xf>
    <xf numFmtId="43" fontId="2" fillId="0" borderId="4" xfId="128" applyFont="1" applyBorder="1" applyAlignment="1">
      <alignment vertical="center" wrapText="1"/>
    </xf>
    <xf numFmtId="44" fontId="2" fillId="0" borderId="4" xfId="129" applyFont="1" applyBorder="1" applyAlignment="1">
      <alignment vertical="center" wrapText="1"/>
    </xf>
    <xf numFmtId="44" fontId="2" fillId="0" borderId="51" xfId="116" applyNumberFormat="1" applyBorder="1" applyAlignment="1">
      <alignment vertical="center" wrapText="1"/>
    </xf>
    <xf numFmtId="0" fontId="26" fillId="0" borderId="47" xfId="116" applyFont="1" applyBorder="1" applyAlignment="1">
      <alignment vertical="center" wrapText="1"/>
    </xf>
    <xf numFmtId="171" fontId="26" fillId="26" borderId="59" xfId="116" applyNumberFormat="1" applyFont="1" applyFill="1" applyBorder="1" applyAlignment="1">
      <alignment vertical="center" wrapText="1"/>
    </xf>
    <xf numFmtId="44" fontId="26" fillId="0" borderId="47" xfId="90" applyFont="1" applyBorder="1" applyAlignment="1">
      <alignment vertical="center" wrapText="1"/>
    </xf>
    <xf numFmtId="10" fontId="26" fillId="0" borderId="47" xfId="116" applyNumberFormat="1" applyFont="1" applyBorder="1" applyAlignment="1">
      <alignment vertical="center" wrapText="1"/>
    </xf>
    <xf numFmtId="9" fontId="26" fillId="0" borderId="47" xfId="116" applyNumberFormat="1" applyFont="1" applyBorder="1" applyAlignment="1">
      <alignment vertical="center" wrapText="1"/>
    </xf>
    <xf numFmtId="0" fontId="26" fillId="0" borderId="37" xfId="116" applyFont="1" applyBorder="1" applyAlignment="1">
      <alignment vertical="center" wrapText="1"/>
    </xf>
    <xf numFmtId="39" fontId="65" fillId="0" borderId="32" xfId="0" applyNumberFormat="1" applyFont="1" applyBorder="1" applyAlignment="1" applyProtection="1">
      <alignment horizontal="center" vertical="center"/>
      <protection locked="0"/>
    </xf>
    <xf numFmtId="0" fontId="64" fillId="0" borderId="58" xfId="0" applyFont="1" applyBorder="1" applyAlignment="1">
      <alignment horizontal="center" vertical="center"/>
    </xf>
    <xf numFmtId="3" fontId="26" fillId="0" borderId="34" xfId="0" applyNumberFormat="1" applyFont="1" applyBorder="1" applyAlignment="1">
      <alignment vertical="center"/>
    </xf>
    <xf numFmtId="39" fontId="26" fillId="0" borderId="78" xfId="0" applyNumberFormat="1" applyFont="1" applyBorder="1" applyAlignment="1">
      <alignment horizontal="center" vertical="center"/>
    </xf>
    <xf numFmtId="3" fontId="2" fillId="0" borderId="38" xfId="0" applyNumberFormat="1" applyFont="1" applyBorder="1" applyAlignment="1">
      <alignment vertical="center"/>
    </xf>
    <xf numFmtId="39" fontId="45" fillId="2" borderId="33" xfId="0" applyNumberFormat="1" applyFont="1" applyFill="1" applyBorder="1" applyAlignment="1" applyProtection="1">
      <alignment horizontal="justify" vertical="center"/>
      <protection locked="0"/>
    </xf>
    <xf numFmtId="39" fontId="26" fillId="2" borderId="33" xfId="0" applyNumberFormat="1" applyFont="1" applyFill="1" applyBorder="1" applyAlignment="1" applyProtection="1">
      <alignment horizontal="justify" vertical="center"/>
      <protection locked="0"/>
    </xf>
    <xf numFmtId="39" fontId="26" fillId="2" borderId="33" xfId="0" applyNumberFormat="1" applyFont="1" applyFill="1" applyBorder="1" applyAlignment="1" applyProtection="1">
      <alignment horizontal="center" vertical="center"/>
      <protection locked="0"/>
    </xf>
    <xf numFmtId="43" fontId="26" fillId="2" borderId="33" xfId="128" applyFont="1" applyFill="1" applyBorder="1" applyAlignment="1">
      <alignment horizontal="center" vertical="center"/>
    </xf>
    <xf numFmtId="3" fontId="26" fillId="2" borderId="33" xfId="0" applyNumberFormat="1" applyFont="1" applyFill="1" applyBorder="1" applyAlignment="1">
      <alignment horizontal="right" vertical="center"/>
    </xf>
    <xf numFmtId="191" fontId="26" fillId="2" borderId="33" xfId="0" applyNumberFormat="1" applyFont="1" applyFill="1" applyBorder="1" applyAlignment="1">
      <alignment horizontal="center" vertical="center"/>
    </xf>
    <xf numFmtId="3" fontId="26" fillId="2" borderId="34" xfId="0" applyNumberFormat="1" applyFont="1" applyFill="1" applyBorder="1" applyAlignment="1">
      <alignment vertical="center"/>
    </xf>
    <xf numFmtId="3" fontId="4" fillId="2" borderId="115" xfId="0" applyNumberFormat="1" applyFont="1" applyFill="1" applyBorder="1" applyAlignment="1">
      <alignment horizontal="right" vertical="center"/>
    </xf>
    <xf numFmtId="3" fontId="2" fillId="2" borderId="38" xfId="0" applyNumberFormat="1" applyFont="1" applyFill="1" applyBorder="1" applyAlignment="1">
      <alignment vertical="center"/>
    </xf>
    <xf numFmtId="39" fontId="65" fillId="2" borderId="32" xfId="0" applyNumberFormat="1" applyFont="1" applyFill="1" applyBorder="1" applyAlignment="1" applyProtection="1">
      <alignment horizontal="center" vertical="center"/>
      <protection locked="0"/>
    </xf>
    <xf numFmtId="0" fontId="0" fillId="0" borderId="58" xfId="0" applyBorder="1" applyAlignment="1">
      <alignment horizontal="center" vertical="center"/>
    </xf>
    <xf numFmtId="0" fontId="31" fillId="0" borderId="116" xfId="0" applyFont="1" applyBorder="1"/>
    <xf numFmtId="0" fontId="31" fillId="0" borderId="116" xfId="0" applyFont="1" applyBorder="1" applyAlignment="1">
      <alignment wrapText="1"/>
    </xf>
    <xf numFmtId="0" fontId="0" fillId="0" borderId="0" xfId="0" applyAlignment="1">
      <alignment wrapText="1"/>
    </xf>
    <xf numFmtId="0" fontId="31" fillId="0" borderId="116" xfId="0" applyFont="1" applyBorder="1" applyAlignment="1">
      <alignment horizontal="center"/>
    </xf>
    <xf numFmtId="0" fontId="31" fillId="0" borderId="116" xfId="0" applyFont="1" applyBorder="1" applyAlignment="1">
      <alignment horizontal="center" wrapText="1"/>
    </xf>
    <xf numFmtId="0" fontId="31" fillId="0" borderId="121" xfId="0" applyFont="1" applyBorder="1" applyAlignment="1">
      <alignment horizontal="center"/>
    </xf>
    <xf numFmtId="0" fontId="31" fillId="0" borderId="120" xfId="0" applyFont="1" applyBorder="1" applyAlignment="1">
      <alignment horizontal="center"/>
    </xf>
    <xf numFmtId="0" fontId="31" fillId="0" borderId="0" xfId="0" applyFont="1"/>
    <xf numFmtId="6" fontId="31" fillId="0" borderId="116" xfId="0" applyNumberFormat="1" applyFont="1" applyBorder="1" applyAlignment="1">
      <alignment horizontal="center"/>
    </xf>
    <xf numFmtId="6" fontId="31" fillId="45" borderId="116" xfId="0" applyNumberFormat="1" applyFont="1" applyFill="1" applyBorder="1" applyAlignment="1">
      <alignment horizontal="center"/>
    </xf>
    <xf numFmtId="0" fontId="31" fillId="0" borderId="0" xfId="0" applyFont="1" applyAlignment="1">
      <alignment wrapText="1"/>
    </xf>
    <xf numFmtId="0" fontId="31" fillId="0" borderId="118" xfId="0" applyFont="1" applyBorder="1" applyAlignment="1">
      <alignment horizontal="center"/>
    </xf>
    <xf numFmtId="0" fontId="31" fillId="0" borderId="118" xfId="0" applyFont="1" applyBorder="1" applyAlignment="1">
      <alignment wrapText="1"/>
    </xf>
    <xf numFmtId="6" fontId="31" fillId="0" borderId="118" xfId="0" applyNumberFormat="1" applyFont="1" applyBorder="1" applyAlignment="1">
      <alignment horizontal="center"/>
    </xf>
    <xf numFmtId="0" fontId="31" fillId="0" borderId="7" xfId="0" applyFont="1" applyBorder="1"/>
    <xf numFmtId="0" fontId="84" fillId="0" borderId="8" xfId="0" applyFont="1" applyBorder="1" applyAlignment="1">
      <alignment wrapText="1"/>
    </xf>
    <xf numFmtId="43" fontId="84" fillId="0" borderId="9" xfId="128" applyFont="1" applyBorder="1"/>
    <xf numFmtId="6" fontId="84" fillId="0" borderId="9" xfId="0" applyNumberFormat="1" applyFont="1" applyBorder="1"/>
    <xf numFmtId="0" fontId="31" fillId="0" borderId="65" xfId="0" applyFont="1" applyBorder="1" applyAlignment="1">
      <alignment horizontal="center"/>
    </xf>
    <xf numFmtId="0" fontId="31" fillId="0" borderId="127" xfId="0" applyFont="1" applyBorder="1" applyAlignment="1">
      <alignment horizontal="center"/>
    </xf>
    <xf numFmtId="0" fontId="31" fillId="0" borderId="124" xfId="0" applyFont="1" applyBorder="1" applyAlignment="1">
      <alignment wrapText="1"/>
    </xf>
    <xf numFmtId="0" fontId="31" fillId="0" borderId="124" xfId="0" applyFont="1" applyBorder="1" applyAlignment="1">
      <alignment horizontal="center"/>
    </xf>
    <xf numFmtId="0" fontId="31" fillId="0" borderId="124" xfId="0" applyFont="1" applyBorder="1" applyAlignment="1">
      <alignment horizontal="center" wrapText="1"/>
    </xf>
    <xf numFmtId="0" fontId="31" fillId="0" borderId="66" xfId="0" applyFont="1" applyBorder="1" applyAlignment="1">
      <alignment horizontal="center" wrapText="1"/>
    </xf>
    <xf numFmtId="0" fontId="31" fillId="0" borderId="57" xfId="0" applyFont="1" applyBorder="1" applyAlignment="1">
      <alignment horizontal="center"/>
    </xf>
    <xf numFmtId="0" fontId="31" fillId="0" borderId="56" xfId="0" applyFont="1" applyBorder="1" applyAlignment="1">
      <alignment horizontal="center"/>
    </xf>
    <xf numFmtId="0" fontId="31" fillId="0" borderId="50" xfId="0" applyFont="1" applyBorder="1" applyAlignment="1">
      <alignment wrapText="1"/>
    </xf>
    <xf numFmtId="0" fontId="31" fillId="0" borderId="50" xfId="0" applyFont="1" applyBorder="1" applyAlignment="1">
      <alignment horizontal="center"/>
    </xf>
    <xf numFmtId="0" fontId="31" fillId="0" borderId="50" xfId="0" applyFont="1" applyBorder="1" applyAlignment="1">
      <alignment horizontal="center" wrapText="1"/>
    </xf>
    <xf numFmtId="0" fontId="31" fillId="0" borderId="55" xfId="0" applyFont="1" applyBorder="1" applyAlignment="1">
      <alignment horizontal="center"/>
    </xf>
    <xf numFmtId="0" fontId="31" fillId="0" borderId="2" xfId="0" applyFont="1" applyBorder="1" applyAlignment="1">
      <alignment horizontal="center"/>
    </xf>
    <xf numFmtId="0" fontId="31" fillId="0" borderId="52" xfId="0" applyFont="1" applyBorder="1" applyAlignment="1">
      <alignment horizontal="center"/>
    </xf>
    <xf numFmtId="0" fontId="31" fillId="32" borderId="52" xfId="0" applyFont="1" applyFill="1" applyBorder="1" applyAlignment="1">
      <alignment horizontal="center"/>
    </xf>
    <xf numFmtId="0" fontId="31" fillId="0" borderId="36" xfId="0" applyFont="1" applyBorder="1" applyAlignment="1">
      <alignment horizontal="center"/>
    </xf>
    <xf numFmtId="0" fontId="31" fillId="0" borderId="125" xfId="0" applyFont="1" applyBorder="1" applyAlignment="1">
      <alignment horizontal="center"/>
    </xf>
    <xf numFmtId="0" fontId="31" fillId="0" borderId="128" xfId="0" applyFont="1" applyBorder="1" applyAlignment="1">
      <alignment horizontal="center"/>
    </xf>
    <xf numFmtId="0" fontId="31" fillId="0" borderId="118" xfId="0" applyFont="1" applyBorder="1"/>
    <xf numFmtId="0" fontId="31" fillId="0" borderId="126" xfId="0" applyFont="1" applyBorder="1" applyAlignment="1">
      <alignment horizontal="center"/>
    </xf>
    <xf numFmtId="0" fontId="31" fillId="0" borderId="11" xfId="0" applyFont="1" applyBorder="1" applyAlignment="1">
      <alignment wrapText="1"/>
    </xf>
    <xf numFmtId="0" fontId="31" fillId="0" borderId="60" xfId="0" applyFont="1" applyBorder="1"/>
    <xf numFmtId="0" fontId="31" fillId="0" borderId="2" xfId="0" applyFont="1" applyBorder="1"/>
    <xf numFmtId="0" fontId="31" fillId="0" borderId="120" xfId="0" applyFont="1" applyBorder="1"/>
    <xf numFmtId="0" fontId="31" fillId="0" borderId="52" xfId="0" applyFont="1" applyBorder="1"/>
    <xf numFmtId="0" fontId="31" fillId="32" borderId="14" xfId="0" applyFont="1" applyFill="1" applyBorder="1" applyAlignment="1">
      <alignment horizontal="center"/>
    </xf>
    <xf numFmtId="0" fontId="31" fillId="32" borderId="44" xfId="0" applyFont="1" applyFill="1" applyBorder="1" applyAlignment="1">
      <alignment horizontal="center"/>
    </xf>
    <xf numFmtId="0" fontId="31" fillId="0" borderId="51" xfId="0" applyFont="1" applyBorder="1"/>
    <xf numFmtId="39" fontId="76" fillId="43" borderId="37" xfId="0" applyNumberFormat="1" applyFont="1" applyFill="1" applyBorder="1" applyAlignment="1">
      <alignment horizontal="center" vertical="center"/>
    </xf>
    <xf numFmtId="39" fontId="2" fillId="0" borderId="0" xfId="0" applyNumberFormat="1" applyFont="1" applyAlignment="1">
      <alignment horizontal="left" vertical="center" wrapText="1"/>
    </xf>
    <xf numFmtId="39" fontId="2" fillId="0" borderId="6" xfId="0" applyNumberFormat="1" applyFont="1" applyBorder="1" applyAlignment="1">
      <alignment horizontal="justify" vertical="center"/>
    </xf>
    <xf numFmtId="39" fontId="2" fillId="0" borderId="6" xfId="0" applyNumberFormat="1" applyFont="1" applyBorder="1" applyAlignment="1">
      <alignment horizontal="center" vertical="center"/>
    </xf>
    <xf numFmtId="43" fontId="2" fillId="0" borderId="6" xfId="128" applyFont="1" applyFill="1" applyBorder="1" applyAlignment="1" applyProtection="1">
      <alignment horizontal="center" vertical="center"/>
    </xf>
    <xf numFmtId="3" fontId="2" fillId="0" borderId="6" xfId="0" applyNumberFormat="1" applyFont="1" applyBorder="1" applyAlignment="1">
      <alignment horizontal="right" vertical="center"/>
    </xf>
    <xf numFmtId="191" fontId="2" fillId="0" borderId="6" xfId="0" applyNumberFormat="1" applyFont="1" applyBorder="1" applyAlignment="1">
      <alignment horizontal="center" vertical="center"/>
    </xf>
    <xf numFmtId="0" fontId="70" fillId="0" borderId="129" xfId="0" applyFont="1" applyBorder="1"/>
    <xf numFmtId="0" fontId="70" fillId="0" borderId="87" xfId="0" applyFont="1" applyBorder="1"/>
    <xf numFmtId="0" fontId="70" fillId="0" borderId="132" xfId="0" applyFont="1" applyBorder="1"/>
    <xf numFmtId="39" fontId="2" fillId="0" borderId="116" xfId="0" applyNumberFormat="1" applyFont="1" applyBorder="1" applyAlignment="1">
      <alignment horizontal="left" vertical="center" wrapText="1"/>
    </xf>
    <xf numFmtId="43" fontId="70" fillId="0" borderId="108" xfId="0" applyNumberFormat="1" applyFont="1" applyBorder="1"/>
    <xf numFmtId="43" fontId="70" fillId="0" borderId="108" xfId="128" applyFont="1" applyBorder="1" applyAlignment="1">
      <alignment vertical="center"/>
    </xf>
    <xf numFmtId="43" fontId="70" fillId="0" borderId="108" xfId="128" applyFont="1" applyBorder="1"/>
    <xf numFmtId="43" fontId="26" fillId="0" borderId="116" xfId="128" applyFont="1" applyFill="1" applyBorder="1" applyAlignment="1" applyProtection="1">
      <alignment horizontal="center" vertical="center"/>
    </xf>
    <xf numFmtId="192" fontId="2" fillId="0" borderId="116" xfId="128" applyNumberFormat="1" applyFont="1" applyFill="1" applyBorder="1" applyAlignment="1">
      <alignment horizontal="center" vertical="center"/>
    </xf>
    <xf numFmtId="0" fontId="70" fillId="0" borderId="85" xfId="0" applyFont="1" applyBorder="1"/>
    <xf numFmtId="0" fontId="70" fillId="0" borderId="14" xfId="0" applyFont="1" applyBorder="1" applyAlignment="1">
      <alignment wrapText="1"/>
    </xf>
    <xf numFmtId="0" fontId="70" fillId="0" borderId="89" xfId="0" applyFont="1" applyBorder="1" applyAlignment="1">
      <alignment wrapText="1"/>
    </xf>
    <xf numFmtId="0" fontId="70" fillId="0" borderId="2" xfId="0" applyFont="1" applyBorder="1" applyAlignment="1">
      <alignment wrapText="1"/>
    </xf>
    <xf numFmtId="0" fontId="70" fillId="0" borderId="0" xfId="0" applyFont="1" applyAlignment="1">
      <alignment wrapText="1"/>
    </xf>
    <xf numFmtId="0" fontId="70" fillId="0" borderId="107" xfId="0" applyFont="1" applyBorder="1" applyAlignment="1">
      <alignment wrapText="1"/>
    </xf>
    <xf numFmtId="0" fontId="70" fillId="0" borderId="111" xfId="0" applyFont="1" applyBorder="1" applyAlignment="1">
      <alignment wrapText="1"/>
    </xf>
    <xf numFmtId="0" fontId="70" fillId="0" borderId="130" xfId="0" applyFont="1" applyBorder="1" applyAlignment="1">
      <alignment wrapText="1"/>
    </xf>
    <xf numFmtId="39" fontId="2" fillId="0" borderId="116" xfId="0" applyNumberFormat="1" applyFont="1" applyBorder="1" applyAlignment="1">
      <alignment horizontal="justify" vertical="center" wrapText="1"/>
    </xf>
    <xf numFmtId="39" fontId="2" fillId="0" borderId="0" xfId="0" applyNumberFormat="1" applyFont="1" applyAlignment="1">
      <alignment horizontal="justify" vertical="center" wrapText="1"/>
    </xf>
    <xf numFmtId="39" fontId="26" fillId="0" borderId="116" xfId="0" applyNumberFormat="1" applyFont="1" applyBorder="1" applyAlignment="1" applyProtection="1">
      <alignment horizontal="justify" vertical="center" wrapText="1"/>
      <protection locked="0"/>
    </xf>
    <xf numFmtId="0" fontId="70" fillId="0" borderId="81" xfId="0" applyFont="1" applyBorder="1" applyAlignment="1">
      <alignment wrapText="1"/>
    </xf>
    <xf numFmtId="0" fontId="70" fillId="0" borderId="116" xfId="0" applyFont="1" applyBorder="1" applyAlignment="1">
      <alignment wrapText="1"/>
    </xf>
    <xf numFmtId="0" fontId="70" fillId="0" borderId="131" xfId="0" applyFont="1" applyBorder="1" applyAlignment="1">
      <alignment wrapText="1"/>
    </xf>
    <xf numFmtId="0" fontId="69" fillId="0" borderId="116" xfId="0" applyFont="1" applyBorder="1" applyAlignment="1">
      <alignment wrapText="1"/>
    </xf>
    <xf numFmtId="43" fontId="70" fillId="0" borderId="116" xfId="0" applyNumberFormat="1" applyFont="1" applyBorder="1"/>
    <xf numFmtId="192" fontId="2" fillId="0" borderId="6" xfId="128" applyNumberFormat="1" applyFont="1" applyFill="1" applyBorder="1" applyAlignment="1" applyProtection="1">
      <alignment horizontal="center" vertical="center"/>
    </xf>
    <xf numFmtId="39" fontId="76" fillId="41" borderId="35" xfId="0" applyNumberFormat="1" applyFont="1" applyFill="1" applyBorder="1" applyAlignment="1">
      <alignment horizontal="center" vertical="center" textRotation="90"/>
    </xf>
    <xf numFmtId="49" fontId="26" fillId="2" borderId="32" xfId="0" applyNumberFormat="1" applyFont="1" applyFill="1" applyBorder="1" applyAlignment="1" applyProtection="1">
      <alignment horizontal="center" vertical="center"/>
      <protection locked="0"/>
    </xf>
    <xf numFmtId="39" fontId="26" fillId="2" borderId="72" xfId="0" applyNumberFormat="1" applyFont="1" applyFill="1" applyBorder="1" applyAlignment="1" applyProtection="1">
      <alignment horizontal="center" vertical="center"/>
      <protection locked="0"/>
    </xf>
    <xf numFmtId="165" fontId="26" fillId="2" borderId="34" xfId="0" applyNumberFormat="1" applyFont="1" applyFill="1" applyBorder="1" applyAlignment="1">
      <alignment vertical="center"/>
    </xf>
    <xf numFmtId="43" fontId="70" fillId="0" borderId="116" xfId="128" applyFont="1" applyBorder="1" applyAlignment="1">
      <alignment vertical="center"/>
    </xf>
    <xf numFmtId="39" fontId="26" fillId="0" borderId="2" xfId="0" applyNumberFormat="1" applyFont="1" applyBorder="1" applyAlignment="1" applyProtection="1">
      <alignment horizontal="justify" vertical="center" wrapText="1"/>
      <protection locked="0"/>
    </xf>
    <xf numFmtId="39" fontId="2" fillId="0" borderId="2" xfId="0" applyNumberFormat="1" applyFont="1" applyBorder="1" applyAlignment="1">
      <alignment horizontal="justify" vertical="center" wrapText="1"/>
    </xf>
    <xf numFmtId="0" fontId="69" fillId="0" borderId="2" xfId="0" applyFont="1" applyBorder="1" applyAlignment="1">
      <alignment wrapText="1"/>
    </xf>
    <xf numFmtId="39" fontId="26" fillId="0" borderId="2" xfId="0" applyNumberFormat="1" applyFont="1" applyBorder="1" applyAlignment="1" applyProtection="1">
      <alignment horizontal="justify" vertical="center"/>
      <protection locked="0"/>
    </xf>
    <xf numFmtId="39" fontId="2" fillId="0" borderId="2" xfId="0" applyNumberFormat="1" applyFont="1" applyBorder="1" applyAlignment="1">
      <alignment horizontal="justify" vertical="center"/>
    </xf>
    <xf numFmtId="39" fontId="26" fillId="2" borderId="2" xfId="0" applyNumberFormat="1" applyFont="1" applyFill="1" applyBorder="1" applyAlignment="1" applyProtection="1">
      <alignment horizontal="justify" vertical="center"/>
      <protection locked="0"/>
    </xf>
    <xf numFmtId="0" fontId="45" fillId="37" borderId="87" xfId="0" applyFont="1" applyFill="1" applyBorder="1" applyAlignment="1">
      <alignment horizontal="center" vertical="center" wrapText="1"/>
    </xf>
    <xf numFmtId="2" fontId="70" fillId="0" borderId="116" xfId="0" applyNumberFormat="1" applyFont="1" applyBorder="1"/>
    <xf numFmtId="43" fontId="0" fillId="0" borderId="116" xfId="0" applyNumberFormat="1" applyBorder="1"/>
    <xf numFmtId="43" fontId="0" fillId="0" borderId="0" xfId="128" applyFont="1"/>
    <xf numFmtId="43" fontId="70" fillId="0" borderId="62" xfId="128" applyFont="1" applyBorder="1" applyAlignment="1">
      <alignment horizontal="center" vertical="center" wrapText="1"/>
    </xf>
    <xf numFmtId="43" fontId="70" fillId="0" borderId="60" xfId="128" applyFont="1" applyBorder="1" applyAlignment="1">
      <alignment vertical="center"/>
    </xf>
    <xf numFmtId="43" fontId="70" fillId="0" borderId="52" xfId="128" applyFont="1" applyBorder="1" applyAlignment="1">
      <alignment vertical="center"/>
    </xf>
    <xf numFmtId="43" fontId="70" fillId="0" borderId="52" xfId="128" applyFont="1" applyBorder="1"/>
    <xf numFmtId="43" fontId="70" fillId="0" borderId="51" xfId="128" applyFont="1" applyBorder="1"/>
    <xf numFmtId="43" fontId="70" fillId="0" borderId="106" xfId="128" applyFont="1" applyBorder="1" applyAlignment="1">
      <alignment vertical="center"/>
    </xf>
    <xf numFmtId="43" fontId="70" fillId="0" borderId="109" xfId="128" applyFont="1" applyBorder="1" applyAlignment="1">
      <alignment vertical="center"/>
    </xf>
    <xf numFmtId="43" fontId="70" fillId="0" borderId="109" xfId="128" applyFont="1" applyBorder="1"/>
    <xf numFmtId="43" fontId="70" fillId="0" borderId="113" xfId="128" applyFont="1" applyBorder="1"/>
    <xf numFmtId="0" fontId="70" fillId="0" borderId="118" xfId="0" applyFont="1" applyBorder="1" applyAlignment="1">
      <alignment wrapText="1"/>
    </xf>
    <xf numFmtId="0" fontId="70" fillId="0" borderId="118" xfId="0" applyFont="1" applyBorder="1"/>
    <xf numFmtId="0" fontId="70" fillId="0" borderId="135" xfId="0" applyFont="1" applyBorder="1"/>
    <xf numFmtId="43" fontId="70" fillId="0" borderId="87" xfId="0" applyNumberFormat="1" applyFont="1" applyBorder="1"/>
    <xf numFmtId="43" fontId="70" fillId="0" borderId="133" xfId="128" applyFont="1" applyBorder="1"/>
    <xf numFmtId="43" fontId="70" fillId="0" borderId="134" xfId="128" applyFont="1" applyBorder="1"/>
    <xf numFmtId="43" fontId="70" fillId="0" borderId="116" xfId="128" applyFont="1" applyBorder="1"/>
    <xf numFmtId="39" fontId="65" fillId="2" borderId="13" xfId="0" applyNumberFormat="1" applyFont="1" applyFill="1" applyBorder="1" applyAlignment="1" applyProtection="1">
      <alignment horizontal="center" vertical="center"/>
      <protection locked="0"/>
    </xf>
    <xf numFmtId="0" fontId="0" fillId="0" borderId="11" xfId="0" applyBorder="1" applyAlignment="1">
      <alignment horizontal="center" vertical="center"/>
    </xf>
    <xf numFmtId="39" fontId="26" fillId="2" borderId="11" xfId="0" applyNumberFormat="1" applyFont="1" applyFill="1" applyBorder="1" applyAlignment="1" applyProtection="1">
      <alignment horizontal="justify" vertical="center"/>
      <protection locked="0"/>
    </xf>
    <xf numFmtId="39" fontId="26" fillId="2" borderId="11" xfId="0" applyNumberFormat="1" applyFont="1" applyFill="1" applyBorder="1" applyAlignment="1" applyProtection="1">
      <alignment horizontal="center" vertical="center"/>
      <protection locked="0"/>
    </xf>
    <xf numFmtId="43" fontId="26" fillId="2" borderId="11" xfId="128" applyFont="1" applyFill="1" applyBorder="1" applyAlignment="1">
      <alignment horizontal="center" vertical="center"/>
    </xf>
    <xf numFmtId="3" fontId="26" fillId="2" borderId="11" xfId="0" applyNumberFormat="1" applyFont="1" applyFill="1" applyBorder="1" applyAlignment="1">
      <alignment horizontal="right" vertical="center"/>
    </xf>
    <xf numFmtId="191" fontId="26" fillId="2" borderId="11" xfId="0" applyNumberFormat="1" applyFont="1" applyFill="1" applyBorder="1" applyAlignment="1">
      <alignment horizontal="center" vertical="center"/>
    </xf>
    <xf numFmtId="3" fontId="26" fillId="2" borderId="60" xfId="0" applyNumberFormat="1" applyFont="1" applyFill="1" applyBorder="1" applyAlignment="1">
      <alignment vertical="center"/>
    </xf>
    <xf numFmtId="3" fontId="0" fillId="0" borderId="0" xfId="0" applyNumberFormat="1" applyAlignment="1">
      <alignment vertical="center"/>
    </xf>
    <xf numFmtId="39" fontId="2" fillId="2" borderId="4" xfId="0" applyNumberFormat="1" applyFont="1" applyFill="1" applyBorder="1" applyAlignment="1">
      <alignment horizontal="justify" vertical="center"/>
    </xf>
    <xf numFmtId="39" fontId="2" fillId="2" borderId="4" xfId="0" applyNumberFormat="1" applyFont="1" applyFill="1" applyBorder="1" applyAlignment="1">
      <alignment horizontal="center" vertical="center"/>
    </xf>
    <xf numFmtId="43" fontId="2" fillId="2" borderId="4" xfId="128" applyFont="1" applyFill="1" applyBorder="1" applyAlignment="1" applyProtection="1">
      <alignment horizontal="center" vertical="center"/>
    </xf>
    <xf numFmtId="3" fontId="2" fillId="2" borderId="4" xfId="0" applyNumberFormat="1" applyFont="1" applyFill="1" applyBorder="1" applyAlignment="1">
      <alignment horizontal="right" vertical="center"/>
    </xf>
    <xf numFmtId="191" fontId="2" fillId="2" borderId="4" xfId="0" applyNumberFormat="1" applyFont="1" applyFill="1" applyBorder="1" applyAlignment="1">
      <alignment horizontal="center" vertical="center"/>
    </xf>
    <xf numFmtId="3" fontId="2" fillId="2" borderId="51" xfId="0" applyNumberFormat="1" applyFont="1" applyFill="1" applyBorder="1" applyAlignment="1">
      <alignment vertical="center"/>
    </xf>
    <xf numFmtId="43" fontId="0" fillId="0" borderId="47" xfId="128" applyFont="1" applyBorder="1"/>
    <xf numFmtId="0" fontId="26" fillId="26" borderId="125" xfId="116" applyFont="1" applyFill="1" applyBorder="1" applyAlignment="1">
      <alignment horizontal="center" vertical="center" wrapText="1"/>
    </xf>
    <xf numFmtId="43" fontId="26" fillId="26" borderId="118" xfId="128" applyFont="1" applyFill="1" applyBorder="1" applyAlignment="1">
      <alignment vertical="center" wrapText="1"/>
    </xf>
    <xf numFmtId="44" fontId="26" fillId="26" borderId="118" xfId="129" applyFont="1" applyFill="1" applyBorder="1" applyAlignment="1">
      <alignment vertical="center" wrapText="1"/>
    </xf>
    <xf numFmtId="171" fontId="26" fillId="26" borderId="126" xfId="116" applyNumberFormat="1" applyFont="1" applyFill="1" applyBorder="1" applyAlignment="1">
      <alignment vertical="center" wrapText="1"/>
    </xf>
    <xf numFmtId="39" fontId="2" fillId="0" borderId="4" xfId="116" applyNumberFormat="1" applyBorder="1" applyAlignment="1">
      <alignment horizontal="center" vertical="center" wrapText="1"/>
    </xf>
    <xf numFmtId="0" fontId="45" fillId="37" borderId="116" xfId="0" applyFont="1" applyFill="1" applyBorder="1" applyAlignment="1">
      <alignment horizontal="center" vertical="center"/>
    </xf>
    <xf numFmtId="0" fontId="71" fillId="0" borderId="116" xfId="0" applyFont="1" applyBorder="1"/>
    <xf numFmtId="0" fontId="71" fillId="0" borderId="2" xfId="0" applyFont="1" applyBorder="1" applyAlignment="1">
      <alignment wrapText="1"/>
    </xf>
    <xf numFmtId="43" fontId="71" fillId="0" borderId="52" xfId="128" applyFont="1" applyBorder="1"/>
    <xf numFmtId="43" fontId="0" fillId="0" borderId="52" xfId="128" applyFont="1" applyBorder="1"/>
    <xf numFmtId="0" fontId="34" fillId="0" borderId="8" xfId="116" applyFont="1" applyBorder="1" applyAlignment="1">
      <alignment vertical="center" wrapText="1"/>
    </xf>
    <xf numFmtId="0" fontId="34" fillId="0" borderId="9" xfId="116" applyFont="1" applyBorder="1" applyAlignment="1">
      <alignment vertical="center" wrapText="1"/>
    </xf>
    <xf numFmtId="0" fontId="26" fillId="0" borderId="47" xfId="116" applyFont="1" applyBorder="1" applyAlignment="1">
      <alignment horizontal="center" vertical="center" wrapText="1"/>
    </xf>
    <xf numFmtId="44" fontId="26" fillId="0" borderId="47" xfId="129" applyFont="1" applyBorder="1" applyAlignment="1">
      <alignment vertical="center" wrapText="1"/>
    </xf>
    <xf numFmtId="44" fontId="26" fillId="0" borderId="47" xfId="116" applyNumberFormat="1" applyFont="1" applyBorder="1" applyAlignment="1">
      <alignment vertical="center" wrapText="1"/>
    </xf>
    <xf numFmtId="0" fontId="61" fillId="0" borderId="0" xfId="0" applyFont="1" applyAlignment="1">
      <alignment vertical="center" wrapText="1"/>
    </xf>
    <xf numFmtId="0" fontId="43" fillId="0" borderId="0" xfId="0" applyFont="1" applyAlignment="1">
      <alignment vertical="center" wrapText="1"/>
    </xf>
    <xf numFmtId="0" fontId="60" fillId="0" borderId="0" xfId="0" applyFont="1" applyAlignment="1">
      <alignment wrapText="1"/>
    </xf>
    <xf numFmtId="0" fontId="59" fillId="0" borderId="0" xfId="0" applyFont="1"/>
    <xf numFmtId="0" fontId="58" fillId="0" borderId="0" xfId="0" applyFont="1" applyAlignment="1">
      <alignment horizontal="left"/>
    </xf>
    <xf numFmtId="0" fontId="43" fillId="0" borderId="0" xfId="0" applyFont="1" applyAlignment="1">
      <alignment wrapText="1"/>
    </xf>
    <xf numFmtId="0" fontId="84" fillId="0" borderId="40" xfId="0" applyFont="1" applyBorder="1" applyAlignment="1">
      <alignment wrapText="1"/>
    </xf>
    <xf numFmtId="0" fontId="31" fillId="0" borderId="11" xfId="0" applyFont="1" applyBorder="1"/>
    <xf numFmtId="0" fontId="31" fillId="0" borderId="60" xfId="0" applyFont="1" applyBorder="1" applyAlignment="1">
      <alignment wrapText="1"/>
    </xf>
    <xf numFmtId="0" fontId="31" fillId="0" borderId="52" xfId="0" applyFont="1" applyBorder="1" applyAlignment="1">
      <alignment wrapText="1"/>
    </xf>
    <xf numFmtId="0" fontId="31" fillId="0" borderId="4" xfId="0" applyFont="1" applyBorder="1" applyAlignment="1">
      <alignment wrapText="1"/>
    </xf>
    <xf numFmtId="0" fontId="31" fillId="0" borderId="4" xfId="0" applyFont="1" applyBorder="1"/>
    <xf numFmtId="0" fontId="31" fillId="0" borderId="51" xfId="0" applyFont="1" applyBorder="1" applyAlignment="1">
      <alignment wrapText="1"/>
    </xf>
    <xf numFmtId="0" fontId="84" fillId="0" borderId="8" xfId="0" applyFont="1" applyBorder="1"/>
    <xf numFmtId="0" fontId="84" fillId="0" borderId="9" xfId="0" applyFont="1" applyBorder="1" applyAlignment="1">
      <alignment wrapText="1"/>
    </xf>
    <xf numFmtId="0" fontId="31" fillId="0" borderId="8" xfId="0" applyFont="1" applyBorder="1"/>
    <xf numFmtId="0" fontId="31" fillId="0" borderId="9" xfId="0" applyFont="1" applyBorder="1"/>
    <xf numFmtId="0" fontId="31" fillId="0" borderId="47" xfId="0" applyFont="1" applyBorder="1" applyAlignment="1">
      <alignment wrapText="1"/>
    </xf>
    <xf numFmtId="44" fontId="2" fillId="0" borderId="39" xfId="129" applyFont="1" applyBorder="1" applyAlignment="1">
      <alignment horizontal="center"/>
    </xf>
    <xf numFmtId="40" fontId="2" fillId="0" borderId="50" xfId="122" applyNumberFormat="1" applyFont="1" applyBorder="1" applyAlignment="1">
      <alignment horizontal="center"/>
    </xf>
    <xf numFmtId="10" fontId="2" fillId="0" borderId="50" xfId="123" applyNumberFormat="1" applyFont="1" applyFill="1" applyBorder="1" applyAlignment="1">
      <alignment horizontal="center"/>
    </xf>
    <xf numFmtId="39" fontId="2" fillId="2" borderId="11" xfId="116" applyNumberFormat="1" applyFill="1" applyBorder="1" applyAlignment="1">
      <alignment vertical="center" wrapText="1"/>
    </xf>
    <xf numFmtId="39" fontId="2" fillId="2" borderId="11" xfId="116" applyNumberFormat="1" applyFill="1" applyBorder="1" applyAlignment="1">
      <alignment horizontal="center" vertical="center" wrapText="1"/>
    </xf>
    <xf numFmtId="43" fontId="2" fillId="2" borderId="11" xfId="128" applyFont="1" applyFill="1" applyBorder="1" applyAlignment="1">
      <alignment vertical="center" wrapText="1"/>
    </xf>
    <xf numFmtId="44" fontId="2" fillId="2" borderId="11" xfId="129" applyFont="1" applyFill="1" applyBorder="1" applyAlignment="1">
      <alignment vertical="center" wrapText="1"/>
    </xf>
    <xf numFmtId="44" fontId="2" fillId="2" borderId="60" xfId="116" applyNumberFormat="1" applyFill="1" applyBorder="1" applyAlignment="1">
      <alignment vertical="center" wrapText="1"/>
    </xf>
    <xf numFmtId="39" fontId="2" fillId="2" borderId="116" xfId="116" applyNumberFormat="1" applyFill="1" applyBorder="1" applyAlignment="1">
      <alignment vertical="center" wrapText="1"/>
    </xf>
    <xf numFmtId="39" fontId="2" fillId="2" borderId="116" xfId="116" applyNumberFormat="1" applyFill="1" applyBorder="1" applyAlignment="1">
      <alignment horizontal="center" vertical="center" wrapText="1"/>
    </xf>
    <xf numFmtId="43" fontId="2" fillId="2" borderId="116" xfId="128" applyFont="1" applyFill="1" applyBorder="1" applyAlignment="1">
      <alignment vertical="center" wrapText="1"/>
    </xf>
    <xf numFmtId="44" fontId="2" fillId="2" borderId="116" xfId="129" applyFont="1" applyFill="1" applyBorder="1" applyAlignment="1">
      <alignment vertical="center" wrapText="1"/>
    </xf>
    <xf numFmtId="43" fontId="2" fillId="2" borderId="4" xfId="128" applyFont="1" applyFill="1" applyBorder="1" applyAlignment="1">
      <alignment vertical="center" wrapText="1"/>
    </xf>
    <xf numFmtId="44" fontId="2" fillId="2" borderId="4" xfId="129" applyFont="1" applyFill="1" applyBorder="1" applyAlignment="1">
      <alignment vertical="center" wrapText="1"/>
    </xf>
    <xf numFmtId="171" fontId="2" fillId="2" borderId="11" xfId="13" applyFont="1" applyFill="1" applyBorder="1" applyAlignment="1">
      <alignment horizontal="center" vertical="center" wrapText="1" shrinkToFit="1"/>
    </xf>
    <xf numFmtId="43" fontId="2" fillId="2" borderId="11" xfId="128" applyFont="1" applyFill="1" applyBorder="1" applyAlignment="1">
      <alignment horizontal="right" vertical="center" wrapText="1" shrinkToFit="1"/>
    </xf>
    <xf numFmtId="171" fontId="2" fillId="2" borderId="60" xfId="13" applyFont="1" applyFill="1" applyBorder="1" applyAlignment="1">
      <alignment horizontal="right" vertical="center" wrapText="1" shrinkToFit="1"/>
    </xf>
    <xf numFmtId="0" fontId="85" fillId="0" borderId="0" xfId="0" applyFont="1" applyAlignment="1">
      <alignment vertical="center"/>
    </xf>
    <xf numFmtId="0" fontId="86" fillId="0" borderId="0" xfId="116" applyFont="1" applyAlignment="1">
      <alignment vertical="center" wrapText="1"/>
    </xf>
    <xf numFmtId="0" fontId="0" fillId="0" borderId="1" xfId="0" applyBorder="1" applyAlignment="1">
      <alignment horizontal="left"/>
    </xf>
    <xf numFmtId="0" fontId="43" fillId="32" borderId="1" xfId="0" applyFont="1" applyFill="1" applyBorder="1" applyAlignment="1">
      <alignment horizontal="center" wrapText="1"/>
    </xf>
    <xf numFmtId="175" fontId="43" fillId="0" borderId="5" xfId="0" applyNumberFormat="1" applyFont="1" applyBorder="1" applyAlignment="1">
      <alignment horizontal="right"/>
    </xf>
    <xf numFmtId="175" fontId="43" fillId="0" borderId="50" xfId="0" applyNumberFormat="1" applyFont="1" applyBorder="1" applyAlignment="1">
      <alignment horizontal="right"/>
    </xf>
    <xf numFmtId="0" fontId="43" fillId="0" borderId="0" xfId="0" applyFont="1" applyAlignment="1">
      <alignment horizontal="center" vertical="center"/>
    </xf>
    <xf numFmtId="43" fontId="2" fillId="0" borderId="0" xfId="128" applyFont="1" applyAlignment="1">
      <alignment horizontal="center" vertical="center" wrapText="1"/>
    </xf>
    <xf numFmtId="3" fontId="33" fillId="25" borderId="27" xfId="116" applyNumberFormat="1" applyFont="1" applyFill="1" applyBorder="1" applyAlignment="1">
      <alignment horizontal="center" vertical="center" wrapText="1"/>
    </xf>
    <xf numFmtId="3" fontId="33" fillId="25" borderId="29" xfId="116" applyNumberFormat="1" applyFont="1" applyFill="1" applyBorder="1" applyAlignment="1">
      <alignment horizontal="center" vertical="center" wrapText="1"/>
    </xf>
    <xf numFmtId="3" fontId="33" fillId="25" borderId="28" xfId="116" applyNumberFormat="1" applyFont="1" applyFill="1" applyBorder="1" applyAlignment="1">
      <alignment horizontal="center" vertical="center" wrapText="1"/>
    </xf>
    <xf numFmtId="0" fontId="2" fillId="0" borderId="0" xfId="116" applyAlignment="1">
      <alignment horizontal="center" vertical="center" wrapText="1"/>
    </xf>
    <xf numFmtId="0" fontId="28" fillId="0" borderId="32" xfId="114" applyFont="1" applyBorder="1" applyAlignment="1">
      <alignment horizontal="center" vertical="center" wrapText="1"/>
    </xf>
    <xf numFmtId="0" fontId="28" fillId="0" borderId="33" xfId="114" applyFont="1" applyBorder="1" applyAlignment="1">
      <alignment horizontal="center" vertical="center" wrapText="1"/>
    </xf>
    <xf numFmtId="0" fontId="28" fillId="0" borderId="34" xfId="114" applyFont="1" applyBorder="1" applyAlignment="1">
      <alignment horizontal="center" vertical="center" wrapText="1"/>
    </xf>
    <xf numFmtId="0" fontId="27" fillId="0" borderId="35" xfId="114" applyBorder="1" applyAlignment="1">
      <alignment horizontal="center" vertical="top"/>
    </xf>
    <xf numFmtId="0" fontId="27" fillId="0" borderId="0" xfId="114" applyAlignment="1">
      <alignment horizontal="center" vertical="top"/>
    </xf>
    <xf numFmtId="0" fontId="27" fillId="0" borderId="36" xfId="114" applyBorder="1" applyAlignment="1">
      <alignment horizontal="center" vertical="top"/>
    </xf>
    <xf numFmtId="0" fontId="27" fillId="0" borderId="37" xfId="114" applyBorder="1" applyAlignment="1">
      <alignment horizontal="center" vertical="top"/>
    </xf>
    <xf numFmtId="0" fontId="27" fillId="0" borderId="115" xfId="114" applyBorder="1" applyAlignment="1">
      <alignment horizontal="center" vertical="top"/>
    </xf>
    <xf numFmtId="0" fontId="27" fillId="0" borderId="38" xfId="114" applyBorder="1" applyAlignment="1">
      <alignment horizontal="center" vertical="top"/>
    </xf>
    <xf numFmtId="0" fontId="28" fillId="23" borderId="7" xfId="114" applyFont="1" applyFill="1" applyBorder="1" applyAlignment="1">
      <alignment horizontal="center" vertical="top" wrapText="1"/>
    </xf>
    <xf numFmtId="0" fontId="28" fillId="23" borderId="8" xfId="114" applyFont="1" applyFill="1" applyBorder="1" applyAlignment="1">
      <alignment horizontal="center" vertical="top" wrapText="1"/>
    </xf>
    <xf numFmtId="0" fontId="28" fillId="23" borderId="9" xfId="114" applyFont="1" applyFill="1" applyBorder="1" applyAlignment="1">
      <alignment horizontal="center" vertical="top" wrapText="1"/>
    </xf>
    <xf numFmtId="0" fontId="28" fillId="23" borderId="7" xfId="114" applyFont="1" applyFill="1" applyBorder="1" applyAlignment="1">
      <alignment horizontal="center" vertical="center" wrapText="1"/>
    </xf>
    <xf numFmtId="0" fontId="28" fillId="23" borderId="8" xfId="114" applyFont="1" applyFill="1" applyBorder="1" applyAlignment="1">
      <alignment horizontal="center" vertical="center" wrapText="1"/>
    </xf>
    <xf numFmtId="0" fontId="28" fillId="23" borderId="9" xfId="114" applyFont="1" applyFill="1" applyBorder="1" applyAlignment="1">
      <alignment horizontal="center" vertical="center" wrapText="1"/>
    </xf>
    <xf numFmtId="0" fontId="35" fillId="0" borderId="3" xfId="2" applyFont="1" applyBorder="1" applyAlignment="1">
      <alignment horizontal="left" vertical="center"/>
    </xf>
    <xf numFmtId="0" fontId="35" fillId="0" borderId="24" xfId="2" applyFont="1" applyBorder="1" applyAlignment="1">
      <alignment horizontal="left" vertical="center"/>
    </xf>
    <xf numFmtId="0" fontId="35" fillId="0" borderId="44" xfId="2" applyFont="1" applyBorder="1" applyAlignment="1">
      <alignment horizontal="left" vertical="center"/>
    </xf>
    <xf numFmtId="0" fontId="35" fillId="28" borderId="0" xfId="2" applyFont="1" applyFill="1" applyAlignment="1">
      <alignment horizontal="left" vertical="center" wrapText="1"/>
    </xf>
    <xf numFmtId="0" fontId="35" fillId="0" borderId="10" xfId="2" applyFont="1" applyBorder="1" applyAlignment="1">
      <alignment horizontal="center" vertical="center"/>
    </xf>
    <xf numFmtId="0" fontId="35" fillId="0" borderId="29" xfId="2" applyFont="1" applyBorder="1" applyAlignment="1">
      <alignment horizontal="center" vertical="center"/>
    </xf>
    <xf numFmtId="0" fontId="35" fillId="0" borderId="39" xfId="2" applyFont="1" applyBorder="1" applyAlignment="1">
      <alignment horizontal="center" vertical="center"/>
    </xf>
    <xf numFmtId="0" fontId="35" fillId="0" borderId="12" xfId="2" applyFont="1" applyBorder="1" applyAlignment="1">
      <alignment horizontal="left" vertical="center"/>
    </xf>
    <xf numFmtId="0" fontId="35" fillId="0" borderId="30" xfId="2" applyFont="1" applyBorder="1" applyAlignment="1">
      <alignment horizontal="left" vertical="center"/>
    </xf>
    <xf numFmtId="0" fontId="35" fillId="0" borderId="41" xfId="2" applyFont="1" applyBorder="1" applyAlignment="1">
      <alignment horizontal="left" vertical="center"/>
    </xf>
    <xf numFmtId="0" fontId="35" fillId="0" borderId="3" xfId="2" applyFont="1" applyBorder="1" applyAlignment="1">
      <alignment horizontal="center" vertical="center"/>
    </xf>
    <xf numFmtId="0" fontId="35" fillId="0" borderId="24" xfId="2" applyFont="1" applyBorder="1" applyAlignment="1">
      <alignment horizontal="center" vertical="center"/>
    </xf>
    <xf numFmtId="0" fontId="35" fillId="0" borderId="44" xfId="2" applyFont="1" applyBorder="1" applyAlignment="1">
      <alignment horizontal="center" vertical="center"/>
    </xf>
    <xf numFmtId="0" fontId="35" fillId="0" borderId="119" xfId="2" applyFont="1" applyBorder="1" applyAlignment="1">
      <alignment horizontal="left" vertical="center"/>
    </xf>
    <xf numFmtId="0" fontId="35" fillId="0" borderId="120" xfId="2" applyFont="1" applyBorder="1" applyAlignment="1">
      <alignment horizontal="left" vertical="center"/>
    </xf>
    <xf numFmtId="0" fontId="35" fillId="0" borderId="122" xfId="0" applyFont="1" applyBorder="1" applyAlignment="1">
      <alignment horizontal="left" vertical="center" wrapText="1"/>
    </xf>
    <xf numFmtId="0" fontId="35" fillId="0" borderId="123" xfId="0" applyFont="1" applyBorder="1" applyAlignment="1">
      <alignment horizontal="left" vertical="center" wrapText="1"/>
    </xf>
    <xf numFmtId="0" fontId="35" fillId="28" borderId="0" xfId="2" applyFont="1" applyFill="1" applyAlignment="1">
      <alignment horizontal="center" vertical="center" wrapText="1"/>
    </xf>
    <xf numFmtId="0" fontId="35" fillId="0" borderId="12" xfId="2" applyFont="1" applyBorder="1" applyAlignment="1">
      <alignment horizontal="center" vertical="center"/>
    </xf>
    <xf numFmtId="0" fontId="35" fillId="0" borderId="120" xfId="2" applyFont="1" applyBorder="1" applyAlignment="1">
      <alignment horizontal="center" vertical="center"/>
    </xf>
    <xf numFmtId="0" fontId="35" fillId="0" borderId="12" xfId="2" applyFont="1" applyBorder="1" applyAlignment="1">
      <alignment horizontal="left" vertical="center" wrapText="1"/>
    </xf>
    <xf numFmtId="0" fontId="35" fillId="0" borderId="119" xfId="2" applyFont="1" applyBorder="1" applyAlignment="1">
      <alignment horizontal="left" vertical="center" wrapText="1"/>
    </xf>
    <xf numFmtId="0" fontId="35" fillId="0" borderId="120" xfId="2" applyFont="1" applyBorder="1" applyAlignment="1">
      <alignment horizontal="left" vertical="center" wrapText="1"/>
    </xf>
    <xf numFmtId="0" fontId="38" fillId="0" borderId="32" xfId="2" applyFont="1" applyBorder="1" applyAlignment="1">
      <alignment horizontal="center" vertical="center" wrapText="1"/>
    </xf>
    <xf numFmtId="0" fontId="38" fillId="0" borderId="33" xfId="2" applyFont="1" applyBorder="1" applyAlignment="1">
      <alignment horizontal="center" vertical="center" wrapText="1"/>
    </xf>
    <xf numFmtId="0" fontId="38" fillId="0" borderId="34" xfId="2" applyFont="1" applyBorder="1" applyAlignment="1">
      <alignment horizontal="center" vertical="center" wrapText="1"/>
    </xf>
    <xf numFmtId="0" fontId="38" fillId="0" borderId="35" xfId="2" applyFont="1" applyBorder="1" applyAlignment="1">
      <alignment horizontal="center" vertical="center" wrapText="1"/>
    </xf>
    <xf numFmtId="0" fontId="38" fillId="0" borderId="0" xfId="2" applyFont="1" applyAlignment="1">
      <alignment horizontal="center" vertical="center" wrapText="1"/>
    </xf>
    <xf numFmtId="0" fontId="38" fillId="0" borderId="36" xfId="2" applyFont="1" applyBorder="1" applyAlignment="1">
      <alignment horizontal="center" vertical="center" wrapText="1"/>
    </xf>
    <xf numFmtId="0" fontId="38" fillId="0" borderId="37" xfId="2" applyFont="1" applyBorder="1" applyAlignment="1">
      <alignment horizontal="center" vertical="center" wrapText="1"/>
    </xf>
    <xf numFmtId="0" fontId="38" fillId="0" borderId="115" xfId="2" applyFont="1" applyBorder="1" applyAlignment="1">
      <alignment horizontal="center" vertical="center" wrapText="1"/>
    </xf>
    <xf numFmtId="0" fontId="38" fillId="0" borderId="38" xfId="2" applyFont="1" applyBorder="1" applyAlignment="1">
      <alignment horizontal="center" vertical="center" wrapText="1"/>
    </xf>
    <xf numFmtId="0" fontId="38" fillId="0" borderId="32" xfId="2" applyFont="1" applyBorder="1" applyAlignment="1">
      <alignment horizontal="center" vertical="center"/>
    </xf>
    <xf numFmtId="0" fontId="38" fillId="0" borderId="33" xfId="2" applyFont="1" applyBorder="1" applyAlignment="1">
      <alignment horizontal="center" vertical="center"/>
    </xf>
    <xf numFmtId="0" fontId="38" fillId="0" borderId="34" xfId="2" applyFont="1" applyBorder="1" applyAlignment="1">
      <alignment horizontal="center" vertical="center"/>
    </xf>
    <xf numFmtId="0" fontId="38" fillId="0" borderId="35" xfId="2" applyFont="1" applyBorder="1" applyAlignment="1">
      <alignment horizontal="center" vertical="center"/>
    </xf>
    <xf numFmtId="0" fontId="38" fillId="0" borderId="0" xfId="2" applyFont="1" applyAlignment="1">
      <alignment horizontal="center" vertical="center"/>
    </xf>
    <xf numFmtId="0" fontId="38" fillId="0" borderId="36" xfId="2" applyFont="1" applyBorder="1" applyAlignment="1">
      <alignment horizontal="center" vertical="center"/>
    </xf>
    <xf numFmtId="0" fontId="38" fillId="27" borderId="37" xfId="2" applyFont="1" applyFill="1" applyBorder="1" applyAlignment="1">
      <alignment horizontal="center" vertical="center"/>
    </xf>
    <xf numFmtId="0" fontId="38" fillId="27" borderId="115" xfId="2" applyFont="1" applyFill="1" applyBorder="1" applyAlignment="1">
      <alignment horizontal="center" vertical="center"/>
    </xf>
    <xf numFmtId="0" fontId="38" fillId="27" borderId="38" xfId="2" applyFont="1" applyFill="1" applyBorder="1" applyAlignment="1">
      <alignment horizontal="center" vertical="center"/>
    </xf>
    <xf numFmtId="0" fontId="76" fillId="42" borderId="35" xfId="145" applyFont="1" applyFill="1" applyBorder="1" applyAlignment="1">
      <alignment horizontal="center" vertical="center" wrapText="1"/>
    </xf>
    <xf numFmtId="39" fontId="26" fillId="0" borderId="58" xfId="0" applyNumberFormat="1" applyFont="1" applyBorder="1" applyAlignment="1" applyProtection="1">
      <alignment horizontal="center" vertical="center"/>
      <protection locked="0"/>
    </xf>
    <xf numFmtId="39" fontId="26" fillId="0" borderId="78" xfId="0" applyNumberFormat="1" applyFont="1" applyBorder="1" applyAlignment="1" applyProtection="1">
      <alignment horizontal="center" vertical="center"/>
      <protection locked="0"/>
    </xf>
    <xf numFmtId="39" fontId="76" fillId="41" borderId="35" xfId="0" applyNumberFormat="1" applyFont="1" applyFill="1" applyBorder="1" applyAlignment="1">
      <alignment horizontal="center" vertical="center"/>
    </xf>
    <xf numFmtId="39" fontId="76" fillId="43" borderId="35" xfId="0" applyNumberFormat="1" applyFont="1" applyFill="1" applyBorder="1" applyAlignment="1">
      <alignment horizontal="center" vertical="center"/>
    </xf>
    <xf numFmtId="39" fontId="76" fillId="43" borderId="37" xfId="0" applyNumberFormat="1" applyFont="1" applyFill="1" applyBorder="1" applyAlignment="1">
      <alignment horizontal="center" vertical="center"/>
    </xf>
    <xf numFmtId="39" fontId="76" fillId="43" borderId="35" xfId="144" applyNumberFormat="1" applyFont="1" applyFill="1" applyBorder="1" applyAlignment="1">
      <alignment horizontal="center" vertical="center"/>
    </xf>
    <xf numFmtId="39" fontId="76" fillId="43" borderId="37" xfId="144" applyNumberFormat="1" applyFont="1" applyFill="1" applyBorder="1" applyAlignment="1">
      <alignment horizontal="center" vertical="center"/>
    </xf>
    <xf numFmtId="0" fontId="0" fillId="0" borderId="0" xfId="0" applyAlignment="1">
      <alignment horizontal="center" vertical="center"/>
    </xf>
    <xf numFmtId="0" fontId="77" fillId="0" borderId="0" xfId="0" applyFont="1" applyAlignment="1">
      <alignment horizontal="center" vertical="center"/>
    </xf>
    <xf numFmtId="0" fontId="84" fillId="0" borderId="7" xfId="0" applyFont="1" applyBorder="1" applyAlignment="1">
      <alignment horizontal="left" wrapText="1"/>
    </xf>
    <xf numFmtId="0" fontId="84" fillId="0" borderId="8" xfId="0" applyFont="1" applyBorder="1" applyAlignment="1">
      <alignment horizontal="left" wrapText="1"/>
    </xf>
    <xf numFmtId="0" fontId="84" fillId="0" borderId="7" xfId="0" applyFont="1" applyBorder="1" applyAlignment="1">
      <alignment horizontal="center" wrapText="1"/>
    </xf>
    <xf numFmtId="0" fontId="84" fillId="0" borderId="8" xfId="0" applyFont="1" applyBorder="1" applyAlignment="1">
      <alignment horizontal="center" wrapText="1"/>
    </xf>
    <xf numFmtId="0" fontId="84" fillId="0" borderId="9" xfId="0" applyFont="1" applyBorder="1" applyAlignment="1">
      <alignment horizontal="center" wrapText="1"/>
    </xf>
    <xf numFmtId="0" fontId="31" fillId="0" borderId="4" xfId="0" applyFont="1" applyBorder="1" applyAlignment="1">
      <alignment horizontal="center" wrapText="1"/>
    </xf>
    <xf numFmtId="0" fontId="84" fillId="0" borderId="13" xfId="0" applyFont="1" applyBorder="1" applyAlignment="1">
      <alignment horizontal="center" wrapText="1"/>
    </xf>
    <xf numFmtId="0" fontId="84" fillId="0" borderId="39" xfId="0" applyFont="1" applyBorder="1" applyAlignment="1">
      <alignment horizontal="center" wrapText="1"/>
    </xf>
    <xf numFmtId="0" fontId="84" fillId="0" borderId="11" xfId="0" applyFont="1" applyBorder="1" applyAlignment="1">
      <alignment horizontal="center" wrapText="1"/>
    </xf>
    <xf numFmtId="0" fontId="31" fillId="0" borderId="13" xfId="0" applyFont="1" applyBorder="1" applyAlignment="1">
      <alignment horizontal="left" wrapText="1"/>
    </xf>
    <xf numFmtId="0" fontId="31" fillId="0" borderId="11" xfId="0" applyFont="1" applyBorder="1" applyAlignment="1">
      <alignment horizontal="left" wrapText="1"/>
    </xf>
    <xf numFmtId="0" fontId="31" fillId="0" borderId="2" xfId="0" applyFont="1" applyBorder="1" applyAlignment="1">
      <alignment horizontal="left" wrapText="1"/>
    </xf>
    <xf numFmtId="0" fontId="31" fillId="0" borderId="116" xfId="0" applyFont="1" applyBorder="1" applyAlignment="1">
      <alignment horizontal="left" wrapText="1"/>
    </xf>
    <xf numFmtId="0" fontId="31" fillId="0" borderId="14" xfId="0" applyFont="1" applyBorder="1" applyAlignment="1">
      <alignment horizontal="left" wrapText="1"/>
    </xf>
    <xf numFmtId="0" fontId="31" fillId="0" borderId="4" xfId="0" applyFont="1" applyBorder="1" applyAlignment="1">
      <alignment horizontal="left" wrapText="1"/>
    </xf>
    <xf numFmtId="0" fontId="84" fillId="0" borderId="32" xfId="0" applyFont="1" applyBorder="1" applyAlignment="1">
      <alignment horizontal="center"/>
    </xf>
    <xf numFmtId="0" fontId="84" fillId="0" borderId="33" xfId="0" applyFont="1" applyBorder="1" applyAlignment="1">
      <alignment horizontal="center"/>
    </xf>
    <xf numFmtId="0" fontId="84" fillId="0" borderId="34" xfId="0" applyFont="1" applyBorder="1" applyAlignment="1">
      <alignment horizontal="center"/>
    </xf>
    <xf numFmtId="0" fontId="31" fillId="0" borderId="121" xfId="0" applyFont="1" applyBorder="1" applyAlignment="1">
      <alignment horizontal="center"/>
    </xf>
    <xf numFmtId="0" fontId="31" fillId="0" borderId="120" xfId="0" applyFont="1" applyBorder="1" applyAlignment="1">
      <alignment horizontal="center"/>
    </xf>
    <xf numFmtId="0" fontId="45" fillId="37" borderId="102" xfId="0" quotePrefix="1" applyFont="1" applyFill="1" applyBorder="1" applyAlignment="1">
      <alignment horizontal="center" vertical="center"/>
    </xf>
    <xf numFmtId="0" fontId="71" fillId="0" borderId="85" xfId="0" applyFont="1" applyBorder="1"/>
    <xf numFmtId="43" fontId="45" fillId="37" borderId="103" xfId="128" applyFont="1" applyFill="1" applyBorder="1" applyAlignment="1">
      <alignment horizontal="center" vertical="center"/>
    </xf>
    <xf numFmtId="43" fontId="71" fillId="0" borderId="86" xfId="128" applyFont="1" applyBorder="1"/>
    <xf numFmtId="0" fontId="72" fillId="0" borderId="90" xfId="0" applyFont="1" applyBorder="1" applyAlignment="1">
      <alignment horizontal="center" vertical="center"/>
    </xf>
    <xf numFmtId="0" fontId="71" fillId="0" borderId="91" xfId="0" applyFont="1" applyBorder="1"/>
    <xf numFmtId="0" fontId="71" fillId="0" borderId="88" xfId="0" applyFont="1" applyBorder="1"/>
    <xf numFmtId="0" fontId="71" fillId="0" borderId="95" xfId="0" applyFont="1" applyBorder="1"/>
    <xf numFmtId="0" fontId="70" fillId="0" borderId="90" xfId="0" applyFont="1" applyBorder="1" applyAlignment="1">
      <alignment horizontal="center" vertical="center" wrapText="1"/>
    </xf>
    <xf numFmtId="0" fontId="71" fillId="0" borderId="92" xfId="0" applyFont="1" applyBorder="1"/>
    <xf numFmtId="0" fontId="71" fillId="0" borderId="89" xfId="0" applyFont="1" applyBorder="1"/>
    <xf numFmtId="0" fontId="72" fillId="0" borderId="93" xfId="0" applyFont="1" applyBorder="1" applyAlignment="1">
      <alignment horizontal="center" vertical="center" wrapText="1"/>
    </xf>
    <xf numFmtId="0" fontId="71" fillId="0" borderId="96" xfId="0" applyFont="1" applyBorder="1" applyAlignment="1">
      <alignment wrapText="1"/>
    </xf>
    <xf numFmtId="2" fontId="70" fillId="38" borderId="93" xfId="0" applyNumberFormat="1" applyFont="1" applyFill="1" applyBorder="1" applyAlignment="1">
      <alignment horizontal="center" vertical="center"/>
    </xf>
    <xf numFmtId="0" fontId="71" fillId="38" borderId="96" xfId="0" applyFont="1" applyFill="1" applyBorder="1"/>
    <xf numFmtId="0" fontId="74" fillId="35" borderId="79" xfId="0" applyFont="1" applyFill="1" applyBorder="1" applyAlignment="1">
      <alignment horizontal="center" vertical="center"/>
    </xf>
    <xf numFmtId="0" fontId="71" fillId="0" borderId="0" xfId="0" applyFont="1"/>
    <xf numFmtId="0" fontId="71" fillId="0" borderId="94" xfId="0" applyFont="1" applyBorder="1"/>
    <xf numFmtId="43" fontId="72" fillId="35" borderId="93" xfId="128" applyFont="1" applyFill="1" applyBorder="1" applyAlignment="1">
      <alignment horizontal="center" vertical="center"/>
    </xf>
    <xf numFmtId="39" fontId="72" fillId="0" borderId="14" xfId="0" applyNumberFormat="1" applyFont="1" applyBorder="1" applyAlignment="1">
      <alignment horizontal="center" vertical="center"/>
    </xf>
    <xf numFmtId="0" fontId="72" fillId="0" borderId="4" xfId="0" applyFont="1" applyBorder="1" applyAlignment="1">
      <alignment horizontal="center" vertical="center"/>
    </xf>
    <xf numFmtId="37" fontId="70" fillId="0" borderId="3" xfId="0" applyNumberFormat="1" applyFont="1" applyBorder="1" applyAlignment="1">
      <alignment horizontal="left" vertical="center" wrapText="1"/>
    </xf>
    <xf numFmtId="37" fontId="70" fillId="0" borderId="24" xfId="0" applyNumberFormat="1" applyFont="1" applyBorder="1" applyAlignment="1">
      <alignment horizontal="left" vertical="center" wrapText="1"/>
    </xf>
    <xf numFmtId="37" fontId="70" fillId="0" borderId="77" xfId="0" applyNumberFormat="1" applyFont="1" applyBorder="1" applyAlignment="1">
      <alignment horizontal="left" vertical="center" wrapText="1"/>
    </xf>
    <xf numFmtId="0" fontId="72" fillId="35" borderId="75" xfId="0" applyFont="1" applyFill="1" applyBorder="1" applyAlignment="1">
      <alignment horizontal="center" vertical="center"/>
    </xf>
    <xf numFmtId="0" fontId="71" fillId="0" borderId="78" xfId="0" applyFont="1" applyBorder="1"/>
    <xf numFmtId="39" fontId="70" fillId="0" borderId="78" xfId="0" applyNumberFormat="1" applyFont="1" applyBorder="1" applyAlignment="1">
      <alignment horizontal="center" vertical="center"/>
    </xf>
    <xf numFmtId="0" fontId="70" fillId="0" borderId="90" xfId="0" applyFont="1" applyBorder="1" applyAlignment="1">
      <alignment horizontal="center"/>
    </xf>
    <xf numFmtId="0" fontId="71" fillId="0" borderId="97" xfId="0" applyFont="1" applyBorder="1"/>
    <xf numFmtId="0" fontId="71" fillId="0" borderId="79" xfId="0" applyFont="1" applyBorder="1"/>
    <xf numFmtId="0" fontId="0" fillId="0" borderId="0" xfId="0"/>
    <xf numFmtId="0" fontId="71" fillId="0" borderId="80" xfId="0" applyFont="1" applyBorder="1"/>
    <xf numFmtId="0" fontId="45" fillId="37" borderId="98" xfId="0" quotePrefix="1" applyFont="1" applyFill="1" applyBorder="1" applyAlignment="1">
      <alignment horizontal="center" vertical="center" wrapText="1"/>
    </xf>
    <xf numFmtId="0" fontId="71" fillId="0" borderId="81" xfId="0" applyFont="1" applyBorder="1" applyAlignment="1">
      <alignment wrapText="1"/>
    </xf>
    <xf numFmtId="0" fontId="45" fillId="37" borderId="99" xfId="0" quotePrefix="1" applyFont="1" applyFill="1" applyBorder="1" applyAlignment="1">
      <alignment horizontal="center" vertical="center"/>
    </xf>
    <xf numFmtId="0" fontId="71" fillId="0" borderId="100" xfId="0" applyFont="1" applyBorder="1"/>
    <xf numFmtId="0" fontId="71" fillId="0" borderId="101" xfId="0" applyFont="1" applyBorder="1"/>
    <xf numFmtId="0" fontId="72" fillId="35" borderId="14" xfId="0" applyFont="1" applyFill="1" applyBorder="1" applyAlignment="1">
      <alignment horizontal="center"/>
    </xf>
    <xf numFmtId="0" fontId="71" fillId="0" borderId="4" xfId="0" applyFont="1" applyBorder="1"/>
    <xf numFmtId="0" fontId="70" fillId="0" borderId="4" xfId="0" applyFont="1" applyBorder="1" applyAlignment="1">
      <alignment horizontal="center"/>
    </xf>
    <xf numFmtId="0" fontId="72" fillId="35" borderId="4" xfId="0" applyFont="1" applyFill="1" applyBorder="1" applyAlignment="1">
      <alignment horizontal="center"/>
    </xf>
    <xf numFmtId="0" fontId="71" fillId="0" borderId="51" xfId="0" applyFont="1" applyBorder="1"/>
    <xf numFmtId="0" fontId="70" fillId="0" borderId="25" xfId="0" applyFont="1" applyBorder="1" applyAlignment="1">
      <alignment horizontal="center" vertical="center"/>
    </xf>
    <xf numFmtId="0" fontId="70" fillId="0" borderId="73" xfId="0" applyFont="1" applyBorder="1" applyAlignment="1">
      <alignment horizontal="center" vertical="center"/>
    </xf>
    <xf numFmtId="0" fontId="70" fillId="0" borderId="37" xfId="0" applyFont="1" applyBorder="1" applyAlignment="1">
      <alignment horizontal="center" vertical="center"/>
    </xf>
    <xf numFmtId="0" fontId="70" fillId="0" borderId="75" xfId="0" applyFont="1" applyBorder="1" applyAlignment="1">
      <alignment horizontal="center" vertical="center"/>
    </xf>
    <xf numFmtId="0" fontId="72" fillId="36" borderId="13" xfId="0" applyFont="1" applyFill="1" applyBorder="1" applyAlignment="1">
      <alignment horizontal="center" vertical="center" wrapText="1"/>
    </xf>
    <xf numFmtId="0" fontId="73" fillId="28" borderId="11" xfId="0" applyFont="1" applyFill="1" applyBorder="1" applyAlignment="1">
      <alignment vertical="center" wrapText="1"/>
    </xf>
    <xf numFmtId="39" fontId="69" fillId="28" borderId="10" xfId="0" applyNumberFormat="1" applyFont="1" applyFill="1" applyBorder="1" applyAlignment="1">
      <alignment horizontal="center" vertical="center" wrapText="1"/>
    </xf>
    <xf numFmtId="39" fontId="69" fillId="28" borderId="29" xfId="0" applyNumberFormat="1" applyFont="1" applyFill="1" applyBorder="1" applyAlignment="1">
      <alignment horizontal="center" vertical="center" wrapText="1"/>
    </xf>
    <xf numFmtId="39" fontId="69" fillId="28" borderId="28" xfId="0" applyNumberFormat="1" applyFont="1" applyFill="1" applyBorder="1" applyAlignment="1">
      <alignment horizontal="center" vertical="center" wrapText="1"/>
    </xf>
    <xf numFmtId="0" fontId="68" fillId="35" borderId="7" xfId="0" applyFont="1" applyFill="1" applyBorder="1" applyAlignment="1">
      <alignment horizontal="center" vertical="center" wrapText="1"/>
    </xf>
    <xf numFmtId="0" fontId="68" fillId="35" borderId="8" xfId="0" applyFont="1" applyFill="1" applyBorder="1" applyAlignment="1">
      <alignment horizontal="center" vertical="center" wrapText="1"/>
    </xf>
    <xf numFmtId="0" fontId="68" fillId="35" borderId="9" xfId="0" applyFont="1" applyFill="1" applyBorder="1" applyAlignment="1">
      <alignment horizontal="center" vertical="center" wrapText="1"/>
    </xf>
    <xf numFmtId="0" fontId="70" fillId="0" borderId="67" xfId="0" applyFont="1" applyBorder="1" applyAlignment="1">
      <alignment horizontal="center" vertical="center"/>
    </xf>
    <xf numFmtId="0" fontId="71" fillId="0" borderId="69" xfId="0" applyFont="1" applyBorder="1"/>
    <xf numFmtId="0" fontId="71" fillId="0" borderId="70" xfId="0" applyFont="1" applyBorder="1"/>
    <xf numFmtId="0" fontId="72" fillId="35" borderId="7" xfId="0" applyFont="1" applyFill="1" applyBorder="1" applyAlignment="1">
      <alignment horizontal="center" vertical="center"/>
    </xf>
    <xf numFmtId="0" fontId="72" fillId="35" borderId="8" xfId="0" applyFont="1" applyFill="1" applyBorder="1" applyAlignment="1">
      <alignment horizontal="center" vertical="center"/>
    </xf>
    <xf numFmtId="0" fontId="70" fillId="0" borderId="7" xfId="0" applyFont="1" applyBorder="1" applyAlignment="1">
      <alignment horizontal="center" vertical="center" wrapText="1"/>
    </xf>
    <xf numFmtId="0" fontId="70" fillId="0" borderId="8" xfId="0" applyFont="1" applyBorder="1" applyAlignment="1">
      <alignment horizontal="center" vertical="center" wrapText="1"/>
    </xf>
    <xf numFmtId="0" fontId="70" fillId="0" borderId="9" xfId="0" applyFont="1" applyBorder="1" applyAlignment="1">
      <alignment horizontal="center" vertical="center" wrapText="1"/>
    </xf>
    <xf numFmtId="0" fontId="72" fillId="35" borderId="57" xfId="0" applyFont="1" applyFill="1" applyBorder="1" applyAlignment="1">
      <alignment horizontal="center"/>
    </xf>
    <xf numFmtId="0" fontId="71" fillId="0" borderId="50" xfId="0" applyFont="1" applyBorder="1"/>
    <xf numFmtId="0" fontId="70" fillId="0" borderId="50" xfId="0" applyFont="1" applyBorder="1" applyAlignment="1">
      <alignment horizontal="center"/>
    </xf>
    <xf numFmtId="0" fontId="72" fillId="35" borderId="50" xfId="0" applyFont="1" applyFill="1" applyBorder="1" applyAlignment="1">
      <alignment horizontal="center"/>
    </xf>
    <xf numFmtId="0" fontId="71" fillId="0" borderId="55" xfId="0" applyFont="1" applyBorder="1"/>
    <xf numFmtId="3" fontId="70" fillId="0" borderId="13" xfId="0" applyNumberFormat="1" applyFont="1" applyBorder="1" applyAlignment="1">
      <alignment horizontal="center"/>
    </xf>
    <xf numFmtId="0" fontId="71" fillId="0" borderId="11" xfId="0" applyFont="1" applyBorder="1"/>
    <xf numFmtId="0" fontId="72" fillId="35" borderId="71" xfId="0" applyFont="1" applyFill="1" applyBorder="1" applyAlignment="1">
      <alignment horizontal="center" vertical="center"/>
    </xf>
    <xf numFmtId="0" fontId="72" fillId="35" borderId="72" xfId="0" applyFont="1" applyFill="1" applyBorder="1" applyAlignment="1">
      <alignment horizontal="center" vertical="center"/>
    </xf>
    <xf numFmtId="0" fontId="72" fillId="35" borderId="63" xfId="0" applyFont="1" applyFill="1" applyBorder="1" applyAlignment="1">
      <alignment horizontal="center" vertical="center"/>
    </xf>
    <xf numFmtId="0" fontId="72" fillId="35" borderId="74" xfId="0" applyFont="1" applyFill="1" applyBorder="1" applyAlignment="1">
      <alignment horizontal="center" vertical="center"/>
    </xf>
    <xf numFmtId="0" fontId="72" fillId="35" borderId="76" xfId="0" applyFont="1" applyFill="1" applyBorder="1" applyAlignment="1">
      <alignment horizontal="center" vertical="center"/>
    </xf>
    <xf numFmtId="0" fontId="70" fillId="0" borderId="71" xfId="0" applyFont="1" applyBorder="1" applyAlignment="1">
      <alignment horizontal="center" vertical="center"/>
    </xf>
    <xf numFmtId="0" fontId="70" fillId="0" borderId="34" xfId="0" applyFont="1" applyBorder="1" applyAlignment="1">
      <alignment horizontal="center" vertical="center"/>
    </xf>
    <xf numFmtId="0" fontId="70" fillId="0" borderId="63" xfId="0" applyFont="1" applyBorder="1" applyAlignment="1">
      <alignment horizontal="center" vertical="center"/>
    </xf>
    <xf numFmtId="0" fontId="70" fillId="0" borderId="36" xfId="0" applyFont="1" applyBorder="1" applyAlignment="1">
      <alignment horizontal="center" vertical="center"/>
    </xf>
    <xf numFmtId="0" fontId="70" fillId="0" borderId="76" xfId="0" applyFont="1" applyBorder="1" applyAlignment="1">
      <alignment horizontal="center" vertical="center"/>
    </xf>
    <xf numFmtId="0" fontId="70" fillId="0" borderId="38" xfId="0" applyFont="1" applyBorder="1" applyAlignment="1">
      <alignment horizontal="center" vertical="center"/>
    </xf>
    <xf numFmtId="43" fontId="72" fillId="35" borderId="114" xfId="128" applyFont="1" applyFill="1" applyBorder="1" applyAlignment="1">
      <alignment horizontal="center" vertical="center"/>
    </xf>
    <xf numFmtId="43" fontId="72" fillId="35" borderId="96" xfId="128" applyFont="1" applyFill="1" applyBorder="1" applyAlignment="1">
      <alignment horizontal="center" vertical="center"/>
    </xf>
    <xf numFmtId="0" fontId="71" fillId="0" borderId="110" xfId="0" applyFont="1" applyBorder="1"/>
    <xf numFmtId="0" fontId="45" fillId="37" borderId="85" xfId="0" quotePrefix="1" applyFont="1" applyFill="1" applyBorder="1" applyAlignment="1">
      <alignment horizontal="center" vertical="center"/>
    </xf>
    <xf numFmtId="43" fontId="45" fillId="37" borderId="86" xfId="128" applyFont="1" applyFill="1" applyBorder="1" applyAlignment="1">
      <alignment horizontal="center" vertical="center"/>
    </xf>
    <xf numFmtId="39" fontId="70" fillId="0" borderId="90" xfId="0" applyNumberFormat="1" applyFont="1" applyBorder="1" applyAlignment="1">
      <alignment horizontal="center" vertical="center" wrapText="1"/>
    </xf>
    <xf numFmtId="0" fontId="75" fillId="0" borderId="96" xfId="0" applyFont="1" applyBorder="1" applyAlignment="1">
      <alignment horizontal="center" vertical="center" wrapText="1"/>
    </xf>
    <xf numFmtId="2" fontId="70" fillId="38" borderId="93" xfId="0" applyNumberFormat="1" applyFont="1" applyFill="1" applyBorder="1" applyAlignment="1">
      <alignment horizontal="center" vertical="center" wrapText="1"/>
    </xf>
    <xf numFmtId="0" fontId="71" fillId="38" borderId="96" xfId="0" applyFont="1" applyFill="1" applyBorder="1" applyAlignment="1">
      <alignment horizontal="center" vertical="center" wrapText="1"/>
    </xf>
    <xf numFmtId="0" fontId="74" fillId="35" borderId="79" xfId="0" applyFont="1" applyFill="1" applyBorder="1" applyAlignment="1">
      <alignment horizontal="center" vertical="center" wrapText="1"/>
    </xf>
    <xf numFmtId="0" fontId="71" fillId="0" borderId="0" xfId="0" applyFont="1" applyAlignment="1">
      <alignment horizontal="center" vertical="center" wrapText="1"/>
    </xf>
    <xf numFmtId="0" fontId="71" fillId="0" borderId="94" xfId="0" applyFont="1" applyBorder="1" applyAlignment="1">
      <alignment horizontal="center" vertical="center" wrapText="1"/>
    </xf>
    <xf numFmtId="0" fontId="71" fillId="0" borderId="88" xfId="0" applyFont="1" applyBorder="1" applyAlignment="1">
      <alignment horizontal="center" vertical="center" wrapText="1"/>
    </xf>
    <xf numFmtId="0" fontId="71" fillId="0" borderId="89" xfId="0" applyFont="1" applyBorder="1" applyAlignment="1">
      <alignment horizontal="center" vertical="center" wrapText="1"/>
    </xf>
    <xf numFmtId="0" fontId="71" fillId="0" borderId="95" xfId="0" applyFont="1" applyBorder="1" applyAlignment="1">
      <alignment horizontal="center" vertical="center" wrapText="1"/>
    </xf>
    <xf numFmtId="43" fontId="72" fillId="35" borderId="93" xfId="128" applyFont="1" applyFill="1" applyBorder="1" applyAlignment="1">
      <alignment horizontal="center" vertical="center" wrapText="1"/>
    </xf>
    <xf numFmtId="43" fontId="72" fillId="35" borderId="96" xfId="128" applyFont="1" applyFill="1" applyBorder="1" applyAlignment="1">
      <alignment horizontal="center" vertical="center" wrapText="1"/>
    </xf>
    <xf numFmtId="0" fontId="70" fillId="0" borderId="79" xfId="0" applyFont="1" applyBorder="1" applyAlignment="1">
      <alignment horizontal="center"/>
    </xf>
    <xf numFmtId="0" fontId="45" fillId="37" borderId="81" xfId="0" quotePrefix="1" applyFont="1" applyFill="1" applyBorder="1" applyAlignment="1">
      <alignment horizontal="center" vertical="center" wrapText="1"/>
    </xf>
    <xf numFmtId="0" fontId="45" fillId="37" borderId="82" xfId="0" quotePrefix="1" applyFont="1" applyFill="1" applyBorder="1" applyAlignment="1">
      <alignment horizontal="center" vertical="center"/>
    </xf>
    <xf numFmtId="0" fontId="71" fillId="0" borderId="83" xfId="0" applyFont="1" applyBorder="1"/>
    <xf numFmtId="0" fontId="71" fillId="0" borderId="84" xfId="0" applyFont="1" applyBorder="1"/>
    <xf numFmtId="0" fontId="70" fillId="0" borderId="90" xfId="0" applyFont="1" applyBorder="1" applyAlignment="1">
      <alignment vertical="center" wrapText="1"/>
    </xf>
    <xf numFmtId="37" fontId="70" fillId="0" borderId="3" xfId="0" applyNumberFormat="1" applyFont="1" applyBorder="1" applyAlignment="1">
      <alignment horizontal="center" vertical="center" wrapText="1"/>
    </xf>
    <xf numFmtId="37" fontId="70" fillId="0" borderId="24" xfId="0" applyNumberFormat="1" applyFont="1" applyBorder="1" applyAlignment="1">
      <alignment horizontal="center" vertical="center" wrapText="1"/>
    </xf>
    <xf numFmtId="37" fontId="70" fillId="0" borderId="77" xfId="0" applyNumberFormat="1" applyFont="1" applyBorder="1" applyAlignment="1">
      <alignment horizontal="center" vertical="center" wrapText="1"/>
    </xf>
    <xf numFmtId="0" fontId="43" fillId="33" borderId="33" xfId="0" applyFont="1" applyFill="1" applyBorder="1" applyAlignment="1">
      <alignment horizontal="center"/>
    </xf>
    <xf numFmtId="0" fontId="43" fillId="33" borderId="8" xfId="0" applyFont="1" applyFill="1" applyBorder="1" applyAlignment="1">
      <alignment horizontal="center"/>
    </xf>
    <xf numFmtId="0" fontId="61" fillId="0" borderId="0" xfId="0" applyFont="1" applyAlignment="1">
      <alignment horizontal="center"/>
    </xf>
    <xf numFmtId="0" fontId="43" fillId="0" borderId="0" xfId="0" applyFont="1" applyAlignment="1">
      <alignment horizontal="center"/>
    </xf>
    <xf numFmtId="0" fontId="59" fillId="0" borderId="0" xfId="0" applyFont="1" applyAlignment="1">
      <alignment horizontal="left"/>
    </xf>
    <xf numFmtId="0" fontId="60" fillId="0" borderId="0" xfId="0" applyFont="1" applyAlignment="1">
      <alignment wrapText="1"/>
    </xf>
    <xf numFmtId="0" fontId="59" fillId="0" borderId="0" xfId="0" applyFont="1" applyAlignment="1">
      <alignment horizontal="left" wrapText="1"/>
    </xf>
    <xf numFmtId="0" fontId="59" fillId="0" borderId="0" xfId="0" applyFont="1"/>
    <xf numFmtId="0" fontId="43" fillId="0" borderId="0" xfId="0" applyFont="1" applyAlignment="1">
      <alignment horizontal="justify" vertical="center" wrapText="1"/>
    </xf>
    <xf numFmtId="0" fontId="28" fillId="0" borderId="58" xfId="64" applyFont="1" applyBorder="1" applyAlignment="1">
      <alignment horizontal="center" vertical="center"/>
    </xf>
    <xf numFmtId="0" fontId="28" fillId="0" borderId="59" xfId="64" applyFont="1" applyBorder="1" applyAlignment="1">
      <alignment horizontal="center" vertical="center"/>
    </xf>
    <xf numFmtId="0" fontId="35" fillId="0" borderId="0" xfId="2" applyFont="1" applyAlignment="1">
      <alignment horizontal="center" wrapText="1"/>
    </xf>
    <xf numFmtId="0" fontId="2" fillId="0" borderId="2" xfId="2" applyBorder="1" applyAlignment="1">
      <alignment horizontal="left" vertical="center" wrapText="1"/>
    </xf>
    <xf numFmtId="0" fontId="2" fillId="0" borderId="1" xfId="2" applyBorder="1" applyAlignment="1">
      <alignment horizontal="left" vertical="center" wrapText="1"/>
    </xf>
    <xf numFmtId="43" fontId="26" fillId="29" borderId="5" xfId="128" applyFont="1" applyFill="1" applyBorder="1" applyAlignment="1">
      <alignment horizontal="center"/>
    </xf>
    <xf numFmtId="43" fontId="26" fillId="29" borderId="61" xfId="128" applyFont="1" applyFill="1" applyBorder="1" applyAlignment="1">
      <alignment horizontal="center"/>
    </xf>
    <xf numFmtId="0" fontId="67" fillId="29" borderId="7" xfId="2" applyFont="1" applyFill="1" applyBorder="1" applyAlignment="1">
      <alignment horizontal="center" vertical="center" wrapText="1"/>
    </xf>
    <xf numFmtId="0" fontId="67" fillId="29" borderId="9" xfId="2" applyFont="1" applyFill="1" applyBorder="1" applyAlignment="1">
      <alignment horizontal="center" vertical="center" wrapText="1"/>
    </xf>
    <xf numFmtId="43" fontId="2" fillId="34" borderId="8" xfId="128" applyFont="1" applyFill="1" applyBorder="1" applyAlignment="1">
      <alignment horizontal="center"/>
    </xf>
    <xf numFmtId="43" fontId="2" fillId="34" borderId="9" xfId="128" applyFont="1" applyFill="1" applyBorder="1" applyAlignment="1">
      <alignment horizontal="center"/>
    </xf>
    <xf numFmtId="0" fontId="26" fillId="29" borderId="35" xfId="2" applyFont="1" applyFill="1" applyBorder="1" applyAlignment="1">
      <alignment horizontal="left"/>
    </xf>
    <xf numFmtId="0" fontId="26" fillId="29" borderId="0" xfId="2" applyFont="1" applyFill="1" applyAlignment="1">
      <alignment horizontal="left"/>
    </xf>
    <xf numFmtId="0" fontId="26" fillId="29" borderId="12" xfId="2" applyFont="1" applyFill="1" applyBorder="1" applyAlignment="1">
      <alignment horizontal="left"/>
    </xf>
    <xf numFmtId="0" fontId="26" fillId="29" borderId="30" xfId="2" applyFont="1" applyFill="1" applyBorder="1" applyAlignment="1">
      <alignment horizontal="left"/>
    </xf>
    <xf numFmtId="10" fontId="26" fillId="29" borderId="1" xfId="2" applyNumberFormat="1" applyFont="1" applyFill="1" applyBorder="1" applyAlignment="1">
      <alignment horizontal="center"/>
    </xf>
    <xf numFmtId="10" fontId="26" fillId="29" borderId="42" xfId="2" applyNumberFormat="1" applyFont="1" applyFill="1" applyBorder="1" applyAlignment="1">
      <alignment horizontal="center"/>
    </xf>
    <xf numFmtId="0" fontId="26" fillId="29" borderId="25" xfId="2" applyFont="1" applyFill="1" applyBorder="1" applyAlignment="1">
      <alignment horizontal="left"/>
    </xf>
    <xf numFmtId="0" fontId="26" fillId="29" borderId="26" xfId="2" applyFont="1" applyFill="1" applyBorder="1" applyAlignment="1">
      <alignment horizontal="left"/>
    </xf>
    <xf numFmtId="0" fontId="2" fillId="0" borderId="14" xfId="2" applyBorder="1" applyAlignment="1">
      <alignment horizontal="left" vertical="center" wrapText="1"/>
    </xf>
    <xf numFmtId="0" fontId="2" fillId="0" borderId="4" xfId="2" applyBorder="1" applyAlignment="1">
      <alignment horizontal="left" vertical="center" wrapText="1"/>
    </xf>
    <xf numFmtId="43" fontId="26" fillId="29" borderId="65" xfId="128" applyFont="1" applyFill="1" applyBorder="1" applyAlignment="1">
      <alignment horizontal="center"/>
    </xf>
    <xf numFmtId="43" fontId="26" fillId="29" borderId="124" xfId="128" applyFont="1" applyFill="1" applyBorder="1" applyAlignment="1">
      <alignment horizontal="center"/>
    </xf>
    <xf numFmtId="43" fontId="26" fillId="29" borderId="66" xfId="128" applyFont="1" applyFill="1" applyBorder="1" applyAlignment="1">
      <alignment horizontal="center"/>
    </xf>
  </cellXfs>
  <cellStyles count="146">
    <cellStyle name="20% - Accent1" xfId="18" xr:uid="{00000000-0005-0000-0000-000000000000}"/>
    <cellStyle name="20% - Accent2" xfId="19" xr:uid="{00000000-0005-0000-0000-000001000000}"/>
    <cellStyle name="20% - Accent3" xfId="20" xr:uid="{00000000-0005-0000-0000-000002000000}"/>
    <cellStyle name="20% - Accent4" xfId="21" xr:uid="{00000000-0005-0000-0000-000003000000}"/>
    <cellStyle name="20% - Accent5" xfId="22" xr:uid="{00000000-0005-0000-0000-000004000000}"/>
    <cellStyle name="20% - Accent6" xfId="23" xr:uid="{00000000-0005-0000-0000-000005000000}"/>
    <cellStyle name="40% - Accent1" xfId="24" xr:uid="{00000000-0005-0000-0000-000006000000}"/>
    <cellStyle name="40% - Accent2" xfId="25" xr:uid="{00000000-0005-0000-0000-000007000000}"/>
    <cellStyle name="40% - Accent3" xfId="26" xr:uid="{00000000-0005-0000-0000-000008000000}"/>
    <cellStyle name="40% - Accent4" xfId="27" xr:uid="{00000000-0005-0000-0000-000009000000}"/>
    <cellStyle name="40% - Accent5" xfId="28" xr:uid="{00000000-0005-0000-0000-00000A000000}"/>
    <cellStyle name="40% - Accent6" xfId="29" xr:uid="{00000000-0005-0000-0000-00000B000000}"/>
    <cellStyle name="60% - Accent1" xfId="30" xr:uid="{00000000-0005-0000-0000-00000C000000}"/>
    <cellStyle name="60% - Accent2" xfId="31" xr:uid="{00000000-0005-0000-0000-00000D000000}"/>
    <cellStyle name="60% - Accent3" xfId="32" xr:uid="{00000000-0005-0000-0000-00000E000000}"/>
    <cellStyle name="60% - Accent4" xfId="33" xr:uid="{00000000-0005-0000-0000-00000F000000}"/>
    <cellStyle name="60% - Accent5" xfId="34" xr:uid="{00000000-0005-0000-0000-000010000000}"/>
    <cellStyle name="60% - Accent6" xfId="35" xr:uid="{00000000-0005-0000-0000-000011000000}"/>
    <cellStyle name="Accent1" xfId="36" xr:uid="{00000000-0005-0000-0000-000012000000}"/>
    <cellStyle name="Accent2" xfId="37" xr:uid="{00000000-0005-0000-0000-000013000000}"/>
    <cellStyle name="Accent3" xfId="38" xr:uid="{00000000-0005-0000-0000-000014000000}"/>
    <cellStyle name="Accent4" xfId="39" xr:uid="{00000000-0005-0000-0000-000015000000}"/>
    <cellStyle name="Accent5" xfId="40" xr:uid="{00000000-0005-0000-0000-000016000000}"/>
    <cellStyle name="Accent6" xfId="41" xr:uid="{00000000-0005-0000-0000-000017000000}"/>
    <cellStyle name="Bad" xfId="42" xr:uid="{00000000-0005-0000-0000-000018000000}"/>
    <cellStyle name="Calculation" xfId="43" xr:uid="{00000000-0005-0000-0000-000019000000}"/>
    <cellStyle name="Check Cell" xfId="44" xr:uid="{00000000-0005-0000-0000-00001A000000}"/>
    <cellStyle name="Énfasis3" xfId="144" builtinId="37"/>
    <cellStyle name="Énfasis4" xfId="145" builtinId="41"/>
    <cellStyle name="Euro" xfId="45" xr:uid="{00000000-0005-0000-0000-00001B000000}"/>
    <cellStyle name="Explanatory Text" xfId="46" xr:uid="{00000000-0005-0000-0000-00001C000000}"/>
    <cellStyle name="Good" xfId="47" xr:uid="{00000000-0005-0000-0000-00001D000000}"/>
    <cellStyle name="Heading 1" xfId="48" xr:uid="{00000000-0005-0000-0000-00001E000000}"/>
    <cellStyle name="Heading 2" xfId="49" xr:uid="{00000000-0005-0000-0000-00001F000000}"/>
    <cellStyle name="Heading 3" xfId="50" xr:uid="{00000000-0005-0000-0000-000020000000}"/>
    <cellStyle name="Heading 4" xfId="51" xr:uid="{00000000-0005-0000-0000-000021000000}"/>
    <cellStyle name="Hipervínculo 2" xfId="80" xr:uid="{00000000-0005-0000-0000-000022000000}"/>
    <cellStyle name="Input" xfId="52" xr:uid="{00000000-0005-0000-0000-000023000000}"/>
    <cellStyle name="Linked Cell" xfId="53" xr:uid="{00000000-0005-0000-0000-000024000000}"/>
    <cellStyle name="Millares" xfId="128" builtinId="3"/>
    <cellStyle name="Millares [0]" xfId="113" builtinId="6"/>
    <cellStyle name="Millares [0] 2" xfId="100" xr:uid="{00000000-0005-0000-0000-000027000000}"/>
    <cellStyle name="Millares [0] 3" xfId="14" xr:uid="{00000000-0005-0000-0000-000028000000}"/>
    <cellStyle name="Millares [0] 4" xfId="87" xr:uid="{00000000-0005-0000-0000-000029000000}"/>
    <cellStyle name="Millares 2" xfId="54" xr:uid="{00000000-0005-0000-0000-00002A000000}"/>
    <cellStyle name="Millares 2 2" xfId="134" xr:uid="{25C2B1C3-5415-44AE-BC5B-3B16A0362993}"/>
    <cellStyle name="Millares 2 3" xfId="13" xr:uid="{00000000-0005-0000-0000-00002B000000}"/>
    <cellStyle name="Millares 2 5 3" xfId="137" xr:uid="{EFBAE1F6-9E5A-4719-9FC4-4BF93FB94092}"/>
    <cellStyle name="Millares 3" xfId="55" xr:uid="{00000000-0005-0000-0000-00002C000000}"/>
    <cellStyle name="Millares 3 2" xfId="78" xr:uid="{00000000-0005-0000-0000-00002D000000}"/>
    <cellStyle name="Millares 4" xfId="56" xr:uid="{00000000-0005-0000-0000-00002E000000}"/>
    <cellStyle name="Millares 4 2" xfId="122" xr:uid="{00000000-0005-0000-0000-00002F000000}"/>
    <cellStyle name="Millares 5" xfId="79" xr:uid="{00000000-0005-0000-0000-000030000000}"/>
    <cellStyle name="Millares 6" xfId="89" xr:uid="{00000000-0005-0000-0000-000031000000}"/>
    <cellStyle name="Millares 7" xfId="92" xr:uid="{00000000-0005-0000-0000-000032000000}"/>
    <cellStyle name="Millares 8" xfId="96" xr:uid="{00000000-0005-0000-0000-000033000000}"/>
    <cellStyle name="Millares 9" xfId="130" xr:uid="{A0DF8E2B-4ABB-4D53-B52A-79FBF7DEEA56}"/>
    <cellStyle name="Moneda" xfId="129" builtinId="4"/>
    <cellStyle name="Moneda [0] 2" xfId="9" xr:uid="{00000000-0005-0000-0000-000035000000}"/>
    <cellStyle name="Moneda [0] 2 2" xfId="83" xr:uid="{00000000-0005-0000-0000-000036000000}"/>
    <cellStyle name="Moneda [0] 3" xfId="86" xr:uid="{00000000-0005-0000-0000-000037000000}"/>
    <cellStyle name="Moneda [0] 4" xfId="132" xr:uid="{5A463555-A4BE-4070-B46B-41DE18F810A6}"/>
    <cellStyle name="Moneda [0] 6" xfId="15" xr:uid="{00000000-0005-0000-0000-000038000000}"/>
    <cellStyle name="Moneda 10" xfId="16" xr:uid="{00000000-0005-0000-0000-000039000000}"/>
    <cellStyle name="Moneda 10 2" xfId="136" xr:uid="{AD198B10-1876-4E2E-A7FB-02B8DF1C4801}"/>
    <cellStyle name="Moneda 2" xfId="8" xr:uid="{00000000-0005-0000-0000-00003A000000}"/>
    <cellStyle name="Moneda 2 11" xfId="5" xr:uid="{00000000-0005-0000-0000-00003B000000}"/>
    <cellStyle name="Moneda 2 2" xfId="90" xr:uid="{00000000-0005-0000-0000-00003C000000}"/>
    <cellStyle name="Moneda 2 3" xfId="118" xr:uid="{00000000-0005-0000-0000-00003D000000}"/>
    <cellStyle name="Moneda 2 4" xfId="135" xr:uid="{E0FEBA08-9596-4DE9-8282-56CF4E6FB17B}"/>
    <cellStyle name="Moneda 3" xfId="57" xr:uid="{00000000-0005-0000-0000-00003E000000}"/>
    <cellStyle name="Moneda 3 4 2 2" xfId="7" xr:uid="{00000000-0005-0000-0000-00003F000000}"/>
    <cellStyle name="Moneda 4" xfId="93" xr:uid="{00000000-0005-0000-0000-000040000000}"/>
    <cellStyle name="Moneda 5" xfId="97" xr:uid="{00000000-0005-0000-0000-000041000000}"/>
    <cellStyle name="Moneda 6" xfId="115" xr:uid="{00000000-0005-0000-0000-000042000000}"/>
    <cellStyle name="Moneda 6 2 2" xfId="126" xr:uid="{00000000-0005-0000-0000-000043000000}"/>
    <cellStyle name="Moneda 6 2 2 2" xfId="127" xr:uid="{00000000-0005-0000-0000-000044000000}"/>
    <cellStyle name="Moneda 7" xfId="58" xr:uid="{00000000-0005-0000-0000-000045000000}"/>
    <cellStyle name="Moneda 8" xfId="131" xr:uid="{5CE7A33E-CCE8-4003-96BF-C277835FEA11}"/>
    <cellStyle name="Neutral 2" xfId="59" xr:uid="{00000000-0005-0000-0000-000047000000}"/>
    <cellStyle name="Normal" xfId="0" builtinId="0"/>
    <cellStyle name="Normal 10" xfId="1" xr:uid="{00000000-0005-0000-0000-000049000000}"/>
    <cellStyle name="Normal 10 2" xfId="88" xr:uid="{00000000-0005-0000-0000-00004A000000}"/>
    <cellStyle name="Normal 10 3" xfId="133" xr:uid="{AB181B89-1BC4-4C17-9F3D-39BAC0E6F24E}"/>
    <cellStyle name="Normal 11" xfId="91" xr:uid="{00000000-0005-0000-0000-00004B000000}"/>
    <cellStyle name="Normal 12" xfId="95" xr:uid="{00000000-0005-0000-0000-00004C000000}"/>
    <cellStyle name="Normal 13" xfId="114" xr:uid="{00000000-0005-0000-0000-00004D000000}"/>
    <cellStyle name="Normal 2" xfId="10" xr:uid="{00000000-0005-0000-0000-00004E000000}"/>
    <cellStyle name="Normal 2 10 2" xfId="2" xr:uid="{00000000-0005-0000-0000-00004F000000}"/>
    <cellStyle name="Normal 2 10 2 2 2" xfId="3" xr:uid="{00000000-0005-0000-0000-000050000000}"/>
    <cellStyle name="Normal 2 2" xfId="60" xr:uid="{00000000-0005-0000-0000-000051000000}"/>
    <cellStyle name="Normal 2 2 2 2" xfId="138" xr:uid="{EA6B0761-1260-44AE-AAB4-1ABEA6DC02D1}"/>
    <cellStyle name="Normal 2 2 2 2 2" xfId="75" xr:uid="{00000000-0005-0000-0000-000052000000}"/>
    <cellStyle name="Normal 2 2 2 2 2 2 2 2" xfId="6" xr:uid="{00000000-0005-0000-0000-000053000000}"/>
    <cellStyle name="Normal 2 2 3" xfId="11" xr:uid="{00000000-0005-0000-0000-000054000000}"/>
    <cellStyle name="Normal 2 3 2" xfId="139" xr:uid="{74089270-7A2C-48E9-B302-E3E52C18ABA5}"/>
    <cellStyle name="Normal 2 3 2 2 2" xfId="116" xr:uid="{00000000-0005-0000-0000-000055000000}"/>
    <cellStyle name="Normal 2 3 2 2 2 2" xfId="117" xr:uid="{00000000-0005-0000-0000-000056000000}"/>
    <cellStyle name="Normal 2 3 2 2 2 2 2" xfId="125" xr:uid="{00000000-0005-0000-0000-000057000000}"/>
    <cellStyle name="Normal 2_FORMATOS_PARA_ENTREGAR" xfId="61" xr:uid="{00000000-0005-0000-0000-000058000000}"/>
    <cellStyle name="Normal 3" xfId="62" xr:uid="{00000000-0005-0000-0000-000059000000}"/>
    <cellStyle name="Normal 3 2" xfId="142" xr:uid="{3274984E-7324-4DDC-ABC3-B0F2A15A037A}"/>
    <cellStyle name="Normal 3 3" xfId="63" xr:uid="{00000000-0005-0000-0000-00005A000000}"/>
    <cellStyle name="Normal 3 3 2" xfId="4" xr:uid="{00000000-0005-0000-0000-00005B000000}"/>
    <cellStyle name="Normal 3 5" xfId="140" xr:uid="{9C8FA220-CA82-495C-B99E-A8F21EAF2899}"/>
    <cellStyle name="Normal 4" xfId="64" xr:uid="{00000000-0005-0000-0000-00005C000000}"/>
    <cellStyle name="Normal 4 2" xfId="76" xr:uid="{00000000-0005-0000-0000-00005D000000}"/>
    <cellStyle name="Normal 4 2 2" xfId="121" xr:uid="{00000000-0005-0000-0000-00005E000000}"/>
    <cellStyle name="Normal 4 2 7" xfId="65" xr:uid="{00000000-0005-0000-0000-00005F000000}"/>
    <cellStyle name="Normal 4 3" xfId="141" xr:uid="{93C9C870-942E-4481-9F9D-FAAD5EF37287}"/>
    <cellStyle name="Normal 5" xfId="66" xr:uid="{00000000-0005-0000-0000-000060000000}"/>
    <cellStyle name="Normal 5 4" xfId="120" xr:uid="{00000000-0005-0000-0000-000061000000}"/>
    <cellStyle name="Normal 6" xfId="77" xr:uid="{00000000-0005-0000-0000-000062000000}"/>
    <cellStyle name="Normal 7" xfId="12" xr:uid="{00000000-0005-0000-0000-000063000000}"/>
    <cellStyle name="Normal 7 2" xfId="81" xr:uid="{00000000-0005-0000-0000-000064000000}"/>
    <cellStyle name="Normal 8" xfId="82" xr:uid="{00000000-0005-0000-0000-000065000000}"/>
    <cellStyle name="Normal 9" xfId="85" xr:uid="{00000000-0005-0000-0000-000066000000}"/>
    <cellStyle name="Normal 9 10" xfId="108" xr:uid="{00000000-0005-0000-0000-000067000000}"/>
    <cellStyle name="Normal 9 11" xfId="109" xr:uid="{00000000-0005-0000-0000-000068000000}"/>
    <cellStyle name="Normal 9 12" xfId="110" xr:uid="{00000000-0005-0000-0000-000069000000}"/>
    <cellStyle name="Normal 9 13" xfId="111" xr:uid="{00000000-0005-0000-0000-00006A000000}"/>
    <cellStyle name="Normal 9 14" xfId="112" xr:uid="{00000000-0005-0000-0000-00006B000000}"/>
    <cellStyle name="Normal 9 2" xfId="99" xr:uid="{00000000-0005-0000-0000-00006C000000}"/>
    <cellStyle name="Normal 9 3" xfId="101" xr:uid="{00000000-0005-0000-0000-00006D000000}"/>
    <cellStyle name="Normal 9 4" xfId="102" xr:uid="{00000000-0005-0000-0000-00006E000000}"/>
    <cellStyle name="Normal 9 5" xfId="103" xr:uid="{00000000-0005-0000-0000-00006F000000}"/>
    <cellStyle name="Normal 9 6" xfId="104" xr:uid="{00000000-0005-0000-0000-000070000000}"/>
    <cellStyle name="Normal 9 7" xfId="105" xr:uid="{00000000-0005-0000-0000-000071000000}"/>
    <cellStyle name="Normal 9 8" xfId="106" xr:uid="{00000000-0005-0000-0000-000072000000}"/>
    <cellStyle name="Normal 9 9" xfId="107" xr:uid="{00000000-0005-0000-0000-000073000000}"/>
    <cellStyle name="Note" xfId="67" xr:uid="{00000000-0005-0000-0000-000074000000}"/>
    <cellStyle name="Output" xfId="68" xr:uid="{00000000-0005-0000-0000-000075000000}"/>
    <cellStyle name="Porcentaje 2" xfId="84" xr:uid="{00000000-0005-0000-0000-000077000000}"/>
    <cellStyle name="Porcentaje 3" xfId="94" xr:uid="{00000000-0005-0000-0000-000078000000}"/>
    <cellStyle name="Porcentaje 3 2" xfId="123" xr:uid="{00000000-0005-0000-0000-000079000000}"/>
    <cellStyle name="Porcentaje 4" xfId="17" xr:uid="{00000000-0005-0000-0000-00007A000000}"/>
    <cellStyle name="Porcentaje 4 2" xfId="98" xr:uid="{00000000-0005-0000-0000-00007B000000}"/>
    <cellStyle name="Porcentaje 5" xfId="124" xr:uid="{00000000-0005-0000-0000-00007C000000}"/>
    <cellStyle name="Porcentual 2" xfId="69" xr:uid="{00000000-0005-0000-0000-00007D000000}"/>
    <cellStyle name="Porcentual 2 2" xfId="70" xr:uid="{00000000-0005-0000-0000-00007E000000}"/>
    <cellStyle name="Porcentual 3" xfId="143" xr:uid="{F075F731-C87D-454A-83C5-71EF3B61FADB}"/>
    <cellStyle name="Porcentual 4 15" xfId="119" xr:uid="{00000000-0005-0000-0000-00007F000000}"/>
    <cellStyle name="Porcentual 7" xfId="71" xr:uid="{00000000-0005-0000-0000-000080000000}"/>
    <cellStyle name="Title" xfId="72" xr:uid="{00000000-0005-0000-0000-000081000000}"/>
    <cellStyle name="Total 2" xfId="73" xr:uid="{00000000-0005-0000-0000-000082000000}"/>
    <cellStyle name="Warning Text" xfId="74" xr:uid="{00000000-0005-0000-0000-00008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jpeg"/><Relationship Id="rId7" Type="http://schemas.openxmlformats.org/officeDocument/2006/relationships/image" Target="../media/image8.jpeg"/><Relationship Id="rId12" Type="http://schemas.openxmlformats.org/officeDocument/2006/relationships/image" Target="../media/image13.jpe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png"/><Relationship Id="rId10" Type="http://schemas.openxmlformats.org/officeDocument/2006/relationships/image" Target="../media/image11.jpeg"/><Relationship Id="rId4" Type="http://schemas.openxmlformats.org/officeDocument/2006/relationships/image" Target="../media/image5.jpeg"/><Relationship Id="rId9" Type="http://schemas.openxmlformats.org/officeDocument/2006/relationships/image" Target="../media/image10.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jpeg"/><Relationship Id="rId5" Type="http://schemas.openxmlformats.org/officeDocument/2006/relationships/image" Target="../media/image6.png"/><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8</xdr:col>
      <xdr:colOff>200025</xdr:colOff>
      <xdr:row>78</xdr:row>
      <xdr:rowOff>190499</xdr:rowOff>
    </xdr:from>
    <xdr:to>
      <xdr:col>10</xdr:col>
      <xdr:colOff>238125</xdr:colOff>
      <xdr:row>84</xdr:row>
      <xdr:rowOff>384175</xdr:rowOff>
    </xdr:to>
    <xdr:pic>
      <xdr:nvPicPr>
        <xdr:cNvPr id="2" name="Imagen 1">
          <a:extLst>
            <a:ext uri="{FF2B5EF4-FFF2-40B4-BE49-F238E27FC236}">
              <a16:creationId xmlns:a16="http://schemas.microsoft.com/office/drawing/2014/main" id="{8BBFB182-3FCB-44A2-9DA4-3F11745284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87050" y="1142999"/>
          <a:ext cx="1562100" cy="1714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44016</xdr:colOff>
      <xdr:row>101</xdr:row>
      <xdr:rowOff>57726</xdr:rowOff>
    </xdr:from>
    <xdr:to>
      <xdr:col>5</xdr:col>
      <xdr:colOff>274205</xdr:colOff>
      <xdr:row>110</xdr:row>
      <xdr:rowOff>173182</xdr:rowOff>
    </xdr:to>
    <xdr:pic>
      <xdr:nvPicPr>
        <xdr:cNvPr id="2" name="Imagen 1">
          <a:extLst>
            <a:ext uri="{FF2B5EF4-FFF2-40B4-BE49-F238E27FC236}">
              <a16:creationId xmlns:a16="http://schemas.microsoft.com/office/drawing/2014/main" id="{D1CB5410-C860-4DC0-9D4B-A44C65B969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9471" y="23913521"/>
          <a:ext cx="3116552" cy="3319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178593</xdr:colOff>
      <xdr:row>107</xdr:row>
      <xdr:rowOff>130968</xdr:rowOff>
    </xdr:from>
    <xdr:to>
      <xdr:col>5</xdr:col>
      <xdr:colOff>416718</xdr:colOff>
      <xdr:row>127</xdr:row>
      <xdr:rowOff>107156</xdr:rowOff>
    </xdr:to>
    <xdr:cxnSp macro="">
      <xdr:nvCxnSpPr>
        <xdr:cNvPr id="3" name="Conector recto de flecha 2">
          <a:extLst>
            <a:ext uri="{FF2B5EF4-FFF2-40B4-BE49-F238E27FC236}">
              <a16:creationId xmlns:a16="http://schemas.microsoft.com/office/drawing/2014/main" id="{F52D2893-49C5-43BD-84DD-2D866A5EC931}"/>
            </a:ext>
          </a:extLst>
        </xdr:cNvPr>
        <xdr:cNvCxnSpPr/>
      </xdr:nvCxnSpPr>
      <xdr:spPr>
        <a:xfrm flipH="1" flipV="1">
          <a:off x="2683668" y="22819518"/>
          <a:ext cx="1666875" cy="506253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83345</xdr:colOff>
      <xdr:row>56</xdr:row>
      <xdr:rowOff>21429</xdr:rowOff>
    </xdr:from>
    <xdr:to>
      <xdr:col>5</xdr:col>
      <xdr:colOff>101024</xdr:colOff>
      <xdr:row>64</xdr:row>
      <xdr:rowOff>173182</xdr:rowOff>
    </xdr:to>
    <xdr:pic>
      <xdr:nvPicPr>
        <xdr:cNvPr id="4" name="Imagen 3">
          <a:extLst>
            <a:ext uri="{FF2B5EF4-FFF2-40B4-BE49-F238E27FC236}">
              <a16:creationId xmlns:a16="http://schemas.microsoft.com/office/drawing/2014/main" id="{35B0A76D-80C0-4BC2-8D70-7E9268119F90}"/>
            </a:ext>
          </a:extLst>
        </xdr:cNvPr>
        <xdr:cNvPicPr>
          <a:picLocks noChangeAspect="1"/>
        </xdr:cNvPicPr>
      </xdr:nvPicPr>
      <xdr:blipFill>
        <a:blip xmlns:r="http://schemas.openxmlformats.org/officeDocument/2006/relationships" r:embed="rId2"/>
        <a:stretch>
          <a:fillRect/>
        </a:stretch>
      </xdr:blipFill>
      <xdr:spPr>
        <a:xfrm>
          <a:off x="198800" y="12216315"/>
          <a:ext cx="2904042" cy="3110276"/>
        </a:xfrm>
        <a:prstGeom prst="rect">
          <a:avLst/>
        </a:prstGeom>
      </xdr:spPr>
    </xdr:pic>
    <xdr:clientData/>
  </xdr:twoCellAnchor>
  <xdr:twoCellAnchor editAs="oneCell">
    <xdr:from>
      <xdr:col>5</xdr:col>
      <xdr:colOff>245341</xdr:colOff>
      <xdr:row>56</xdr:row>
      <xdr:rowOff>0</xdr:rowOff>
    </xdr:from>
    <xdr:to>
      <xdr:col>9</xdr:col>
      <xdr:colOff>432954</xdr:colOff>
      <xdr:row>64</xdr:row>
      <xdr:rowOff>187614</xdr:rowOff>
    </xdr:to>
    <xdr:pic>
      <xdr:nvPicPr>
        <xdr:cNvPr id="5" name="Imagen 4">
          <a:extLst>
            <a:ext uri="{FF2B5EF4-FFF2-40B4-BE49-F238E27FC236}">
              <a16:creationId xmlns:a16="http://schemas.microsoft.com/office/drawing/2014/main" id="{3164AFDC-7039-4857-953B-CD2C8E4C52C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247159" y="12194886"/>
          <a:ext cx="3073977" cy="3146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214312</xdr:colOff>
      <xdr:row>60</xdr:row>
      <xdr:rowOff>35718</xdr:rowOff>
    </xdr:from>
    <xdr:to>
      <xdr:col>7</xdr:col>
      <xdr:colOff>250031</xdr:colOff>
      <xdr:row>82</xdr:row>
      <xdr:rowOff>95249</xdr:rowOff>
    </xdr:to>
    <xdr:cxnSp macro="">
      <xdr:nvCxnSpPr>
        <xdr:cNvPr id="6" name="Conector recto de flecha 5">
          <a:extLst>
            <a:ext uri="{FF2B5EF4-FFF2-40B4-BE49-F238E27FC236}">
              <a16:creationId xmlns:a16="http://schemas.microsoft.com/office/drawing/2014/main" id="{36CF179B-6A65-4EF9-B322-EDA49CC25126}"/>
            </a:ext>
          </a:extLst>
        </xdr:cNvPr>
        <xdr:cNvCxnSpPr/>
      </xdr:nvCxnSpPr>
      <xdr:spPr>
        <a:xfrm flipH="1" flipV="1">
          <a:off x="5576887" y="10979943"/>
          <a:ext cx="35719" cy="535543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190500</xdr:colOff>
      <xdr:row>59</xdr:row>
      <xdr:rowOff>345281</xdr:rowOff>
    </xdr:from>
    <xdr:to>
      <xdr:col>4</xdr:col>
      <xdr:colOff>214312</xdr:colOff>
      <xdr:row>82</xdr:row>
      <xdr:rowOff>226218</xdr:rowOff>
    </xdr:to>
    <xdr:cxnSp macro="">
      <xdr:nvCxnSpPr>
        <xdr:cNvPr id="7" name="Conector recto de flecha 6">
          <a:extLst>
            <a:ext uri="{FF2B5EF4-FFF2-40B4-BE49-F238E27FC236}">
              <a16:creationId xmlns:a16="http://schemas.microsoft.com/office/drawing/2014/main" id="{7C8E6E31-48FC-424E-9C7D-4DAE9E9B981B}"/>
            </a:ext>
          </a:extLst>
        </xdr:cNvPr>
        <xdr:cNvCxnSpPr/>
      </xdr:nvCxnSpPr>
      <xdr:spPr>
        <a:xfrm flipH="1" flipV="1">
          <a:off x="1981200" y="10860881"/>
          <a:ext cx="1452562" cy="560546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47625</xdr:colOff>
      <xdr:row>194</xdr:row>
      <xdr:rowOff>95249</xdr:rowOff>
    </xdr:from>
    <xdr:to>
      <xdr:col>9</xdr:col>
      <xdr:colOff>346363</xdr:colOff>
      <xdr:row>204</xdr:row>
      <xdr:rowOff>554687</xdr:rowOff>
    </xdr:to>
    <xdr:pic>
      <xdr:nvPicPr>
        <xdr:cNvPr id="8" name="Imagen 7">
          <a:extLst>
            <a:ext uri="{FF2B5EF4-FFF2-40B4-BE49-F238E27FC236}">
              <a16:creationId xmlns:a16="http://schemas.microsoft.com/office/drawing/2014/main" id="{72F3A3EB-B81D-4C8D-A599-F6476D94265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3080" y="40980590"/>
          <a:ext cx="6071465" cy="38364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76490</xdr:colOff>
      <xdr:row>226</xdr:row>
      <xdr:rowOff>6855</xdr:rowOff>
    </xdr:from>
    <xdr:to>
      <xdr:col>9</xdr:col>
      <xdr:colOff>331933</xdr:colOff>
      <xdr:row>245</xdr:row>
      <xdr:rowOff>144318</xdr:rowOff>
    </xdr:to>
    <xdr:pic>
      <xdr:nvPicPr>
        <xdr:cNvPr id="9" name="Imagen 8">
          <a:extLst>
            <a:ext uri="{FF2B5EF4-FFF2-40B4-BE49-F238E27FC236}">
              <a16:creationId xmlns:a16="http://schemas.microsoft.com/office/drawing/2014/main" id="{0FF09B0E-454E-468D-B8D6-B952E5E3689C}"/>
            </a:ext>
          </a:extLst>
        </xdr:cNvPr>
        <xdr:cNvPicPr>
          <a:picLocks noChangeAspect="1"/>
        </xdr:cNvPicPr>
      </xdr:nvPicPr>
      <xdr:blipFill>
        <a:blip xmlns:r="http://schemas.openxmlformats.org/officeDocument/2006/relationships" r:embed="rId5"/>
        <a:stretch>
          <a:fillRect/>
        </a:stretch>
      </xdr:blipFill>
      <xdr:spPr>
        <a:xfrm>
          <a:off x="191945" y="50215150"/>
          <a:ext cx="6028170" cy="4438145"/>
        </a:xfrm>
        <a:prstGeom prst="rect">
          <a:avLst/>
        </a:prstGeom>
      </xdr:spPr>
    </xdr:pic>
    <xdr:clientData/>
  </xdr:twoCellAnchor>
  <xdr:twoCellAnchor editAs="oneCell">
    <xdr:from>
      <xdr:col>1</xdr:col>
      <xdr:colOff>40047</xdr:colOff>
      <xdr:row>205</xdr:row>
      <xdr:rowOff>168131</xdr:rowOff>
    </xdr:from>
    <xdr:to>
      <xdr:col>9</xdr:col>
      <xdr:colOff>303067</xdr:colOff>
      <xdr:row>223</xdr:row>
      <xdr:rowOff>86591</xdr:rowOff>
    </xdr:to>
    <xdr:pic>
      <xdr:nvPicPr>
        <xdr:cNvPr id="10" name="Imagen 9">
          <a:extLst>
            <a:ext uri="{FF2B5EF4-FFF2-40B4-BE49-F238E27FC236}">
              <a16:creationId xmlns:a16="http://schemas.microsoft.com/office/drawing/2014/main" id="{09C76D22-A979-4385-BFD2-0DF5280925B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55502" y="45079949"/>
          <a:ext cx="6035747" cy="4911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331933</xdr:colOff>
      <xdr:row>10</xdr:row>
      <xdr:rowOff>86590</xdr:rowOff>
    </xdr:from>
    <xdr:to>
      <xdr:col>9</xdr:col>
      <xdr:colOff>620568</xdr:colOff>
      <xdr:row>35</xdr:row>
      <xdr:rowOff>28862</xdr:rowOff>
    </xdr:to>
    <xdr:pic>
      <xdr:nvPicPr>
        <xdr:cNvPr id="11" name="Imagen 10">
          <a:extLst>
            <a:ext uri="{FF2B5EF4-FFF2-40B4-BE49-F238E27FC236}">
              <a16:creationId xmlns:a16="http://schemas.microsoft.com/office/drawing/2014/main" id="{2AFF7B57-6A65-ED35-02CD-60D9BC39BECB}"/>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47388" y="2006022"/>
          <a:ext cx="6061362" cy="4791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57727</xdr:colOff>
      <xdr:row>64</xdr:row>
      <xdr:rowOff>317499</xdr:rowOff>
    </xdr:from>
    <xdr:to>
      <xdr:col>5</xdr:col>
      <xdr:colOff>144320</xdr:colOff>
      <xdr:row>80</xdr:row>
      <xdr:rowOff>86591</xdr:rowOff>
    </xdr:to>
    <xdr:pic>
      <xdr:nvPicPr>
        <xdr:cNvPr id="12" name="Imagen 11">
          <a:extLst>
            <a:ext uri="{FF2B5EF4-FFF2-40B4-BE49-F238E27FC236}">
              <a16:creationId xmlns:a16="http://schemas.microsoft.com/office/drawing/2014/main" id="{EC575649-02B7-6C8E-82B2-F799A7E1114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73182" y="15470908"/>
          <a:ext cx="2972956" cy="31028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202046</xdr:colOff>
      <xdr:row>64</xdr:row>
      <xdr:rowOff>331932</xdr:rowOff>
    </xdr:from>
    <xdr:to>
      <xdr:col>9</xdr:col>
      <xdr:colOff>490682</xdr:colOff>
      <xdr:row>80</xdr:row>
      <xdr:rowOff>72159</xdr:rowOff>
    </xdr:to>
    <xdr:pic>
      <xdr:nvPicPr>
        <xdr:cNvPr id="13" name="Imagen 12">
          <a:extLst>
            <a:ext uri="{FF2B5EF4-FFF2-40B4-BE49-F238E27FC236}">
              <a16:creationId xmlns:a16="http://schemas.microsoft.com/office/drawing/2014/main" id="{66F2D6F4-96F1-DDB8-CF5F-5E926124C14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203864" y="15485341"/>
          <a:ext cx="3175000" cy="30739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375227</xdr:colOff>
      <xdr:row>101</xdr:row>
      <xdr:rowOff>86593</xdr:rowOff>
    </xdr:from>
    <xdr:to>
      <xdr:col>9</xdr:col>
      <xdr:colOff>822614</xdr:colOff>
      <xdr:row>110</xdr:row>
      <xdr:rowOff>216477</xdr:rowOff>
    </xdr:to>
    <xdr:pic>
      <xdr:nvPicPr>
        <xdr:cNvPr id="14" name="Imagen 13">
          <a:extLst>
            <a:ext uri="{FF2B5EF4-FFF2-40B4-BE49-F238E27FC236}">
              <a16:creationId xmlns:a16="http://schemas.microsoft.com/office/drawing/2014/main" id="{852116FF-45EA-9A95-0D13-1B2B69C80F3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377045" y="23942388"/>
          <a:ext cx="3333751" cy="3333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57728</xdr:colOff>
      <xdr:row>143</xdr:row>
      <xdr:rowOff>14431</xdr:rowOff>
    </xdr:from>
    <xdr:to>
      <xdr:col>8</xdr:col>
      <xdr:colOff>548410</xdr:colOff>
      <xdr:row>173</xdr:row>
      <xdr:rowOff>101022</xdr:rowOff>
    </xdr:to>
    <xdr:pic>
      <xdr:nvPicPr>
        <xdr:cNvPr id="15" name="Imagen 14">
          <a:extLst>
            <a:ext uri="{FF2B5EF4-FFF2-40B4-BE49-F238E27FC236}">
              <a16:creationId xmlns:a16="http://schemas.microsoft.com/office/drawing/2014/main" id="{6AF38F1A-37BD-E62E-C3E3-29E7E8C9264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73183" y="35444545"/>
          <a:ext cx="5541818" cy="571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389659</xdr:colOff>
      <xdr:row>110</xdr:row>
      <xdr:rowOff>303069</xdr:rowOff>
    </xdr:from>
    <xdr:to>
      <xdr:col>8</xdr:col>
      <xdr:colOff>346363</xdr:colOff>
      <xdr:row>124</xdr:row>
      <xdr:rowOff>61769</xdr:rowOff>
    </xdr:to>
    <xdr:pic>
      <xdr:nvPicPr>
        <xdr:cNvPr id="16" name="Imagen 15">
          <a:extLst>
            <a:ext uri="{FF2B5EF4-FFF2-40B4-BE49-F238E27FC236}">
              <a16:creationId xmlns:a16="http://schemas.microsoft.com/office/drawing/2014/main" id="{E3DF17E6-43F3-0E08-10F0-37AA7A11BB0E}"/>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226704" y="27362728"/>
          <a:ext cx="4286250" cy="3438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72158</xdr:colOff>
      <xdr:row>246</xdr:row>
      <xdr:rowOff>86591</xdr:rowOff>
    </xdr:from>
    <xdr:to>
      <xdr:col>5</xdr:col>
      <xdr:colOff>216476</xdr:colOff>
      <xdr:row>264</xdr:row>
      <xdr:rowOff>9524</xdr:rowOff>
    </xdr:to>
    <xdr:pic>
      <xdr:nvPicPr>
        <xdr:cNvPr id="17" name="Imagen 16">
          <a:extLst>
            <a:ext uri="{FF2B5EF4-FFF2-40B4-BE49-F238E27FC236}">
              <a16:creationId xmlns:a16="http://schemas.microsoft.com/office/drawing/2014/main" id="{AF19C868-C85A-75E7-D9DF-E2F95CA1FD09}"/>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87613" y="60036364"/>
          <a:ext cx="3030681" cy="32999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346364</xdr:colOff>
      <xdr:row>246</xdr:row>
      <xdr:rowOff>101022</xdr:rowOff>
    </xdr:from>
    <xdr:to>
      <xdr:col>9</xdr:col>
      <xdr:colOff>837044</xdr:colOff>
      <xdr:row>264</xdr:row>
      <xdr:rowOff>42428</xdr:rowOff>
    </xdr:to>
    <xdr:pic>
      <xdr:nvPicPr>
        <xdr:cNvPr id="18" name="Imagen 17">
          <a:extLst>
            <a:ext uri="{FF2B5EF4-FFF2-40B4-BE49-F238E27FC236}">
              <a16:creationId xmlns:a16="http://schemas.microsoft.com/office/drawing/2014/main" id="{4F099666-E346-D3FE-0BE1-31EC4A4E045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348182" y="60050795"/>
          <a:ext cx="3377044" cy="3318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404811</xdr:colOff>
      <xdr:row>90</xdr:row>
      <xdr:rowOff>142875</xdr:rowOff>
    </xdr:from>
    <xdr:to>
      <xdr:col>9</xdr:col>
      <xdr:colOff>47624</xdr:colOff>
      <xdr:row>103</xdr:row>
      <xdr:rowOff>154781</xdr:rowOff>
    </xdr:to>
    <xdr:pic>
      <xdr:nvPicPr>
        <xdr:cNvPr id="4" name="Imagen 3">
          <a:extLst>
            <a:ext uri="{FF2B5EF4-FFF2-40B4-BE49-F238E27FC236}">
              <a16:creationId xmlns:a16="http://schemas.microsoft.com/office/drawing/2014/main" id="{58D6AE26-3500-481C-832E-1E0A172BFC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8280" y="17716500"/>
          <a:ext cx="5357813" cy="4869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178593</xdr:colOff>
      <xdr:row>96</xdr:row>
      <xdr:rowOff>130968</xdr:rowOff>
    </xdr:from>
    <xdr:to>
      <xdr:col>5</xdr:col>
      <xdr:colOff>416718</xdr:colOff>
      <xdr:row>116</xdr:row>
      <xdr:rowOff>107156</xdr:rowOff>
    </xdr:to>
    <xdr:cxnSp macro="">
      <xdr:nvCxnSpPr>
        <xdr:cNvPr id="6" name="Conector recto de flecha 5">
          <a:extLst>
            <a:ext uri="{FF2B5EF4-FFF2-40B4-BE49-F238E27FC236}">
              <a16:creationId xmlns:a16="http://schemas.microsoft.com/office/drawing/2014/main" id="{F4AE35A1-4BC4-A969-FFAD-89971220C71C}"/>
            </a:ext>
          </a:extLst>
        </xdr:cNvPr>
        <xdr:cNvCxnSpPr/>
      </xdr:nvCxnSpPr>
      <xdr:spPr>
        <a:xfrm flipH="1" flipV="1">
          <a:off x="2690812" y="19550062"/>
          <a:ext cx="1666875" cy="496490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83344</xdr:colOff>
      <xdr:row>45</xdr:row>
      <xdr:rowOff>21429</xdr:rowOff>
    </xdr:from>
    <xdr:to>
      <xdr:col>4</xdr:col>
      <xdr:colOff>692945</xdr:colOff>
      <xdr:row>51</xdr:row>
      <xdr:rowOff>173831</xdr:rowOff>
    </xdr:to>
    <xdr:pic>
      <xdr:nvPicPr>
        <xdr:cNvPr id="9" name="Imagen 8">
          <a:extLst>
            <a:ext uri="{FF2B5EF4-FFF2-40B4-BE49-F238E27FC236}">
              <a16:creationId xmlns:a16="http://schemas.microsoft.com/office/drawing/2014/main" id="{39828BAA-4FFA-45D5-850C-1ECB202CEDBA}"/>
            </a:ext>
          </a:extLst>
        </xdr:cNvPr>
        <xdr:cNvPicPr>
          <a:picLocks noChangeAspect="1"/>
        </xdr:cNvPicPr>
      </xdr:nvPicPr>
      <xdr:blipFill>
        <a:blip xmlns:r="http://schemas.openxmlformats.org/officeDocument/2006/relationships" r:embed="rId2"/>
        <a:stretch>
          <a:fillRect/>
        </a:stretch>
      </xdr:blipFill>
      <xdr:spPr>
        <a:xfrm>
          <a:off x="1166813" y="9224960"/>
          <a:ext cx="2752726" cy="2235996"/>
        </a:xfrm>
        <a:prstGeom prst="rect">
          <a:avLst/>
        </a:prstGeom>
      </xdr:spPr>
    </xdr:pic>
    <xdr:clientData/>
  </xdr:twoCellAnchor>
  <xdr:twoCellAnchor editAs="oneCell">
    <xdr:from>
      <xdr:col>5</xdr:col>
      <xdr:colOff>171451</xdr:colOff>
      <xdr:row>45</xdr:row>
      <xdr:rowOff>0</xdr:rowOff>
    </xdr:from>
    <xdr:to>
      <xdr:col>9</xdr:col>
      <xdr:colOff>266701</xdr:colOff>
      <xdr:row>51</xdr:row>
      <xdr:rowOff>190500</xdr:rowOff>
    </xdr:to>
    <xdr:pic>
      <xdr:nvPicPr>
        <xdr:cNvPr id="10" name="Imagen 9">
          <a:extLst>
            <a:ext uri="{FF2B5EF4-FFF2-40B4-BE49-F238E27FC236}">
              <a16:creationId xmlns:a16="http://schemas.microsoft.com/office/drawing/2014/main" id="{6CCDD75A-C029-47DF-850C-5DB7F3F2BB2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12420" y="9203531"/>
          <a:ext cx="2952750" cy="22740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214312</xdr:colOff>
      <xdr:row>49</xdr:row>
      <xdr:rowOff>35718</xdr:rowOff>
    </xdr:from>
    <xdr:to>
      <xdr:col>7</xdr:col>
      <xdr:colOff>250031</xdr:colOff>
      <xdr:row>71</xdr:row>
      <xdr:rowOff>95249</xdr:rowOff>
    </xdr:to>
    <xdr:cxnSp macro="">
      <xdr:nvCxnSpPr>
        <xdr:cNvPr id="14" name="Conector recto de flecha 13">
          <a:extLst>
            <a:ext uri="{FF2B5EF4-FFF2-40B4-BE49-F238E27FC236}">
              <a16:creationId xmlns:a16="http://schemas.microsoft.com/office/drawing/2014/main" id="{84E3E94F-1A2B-B9CF-90F1-C7606A2006C4}"/>
            </a:ext>
          </a:extLst>
        </xdr:cNvPr>
        <xdr:cNvCxnSpPr/>
      </xdr:nvCxnSpPr>
      <xdr:spPr>
        <a:xfrm flipH="1" flipV="1">
          <a:off x="5584031" y="10489406"/>
          <a:ext cx="35719" cy="496490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190500</xdr:colOff>
      <xdr:row>48</xdr:row>
      <xdr:rowOff>345281</xdr:rowOff>
    </xdr:from>
    <xdr:to>
      <xdr:col>4</xdr:col>
      <xdr:colOff>214312</xdr:colOff>
      <xdr:row>71</xdr:row>
      <xdr:rowOff>226218</xdr:rowOff>
    </xdr:to>
    <xdr:cxnSp macro="">
      <xdr:nvCxnSpPr>
        <xdr:cNvPr id="17" name="Conector recto de flecha 16">
          <a:extLst>
            <a:ext uri="{FF2B5EF4-FFF2-40B4-BE49-F238E27FC236}">
              <a16:creationId xmlns:a16="http://schemas.microsoft.com/office/drawing/2014/main" id="{34903871-1B61-1507-2016-CA419BDE97D0}"/>
            </a:ext>
          </a:extLst>
        </xdr:cNvPr>
        <xdr:cNvCxnSpPr/>
      </xdr:nvCxnSpPr>
      <xdr:spPr>
        <a:xfrm flipH="1" flipV="1">
          <a:off x="1988344" y="10370344"/>
          <a:ext cx="1452562" cy="521493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47625</xdr:colOff>
      <xdr:row>177</xdr:row>
      <xdr:rowOff>95249</xdr:rowOff>
    </xdr:from>
    <xdr:to>
      <xdr:col>9</xdr:col>
      <xdr:colOff>476250</xdr:colOff>
      <xdr:row>189</xdr:row>
      <xdr:rowOff>130968</xdr:rowOff>
    </xdr:to>
    <xdr:pic>
      <xdr:nvPicPr>
        <xdr:cNvPr id="21" name="Imagen 20">
          <a:extLst>
            <a:ext uri="{FF2B5EF4-FFF2-40B4-BE49-F238E27FC236}">
              <a16:creationId xmlns:a16="http://schemas.microsoft.com/office/drawing/2014/main" id="{7EA88E7D-1872-1287-D5FA-BC31990B68C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31094" y="40040718"/>
          <a:ext cx="6143625" cy="30718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214</xdr:row>
      <xdr:rowOff>35718</xdr:rowOff>
    </xdr:from>
    <xdr:to>
      <xdr:col>9</xdr:col>
      <xdr:colOff>440531</xdr:colOff>
      <xdr:row>232</xdr:row>
      <xdr:rowOff>161100</xdr:rowOff>
    </xdr:to>
    <xdr:pic>
      <xdr:nvPicPr>
        <xdr:cNvPr id="22" name="Imagen 21">
          <a:extLst>
            <a:ext uri="{FF2B5EF4-FFF2-40B4-BE49-F238E27FC236}">
              <a16:creationId xmlns:a16="http://schemas.microsoft.com/office/drawing/2014/main" id="{0309E064-94F7-A955-D544-704A63A49443}"/>
            </a:ext>
          </a:extLst>
        </xdr:cNvPr>
        <xdr:cNvPicPr>
          <a:picLocks noChangeAspect="1"/>
        </xdr:cNvPicPr>
      </xdr:nvPicPr>
      <xdr:blipFill>
        <a:blip xmlns:r="http://schemas.openxmlformats.org/officeDocument/2006/relationships" r:embed="rId5"/>
        <a:stretch>
          <a:fillRect/>
        </a:stretch>
      </xdr:blipFill>
      <xdr:spPr>
        <a:xfrm>
          <a:off x="1131094" y="47255906"/>
          <a:ext cx="6107906" cy="3685350"/>
        </a:xfrm>
        <a:prstGeom prst="rect">
          <a:avLst/>
        </a:prstGeom>
      </xdr:spPr>
    </xdr:pic>
    <xdr:clientData/>
  </xdr:twoCellAnchor>
  <xdr:twoCellAnchor editAs="oneCell">
    <xdr:from>
      <xdr:col>1</xdr:col>
      <xdr:colOff>83343</xdr:colOff>
      <xdr:row>193</xdr:row>
      <xdr:rowOff>23812</xdr:rowOff>
    </xdr:from>
    <xdr:to>
      <xdr:col>9</xdr:col>
      <xdr:colOff>452436</xdr:colOff>
      <xdr:row>209</xdr:row>
      <xdr:rowOff>88106</xdr:rowOff>
    </xdr:to>
    <xdr:pic>
      <xdr:nvPicPr>
        <xdr:cNvPr id="23" name="Imagen 22">
          <a:extLst>
            <a:ext uri="{FF2B5EF4-FFF2-40B4-BE49-F238E27FC236}">
              <a16:creationId xmlns:a16="http://schemas.microsoft.com/office/drawing/2014/main" id="{431EFD65-D456-A8FB-4599-0C34C43500A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66812" y="43243500"/>
          <a:ext cx="6084093" cy="39576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419100</xdr:colOff>
      <xdr:row>31</xdr:row>
      <xdr:rowOff>133350</xdr:rowOff>
    </xdr:from>
    <xdr:to>
      <xdr:col>9</xdr:col>
      <xdr:colOff>627132</xdr:colOff>
      <xdr:row>58</xdr:row>
      <xdr:rowOff>123183</xdr:rowOff>
    </xdr:to>
    <xdr:pic>
      <xdr:nvPicPr>
        <xdr:cNvPr id="4" name="Imagen 3">
          <a:extLst>
            <a:ext uri="{FF2B5EF4-FFF2-40B4-BE49-F238E27FC236}">
              <a16:creationId xmlns:a16="http://schemas.microsoft.com/office/drawing/2014/main" id="{7DBE3F05-6C7E-479A-ACBC-605126CF6952}"/>
            </a:ext>
          </a:extLst>
        </xdr:cNvPr>
        <xdr:cNvPicPr>
          <a:picLocks noChangeAspect="1"/>
        </xdr:cNvPicPr>
      </xdr:nvPicPr>
      <xdr:blipFill>
        <a:blip xmlns:r="http://schemas.openxmlformats.org/officeDocument/2006/relationships" r:embed="rId1"/>
        <a:stretch>
          <a:fillRect/>
        </a:stretch>
      </xdr:blipFill>
      <xdr:spPr>
        <a:xfrm>
          <a:off x="419100" y="6486525"/>
          <a:ext cx="12142857" cy="5133333"/>
        </a:xfrm>
        <a:prstGeom prst="rect">
          <a:avLst/>
        </a:prstGeom>
      </xdr:spPr>
    </xdr:pic>
    <xdr:clientData/>
  </xdr:twoCellAnchor>
  <xdr:twoCellAnchor editAs="oneCell">
    <xdr:from>
      <xdr:col>0</xdr:col>
      <xdr:colOff>0</xdr:colOff>
      <xdr:row>14</xdr:row>
      <xdr:rowOff>9525</xdr:rowOff>
    </xdr:from>
    <xdr:to>
      <xdr:col>7</xdr:col>
      <xdr:colOff>722508</xdr:colOff>
      <xdr:row>30</xdr:row>
      <xdr:rowOff>85334</xdr:rowOff>
    </xdr:to>
    <xdr:pic>
      <xdr:nvPicPr>
        <xdr:cNvPr id="7" name="Imagen 6">
          <a:extLst>
            <a:ext uri="{FF2B5EF4-FFF2-40B4-BE49-F238E27FC236}">
              <a16:creationId xmlns:a16="http://schemas.microsoft.com/office/drawing/2014/main" id="{0056BB76-3451-9AEA-CC6F-117F0D3AE23B}"/>
            </a:ext>
          </a:extLst>
        </xdr:cNvPr>
        <xdr:cNvPicPr>
          <a:picLocks noChangeAspect="1"/>
        </xdr:cNvPicPr>
      </xdr:nvPicPr>
      <xdr:blipFill>
        <a:blip xmlns:r="http://schemas.openxmlformats.org/officeDocument/2006/relationships" r:embed="rId2"/>
        <a:stretch>
          <a:fillRect/>
        </a:stretch>
      </xdr:blipFill>
      <xdr:spPr>
        <a:xfrm>
          <a:off x="0" y="3124200"/>
          <a:ext cx="11133333" cy="31238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VIA%20PUEBLORRICO%20CORINTO\Estructura%20APU%202013%20ANTIOQUIA%20(version%201)D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ELINCER\Desktop\Precios%20Unitarios%202024%20Infraestructura.xlsx" TargetMode="External"/><Relationship Id="rId1" Type="http://schemas.openxmlformats.org/officeDocument/2006/relationships/externalLinkPath" Target="file:///C:\Users\ELINCER\Desktop\Precios%20Unitarios%202024%20Infraestructura.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ELINCER\Desktop\ESTUFAS%20LA%20VIRGINIA%202024\Presupuesto%20proyecto%20tipo%20de%20estufas%2027052021%20(version%202).xlsx" TargetMode="External"/><Relationship Id="rId1" Type="http://schemas.openxmlformats.org/officeDocument/2006/relationships/externalLinkPath" Target="file:///C:\Users\ELINCER\Desktop\ESTUFAS%20LA%20VIRGINIA%202024\Presupuesto%20proyecto%20tipo%20de%20estufas%2027052021%20(version%202).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ELINCER\Desktop\A&#209;O%202024\PROCESOS%20SELE-ABREVIADAS%202024\CARPETA%20COCINAS%20SANTA%20ROSA\PROPUESTA%20COCINAS%20EFICIENTES%20SANTA%20ROSA\26.%20Oferta%20Economica\ANEXO%205%20Y%206%20FICHA%20TECNICA%20-PRESUPUESTOS%20ESTUFAS.xlsx" TargetMode="External"/><Relationship Id="rId1" Type="http://schemas.openxmlformats.org/officeDocument/2006/relationships/externalLinkPath" Target="file:///C:\Users\ELINCER\Desktop\A&#209;O%202024\PROCESOS%20SELE-ABREVIADAS%202024\CARPETA%20COCINAS%20SANTA%20ROSA\PROPUESTA%20COCINAS%20EFICIENTES%20SANTA%20ROSA\26.%20Oferta%20Economica\ANEXO%205%20Y%206%20FICHA%20TECNICA%20-PRESUPUESTOS%20ESTUFAS.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ELINCER\Desktop\INFORME%20JARDIN%20BOTANICO\INFORME%20FINAL%20DE%20OBRA\ACTA%20TOTAL%20CONVENIO%20CARDER%20OKKKK.xlsx" TargetMode="External"/><Relationship Id="rId1" Type="http://schemas.openxmlformats.org/officeDocument/2006/relationships/externalLinkPath" Target="file:///C:\Users\ELINCER\Desktop\INFORME%20JARDIN%20BOTANICO\INFORME%20FINAL%20DE%20OBRA\ACTA%20TOTAL%20CONVENIO%20CARDER%20OKKKK.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C:\Users\ELINCER\Desktop\ESTUFAS%20LA%20VIRGINIA%202024\PRESUPUESTO_AJUSTADO_MARSELLA_70_ESTUFAS_.xlsx" TargetMode="External"/><Relationship Id="rId1" Type="http://schemas.openxmlformats.org/officeDocument/2006/relationships/externalLinkPath" Target="file:///C:\Users\ELINCER\Desktop\ESTUFAS%20LA%20VIRGINIA%202024\PRESUPUESTO_AJUSTADO_MARSELLA_70_ESTUFAS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175"/>
      <sheetName val="concreto 210"/>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1"/>
      <sheetName val="640.2.1"/>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Señal vertical de 90"/>
      <sheetName val="SI 05 Y 06"/>
      <sheetName val="710.1.9.3"/>
      <sheetName val="710.1.2.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Hoja1"/>
    </sheetNames>
    <sheetDataSet>
      <sheetData sheetId="0">
        <row r="5">
          <cell r="D5">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DE DATOS"/>
      <sheetName val="CONSTRUCCION"/>
      <sheetName val=" VÍAS"/>
      <sheetName val="ANÁLISIS MANO DE OBRA"/>
      <sheetName val="MEDIA TENSIÓN Y OTROS ELÉC."/>
      <sheetName val="Mat Electricos Media Ten"/>
    </sheetNames>
    <sheetDataSet>
      <sheetData sheetId="0">
        <row r="5">
          <cell r="A5" t="str">
            <v>MOB002</v>
          </cell>
          <cell r="B5" t="str">
            <v>Oficial (jornal + prestaciones)</v>
          </cell>
          <cell r="C5" t="str">
            <v>Día</v>
          </cell>
          <cell r="D5">
            <v>1</v>
          </cell>
          <cell r="E5">
            <v>145705</v>
          </cell>
        </row>
        <row r="6">
          <cell r="A6" t="str">
            <v>MOB003</v>
          </cell>
          <cell r="B6" t="str">
            <v>Ayudante (jornal + prestaciones)</v>
          </cell>
          <cell r="C6" t="str">
            <v>Día</v>
          </cell>
          <cell r="D6">
            <v>1</v>
          </cell>
          <cell r="E6">
            <v>80947</v>
          </cell>
        </row>
        <row r="7">
          <cell r="A7" t="str">
            <v>MOB004</v>
          </cell>
          <cell r="B7" t="str">
            <v>Ayudante práctico (jornal + prestaciones)</v>
          </cell>
          <cell r="C7" t="str">
            <v>Día</v>
          </cell>
          <cell r="D7">
            <v>1</v>
          </cell>
          <cell r="E7">
            <v>113326</v>
          </cell>
        </row>
        <row r="8">
          <cell r="A8" t="str">
            <v>MOB005</v>
          </cell>
          <cell r="B8" t="str">
            <v>Cuadrilla A 1 Of + 4 Ay (jornal + prestaciones)</v>
          </cell>
          <cell r="C8" t="str">
            <v>Día</v>
          </cell>
          <cell r="D8">
            <v>1</v>
          </cell>
          <cell r="E8">
            <v>469493</v>
          </cell>
        </row>
        <row r="9">
          <cell r="A9" t="str">
            <v>MOB006</v>
          </cell>
          <cell r="B9" t="str">
            <v>Cuadrilla B 1 Min + 2 Ay (jornal + prestaciones)</v>
          </cell>
          <cell r="C9" t="str">
            <v>Día</v>
          </cell>
          <cell r="D9">
            <v>1</v>
          </cell>
          <cell r="E9">
            <v>364262</v>
          </cell>
        </row>
        <row r="10">
          <cell r="A10" t="str">
            <v>MOB007</v>
          </cell>
          <cell r="B10" t="str">
            <v>Oficial eléctrico (jornal + prestaciones)</v>
          </cell>
          <cell r="C10" t="str">
            <v>Día</v>
          </cell>
          <cell r="D10">
            <v>1</v>
          </cell>
          <cell r="E10">
            <v>161895</v>
          </cell>
        </row>
        <row r="11">
          <cell r="A11" t="str">
            <v>MOB008</v>
          </cell>
          <cell r="B11" t="str">
            <v>Cuadrilla S (1Sold.+1Ay práctico) (jornal + prestaciones)</v>
          </cell>
          <cell r="C11" t="str">
            <v>Día</v>
          </cell>
          <cell r="D11">
            <v>1</v>
          </cell>
          <cell r="E11">
            <v>259031</v>
          </cell>
        </row>
        <row r="12">
          <cell r="A12" t="str">
            <v>MOB010</v>
          </cell>
          <cell r="B12" t="str">
            <v>Comisión topografía (topógrafo + Cadenero 1 + 2 Cadeneros 2)</v>
          </cell>
          <cell r="C12" t="str">
            <v>Día</v>
          </cell>
          <cell r="D12">
            <v>1</v>
          </cell>
          <cell r="E12">
            <v>544697</v>
          </cell>
        </row>
        <row r="13">
          <cell r="A13" t="str">
            <v>MOB011</v>
          </cell>
          <cell r="B13" t="str">
            <v>Acarreo Horizontal</v>
          </cell>
          <cell r="C13" t="str">
            <v>% MO</v>
          </cell>
          <cell r="D13">
            <v>1</v>
          </cell>
          <cell r="E13">
            <v>0</v>
          </cell>
        </row>
        <row r="14">
          <cell r="A14" t="str">
            <v>MOB012</v>
          </cell>
          <cell r="B14" t="str">
            <v>Profesional en salud ocupacional</v>
          </cell>
          <cell r="C14" t="str">
            <v>Mes</v>
          </cell>
          <cell r="D14">
            <v>1</v>
          </cell>
          <cell r="E14">
            <v>6273176</v>
          </cell>
        </row>
        <row r="15">
          <cell r="A15" t="str">
            <v>MOB013</v>
          </cell>
          <cell r="B15" t="str">
            <v>Cuadrilla C 1 Of + 7 Ay (jornal + prestaciones)</v>
          </cell>
          <cell r="C15" t="str">
            <v>Día</v>
          </cell>
          <cell r="D15">
            <v>1</v>
          </cell>
          <cell r="E15">
            <v>712334</v>
          </cell>
        </row>
        <row r="16">
          <cell r="B16" t="str">
            <v>Cuadrilla CE (1 Of E + 7 Ay E) (jornal + prestaciones)</v>
          </cell>
          <cell r="E16">
            <v>998318</v>
          </cell>
        </row>
        <row r="17">
          <cell r="A17" t="str">
            <v>MOB014</v>
          </cell>
          <cell r="B17" t="str">
            <v>Cuadrilla D 2 Of + 4 Ay (jornal + prestaciones)</v>
          </cell>
          <cell r="C17" t="str">
            <v>Día</v>
          </cell>
          <cell r="D17">
            <v>1</v>
          </cell>
          <cell r="E17">
            <v>615198</v>
          </cell>
        </row>
        <row r="18">
          <cell r="A18" t="str">
            <v>MOB015</v>
          </cell>
          <cell r="B18" t="str">
            <v>Cuadrilla E 1 Of + 1 Ay (jornal + prestaciones)</v>
          </cell>
          <cell r="C18" t="str">
            <v>Día</v>
          </cell>
          <cell r="D18">
            <v>1</v>
          </cell>
          <cell r="E18">
            <v>226652</v>
          </cell>
        </row>
        <row r="19">
          <cell r="B19" t="str">
            <v>Cuadrilla EE 1 Of E + 1 Ay E (jornal + prestaciones)</v>
          </cell>
          <cell r="E19">
            <v>281384</v>
          </cell>
        </row>
        <row r="20">
          <cell r="A20" t="str">
            <v>MOB016</v>
          </cell>
          <cell r="B20" t="str">
            <v>Cuadrilla F 6 Of + 4 Ay (jornal + prestaciones)</v>
          </cell>
          <cell r="C20" t="str">
            <v>Día</v>
          </cell>
          <cell r="D20">
            <v>1</v>
          </cell>
          <cell r="E20">
            <v>1198018</v>
          </cell>
        </row>
        <row r="21">
          <cell r="A21" t="str">
            <v>MOB017</v>
          </cell>
          <cell r="B21" t="str">
            <v>Cuadrilla G 1 Of + 2 Ay (jornal + prestaciones)</v>
          </cell>
          <cell r="C21" t="str">
            <v>Día</v>
          </cell>
          <cell r="D21">
            <v>1</v>
          </cell>
          <cell r="E21">
            <v>307599</v>
          </cell>
        </row>
        <row r="22">
          <cell r="A22" t="str">
            <v>MOB018</v>
          </cell>
          <cell r="B22" t="str">
            <v>Cuadrilla H 4 Ay (jornal + prestaciones)</v>
          </cell>
          <cell r="C22" t="str">
            <v>Día</v>
          </cell>
          <cell r="D22">
            <v>1</v>
          </cell>
          <cell r="E22">
            <v>323788</v>
          </cell>
        </row>
        <row r="23">
          <cell r="A23" t="str">
            <v>MOB019</v>
          </cell>
          <cell r="B23" t="str">
            <v>Ayudante eléctrico (jornal + prestaciones)</v>
          </cell>
          <cell r="C23" t="str">
            <v>Día</v>
          </cell>
          <cell r="D23">
            <v>1</v>
          </cell>
          <cell r="E23">
            <v>119489</v>
          </cell>
        </row>
        <row r="24">
          <cell r="A24" t="str">
            <v>MOB020</v>
          </cell>
          <cell r="B24" t="str">
            <v>Cuadrilla J (1 Of eléctrico+1Ay eléctrico) (jornal + prestaciones)</v>
          </cell>
          <cell r="C24" t="str">
            <v>Día</v>
          </cell>
          <cell r="D24">
            <v>1</v>
          </cell>
          <cell r="E24">
            <v>281384</v>
          </cell>
        </row>
        <row r="25">
          <cell r="A25" t="str">
            <v>MOB021</v>
          </cell>
          <cell r="B25" t="str">
            <v>Cuadrilla K (1 Of eléctrico+2Ay eléctricos) (jornal + prestaciones)</v>
          </cell>
          <cell r="C25" t="str">
            <v>Día</v>
          </cell>
          <cell r="D25">
            <v>1</v>
          </cell>
          <cell r="E25">
            <v>400873</v>
          </cell>
        </row>
        <row r="26">
          <cell r="A26" t="str">
            <v>MOB022</v>
          </cell>
          <cell r="B26" t="str">
            <v>Cuadrilla L 2 Of + 8 Ay (jornal + prestaciones)</v>
          </cell>
          <cell r="C26" t="str">
            <v>Día</v>
          </cell>
          <cell r="D26">
            <v>1</v>
          </cell>
          <cell r="E26">
            <v>938986</v>
          </cell>
        </row>
        <row r="27">
          <cell r="A27" t="str">
            <v>MATERIALES</v>
          </cell>
        </row>
        <row r="29">
          <cell r="A29" t="str">
            <v>CÓDIGO</v>
          </cell>
          <cell r="B29" t="str">
            <v>DESCRIPCIÓN</v>
          </cell>
          <cell r="C29" t="str">
            <v>UNIDAD</v>
          </cell>
          <cell r="D29" t="str">
            <v>CANTIDAD</v>
          </cell>
          <cell r="E29" t="str">
            <v>VALOR UNITARIO 2022</v>
          </cell>
        </row>
        <row r="31">
          <cell r="A31" t="str">
            <v>MAT,068</v>
          </cell>
          <cell r="B31" t="str">
            <v>Cemento gris saco por 50 kilos</v>
          </cell>
          <cell r="C31" t="str">
            <v>Sc</v>
          </cell>
          <cell r="D31">
            <v>1</v>
          </cell>
          <cell r="E31">
            <v>38080</v>
          </cell>
        </row>
        <row r="32">
          <cell r="A32" t="str">
            <v>MAT,001</v>
          </cell>
          <cell r="B32" t="str">
            <v>Accesorios CPVC 1/2" promedio</v>
          </cell>
          <cell r="C32" t="str">
            <v>%Tub</v>
          </cell>
          <cell r="D32" t="str">
            <v>-</v>
          </cell>
          <cell r="E32">
            <v>0</v>
          </cell>
        </row>
        <row r="33">
          <cell r="A33" t="str">
            <v>MAT,002</v>
          </cell>
          <cell r="B33" t="str">
            <v>Accesorios para fijación de canal tipo metálico</v>
          </cell>
          <cell r="C33" t="str">
            <v>Un</v>
          </cell>
          <cell r="D33">
            <v>1</v>
          </cell>
          <cell r="E33">
            <v>728</v>
          </cell>
        </row>
        <row r="34">
          <cell r="A34" t="str">
            <v>MAT,003</v>
          </cell>
          <cell r="B34" t="str">
            <v>Accesorios PVC agua lluvia (% tubería)</v>
          </cell>
          <cell r="C34" t="str">
            <v>%Tub</v>
          </cell>
          <cell r="D34" t="str">
            <v>-</v>
          </cell>
          <cell r="E34">
            <v>0</v>
          </cell>
        </row>
        <row r="35">
          <cell r="A35" t="str">
            <v>MAT,004</v>
          </cell>
          <cell r="B35" t="str">
            <v>Accesorios PVC presión</v>
          </cell>
          <cell r="C35" t="str">
            <v>%Tub</v>
          </cell>
          <cell r="D35" t="str">
            <v>-</v>
          </cell>
          <cell r="E35">
            <v>0</v>
          </cell>
        </row>
        <row r="36">
          <cell r="A36" t="str">
            <v>MAT,540</v>
          </cell>
          <cell r="B36" t="str">
            <v>Accesorios PVC sanitaria (% tubería)</v>
          </cell>
          <cell r="C36" t="str">
            <v>%Tub</v>
          </cell>
          <cell r="D36" t="str">
            <v>-</v>
          </cell>
          <cell r="E36">
            <v>0</v>
          </cell>
        </row>
        <row r="37">
          <cell r="A37" t="str">
            <v>MAT,005</v>
          </cell>
          <cell r="B37" t="str">
            <v>Accesorios PVC sanitaria 2" promedio</v>
          </cell>
          <cell r="C37" t="str">
            <v>Un</v>
          </cell>
          <cell r="D37">
            <v>1</v>
          </cell>
          <cell r="E37">
            <v>13261.92</v>
          </cell>
        </row>
        <row r="38">
          <cell r="A38" t="str">
            <v>MAT,006</v>
          </cell>
          <cell r="B38" t="str">
            <v>Accesorios PVC sanitaria 3" promedio</v>
          </cell>
          <cell r="C38" t="str">
            <v>Un</v>
          </cell>
          <cell r="D38">
            <v>1</v>
          </cell>
          <cell r="E38">
            <v>48759.199999999997</v>
          </cell>
        </row>
        <row r="39">
          <cell r="A39" t="str">
            <v>MAT,007</v>
          </cell>
          <cell r="B39" t="str">
            <v>Accesorios PVC sanitaria 4" promedio</v>
          </cell>
          <cell r="C39" t="str">
            <v>Un</v>
          </cell>
          <cell r="D39">
            <v>1</v>
          </cell>
          <cell r="E39">
            <v>105012.32</v>
          </cell>
        </row>
        <row r="40">
          <cell r="A40" t="str">
            <v>MAT,008</v>
          </cell>
          <cell r="B40" t="str">
            <v>Accesorios y empaques canal PVC promedio de: U y soporte</v>
          </cell>
          <cell r="C40" t="str">
            <v>Un</v>
          </cell>
          <cell r="D40">
            <v>1</v>
          </cell>
          <cell r="E40">
            <v>40689.599999999999</v>
          </cell>
        </row>
        <row r="41">
          <cell r="A41" t="str">
            <v>MAT,009</v>
          </cell>
          <cell r="B41" t="str">
            <v>Acelerante de fraguado y resistencia para concretos y morteros</v>
          </cell>
          <cell r="C41" t="str">
            <v>Kg</v>
          </cell>
          <cell r="D41">
            <v>1</v>
          </cell>
          <cell r="E41">
            <v>23049.599999999999</v>
          </cell>
        </row>
        <row r="42">
          <cell r="A42" t="str">
            <v>MAT,010</v>
          </cell>
          <cell r="B42" t="str">
            <v>Acero de Fy = 37.000 psi d=1/4"</v>
          </cell>
          <cell r="C42" t="str">
            <v>Kg</v>
          </cell>
          <cell r="D42">
            <v>1</v>
          </cell>
          <cell r="E42">
            <v>4998.5599999999995</v>
          </cell>
        </row>
        <row r="43">
          <cell r="A43" t="str">
            <v>MAT,011</v>
          </cell>
          <cell r="B43" t="str">
            <v>Acero de Fy = 60.000 psi d&gt;1/4"</v>
          </cell>
          <cell r="C43" t="str">
            <v>Kg</v>
          </cell>
          <cell r="D43">
            <v>1</v>
          </cell>
          <cell r="E43">
            <v>6021.68</v>
          </cell>
        </row>
        <row r="44">
          <cell r="A44" t="str">
            <v>MAT,534</v>
          </cell>
          <cell r="B44" t="str">
            <v>Acople flexible (según aparato)</v>
          </cell>
          <cell r="C44" t="str">
            <v>Un</v>
          </cell>
          <cell r="D44">
            <v>1</v>
          </cell>
          <cell r="E44">
            <v>25053.168000000001</v>
          </cell>
        </row>
        <row r="45">
          <cell r="A45" t="str">
            <v>MAT,012</v>
          </cell>
          <cell r="B45" t="str">
            <v>ACPM</v>
          </cell>
          <cell r="C45" t="str">
            <v>Gl</v>
          </cell>
          <cell r="D45">
            <v>1</v>
          </cell>
          <cell r="E45">
            <v>10328.64</v>
          </cell>
        </row>
        <row r="46">
          <cell r="A46" t="str">
            <v>MAT,013</v>
          </cell>
          <cell r="B46" t="str">
            <v>Acrílico lámpara fluorescente de 0.60 x 1.20 m</v>
          </cell>
          <cell r="C46" t="str">
            <v>Un</v>
          </cell>
          <cell r="D46">
            <v>1</v>
          </cell>
          <cell r="E46">
            <v>96208</v>
          </cell>
        </row>
        <row r="47">
          <cell r="A47" t="str">
            <v>MAT,014</v>
          </cell>
          <cell r="B47" t="str">
            <v>Adaptador bajante PVC agua lluvia cuadrada 3 x 3</v>
          </cell>
          <cell r="C47" t="str">
            <v>Un</v>
          </cell>
          <cell r="D47">
            <v>1</v>
          </cell>
          <cell r="E47">
            <v>7635.04</v>
          </cell>
        </row>
        <row r="48">
          <cell r="A48" t="str">
            <v>MAT,015</v>
          </cell>
          <cell r="B48" t="str">
            <v>Adaptador macho PF + UAD 1/2"</v>
          </cell>
          <cell r="C48" t="str">
            <v>Un</v>
          </cell>
          <cell r="D48">
            <v>1</v>
          </cell>
          <cell r="E48">
            <v>3304</v>
          </cell>
        </row>
        <row r="49">
          <cell r="A49" t="str">
            <v>MAT,016</v>
          </cell>
          <cell r="B49" t="str">
            <v>Adaptador PVC macho de 1 1/2" presión</v>
          </cell>
          <cell r="C49" t="str">
            <v>Un</v>
          </cell>
          <cell r="D49">
            <v>1</v>
          </cell>
          <cell r="E49">
            <v>4130.5600000000004</v>
          </cell>
        </row>
        <row r="50">
          <cell r="A50" t="str">
            <v>MAT,017</v>
          </cell>
          <cell r="B50" t="str">
            <v>Adaptador PVC macho de 1" presión</v>
          </cell>
          <cell r="C50" t="str">
            <v>Un</v>
          </cell>
          <cell r="D50">
            <v>1</v>
          </cell>
          <cell r="E50">
            <v>1848</v>
          </cell>
        </row>
        <row r="51">
          <cell r="A51" t="str">
            <v>MAT,018</v>
          </cell>
          <cell r="B51" t="str">
            <v>Adaptador PVC macho de 1/2" presión</v>
          </cell>
          <cell r="C51" t="str">
            <v>Un</v>
          </cell>
          <cell r="D51">
            <v>1</v>
          </cell>
          <cell r="E51">
            <v>492.8</v>
          </cell>
        </row>
        <row r="52">
          <cell r="A52" t="str">
            <v>MAT,019</v>
          </cell>
          <cell r="B52" t="str">
            <v>Adaptador PVC macho de 2" presión</v>
          </cell>
          <cell r="C52" t="str">
            <v>Un</v>
          </cell>
          <cell r="D52">
            <v>1</v>
          </cell>
          <cell r="E52">
            <v>6051.36</v>
          </cell>
        </row>
        <row r="53">
          <cell r="A53" t="str">
            <v>MAT,020</v>
          </cell>
          <cell r="B53" t="str">
            <v>Adaptador PVC macho de 3/4" presión</v>
          </cell>
          <cell r="C53" t="str">
            <v>Un</v>
          </cell>
          <cell r="D53">
            <v>1</v>
          </cell>
          <cell r="E53">
            <v>896</v>
          </cell>
        </row>
        <row r="54">
          <cell r="A54" t="str">
            <v>MAT,021</v>
          </cell>
          <cell r="B54" t="str">
            <v>Adhesivo epóxico para pegar concreto fresco con endurecido de curado lento</v>
          </cell>
          <cell r="C54" t="str">
            <v>Kg</v>
          </cell>
          <cell r="D54">
            <v>1</v>
          </cell>
          <cell r="E54">
            <v>139314.56</v>
          </cell>
        </row>
        <row r="55">
          <cell r="A55" t="str">
            <v>MAT,258</v>
          </cell>
          <cell r="B55" t="str">
            <v>Adhesivo epóxico tipo IV grado 3 (ASTM C-881-02) para anclar barras de acero al concreto. X 600 ml (Sikadur® AnchorFix®-4 tubo x 600 m)</v>
          </cell>
          <cell r="C55" t="str">
            <v>Un</v>
          </cell>
          <cell r="D55">
            <v>1</v>
          </cell>
          <cell r="E55">
            <v>101339.84</v>
          </cell>
        </row>
        <row r="56">
          <cell r="A56" t="str">
            <v>MAT,022</v>
          </cell>
          <cell r="B56" t="str">
            <v>Adhesivo para piso de vinilo</v>
          </cell>
          <cell r="C56" t="str">
            <v>Gl</v>
          </cell>
          <cell r="D56">
            <v>1</v>
          </cell>
          <cell r="E56">
            <v>98448</v>
          </cell>
        </row>
        <row r="57">
          <cell r="A57" t="str">
            <v>MAT,023</v>
          </cell>
          <cell r="B57" t="str">
            <v>Adhesivo para tubería de pared estructural 310 ml</v>
          </cell>
          <cell r="C57" t="str">
            <v>Un</v>
          </cell>
          <cell r="D57">
            <v>1</v>
          </cell>
          <cell r="E57">
            <v>16800</v>
          </cell>
        </row>
        <row r="58">
          <cell r="A58" t="str">
            <v>MAT,024</v>
          </cell>
          <cell r="B58" t="str">
            <v>Adoquín de gres peatonal (5 x 10 x 20 cm)</v>
          </cell>
          <cell r="C58" t="str">
            <v>M2</v>
          </cell>
          <cell r="D58">
            <v>1</v>
          </cell>
          <cell r="E58">
            <v>44800</v>
          </cell>
        </row>
        <row r="59">
          <cell r="A59" t="str">
            <v>MAT,025</v>
          </cell>
          <cell r="B59" t="str">
            <v>Adoquín peatonal gris de concreto e = 0.06 m</v>
          </cell>
          <cell r="C59" t="str">
            <v>M2</v>
          </cell>
          <cell r="D59">
            <v>1</v>
          </cell>
          <cell r="E59">
            <v>55221.599999999999</v>
          </cell>
        </row>
        <row r="60">
          <cell r="A60" t="str">
            <v>MAT,552</v>
          </cell>
          <cell r="B60" t="str">
            <v>Adoquín vehicular gris de concreto e = 0,08 m</v>
          </cell>
          <cell r="C60" t="str">
            <v>M2</v>
          </cell>
          <cell r="D60">
            <v>1</v>
          </cell>
          <cell r="E60">
            <v>66847.199999999997</v>
          </cell>
        </row>
        <row r="61">
          <cell r="A61" t="str">
            <v>MAT,026</v>
          </cell>
          <cell r="B61" t="str">
            <v>Afirmado para mantenimiento vial y elementos no estructurales</v>
          </cell>
          <cell r="C61" t="str">
            <v>M3</v>
          </cell>
          <cell r="D61">
            <v>1</v>
          </cell>
          <cell r="E61">
            <v>25760</v>
          </cell>
        </row>
        <row r="62">
          <cell r="A62" t="str">
            <v>MAT,027</v>
          </cell>
          <cell r="B62" t="str">
            <v xml:space="preserve">Agua </v>
          </cell>
          <cell r="C62" t="str">
            <v>Lt</v>
          </cell>
          <cell r="D62">
            <v>1</v>
          </cell>
          <cell r="E62">
            <v>7.84</v>
          </cell>
        </row>
        <row r="63">
          <cell r="A63" t="str">
            <v>MAT,028</v>
          </cell>
          <cell r="B63" t="str">
            <v>Alambre de púas C 14</v>
          </cell>
          <cell r="C63" t="str">
            <v>M</v>
          </cell>
          <cell r="D63">
            <v>1</v>
          </cell>
          <cell r="E63">
            <v>612.64</v>
          </cell>
        </row>
        <row r="64">
          <cell r="A64" t="str">
            <v>MAT,029</v>
          </cell>
          <cell r="B64" t="str">
            <v xml:space="preserve">Alambre galvanizado C 12 </v>
          </cell>
          <cell r="C64" t="str">
            <v>Kg</v>
          </cell>
          <cell r="D64">
            <v>1</v>
          </cell>
          <cell r="E64">
            <v>9408</v>
          </cell>
        </row>
        <row r="65">
          <cell r="A65" t="str">
            <v>MAT,030</v>
          </cell>
          <cell r="B65" t="str">
            <v>Alambre negro calibre 18</v>
          </cell>
          <cell r="C65" t="str">
            <v>Kg</v>
          </cell>
          <cell r="D65">
            <v>1</v>
          </cell>
          <cell r="E65">
            <v>11558.4</v>
          </cell>
        </row>
        <row r="66">
          <cell r="A66" t="str">
            <v>MAT,031</v>
          </cell>
          <cell r="B66" t="str">
            <v>Alas para cerámica (wings)</v>
          </cell>
          <cell r="C66" t="str">
            <v>M</v>
          </cell>
          <cell r="D66">
            <v>1</v>
          </cell>
          <cell r="E66">
            <v>4869.76</v>
          </cell>
        </row>
        <row r="67">
          <cell r="A67" t="str">
            <v>MAT,517</v>
          </cell>
          <cell r="B67" t="str">
            <v>Almohadilla de neopreno 400 x 400 x 30 mm, reforzada con 1 platina de 12 mm</v>
          </cell>
          <cell r="C67" t="str">
            <v>Un</v>
          </cell>
          <cell r="D67">
            <v>1</v>
          </cell>
          <cell r="E67">
            <v>441958.72</v>
          </cell>
        </row>
        <row r="68">
          <cell r="A68" t="str">
            <v>MAT,641</v>
          </cell>
          <cell r="B68" t="str">
            <v>Almohadillas de neopreno dureza 60 (35 cm * 35 cm * 5 cm con 2 láminas de 3 mm)</v>
          </cell>
          <cell r="C68" t="str">
            <v>Un</v>
          </cell>
          <cell r="D68">
            <v>1</v>
          </cell>
          <cell r="E68">
            <v>662938.07999999996</v>
          </cell>
        </row>
        <row r="69">
          <cell r="A69" t="str">
            <v>MAT,032</v>
          </cell>
          <cell r="B69" t="str">
            <v>Amarras con tapa plástica</v>
          </cell>
          <cell r="C69" t="str">
            <v>Un</v>
          </cell>
          <cell r="D69">
            <v>1</v>
          </cell>
          <cell r="E69">
            <v>442.4</v>
          </cell>
        </row>
        <row r="70">
          <cell r="A70" t="str">
            <v>MAT,033</v>
          </cell>
          <cell r="B70" t="str">
            <v>Amortiguador de 360 mm, calibre 3/16", galvanizado en caliente, incluye tornillería</v>
          </cell>
          <cell r="C70" t="str">
            <v>Un</v>
          </cell>
          <cell r="D70">
            <v>1</v>
          </cell>
          <cell r="E70">
            <v>21865.428480000002</v>
          </cell>
        </row>
        <row r="71">
          <cell r="A71" t="str">
            <v>MAT,034</v>
          </cell>
          <cell r="B71" t="str">
            <v>Ángulo de 1 1/2" x 1/8"</v>
          </cell>
          <cell r="C71" t="str">
            <v>M</v>
          </cell>
          <cell r="D71">
            <v>1</v>
          </cell>
          <cell r="E71">
            <v>9400.16</v>
          </cell>
        </row>
        <row r="72">
          <cell r="A72" t="str">
            <v>MAT,035</v>
          </cell>
          <cell r="B72" t="str">
            <v>Ángulo de 1" x 1/8"</v>
          </cell>
          <cell r="C72" t="str">
            <v>M</v>
          </cell>
          <cell r="D72">
            <v>1</v>
          </cell>
          <cell r="E72">
            <v>7239.68</v>
          </cell>
        </row>
        <row r="73">
          <cell r="A73" t="str">
            <v>MAT,036</v>
          </cell>
          <cell r="B73" t="str">
            <v>Ángulo de 2" x 3/16"</v>
          </cell>
          <cell r="C73" t="str">
            <v>M</v>
          </cell>
          <cell r="D73">
            <v>1</v>
          </cell>
          <cell r="E73">
            <v>22053.919999999998</v>
          </cell>
        </row>
        <row r="74">
          <cell r="A74" t="str">
            <v>MAT,516</v>
          </cell>
          <cell r="B74" t="str">
            <v>Ángulo de 2" x 1/8"</v>
          </cell>
          <cell r="C74" t="str">
            <v>M</v>
          </cell>
          <cell r="D74">
            <v>1</v>
          </cell>
          <cell r="E74">
            <v>14613.76</v>
          </cell>
        </row>
        <row r="75">
          <cell r="A75" t="str">
            <v>MAT,037</v>
          </cell>
          <cell r="B75" t="str">
            <v>Ángulo perimetral de 2,44 m</v>
          </cell>
          <cell r="C75" t="str">
            <v>Un</v>
          </cell>
          <cell r="D75">
            <v>1</v>
          </cell>
          <cell r="E75">
            <v>17664.64</v>
          </cell>
        </row>
        <row r="76">
          <cell r="A76" t="str">
            <v>MAT,038</v>
          </cell>
          <cell r="B76" t="str">
            <v>Anticorrosivo gris</v>
          </cell>
          <cell r="C76" t="str">
            <v>Gl</v>
          </cell>
          <cell r="D76">
            <v>1</v>
          </cell>
          <cell r="E76">
            <v>47980.800000000003</v>
          </cell>
        </row>
        <row r="77">
          <cell r="A77" t="str">
            <v>MAT,039</v>
          </cell>
          <cell r="B77" t="str">
            <v>Antisol rojo/blanco</v>
          </cell>
          <cell r="C77" t="str">
            <v>Kg</v>
          </cell>
          <cell r="D77">
            <v>1</v>
          </cell>
          <cell r="E77">
            <v>16234.4</v>
          </cell>
        </row>
        <row r="78">
          <cell r="A78" t="str">
            <v>MAT,040</v>
          </cell>
          <cell r="B78" t="str">
            <v xml:space="preserve">Arena </v>
          </cell>
          <cell r="C78" t="str">
            <v>M3</v>
          </cell>
          <cell r="D78">
            <v>1</v>
          </cell>
          <cell r="E78">
            <v>37332.959999999999</v>
          </cell>
        </row>
        <row r="79">
          <cell r="A79" t="str">
            <v>MAT,041</v>
          </cell>
          <cell r="B79" t="str">
            <v>Arenón</v>
          </cell>
          <cell r="C79" t="str">
            <v>M3</v>
          </cell>
          <cell r="D79">
            <v>1</v>
          </cell>
          <cell r="E79">
            <v>153272</v>
          </cell>
        </row>
        <row r="80">
          <cell r="A80" t="str">
            <v>MAT,042</v>
          </cell>
          <cell r="B80" t="str">
            <v>Aro base y aro tapa de H. F. d = 0,60 m</v>
          </cell>
          <cell r="C80" t="str">
            <v>Un</v>
          </cell>
          <cell r="D80">
            <v>1</v>
          </cell>
          <cell r="E80">
            <v>432223.68</v>
          </cell>
        </row>
        <row r="81">
          <cell r="A81" t="str">
            <v>MAT,043</v>
          </cell>
          <cell r="B81" t="str">
            <v>Aro para baloncesto, incluye malla</v>
          </cell>
          <cell r="C81" t="str">
            <v>Un</v>
          </cell>
          <cell r="D81">
            <v>1</v>
          </cell>
          <cell r="E81">
            <v>100800</v>
          </cell>
        </row>
        <row r="82">
          <cell r="A82" t="str">
            <v>MAT,512</v>
          </cell>
          <cell r="B82" t="str">
            <v>Asfalto para liga tipo CRR 1 o CRR 2</v>
          </cell>
          <cell r="C82" t="str">
            <v>Kg</v>
          </cell>
          <cell r="D82">
            <v>1</v>
          </cell>
          <cell r="E82">
            <v>10515.555555555555</v>
          </cell>
        </row>
        <row r="83">
          <cell r="A83" t="str">
            <v>MAT,044</v>
          </cell>
          <cell r="B83" t="str">
            <v>Asfalto líquido MC 30 para imprimar</v>
          </cell>
          <cell r="C83" t="str">
            <v>Gl</v>
          </cell>
          <cell r="D83">
            <v>1</v>
          </cell>
          <cell r="E83">
            <v>6464.64</v>
          </cell>
        </row>
        <row r="84">
          <cell r="A84" t="str">
            <v>MAT,654</v>
          </cell>
          <cell r="B84" t="str">
            <v>Azadones con cabo</v>
          </cell>
          <cell r="C84" t="str">
            <v>Un</v>
          </cell>
          <cell r="D84">
            <v>1</v>
          </cell>
          <cell r="E84">
            <v>56000</v>
          </cell>
        </row>
        <row r="85">
          <cell r="A85" t="str">
            <v>MAT,524</v>
          </cell>
          <cell r="B85" t="str">
            <v>Baldosa grano tradicional blanco Huila BH5 de 30 x 30 cm. Tipo Alfa o similar. Fondo blanco (Gran Terrazzo Granito de 40 x 60 cm)</v>
          </cell>
          <cell r="C85" t="str">
            <v>M2</v>
          </cell>
          <cell r="D85">
            <v>1</v>
          </cell>
          <cell r="E85">
            <v>109424</v>
          </cell>
        </row>
        <row r="86">
          <cell r="A86" t="str">
            <v>MAT,045</v>
          </cell>
          <cell r="B86" t="str">
            <v>Baldosa de cemento de 0,25 x 0,25 m</v>
          </cell>
          <cell r="C86" t="str">
            <v>M2</v>
          </cell>
          <cell r="D86">
            <v>1</v>
          </cell>
          <cell r="E86">
            <v>26157.599999999999</v>
          </cell>
        </row>
        <row r="87">
          <cell r="A87" t="str">
            <v>MAT,046</v>
          </cell>
          <cell r="B87" t="str">
            <v>Baldosa tipo Terrazzo Nº 5 P5B de 30 x 30 cm</v>
          </cell>
          <cell r="C87" t="str">
            <v>M2</v>
          </cell>
          <cell r="D87">
            <v>1</v>
          </cell>
          <cell r="E87">
            <v>84782.88</v>
          </cell>
        </row>
        <row r="88">
          <cell r="A88" t="str">
            <v>MAT,047</v>
          </cell>
          <cell r="B88" t="str">
            <v>Barniz intemperie brillante</v>
          </cell>
          <cell r="C88" t="str">
            <v>Gl</v>
          </cell>
          <cell r="D88">
            <v>1</v>
          </cell>
          <cell r="E88">
            <v>75948.320000000007</v>
          </cell>
        </row>
        <row r="89">
          <cell r="A89" t="str">
            <v>MAT,639</v>
          </cell>
          <cell r="B89" t="str">
            <v>Bisagra de cobre 3 1/2"</v>
          </cell>
          <cell r="C89" t="str">
            <v>Un</v>
          </cell>
          <cell r="D89">
            <v>1</v>
          </cell>
          <cell r="E89">
            <v>8170.4</v>
          </cell>
        </row>
        <row r="90">
          <cell r="A90" t="str">
            <v>MAT,048</v>
          </cell>
          <cell r="B90" t="str">
            <v>Bisagra de hierro para puerta</v>
          </cell>
          <cell r="C90" t="str">
            <v>Un</v>
          </cell>
          <cell r="D90">
            <v>1</v>
          </cell>
          <cell r="E90">
            <v>8176</v>
          </cell>
        </row>
        <row r="91">
          <cell r="A91" t="str">
            <v>MAT,531</v>
          </cell>
          <cell r="B91" t="str">
            <v>Bisagra de hierro para rejilla cañuela</v>
          </cell>
          <cell r="C91" t="str">
            <v>Un</v>
          </cell>
          <cell r="D91">
            <v>1</v>
          </cell>
          <cell r="E91">
            <v>13328</v>
          </cell>
        </row>
        <row r="92">
          <cell r="A92" t="str">
            <v>MAT,528</v>
          </cell>
          <cell r="B92" t="str">
            <v>Bisagra armillar hierro 2"</v>
          </cell>
          <cell r="C92" t="str">
            <v>Un</v>
          </cell>
          <cell r="D92">
            <v>1</v>
          </cell>
          <cell r="E92">
            <v>3780</v>
          </cell>
        </row>
        <row r="93">
          <cell r="A93" t="str">
            <v>MAT,049</v>
          </cell>
          <cell r="B93" t="str">
            <v>Bloque de cemento de 0,14 x 0,19 x 0,39 m</v>
          </cell>
          <cell r="C93" t="str">
            <v>Un</v>
          </cell>
          <cell r="D93">
            <v>1</v>
          </cell>
          <cell r="E93">
            <v>3780</v>
          </cell>
        </row>
        <row r="94">
          <cell r="A94" t="str">
            <v>MAT,050</v>
          </cell>
          <cell r="B94" t="str">
            <v>Bloque de cemento de 0,14 x 0,19 x 0,39 m estructural</v>
          </cell>
          <cell r="C94" t="str">
            <v>Un</v>
          </cell>
          <cell r="D94">
            <v>1</v>
          </cell>
          <cell r="E94">
            <v>5488</v>
          </cell>
        </row>
        <row r="95">
          <cell r="A95" t="str">
            <v>MAT,051</v>
          </cell>
          <cell r="B95" t="str">
            <v>Bloque de vidrio 20 x 20 cm</v>
          </cell>
          <cell r="C95" t="str">
            <v>Un</v>
          </cell>
          <cell r="D95">
            <v>1</v>
          </cell>
          <cell r="E95">
            <v>9968</v>
          </cell>
        </row>
        <row r="96">
          <cell r="A96" t="str">
            <v>MAT,052</v>
          </cell>
          <cell r="B96" t="str">
            <v>Bloque piedra de 0,14 x 0,19 x 0,39 m</v>
          </cell>
          <cell r="C96" t="str">
            <v>Un</v>
          </cell>
          <cell r="D96">
            <v>1</v>
          </cell>
          <cell r="E96">
            <v>3150.56</v>
          </cell>
        </row>
        <row r="97">
          <cell r="A97" t="str">
            <v>MAT,053</v>
          </cell>
          <cell r="B97" t="str">
            <v>Bolsacreto 1101 o similar</v>
          </cell>
          <cell r="C97" t="str">
            <v>Un</v>
          </cell>
          <cell r="D97">
            <v>1</v>
          </cell>
          <cell r="E97">
            <v>20607.538560000001</v>
          </cell>
        </row>
        <row r="98">
          <cell r="A98" t="str">
            <v>MAT,054</v>
          </cell>
          <cell r="B98" t="str">
            <v>Bolsacreto 1401 o similar</v>
          </cell>
          <cell r="C98" t="str">
            <v>Un</v>
          </cell>
          <cell r="D98">
            <v>1</v>
          </cell>
          <cell r="E98">
            <v>25439.68</v>
          </cell>
        </row>
        <row r="99">
          <cell r="A99" t="str">
            <v>MAT,055</v>
          </cell>
          <cell r="B99" t="str">
            <v>Boquilla para enchape</v>
          </cell>
          <cell r="C99" t="str">
            <v>Kg</v>
          </cell>
          <cell r="D99">
            <v>1</v>
          </cell>
          <cell r="E99">
            <v>6932.8</v>
          </cell>
        </row>
        <row r="100">
          <cell r="A100" t="str">
            <v>MAT,509</v>
          </cell>
          <cell r="B100" t="str">
            <v>Bórax</v>
          </cell>
          <cell r="C100" t="str">
            <v>Kg</v>
          </cell>
          <cell r="D100">
            <v>1</v>
          </cell>
          <cell r="E100">
            <v>9625.2800000000007</v>
          </cell>
        </row>
        <row r="101">
          <cell r="A101" t="str">
            <v>MAT,513</v>
          </cell>
          <cell r="B101" t="str">
            <v>Bordillo prefabricado A80 (800 x 200 x 350 mm)</v>
          </cell>
          <cell r="C101" t="str">
            <v>Un</v>
          </cell>
          <cell r="D101">
            <v>1</v>
          </cell>
          <cell r="E101">
            <v>28372.959999999999</v>
          </cell>
        </row>
        <row r="102">
          <cell r="A102" t="str">
            <v>MAT,545</v>
          </cell>
          <cell r="B102" t="str">
            <v>Breaker 3 X 100A Qcx-3100N</v>
          </cell>
          <cell r="C102" t="str">
            <v>Un</v>
          </cell>
          <cell r="D102">
            <v>1</v>
          </cell>
          <cell r="E102">
            <v>133840</v>
          </cell>
        </row>
        <row r="103">
          <cell r="A103" t="str">
            <v>MAT,056</v>
          </cell>
          <cell r="B103" t="str">
            <v>Breaker monofásico de 60A</v>
          </cell>
          <cell r="C103" t="str">
            <v>Un</v>
          </cell>
          <cell r="D103">
            <v>1</v>
          </cell>
          <cell r="E103">
            <v>12656</v>
          </cell>
        </row>
        <row r="104">
          <cell r="A104" t="str">
            <v>MAT,057</v>
          </cell>
          <cell r="B104" t="str">
            <v>Buggy liviano antipinchazo 6 pies3</v>
          </cell>
          <cell r="C104" t="str">
            <v>Un</v>
          </cell>
          <cell r="D104">
            <v>1</v>
          </cell>
          <cell r="E104">
            <v>249026.4</v>
          </cell>
        </row>
        <row r="105">
          <cell r="A105" t="str">
            <v>MAT,058</v>
          </cell>
          <cell r="B105" t="str">
            <v>Caballete canaleta 90 articulado (ambos) l = 0.91 m</v>
          </cell>
          <cell r="C105" t="str">
            <v>M</v>
          </cell>
          <cell r="D105">
            <v>1</v>
          </cell>
          <cell r="E105">
            <v>52402.559999999998</v>
          </cell>
        </row>
        <row r="106">
          <cell r="A106" t="str">
            <v>MAT,059</v>
          </cell>
          <cell r="B106" t="str">
            <v>Caballete canaleta 90 fijo</v>
          </cell>
          <cell r="C106" t="str">
            <v>M</v>
          </cell>
          <cell r="D106">
            <v>1</v>
          </cell>
          <cell r="E106">
            <v>40418.559999999998</v>
          </cell>
        </row>
        <row r="107">
          <cell r="A107" t="str">
            <v>MAT,553</v>
          </cell>
          <cell r="B107" t="str">
            <v>Caballete teja ondulada fibrocemento tipo español articulado 2 piezas</v>
          </cell>
          <cell r="C107" t="str">
            <v>M</v>
          </cell>
          <cell r="D107">
            <v>1</v>
          </cell>
          <cell r="E107">
            <v>77638.399999999994</v>
          </cell>
        </row>
        <row r="108">
          <cell r="A108" t="str">
            <v>MAT,554</v>
          </cell>
          <cell r="B108" t="str">
            <v>Caballete teja ondulada fibrocemento fijo l = 0,873 m</v>
          </cell>
          <cell r="C108" t="str">
            <v>M</v>
          </cell>
          <cell r="D108">
            <v>1</v>
          </cell>
          <cell r="E108">
            <v>49748.160000000003</v>
          </cell>
        </row>
        <row r="109">
          <cell r="A109" t="str">
            <v>MAT,060</v>
          </cell>
          <cell r="B109" t="str">
            <v>Caballete thermoacustic</v>
          </cell>
          <cell r="C109" t="str">
            <v>M</v>
          </cell>
          <cell r="D109">
            <v>1</v>
          </cell>
          <cell r="E109">
            <v>76314.559999999998</v>
          </cell>
        </row>
        <row r="110">
          <cell r="A110" t="str">
            <v>MAT,061</v>
          </cell>
          <cell r="B110" t="str">
            <v>Calados de 20 x 20 x 10 cm en gres</v>
          </cell>
          <cell r="C110" t="str">
            <v>Un</v>
          </cell>
          <cell r="D110">
            <v>1</v>
          </cell>
          <cell r="E110">
            <v>2688</v>
          </cell>
        </row>
        <row r="111">
          <cell r="A111" t="str">
            <v>MAT,555</v>
          </cell>
          <cell r="B111" t="str">
            <v>Calados en concreto 12 x 20 x 40 (12 un/m2)</v>
          </cell>
          <cell r="C111" t="str">
            <v>M2</v>
          </cell>
          <cell r="D111">
            <v>1</v>
          </cell>
          <cell r="E111">
            <v>55802.879999999997</v>
          </cell>
        </row>
        <row r="112">
          <cell r="A112" t="str">
            <v>MAT,062</v>
          </cell>
          <cell r="B112" t="str">
            <v>Cañabrava</v>
          </cell>
          <cell r="C112" t="str">
            <v>Un</v>
          </cell>
          <cell r="D112">
            <v>1</v>
          </cell>
          <cell r="E112">
            <v>7392</v>
          </cell>
        </row>
        <row r="113">
          <cell r="A113" t="str">
            <v>MAT,548</v>
          </cell>
          <cell r="B113" t="str">
            <v>Canaleta 90 fibrocemento</v>
          </cell>
          <cell r="C113" t="str">
            <v>M2</v>
          </cell>
          <cell r="D113">
            <v>1</v>
          </cell>
          <cell r="E113">
            <v>47910.260160000005</v>
          </cell>
        </row>
        <row r="114">
          <cell r="A114" t="str">
            <v>MAT,522</v>
          </cell>
          <cell r="B114" t="str">
            <v>Canal D = 60 cm de 2,4 m calibre 26</v>
          </cell>
          <cell r="C114" t="str">
            <v>Un</v>
          </cell>
          <cell r="D114">
            <v>1</v>
          </cell>
          <cell r="E114">
            <v>7717.92</v>
          </cell>
        </row>
        <row r="115">
          <cell r="A115" t="str">
            <v>MAT,063</v>
          </cell>
          <cell r="B115" t="str">
            <v>Canal PVC Tipo amazonas o similar</v>
          </cell>
          <cell r="C115" t="str">
            <v>M</v>
          </cell>
          <cell r="D115">
            <v>1</v>
          </cell>
          <cell r="E115">
            <v>32816</v>
          </cell>
        </row>
        <row r="116">
          <cell r="A116" t="str">
            <v>MAT,064</v>
          </cell>
          <cell r="B116" t="str">
            <v>Capa plástica para adulto contra lluvia (1,50 x 2 m)</v>
          </cell>
          <cell r="C116" t="str">
            <v>Un</v>
          </cell>
          <cell r="D116">
            <v>1</v>
          </cell>
          <cell r="E116">
            <v>40208</v>
          </cell>
        </row>
        <row r="117">
          <cell r="A117" t="str">
            <v>MAT,654</v>
          </cell>
          <cell r="B117" t="str">
            <v>Captafaro</v>
          </cell>
          <cell r="C117" t="str">
            <v>Un</v>
          </cell>
          <cell r="D117">
            <v>1</v>
          </cell>
          <cell r="E117">
            <v>4650.24</v>
          </cell>
        </row>
        <row r="118">
          <cell r="A118" t="str">
            <v>MAT,065</v>
          </cell>
          <cell r="B118" t="str">
            <v>Carburo</v>
          </cell>
          <cell r="C118" t="str">
            <v>Kg</v>
          </cell>
          <cell r="D118">
            <v>1</v>
          </cell>
          <cell r="E118">
            <v>13496</v>
          </cell>
        </row>
        <row r="119">
          <cell r="A119" t="str">
            <v>MAT,066</v>
          </cell>
          <cell r="B119" t="str">
            <v>Casco tipo obrero</v>
          </cell>
          <cell r="C119" t="str">
            <v>Un</v>
          </cell>
          <cell r="D119">
            <v>1</v>
          </cell>
          <cell r="E119">
            <v>17708.32</v>
          </cell>
        </row>
        <row r="120">
          <cell r="A120" t="str">
            <v>MAT,525</v>
          </cell>
          <cell r="B120" t="str">
            <v>Casetón h = 0,30,  a = 0,65 m</v>
          </cell>
          <cell r="C120" t="str">
            <v>M</v>
          </cell>
          <cell r="D120">
            <v>1</v>
          </cell>
          <cell r="E120">
            <v>11200</v>
          </cell>
        </row>
        <row r="121">
          <cell r="A121" t="str">
            <v>MAT.546</v>
          </cell>
          <cell r="B121" t="str">
            <v>Casetón h = 0,35, a = 0,65 m</v>
          </cell>
          <cell r="C121" t="str">
            <v>M</v>
          </cell>
          <cell r="D121">
            <v>1</v>
          </cell>
          <cell r="E121">
            <v>13067.04</v>
          </cell>
        </row>
        <row r="122">
          <cell r="A122" t="str">
            <v>MAT,547</v>
          </cell>
          <cell r="B122" t="str">
            <v>Casetón h = 0,40, a = 0,65 m</v>
          </cell>
          <cell r="C122" t="str">
            <v>M</v>
          </cell>
          <cell r="D122">
            <v>1</v>
          </cell>
          <cell r="E122">
            <v>14932.96</v>
          </cell>
        </row>
        <row r="123">
          <cell r="A123" t="str">
            <v>MAT,520</v>
          </cell>
          <cell r="B123" t="str">
            <v>Casetón h = 0,45, a = 0,65 m</v>
          </cell>
          <cell r="C123" t="str">
            <v>M</v>
          </cell>
          <cell r="D123">
            <v>1</v>
          </cell>
          <cell r="E123">
            <v>16800</v>
          </cell>
        </row>
        <row r="124">
          <cell r="A124" t="str">
            <v>MAT,521</v>
          </cell>
          <cell r="B124" t="str">
            <v>Casetón h = 0,50, a = 0,65 m</v>
          </cell>
          <cell r="C124" t="str">
            <v>M</v>
          </cell>
          <cell r="D124">
            <v>1</v>
          </cell>
          <cell r="E124">
            <v>18667.04</v>
          </cell>
        </row>
        <row r="125">
          <cell r="A125" t="str">
            <v>MAT,067</v>
          </cell>
          <cell r="B125" t="str">
            <v>Cemento blanco</v>
          </cell>
          <cell r="C125" t="str">
            <v>Kg</v>
          </cell>
          <cell r="D125">
            <v>1</v>
          </cell>
          <cell r="E125">
            <v>1737.12</v>
          </cell>
        </row>
        <row r="126">
          <cell r="A126" t="str">
            <v>MAT,069</v>
          </cell>
          <cell r="B126" t="str">
            <v>Cepas, macollas o matas de pasto</v>
          </cell>
          <cell r="C126" t="str">
            <v>Un</v>
          </cell>
          <cell r="D126">
            <v>1</v>
          </cell>
          <cell r="E126">
            <v>1395.0720000000001</v>
          </cell>
        </row>
        <row r="127">
          <cell r="A127" t="str">
            <v>MAT,070</v>
          </cell>
          <cell r="B127" t="str">
            <v>Cera</v>
          </cell>
          <cell r="C127" t="str">
            <v>Lb</v>
          </cell>
          <cell r="D127">
            <v>1</v>
          </cell>
          <cell r="E127">
            <v>9400.16</v>
          </cell>
        </row>
        <row r="128">
          <cell r="A128" t="str">
            <v>MAT,071</v>
          </cell>
          <cell r="B128" t="str">
            <v>Cerámica blanca de 1ra. de 20,5 x 20,5 cm tipo Egeo</v>
          </cell>
          <cell r="C128" t="str">
            <v>M2</v>
          </cell>
          <cell r="D128">
            <v>1</v>
          </cell>
          <cell r="E128">
            <v>29260</v>
          </cell>
        </row>
        <row r="129">
          <cell r="A129" t="str">
            <v>MAT,072</v>
          </cell>
          <cell r="B129" t="str">
            <v>Cerámica color 1ra. de 25 x 25 cm tipo Macedonia</v>
          </cell>
          <cell r="C129" t="str">
            <v>M2</v>
          </cell>
          <cell r="D129">
            <v>1</v>
          </cell>
          <cell r="E129">
            <v>22437.408000000003</v>
          </cell>
        </row>
        <row r="130">
          <cell r="A130" t="str">
            <v>MAT,073</v>
          </cell>
          <cell r="B130" t="str">
            <v>Cerámica de 1ra. de 20 x 20 cm tipo Duratech</v>
          </cell>
          <cell r="C130" t="str">
            <v>M2</v>
          </cell>
          <cell r="D130">
            <v>1</v>
          </cell>
          <cell r="E130">
            <v>16016</v>
          </cell>
        </row>
        <row r="131">
          <cell r="A131" t="str">
            <v>MAT,074</v>
          </cell>
          <cell r="B131" t="str">
            <v>Cerámica de 1ra. de 20 x 20 cm tipo Ecocerámica</v>
          </cell>
          <cell r="C131" t="str">
            <v>M2</v>
          </cell>
          <cell r="D131">
            <v>1</v>
          </cell>
          <cell r="E131">
            <v>15842.4</v>
          </cell>
        </row>
        <row r="132">
          <cell r="A132" t="str">
            <v>MAT,075</v>
          </cell>
          <cell r="B132" t="str">
            <v>Cerámica de 1ra. de 40 x 40 cm tipo Mangle Euro-cerámica</v>
          </cell>
          <cell r="C132" t="str">
            <v>M2</v>
          </cell>
          <cell r="D132">
            <v>1</v>
          </cell>
          <cell r="E132">
            <v>24064.992000000002</v>
          </cell>
        </row>
        <row r="133">
          <cell r="A133" t="str">
            <v>MAT,076</v>
          </cell>
          <cell r="B133" t="str">
            <v>Cerámica de 1ra. trafico 4 de 32 x 32 cm tipo Terranova</v>
          </cell>
          <cell r="C133" t="str">
            <v>M2</v>
          </cell>
          <cell r="D133">
            <v>1</v>
          </cell>
          <cell r="E133">
            <v>32467.68</v>
          </cell>
        </row>
        <row r="134">
          <cell r="A134" t="str">
            <v>MAT,077</v>
          </cell>
          <cell r="B134" t="str">
            <v>Cerámica piso Antique 30.5 x 30.5 cm, tipo Alfa o similar, color blanco o beige</v>
          </cell>
          <cell r="C134" t="str">
            <v>M2</v>
          </cell>
          <cell r="D134">
            <v>1</v>
          </cell>
          <cell r="E134">
            <v>27216</v>
          </cell>
        </row>
        <row r="135">
          <cell r="A135" t="str">
            <v>MAT,078</v>
          </cell>
          <cell r="B135" t="str">
            <v>Cerámica tipo Terrazzo de 42,5 x 42,5 cm gris piso</v>
          </cell>
          <cell r="C135" t="str">
            <v>M2</v>
          </cell>
          <cell r="D135">
            <v>1</v>
          </cell>
          <cell r="E135">
            <v>61834.080000000002</v>
          </cell>
        </row>
        <row r="136">
          <cell r="A136" t="str">
            <v>MAT,079</v>
          </cell>
          <cell r="B136" t="str">
            <v>Cercha metálica 5 - 12 m, incluye anticorrosivo</v>
          </cell>
          <cell r="C136" t="str">
            <v>M</v>
          </cell>
          <cell r="D136">
            <v>1</v>
          </cell>
          <cell r="E136">
            <v>154039.20000000001</v>
          </cell>
        </row>
        <row r="137">
          <cell r="A137" t="str">
            <v>MAT,080</v>
          </cell>
          <cell r="B137" t="str">
            <v>Chalecos para obras banda reflectiva</v>
          </cell>
          <cell r="C137" t="str">
            <v>Un</v>
          </cell>
          <cell r="D137">
            <v>1</v>
          </cell>
          <cell r="E137">
            <v>18656.96</v>
          </cell>
        </row>
        <row r="138">
          <cell r="A138" t="str">
            <v>MAT,081</v>
          </cell>
          <cell r="B138" t="str">
            <v>Chapa de bola fina de madera Schlage o similar</v>
          </cell>
          <cell r="C138" t="str">
            <v>Un</v>
          </cell>
          <cell r="D138">
            <v>1</v>
          </cell>
          <cell r="E138">
            <v>47996.479999999996</v>
          </cell>
        </row>
        <row r="139">
          <cell r="A139" t="str">
            <v>MAT,082</v>
          </cell>
          <cell r="B139" t="str">
            <v>Chapa fina tipo Yale para portón de seguridad</v>
          </cell>
          <cell r="C139" t="str">
            <v>Un</v>
          </cell>
          <cell r="D139">
            <v>1</v>
          </cell>
          <cell r="E139">
            <v>69129.759999999995</v>
          </cell>
        </row>
        <row r="140">
          <cell r="A140" t="str">
            <v>MAT,083</v>
          </cell>
          <cell r="B140" t="str">
            <v>Cheque de 1 1/2" 200 psi</v>
          </cell>
          <cell r="C140" t="str">
            <v>Un</v>
          </cell>
          <cell r="D140">
            <v>1</v>
          </cell>
          <cell r="E140">
            <v>57064</v>
          </cell>
        </row>
        <row r="141">
          <cell r="A141" t="str">
            <v>MAT,084</v>
          </cell>
          <cell r="B141" t="str">
            <v>Cheque de 1"</v>
          </cell>
          <cell r="C141" t="str">
            <v>Un</v>
          </cell>
          <cell r="D141">
            <v>1</v>
          </cell>
          <cell r="E141">
            <v>44688</v>
          </cell>
        </row>
        <row r="142">
          <cell r="A142" t="str">
            <v>MAT,085</v>
          </cell>
          <cell r="B142" t="str">
            <v>Cheque de 1/2"</v>
          </cell>
          <cell r="C142" t="str">
            <v>Un</v>
          </cell>
          <cell r="D142">
            <v>1</v>
          </cell>
          <cell r="E142">
            <v>46357.919999999998</v>
          </cell>
        </row>
        <row r="143">
          <cell r="A143" t="str">
            <v>MAT,647</v>
          </cell>
          <cell r="B143" t="str">
            <v>Cheque de 1/2" en bronce fundido</v>
          </cell>
          <cell r="C143" t="str">
            <v>un</v>
          </cell>
          <cell r="D143">
            <v>1</v>
          </cell>
          <cell r="E143">
            <v>69664</v>
          </cell>
        </row>
        <row r="144">
          <cell r="A144" t="str">
            <v>MAT,644</v>
          </cell>
          <cell r="B144" t="str">
            <v>Cheque de 3/4" en bronce fundido</v>
          </cell>
          <cell r="C144" t="str">
            <v>un</v>
          </cell>
          <cell r="D144">
            <v>1</v>
          </cell>
          <cell r="E144">
            <v>69723.360000000001</v>
          </cell>
        </row>
        <row r="145">
          <cell r="A145" t="str">
            <v>MAT,648</v>
          </cell>
          <cell r="B145" t="str">
            <v>Cheque de 1" en bronce fundido</v>
          </cell>
          <cell r="C145" t="str">
            <v>un</v>
          </cell>
          <cell r="D145">
            <v>1</v>
          </cell>
          <cell r="E145">
            <v>139888</v>
          </cell>
        </row>
        <row r="146">
          <cell r="A146" t="str">
            <v>MAT,649</v>
          </cell>
          <cell r="B146" t="str">
            <v>Cheque de 1 1/2" en bronce fundido</v>
          </cell>
          <cell r="C146" t="str">
            <v>un</v>
          </cell>
          <cell r="D146">
            <v>1</v>
          </cell>
          <cell r="E146">
            <v>398944</v>
          </cell>
        </row>
        <row r="147">
          <cell r="A147" t="str">
            <v>MAT,086</v>
          </cell>
          <cell r="B147" t="str">
            <v>Cielo falso en aluminio anoloc e icopor perlita lisa</v>
          </cell>
          <cell r="C147" t="str">
            <v>M2</v>
          </cell>
          <cell r="D147">
            <v>1</v>
          </cell>
          <cell r="E147">
            <v>19188.96</v>
          </cell>
        </row>
        <row r="148">
          <cell r="A148" t="str">
            <v>MAT,087</v>
          </cell>
          <cell r="B148" t="str">
            <v>Cielo falso en aluminio anoloc e icopor perlita sintética</v>
          </cell>
          <cell r="C148" t="str">
            <v>M2</v>
          </cell>
          <cell r="D148">
            <v>1</v>
          </cell>
          <cell r="E148">
            <v>20137.599999999999</v>
          </cell>
        </row>
        <row r="149">
          <cell r="A149" t="str">
            <v>MAT,088</v>
          </cell>
          <cell r="B149" t="str">
            <v>Cielo falso en aluminio natural e icopor perlita lisa</v>
          </cell>
          <cell r="C149" t="str">
            <v>M2</v>
          </cell>
          <cell r="D149">
            <v>1</v>
          </cell>
          <cell r="E149">
            <v>8948.7999999999993</v>
          </cell>
        </row>
        <row r="150">
          <cell r="A150" t="str">
            <v>MAT,089</v>
          </cell>
          <cell r="B150" t="str">
            <v>Cielo falso en aluminio natural e icopor perlita sintética</v>
          </cell>
          <cell r="C150" t="str">
            <v>M2</v>
          </cell>
          <cell r="D150">
            <v>1</v>
          </cell>
          <cell r="E150">
            <v>17897.599999999999</v>
          </cell>
        </row>
        <row r="151">
          <cell r="A151" t="str">
            <v>MAT,090</v>
          </cell>
          <cell r="B151" t="str">
            <v>Cielo falso en luxalón</v>
          </cell>
          <cell r="C151" t="str">
            <v>M2</v>
          </cell>
          <cell r="D151">
            <v>1</v>
          </cell>
          <cell r="E151">
            <v>314007.45600000001</v>
          </cell>
        </row>
        <row r="152">
          <cell r="A152" t="str">
            <v>MAT,091</v>
          </cell>
          <cell r="B152" t="str">
            <v>Cinta aislante rollo 19 mm x 20 m 3/4</v>
          </cell>
          <cell r="C152" t="str">
            <v>Un</v>
          </cell>
          <cell r="D152">
            <v>1</v>
          </cell>
          <cell r="E152">
            <v>7075.04</v>
          </cell>
        </row>
        <row r="153">
          <cell r="A153" t="str">
            <v>MAT,092</v>
          </cell>
          <cell r="B153" t="str">
            <v>Cinta antideslizante de 25 mm</v>
          </cell>
          <cell r="C153" t="str">
            <v>M</v>
          </cell>
          <cell r="D153">
            <v>1</v>
          </cell>
          <cell r="E153">
            <v>8080.8</v>
          </cell>
        </row>
        <row r="154">
          <cell r="A154" t="str">
            <v>MAT,093</v>
          </cell>
          <cell r="B154" t="str">
            <v>Cinta bandit de 3/4"</v>
          </cell>
          <cell r="C154" t="str">
            <v>M</v>
          </cell>
          <cell r="D154">
            <v>1</v>
          </cell>
          <cell r="E154">
            <v>141.12</v>
          </cell>
        </row>
        <row r="155">
          <cell r="A155" t="str">
            <v>MAT,094</v>
          </cell>
          <cell r="B155" t="str">
            <v>Cinta de papel</v>
          </cell>
          <cell r="C155" t="str">
            <v>M</v>
          </cell>
          <cell r="D155">
            <v>1</v>
          </cell>
          <cell r="E155">
            <v>148.96</v>
          </cell>
        </row>
        <row r="156">
          <cell r="A156" t="str">
            <v>MAT,095</v>
          </cell>
          <cell r="B156" t="str">
            <v>Cinta de señalización Cal 6</v>
          </cell>
          <cell r="C156" t="str">
            <v>M</v>
          </cell>
          <cell r="D156">
            <v>1</v>
          </cell>
          <cell r="E156">
            <v>198.24</v>
          </cell>
        </row>
        <row r="157">
          <cell r="A157" t="str">
            <v>MAT,096</v>
          </cell>
          <cell r="B157" t="str">
            <v>Cinta de teflón 10 m</v>
          </cell>
          <cell r="C157" t="str">
            <v>Un</v>
          </cell>
          <cell r="D157">
            <v>1</v>
          </cell>
          <cell r="E157">
            <v>1680</v>
          </cell>
        </row>
        <row r="158">
          <cell r="A158" t="str">
            <v>MAT,097</v>
          </cell>
          <cell r="B158" t="str">
            <v>Cinta multiusos 15 cm de ancho, longitud 10 m</v>
          </cell>
          <cell r="C158" t="str">
            <v>Rollo</v>
          </cell>
          <cell r="D158">
            <v>1</v>
          </cell>
          <cell r="E158">
            <v>25648</v>
          </cell>
        </row>
        <row r="159">
          <cell r="A159" t="str">
            <v>MAT,098</v>
          </cell>
          <cell r="B159" t="str">
            <v>Cinta PVC V - 10</v>
          </cell>
          <cell r="C159" t="str">
            <v>M</v>
          </cell>
          <cell r="D159">
            <v>1</v>
          </cell>
          <cell r="E159">
            <v>20977.599999999999</v>
          </cell>
        </row>
        <row r="160">
          <cell r="A160" t="str">
            <v>MAT,099</v>
          </cell>
          <cell r="B160" t="str">
            <v>Cinta PVC V - 15</v>
          </cell>
          <cell r="C160" t="str">
            <v>M</v>
          </cell>
          <cell r="D160">
            <v>1</v>
          </cell>
          <cell r="E160">
            <v>36960</v>
          </cell>
        </row>
        <row r="161">
          <cell r="A161" t="str">
            <v>MAT,100</v>
          </cell>
          <cell r="B161" t="str">
            <v>Codo de HG 2" x 90º</v>
          </cell>
          <cell r="C161" t="str">
            <v>Un</v>
          </cell>
          <cell r="D161">
            <v>1</v>
          </cell>
          <cell r="E161">
            <v>10080</v>
          </cell>
        </row>
        <row r="162">
          <cell r="A162" t="str">
            <v>MAT,101</v>
          </cell>
          <cell r="B162" t="str">
            <v>Codo de HG 3" x 90º</v>
          </cell>
          <cell r="C162" t="str">
            <v>Un</v>
          </cell>
          <cell r="D162">
            <v>1</v>
          </cell>
          <cell r="E162">
            <v>38080</v>
          </cell>
        </row>
        <row r="163">
          <cell r="A163" t="str">
            <v>MAT,102</v>
          </cell>
          <cell r="B163" t="str">
            <v>Collar de derivación unión platino de 2 1/2" x 1/2"</v>
          </cell>
          <cell r="C163" t="str">
            <v>Un</v>
          </cell>
          <cell r="D163">
            <v>1</v>
          </cell>
          <cell r="E163">
            <v>10304</v>
          </cell>
        </row>
        <row r="164">
          <cell r="A164" t="str">
            <v>MAT,103</v>
          </cell>
          <cell r="B164" t="str">
            <v>Collar de derivación unión platino de 2" x 1/2"</v>
          </cell>
          <cell r="C164" t="str">
            <v>Un</v>
          </cell>
          <cell r="D164">
            <v>1</v>
          </cell>
          <cell r="E164">
            <v>21168</v>
          </cell>
        </row>
        <row r="165">
          <cell r="A165" t="str">
            <v>MAT,104</v>
          </cell>
          <cell r="B165" t="str">
            <v>Collar de derivación unión platino de 3" x 1/2"</v>
          </cell>
          <cell r="C165" t="str">
            <v>Un</v>
          </cell>
          <cell r="D165">
            <v>1</v>
          </cell>
          <cell r="E165">
            <v>24640</v>
          </cell>
        </row>
        <row r="166">
          <cell r="A166" t="str">
            <v>MAT,105</v>
          </cell>
          <cell r="B166" t="str">
            <v>Collar de derivación unión platino de 4" x 1/2"</v>
          </cell>
          <cell r="C166" t="str">
            <v>Un</v>
          </cell>
          <cell r="D166">
            <v>1</v>
          </cell>
          <cell r="E166">
            <v>77306.880000000005</v>
          </cell>
        </row>
        <row r="167">
          <cell r="A167" t="str">
            <v>MAT,556</v>
          </cell>
          <cell r="B167" t="str">
            <v>Claraboya de fibrocemento Nº 6 l = 1,690 a = 0,873 m</v>
          </cell>
          <cell r="C167" t="str">
            <v>Un</v>
          </cell>
          <cell r="D167">
            <v>1</v>
          </cell>
          <cell r="E167">
            <v>89096</v>
          </cell>
        </row>
        <row r="168">
          <cell r="A168" t="str">
            <v>MAT,106</v>
          </cell>
          <cell r="B168" t="str">
            <v>Columpio de 2 puestos pórtico en tubo de 1 1/2" por 2.50 m, columpios en cadena y sillines en lona, Incluye anticorrosivo y pintura en esmalte para exteriores. Altura = 2 m</v>
          </cell>
          <cell r="C168" t="str">
            <v>Un</v>
          </cell>
          <cell r="D168">
            <v>1</v>
          </cell>
          <cell r="E168">
            <v>1599360</v>
          </cell>
        </row>
        <row r="169">
          <cell r="A169" t="str">
            <v>MAT,107</v>
          </cell>
          <cell r="B169" t="str">
            <v>Columpio de 3 puestos pórtico en tubo de 1 1/2" por 2.50 m, columpios en cadena y sillines en lona, Incluye anticorrosivo y pintura en esmalte para exteriores. Altura = 2 m</v>
          </cell>
          <cell r="C169" t="str">
            <v>Un</v>
          </cell>
          <cell r="D169">
            <v>1</v>
          </cell>
          <cell r="E169">
            <v>2015238.4</v>
          </cell>
        </row>
        <row r="170">
          <cell r="A170" t="str">
            <v>MAT,108</v>
          </cell>
          <cell r="B170" t="str">
            <v>Combiflex H-10 cinta</v>
          </cell>
          <cell r="C170" t="str">
            <v>M</v>
          </cell>
          <cell r="D170">
            <v>1</v>
          </cell>
          <cell r="E170">
            <v>58360.511999999995</v>
          </cell>
        </row>
        <row r="171">
          <cell r="A171" t="str">
            <v>MAT,501</v>
          </cell>
          <cell r="B171" t="str">
            <v>Concreto premezclado de 27,6 Mpa o MR 4,1 Mpa para pavimento</v>
          </cell>
          <cell r="C171" t="str">
            <v>M3</v>
          </cell>
          <cell r="D171">
            <v>1</v>
          </cell>
          <cell r="E171">
            <v>394508.79999999999</v>
          </cell>
        </row>
        <row r="172">
          <cell r="A172" t="str">
            <v>MAT,506</v>
          </cell>
          <cell r="B172" t="str">
            <v>Concreto premezclado de 20,7 Mpa</v>
          </cell>
          <cell r="C172" t="str">
            <v>M3</v>
          </cell>
          <cell r="D172">
            <v>1</v>
          </cell>
          <cell r="E172">
            <v>410226.88</v>
          </cell>
        </row>
        <row r="173">
          <cell r="A173" t="str">
            <v>MAT,363</v>
          </cell>
          <cell r="B173" t="str">
            <v>Concertina inoxidable d = 18" 33 espirales por rollo con e = 100 mm</v>
          </cell>
          <cell r="C173" t="str">
            <v>M</v>
          </cell>
          <cell r="D173">
            <v>1</v>
          </cell>
          <cell r="E173">
            <v>2033.92</v>
          </cell>
        </row>
        <row r="174">
          <cell r="A174" t="str">
            <v>MAT,109</v>
          </cell>
          <cell r="B174" t="str">
            <v>Conjunto desagüe flexible para lavadero de 1 1/2" con canastillas</v>
          </cell>
          <cell r="C174" t="str">
            <v>Un</v>
          </cell>
          <cell r="D174">
            <v>1</v>
          </cell>
          <cell r="E174">
            <v>17808</v>
          </cell>
        </row>
        <row r="175">
          <cell r="A175" t="str">
            <v>MAT,110</v>
          </cell>
          <cell r="B175" t="str">
            <v>Conjunto fijador de ala arandela</v>
          </cell>
          <cell r="C175" t="str">
            <v>Un</v>
          </cell>
          <cell r="D175">
            <v>1</v>
          </cell>
          <cell r="E175">
            <v>267.3888</v>
          </cell>
        </row>
        <row r="176">
          <cell r="A176" t="str">
            <v>MAT,111</v>
          </cell>
          <cell r="B176" t="str">
            <v>Conos viales de 70 cm Norma Invías Cap. IV</v>
          </cell>
          <cell r="C176" t="str">
            <v>Un</v>
          </cell>
          <cell r="D176">
            <v>1</v>
          </cell>
          <cell r="E176">
            <v>73255.839999999997</v>
          </cell>
        </row>
        <row r="177">
          <cell r="A177" t="str">
            <v>MAT,112</v>
          </cell>
          <cell r="B177" t="str">
            <v>Cordón detonante de 12 gm (Rollo * 250 m)</v>
          </cell>
          <cell r="C177" t="str">
            <v>M</v>
          </cell>
          <cell r="D177">
            <v>1</v>
          </cell>
          <cell r="E177">
            <v>2441.3760000000002</v>
          </cell>
        </row>
        <row r="178">
          <cell r="A178" t="str">
            <v>MAT,518</v>
          </cell>
          <cell r="B178" t="str">
            <v>Correa metálica 1 - 4  m, incluye templete y anticorrosivo</v>
          </cell>
          <cell r="C178" t="str">
            <v>M</v>
          </cell>
          <cell r="D178">
            <v>1</v>
          </cell>
          <cell r="E178">
            <v>72078.720000000001</v>
          </cell>
        </row>
        <row r="179">
          <cell r="A179" t="str">
            <v>MAT,113</v>
          </cell>
          <cell r="B179" t="str">
            <v>Correa metálica 4 - 8  m, incluye templete y anticorrosivo</v>
          </cell>
          <cell r="C179" t="str">
            <v>M</v>
          </cell>
          <cell r="D179">
            <v>1</v>
          </cell>
          <cell r="E179">
            <v>86029.440000000002</v>
          </cell>
        </row>
        <row r="180">
          <cell r="A180" t="str">
            <v>MAT,114</v>
          </cell>
          <cell r="B180" t="str">
            <v>Cruces de HG 2"</v>
          </cell>
          <cell r="C180" t="str">
            <v>Un</v>
          </cell>
          <cell r="D180">
            <v>1</v>
          </cell>
          <cell r="E180">
            <v>56000</v>
          </cell>
        </row>
        <row r="181">
          <cell r="A181" t="str">
            <v>MAT,115</v>
          </cell>
          <cell r="B181" t="str">
            <v>Cruces de HG 3"</v>
          </cell>
          <cell r="C181" t="str">
            <v>Un</v>
          </cell>
          <cell r="D181">
            <v>1</v>
          </cell>
          <cell r="E181">
            <v>84646.24</v>
          </cell>
        </row>
        <row r="182">
          <cell r="A182" t="str">
            <v>MAT,557</v>
          </cell>
          <cell r="B182" t="str">
            <v>Cubierta en acero inoxidable para mesón cocineta, incluye poceta y grifería completa l= 2,00 m a = 0.60 m</v>
          </cell>
          <cell r="C182" t="str">
            <v>M</v>
          </cell>
          <cell r="D182">
            <v>1</v>
          </cell>
          <cell r="E182">
            <v>605472</v>
          </cell>
        </row>
        <row r="183">
          <cell r="A183" t="str">
            <v>MAT,558</v>
          </cell>
          <cell r="B183" t="str">
            <v>Curva Conduit PVC 1/2"</v>
          </cell>
          <cell r="C183" t="str">
            <v>Un</v>
          </cell>
          <cell r="D183">
            <v>1</v>
          </cell>
          <cell r="E183">
            <v>980</v>
          </cell>
        </row>
        <row r="184">
          <cell r="A184" t="str">
            <v>MAT,116</v>
          </cell>
          <cell r="B184" t="str">
            <v>Cuartón de sajo 2" x 4" x 2,9 m</v>
          </cell>
          <cell r="C184" t="str">
            <v>M</v>
          </cell>
          <cell r="D184">
            <v>1</v>
          </cell>
          <cell r="E184">
            <v>5860.96</v>
          </cell>
        </row>
        <row r="185">
          <cell r="A185" t="str">
            <v>MAT,117</v>
          </cell>
          <cell r="B185" t="str">
            <v>Defensa metálica de 4,13 m galvanizada</v>
          </cell>
          <cell r="C185" t="str">
            <v>M</v>
          </cell>
          <cell r="D185">
            <v>1</v>
          </cell>
          <cell r="E185">
            <v>274364.15999999997</v>
          </cell>
        </row>
        <row r="186">
          <cell r="A186" t="str">
            <v>MAT,118</v>
          </cell>
          <cell r="B186" t="str">
            <v>Detonador común Nº 8 aluminio Sh</v>
          </cell>
          <cell r="C186" t="str">
            <v>Un</v>
          </cell>
          <cell r="D186">
            <v>1</v>
          </cell>
          <cell r="E186">
            <v>1860.096</v>
          </cell>
        </row>
        <row r="187">
          <cell r="A187" t="str">
            <v>MAT,119</v>
          </cell>
          <cell r="B187" t="str">
            <v>Dilatación de bronce</v>
          </cell>
          <cell r="C187" t="str">
            <v>M</v>
          </cell>
          <cell r="D187">
            <v>1</v>
          </cell>
          <cell r="E187">
            <v>11536</v>
          </cell>
        </row>
        <row r="188">
          <cell r="A188" t="str">
            <v>MAT,120</v>
          </cell>
          <cell r="B188" t="str">
            <v>Dilatación de vidrio</v>
          </cell>
          <cell r="C188" t="str">
            <v>M</v>
          </cell>
          <cell r="D188">
            <v>1</v>
          </cell>
          <cell r="E188">
            <v>2240</v>
          </cell>
        </row>
        <row r="189">
          <cell r="A189" t="str">
            <v>MAT,121</v>
          </cell>
          <cell r="B189" t="str">
            <v>Dilatación PVC flexible ancha x 2 m</v>
          </cell>
          <cell r="C189" t="str">
            <v>M</v>
          </cell>
          <cell r="D189">
            <v>1</v>
          </cell>
          <cell r="E189">
            <v>4816</v>
          </cell>
        </row>
        <row r="190">
          <cell r="A190" t="str">
            <v>MAT,122</v>
          </cell>
          <cell r="B190" t="str">
            <v>Dinamita Indugel Plus AP Tipo B 26 x 250</v>
          </cell>
          <cell r="C190" t="str">
            <v>Kg</v>
          </cell>
          <cell r="D190">
            <v>1</v>
          </cell>
          <cell r="E190">
            <v>17438.400000000001</v>
          </cell>
        </row>
        <row r="191">
          <cell r="A191" t="str">
            <v>MAT,123</v>
          </cell>
          <cell r="B191" t="str">
            <v>Disolvente esmalte Rf121001</v>
          </cell>
          <cell r="C191" t="str">
            <v>Lt</v>
          </cell>
          <cell r="D191">
            <v>1</v>
          </cell>
          <cell r="E191">
            <v>8489.6</v>
          </cell>
        </row>
        <row r="192">
          <cell r="A192" t="str">
            <v>MAT,124</v>
          </cell>
          <cell r="B192" t="str">
            <v>Disolvente Pintráfico Rf121004</v>
          </cell>
          <cell r="C192" t="str">
            <v>Lt</v>
          </cell>
          <cell r="D192">
            <v>1</v>
          </cell>
          <cell r="E192">
            <v>36216.32</v>
          </cell>
        </row>
        <row r="193">
          <cell r="A193" t="str">
            <v>MAT,125</v>
          </cell>
          <cell r="B193" t="str">
            <v>Disolvente tableros Rf 121006</v>
          </cell>
          <cell r="C193" t="str">
            <v>Lt</v>
          </cell>
          <cell r="D193">
            <v>1</v>
          </cell>
          <cell r="E193">
            <v>8212.9599999999991</v>
          </cell>
        </row>
        <row r="194">
          <cell r="A194" t="str">
            <v>MAT,530</v>
          </cell>
          <cell r="B194" t="str">
            <v xml:space="preserve">División metálica en acero inoxidable </v>
          </cell>
          <cell r="C194" t="str">
            <v>M2</v>
          </cell>
          <cell r="D194">
            <v>1</v>
          </cell>
          <cell r="E194">
            <v>581280</v>
          </cell>
        </row>
        <row r="195">
          <cell r="A195" t="str">
            <v>MAT,126</v>
          </cell>
          <cell r="B195" t="str">
            <v>División para baño en aluminio anoloc y acrílico</v>
          </cell>
          <cell r="C195" t="str">
            <v>M2</v>
          </cell>
          <cell r="D195">
            <v>1</v>
          </cell>
          <cell r="E195">
            <v>442400</v>
          </cell>
        </row>
        <row r="196">
          <cell r="A196" t="str">
            <v>MAT,127</v>
          </cell>
          <cell r="B196" t="str">
            <v>Ducha antivándalica regadera tubular corta, incluye grifería tipo push</v>
          </cell>
          <cell r="C196" t="str">
            <v>Un</v>
          </cell>
          <cell r="D196">
            <v>1</v>
          </cell>
          <cell r="E196">
            <v>591248</v>
          </cell>
        </row>
        <row r="197">
          <cell r="A197" t="str">
            <v>MAT,128</v>
          </cell>
          <cell r="B197" t="str">
            <v>Emulsión para pavimento asfáltico CRR 1</v>
          </cell>
          <cell r="C197" t="str">
            <v>Gl</v>
          </cell>
          <cell r="D197">
            <v>1</v>
          </cell>
          <cell r="E197">
            <v>7588</v>
          </cell>
        </row>
        <row r="198">
          <cell r="A198" t="str">
            <v>MAT,129</v>
          </cell>
          <cell r="B198" t="str">
            <v>Esquinero cielorraso fino</v>
          </cell>
          <cell r="C198" t="str">
            <v>M</v>
          </cell>
          <cell r="D198">
            <v>1</v>
          </cell>
          <cell r="E198">
            <v>1743.84</v>
          </cell>
        </row>
        <row r="199">
          <cell r="A199" t="str">
            <v>MAT,130</v>
          </cell>
          <cell r="B199" t="str">
            <v>Esquinero cielorraso revoltura</v>
          </cell>
          <cell r="C199" t="str">
            <v>M</v>
          </cell>
          <cell r="D199">
            <v>1</v>
          </cell>
          <cell r="E199">
            <v>1046.3040000000001</v>
          </cell>
        </row>
        <row r="200">
          <cell r="A200" t="str">
            <v>MAT,131</v>
          </cell>
          <cell r="B200" t="str">
            <v>Estacas de guadua</v>
          </cell>
          <cell r="C200" t="str">
            <v>Un</v>
          </cell>
          <cell r="D200">
            <v>1</v>
          </cell>
          <cell r="E200">
            <v>6160</v>
          </cell>
        </row>
        <row r="201">
          <cell r="A201" t="str">
            <v>MAT,132</v>
          </cell>
          <cell r="B201" t="str">
            <v>Esterilla</v>
          </cell>
          <cell r="C201" t="str">
            <v>Un</v>
          </cell>
          <cell r="D201">
            <v>1</v>
          </cell>
          <cell r="E201">
            <v>8232</v>
          </cell>
        </row>
        <row r="202">
          <cell r="A202" t="str">
            <v>MAT,133</v>
          </cell>
          <cell r="B202" t="str">
            <v>Estopa</v>
          </cell>
          <cell r="C202" t="str">
            <v>Un</v>
          </cell>
          <cell r="D202">
            <v>1</v>
          </cell>
          <cell r="E202">
            <v>560</v>
          </cell>
        </row>
        <row r="203">
          <cell r="A203" t="str">
            <v>MAT,559</v>
          </cell>
          <cell r="B203" t="str">
            <v>Espejo de 4 mm biselado incluye accesorios de instalación</v>
          </cell>
          <cell r="C203" t="str">
            <v>M2</v>
          </cell>
          <cell r="D203">
            <v>1</v>
          </cell>
          <cell r="E203">
            <v>136904.22816</v>
          </cell>
        </row>
        <row r="204">
          <cell r="A204" t="str">
            <v>MAT,134</v>
          </cell>
          <cell r="B204" t="str">
            <v>Estuco (25 Kg)</v>
          </cell>
          <cell r="C204" t="str">
            <v>Kg</v>
          </cell>
          <cell r="D204">
            <v>1</v>
          </cell>
          <cell r="E204">
            <v>1221.92</v>
          </cell>
        </row>
        <row r="205">
          <cell r="A205" t="str">
            <v>MAT,135</v>
          </cell>
          <cell r="B205" t="str">
            <v>Estuco listo</v>
          </cell>
          <cell r="C205" t="str">
            <v>Kg</v>
          </cell>
          <cell r="D205">
            <v>1</v>
          </cell>
          <cell r="E205">
            <v>1536.6399999999999</v>
          </cell>
        </row>
        <row r="206">
          <cell r="A206" t="str">
            <v>MAT,136</v>
          </cell>
          <cell r="B206" t="str">
            <v>Estuco para exteriores</v>
          </cell>
          <cell r="C206" t="str">
            <v>Gl</v>
          </cell>
          <cell r="D206">
            <v>1</v>
          </cell>
          <cell r="E206">
            <v>15604.96</v>
          </cell>
        </row>
        <row r="207">
          <cell r="A207" t="str">
            <v>MAT,137</v>
          </cell>
          <cell r="B207" t="str">
            <v>Face plate doble</v>
          </cell>
          <cell r="C207" t="str">
            <v>Un</v>
          </cell>
          <cell r="D207">
            <v>1</v>
          </cell>
          <cell r="E207">
            <v>22288</v>
          </cell>
        </row>
        <row r="208">
          <cell r="A208" t="str">
            <v>MAT,138</v>
          </cell>
          <cell r="B208" t="str">
            <v>Fachaleta roja 7 x 25 30 u/m2</v>
          </cell>
          <cell r="C208" t="str">
            <v>M2</v>
          </cell>
          <cell r="D208">
            <v>1</v>
          </cell>
          <cell r="E208">
            <v>27440</v>
          </cell>
        </row>
        <row r="209">
          <cell r="A209" t="str">
            <v>MAT,139</v>
          </cell>
          <cell r="B209" t="str">
            <v>Fertilizante</v>
          </cell>
          <cell r="C209" t="str">
            <v>Kg</v>
          </cell>
          <cell r="D209">
            <v>1</v>
          </cell>
          <cell r="E209">
            <v>2016</v>
          </cell>
        </row>
        <row r="210">
          <cell r="A210" t="str">
            <v>MAT,140</v>
          </cell>
          <cell r="B210" t="str">
            <v>Fijador de ala canaleta 90</v>
          </cell>
          <cell r="C210" t="str">
            <v>Un</v>
          </cell>
          <cell r="D210">
            <v>1</v>
          </cell>
          <cell r="E210">
            <v>9104.48</v>
          </cell>
        </row>
        <row r="211">
          <cell r="A211" t="str">
            <v>MAT,141</v>
          </cell>
          <cell r="B211" t="str">
            <v>Fijador de cerámica</v>
          </cell>
          <cell r="C211" t="str">
            <v>Kg</v>
          </cell>
          <cell r="D211">
            <v>1</v>
          </cell>
          <cell r="E211">
            <v>4368</v>
          </cell>
        </row>
        <row r="212">
          <cell r="A212" t="str">
            <v>MAT,142</v>
          </cell>
          <cell r="B212" t="str">
            <v>Filtro anaerobio de flujo ascendente en polietileno 100 % virgen, capacidad 2,000 lt</v>
          </cell>
          <cell r="C212" t="str">
            <v>Un</v>
          </cell>
          <cell r="D212">
            <v>1</v>
          </cell>
          <cell r="E212">
            <v>2871883.5936000003</v>
          </cell>
        </row>
        <row r="213">
          <cell r="A213" t="str">
            <v>MAT,143</v>
          </cell>
          <cell r="B213" t="str">
            <v>Filtro anaerobio de flujo ascendente en polietileno 100 % virgen, capacidad 4,000 lt</v>
          </cell>
          <cell r="C213" t="str">
            <v>Un</v>
          </cell>
          <cell r="D213">
            <v>1</v>
          </cell>
          <cell r="E213">
            <v>6897177.8399999999</v>
          </cell>
        </row>
        <row r="214">
          <cell r="A214" t="str">
            <v>MAT,144</v>
          </cell>
          <cell r="B214" t="str">
            <v>Flexocreto</v>
          </cell>
          <cell r="C214" t="str">
            <v>M2</v>
          </cell>
          <cell r="D214">
            <v>1</v>
          </cell>
          <cell r="E214">
            <v>8367.52</v>
          </cell>
        </row>
        <row r="215">
          <cell r="A215" t="str">
            <v>MAT,145</v>
          </cell>
          <cell r="B215" t="str">
            <v>Fluidificante para mezclas de concreto</v>
          </cell>
          <cell r="C215" t="str">
            <v>Kg</v>
          </cell>
          <cell r="D215">
            <v>1</v>
          </cell>
          <cell r="E215">
            <v>12897.92</v>
          </cell>
        </row>
        <row r="216">
          <cell r="A216" t="str">
            <v>MAT,146</v>
          </cell>
          <cell r="B216" t="str">
            <v>Fluxómetro de palanca sloan</v>
          </cell>
          <cell r="C216" t="str">
            <v>Un</v>
          </cell>
          <cell r="D216">
            <v>1</v>
          </cell>
          <cell r="E216">
            <v>988290.24</v>
          </cell>
        </row>
        <row r="217">
          <cell r="A217" t="str">
            <v>MAT,147</v>
          </cell>
          <cell r="B217" t="str">
            <v>Fluxómetro flujo ajustable, incluye accesorios</v>
          </cell>
          <cell r="C217" t="str">
            <v>Un</v>
          </cell>
          <cell r="D217">
            <v>1</v>
          </cell>
          <cell r="E217">
            <v>940688</v>
          </cell>
        </row>
        <row r="218">
          <cell r="A218" t="str">
            <v>MAT,148</v>
          </cell>
          <cell r="B218" t="str">
            <v>Formaleta tablemac 18 mm súper T o equivalente</v>
          </cell>
          <cell r="C218" t="str">
            <v>M2</v>
          </cell>
          <cell r="D218">
            <v>1</v>
          </cell>
          <cell r="E218">
            <v>62832</v>
          </cell>
        </row>
        <row r="219">
          <cell r="A219" t="str">
            <v>MAT,150</v>
          </cell>
          <cell r="B219" t="str">
            <v>Frescasa sin papel 2 1/2" x 15,24 x 1,22 m</v>
          </cell>
          <cell r="C219" t="str">
            <v>M2</v>
          </cell>
          <cell r="D219">
            <v>1</v>
          </cell>
          <cell r="E219">
            <v>29051.68</v>
          </cell>
        </row>
        <row r="220">
          <cell r="A220" t="str">
            <v>MAT,151</v>
          </cell>
          <cell r="B220" t="str">
            <v>Gabinete contra incendios completo tipo 3</v>
          </cell>
          <cell r="C220" t="str">
            <v>Un</v>
          </cell>
          <cell r="D220">
            <v>1</v>
          </cell>
          <cell r="E220">
            <v>767289.6</v>
          </cell>
        </row>
        <row r="221">
          <cell r="A221" t="str">
            <v>MAT,152</v>
          </cell>
          <cell r="B221" t="str">
            <v>Ganchos para teja ondulada de fibrocemento</v>
          </cell>
          <cell r="C221" t="str">
            <v>Un</v>
          </cell>
          <cell r="D221">
            <v>1</v>
          </cell>
          <cell r="E221">
            <v>693.28</v>
          </cell>
        </row>
        <row r="222">
          <cell r="A222" t="str">
            <v>MAT,153</v>
          </cell>
          <cell r="B222" t="str">
            <v>Gasolina</v>
          </cell>
          <cell r="C222" t="str">
            <v>Gl</v>
          </cell>
          <cell r="D222">
            <v>1</v>
          </cell>
          <cell r="E222">
            <v>11073.384</v>
          </cell>
        </row>
        <row r="223">
          <cell r="A223" t="str">
            <v>MAT,154</v>
          </cell>
          <cell r="B223" t="str">
            <v>Geodrén circular de 2 1/2" l = 1,00 m</v>
          </cell>
          <cell r="C223" t="str">
            <v>M2</v>
          </cell>
          <cell r="D223">
            <v>1</v>
          </cell>
          <cell r="E223">
            <v>112393.12</v>
          </cell>
        </row>
        <row r="224">
          <cell r="A224" t="str">
            <v>MAT,155</v>
          </cell>
          <cell r="B224" t="str">
            <v>Geodrén circular de 4" l = 1,00 m</v>
          </cell>
          <cell r="C224" t="str">
            <v>M2</v>
          </cell>
          <cell r="D224">
            <v>1</v>
          </cell>
          <cell r="E224">
            <v>91622.720000000001</v>
          </cell>
        </row>
        <row r="225">
          <cell r="A225" t="str">
            <v>MAT,156</v>
          </cell>
          <cell r="B225" t="str">
            <v>Geodrén circular de 6" l = 1,00 m</v>
          </cell>
          <cell r="C225" t="str">
            <v>M2</v>
          </cell>
          <cell r="D225">
            <v>1</v>
          </cell>
          <cell r="E225">
            <v>115475.36</v>
          </cell>
        </row>
        <row r="226">
          <cell r="A226" t="str">
            <v>MAT,157</v>
          </cell>
          <cell r="B226" t="str">
            <v>Geodrén circular de 8" l = 1,00 m</v>
          </cell>
          <cell r="C226" t="str">
            <v>M2</v>
          </cell>
          <cell r="D226">
            <v>1</v>
          </cell>
          <cell r="E226">
            <v>177312.8</v>
          </cell>
        </row>
        <row r="227">
          <cell r="A227" t="str">
            <v>MAT,158</v>
          </cell>
          <cell r="B227" t="str">
            <v>Geodrén planar l = 1,00 m</v>
          </cell>
          <cell r="C227" t="str">
            <v>M2</v>
          </cell>
          <cell r="D227">
            <v>1</v>
          </cell>
          <cell r="E227">
            <v>31896.48</v>
          </cell>
        </row>
        <row r="228">
          <cell r="A228" t="str">
            <v>MAT,159</v>
          </cell>
          <cell r="B228" t="str">
            <v>Geomalla BX 1200</v>
          </cell>
          <cell r="C228" t="str">
            <v>M2</v>
          </cell>
          <cell r="D228">
            <v>1</v>
          </cell>
          <cell r="E228">
            <v>8712.48</v>
          </cell>
        </row>
        <row r="229">
          <cell r="A229" t="str">
            <v>MAT,642</v>
          </cell>
          <cell r="B229" t="str">
            <v>Geotextil tejido 2.400 a = 3,85 m</v>
          </cell>
          <cell r="C229" t="str">
            <v>M2</v>
          </cell>
          <cell r="D229">
            <v>1</v>
          </cell>
          <cell r="E229">
            <v>10933.44</v>
          </cell>
        </row>
        <row r="230">
          <cell r="A230" t="str">
            <v>MAT,160</v>
          </cell>
          <cell r="B230" t="str">
            <v>Geotextil no tejido 1,600 a = 3,50 m</v>
          </cell>
          <cell r="C230" t="str">
            <v>M2</v>
          </cell>
          <cell r="D230">
            <v>1</v>
          </cell>
          <cell r="E230">
            <v>4346.8118400000003</v>
          </cell>
        </row>
        <row r="231">
          <cell r="A231" t="str">
            <v>MAT,161</v>
          </cell>
          <cell r="B231" t="str">
            <v>Geotextil Repav 450</v>
          </cell>
          <cell r="C231" t="str">
            <v>M2</v>
          </cell>
          <cell r="D231">
            <v>1</v>
          </cell>
          <cell r="E231">
            <v>4970.5599999999995</v>
          </cell>
        </row>
        <row r="232">
          <cell r="A232" t="str">
            <v>MAT,162</v>
          </cell>
          <cell r="B232" t="str">
            <v>Grafil 5,5 mm</v>
          </cell>
          <cell r="C232" t="str">
            <v>Kg</v>
          </cell>
          <cell r="D232">
            <v>1</v>
          </cell>
          <cell r="E232">
            <v>6899.2</v>
          </cell>
        </row>
        <row r="233">
          <cell r="A233" t="str">
            <v>MAT,645</v>
          </cell>
          <cell r="B233" t="str">
            <v>Granito N° 1, 2, 3 por 25 Kg</v>
          </cell>
          <cell r="C233" t="str">
            <v>Sc</v>
          </cell>
          <cell r="D233">
            <v>1</v>
          </cell>
          <cell r="E233">
            <v>16660</v>
          </cell>
        </row>
        <row r="234">
          <cell r="A234" t="str">
            <v>MAT,163</v>
          </cell>
          <cell r="B234" t="str">
            <v>Graniplast (cuñete de 5 galones)</v>
          </cell>
          <cell r="C234" t="str">
            <v>Cñ</v>
          </cell>
          <cell r="D234">
            <v>1</v>
          </cell>
          <cell r="E234">
            <v>119732.48</v>
          </cell>
        </row>
        <row r="235">
          <cell r="A235" t="str">
            <v>MAT,164</v>
          </cell>
          <cell r="B235" t="str">
            <v>Grapas</v>
          </cell>
          <cell r="C235" t="str">
            <v>Kg</v>
          </cell>
          <cell r="D235">
            <v>1</v>
          </cell>
          <cell r="E235">
            <v>7616</v>
          </cell>
        </row>
        <row r="236">
          <cell r="A236" t="str">
            <v>MAT,165</v>
          </cell>
          <cell r="B236" t="str">
            <v>Gravilla #2 saco x 20 Kg</v>
          </cell>
          <cell r="C236" t="str">
            <v>Sc</v>
          </cell>
          <cell r="D236">
            <v>1</v>
          </cell>
          <cell r="E236">
            <v>11625.6</v>
          </cell>
        </row>
        <row r="237">
          <cell r="A237" t="str">
            <v>MAT,640</v>
          </cell>
          <cell r="B237" t="str">
            <v>Grifería de empotrar corta línea antivandálica, incluye válvula tipo push</v>
          </cell>
          <cell r="C237" t="str">
            <v>Un</v>
          </cell>
          <cell r="D237">
            <v>1</v>
          </cell>
          <cell r="E237">
            <v>566384</v>
          </cell>
        </row>
        <row r="238">
          <cell r="A238" t="str">
            <v>MAT,168</v>
          </cell>
          <cell r="B238" t="str">
            <v>Grifería lavamanos de mesa tipo push</v>
          </cell>
          <cell r="C238" t="str">
            <v>Un</v>
          </cell>
          <cell r="D238">
            <v>1</v>
          </cell>
          <cell r="E238">
            <v>242460.96</v>
          </cell>
        </row>
        <row r="239">
          <cell r="A239" t="str">
            <v>MAT,169</v>
          </cell>
          <cell r="B239" t="str">
            <v>Grifería orinal a pared tipo push, entrada de 1/2"</v>
          </cell>
          <cell r="C239" t="str">
            <v>Un</v>
          </cell>
          <cell r="D239">
            <v>1</v>
          </cell>
          <cell r="E239">
            <v>206147.20000000001</v>
          </cell>
        </row>
        <row r="240">
          <cell r="A240" t="str">
            <v>MAT,170</v>
          </cell>
          <cell r="B240" t="str">
            <v>Grifería orinal de empotrar tipo push mediano</v>
          </cell>
          <cell r="C240" t="str">
            <v>Un</v>
          </cell>
          <cell r="D240">
            <v>1</v>
          </cell>
          <cell r="E240">
            <v>437365.6</v>
          </cell>
        </row>
        <row r="241">
          <cell r="A241" t="str">
            <v>MAT,171</v>
          </cell>
          <cell r="B241" t="str">
            <v>Grifería para lavamanos tipo Artesa Grival</v>
          </cell>
          <cell r="C241" t="str">
            <v>Un</v>
          </cell>
          <cell r="D241">
            <v>1</v>
          </cell>
          <cell r="E241">
            <v>82208</v>
          </cell>
        </row>
        <row r="242">
          <cell r="A242" t="str">
            <v>MAT,172</v>
          </cell>
          <cell r="B242" t="str">
            <v>Grifería para lavamanos tipo Dalia Grival</v>
          </cell>
          <cell r="C242" t="str">
            <v>Un</v>
          </cell>
          <cell r="D242">
            <v>1</v>
          </cell>
          <cell r="E242">
            <v>83888</v>
          </cell>
        </row>
        <row r="243">
          <cell r="A243" t="str">
            <v>MAT,173</v>
          </cell>
          <cell r="B243" t="str">
            <v>Grifería pico empotrado línea antivandálica, incluye válvula tipo push</v>
          </cell>
          <cell r="C243" t="str">
            <v>Un</v>
          </cell>
          <cell r="D243">
            <v>1</v>
          </cell>
          <cell r="E243">
            <v>561456</v>
          </cell>
        </row>
        <row r="244">
          <cell r="A244" t="str">
            <v>MAT,174</v>
          </cell>
          <cell r="B244" t="str">
            <v>Grifería taza tipo push antivandálica</v>
          </cell>
          <cell r="C244" t="str">
            <v>Un</v>
          </cell>
          <cell r="D244">
            <v>1</v>
          </cell>
          <cell r="E244">
            <v>381808</v>
          </cell>
        </row>
        <row r="245">
          <cell r="A245" t="str">
            <v>MAT,543</v>
          </cell>
          <cell r="B245" t="str">
            <v>Grifería (llave, canastilla y sifón)</v>
          </cell>
          <cell r="C245" t="str">
            <v>Un</v>
          </cell>
          <cell r="D245">
            <v>1</v>
          </cell>
          <cell r="E245">
            <v>34963.040000000001</v>
          </cell>
        </row>
        <row r="246">
          <cell r="A246" t="str">
            <v>MAT,175</v>
          </cell>
          <cell r="B246" t="str">
            <v>Grouting 17,2 Mpa</v>
          </cell>
          <cell r="C246" t="str">
            <v>M3</v>
          </cell>
          <cell r="D246">
            <v>1</v>
          </cell>
          <cell r="E246">
            <v>53820.715199999999</v>
          </cell>
        </row>
        <row r="247">
          <cell r="A247" t="str">
            <v>MAT,176</v>
          </cell>
          <cell r="B247" t="str">
            <v>Guadua basa longitud promedio = 5 m</v>
          </cell>
          <cell r="C247" t="str">
            <v>Un</v>
          </cell>
          <cell r="D247">
            <v>1</v>
          </cell>
          <cell r="E247">
            <v>8820</v>
          </cell>
        </row>
        <row r="248">
          <cell r="A248" t="str">
            <v>MAT,177</v>
          </cell>
          <cell r="B248" t="str">
            <v>Guadua sobrebasa</v>
          </cell>
          <cell r="C248" t="str">
            <v>Un</v>
          </cell>
          <cell r="D248">
            <v>1</v>
          </cell>
          <cell r="E248">
            <v>8400</v>
          </cell>
        </row>
        <row r="249">
          <cell r="A249" t="str">
            <v>MAT,178</v>
          </cell>
          <cell r="B249" t="str">
            <v>Guarda escobas en madera a = 0,08 m cedro blanco tintilla y laca</v>
          </cell>
          <cell r="C249" t="str">
            <v>M</v>
          </cell>
          <cell r="D249">
            <v>1</v>
          </cell>
          <cell r="E249">
            <v>13963.04</v>
          </cell>
        </row>
        <row r="250">
          <cell r="A250" t="str">
            <v>MAT,179</v>
          </cell>
          <cell r="B250" t="str">
            <v>Guarda luz (varilla) cedro blanco tintilla y laca</v>
          </cell>
          <cell r="C250" t="str">
            <v>M</v>
          </cell>
          <cell r="D250">
            <v>1</v>
          </cell>
          <cell r="E250">
            <v>7123.2</v>
          </cell>
        </row>
        <row r="251">
          <cell r="A251" t="str">
            <v>MAT,180</v>
          </cell>
          <cell r="B251" t="str">
            <v>Herbicida</v>
          </cell>
          <cell r="C251" t="str">
            <v>Lt</v>
          </cell>
          <cell r="D251">
            <v>1</v>
          </cell>
          <cell r="E251">
            <v>22288</v>
          </cell>
        </row>
        <row r="252">
          <cell r="A252" t="str">
            <v>MAT,181</v>
          </cell>
          <cell r="B252" t="str">
            <v>Hidrante tipo Milán de 3" extremo brida, incluye kit de nivelación</v>
          </cell>
          <cell r="C252" t="str">
            <v>Un</v>
          </cell>
          <cell r="D252">
            <v>1</v>
          </cell>
          <cell r="E252">
            <v>2474056.48</v>
          </cell>
        </row>
        <row r="253">
          <cell r="A253" t="str">
            <v>MAT,182</v>
          </cell>
          <cell r="B253" t="str">
            <v>Hidrante tipo Milán de 3" extremo liso, incluye kit de nivelación</v>
          </cell>
          <cell r="C253" t="str">
            <v>Un</v>
          </cell>
          <cell r="D253">
            <v>1</v>
          </cell>
          <cell r="E253">
            <v>2340096.64</v>
          </cell>
        </row>
        <row r="254">
          <cell r="A254" t="str">
            <v>MAT,183</v>
          </cell>
          <cell r="B254" t="str">
            <v>Hidrosello PVC 110 Mm</v>
          </cell>
          <cell r="C254" t="str">
            <v>Un</v>
          </cell>
          <cell r="D254">
            <v>1</v>
          </cell>
          <cell r="E254">
            <v>2532.3200000000002</v>
          </cell>
        </row>
        <row r="255">
          <cell r="A255" t="str">
            <v>MAT,184</v>
          </cell>
          <cell r="B255" t="str">
            <v>Hidrosello PVC 160 Mm</v>
          </cell>
          <cell r="C255" t="str">
            <v>Un</v>
          </cell>
          <cell r="D255">
            <v>1</v>
          </cell>
          <cell r="E255">
            <v>5040</v>
          </cell>
        </row>
        <row r="256">
          <cell r="A256" t="str">
            <v>MAT,536</v>
          </cell>
          <cell r="B256" t="str">
            <v>Incrustaciones tipo Astro (6 un)</v>
          </cell>
          <cell r="C256" t="str">
            <v>Un</v>
          </cell>
          <cell r="D256">
            <v>1</v>
          </cell>
          <cell r="E256">
            <v>96208</v>
          </cell>
        </row>
        <row r="257">
          <cell r="A257" t="str">
            <v>MAT,185</v>
          </cell>
          <cell r="B257" t="str">
            <v>Icopor e = 1"</v>
          </cell>
          <cell r="C257" t="str">
            <v>M2</v>
          </cell>
          <cell r="D257">
            <v>1</v>
          </cell>
          <cell r="E257">
            <v>42336</v>
          </cell>
        </row>
        <row r="258">
          <cell r="A258" t="str">
            <v>MAT,186</v>
          </cell>
          <cell r="B258" t="str">
            <v>Impermeabilizante bituminoso para cubiertas</v>
          </cell>
          <cell r="C258" t="str">
            <v>Kg</v>
          </cell>
          <cell r="D258">
            <v>1</v>
          </cell>
          <cell r="E258">
            <v>19092.64</v>
          </cell>
        </row>
        <row r="259">
          <cell r="A259" t="str">
            <v>MAT,187</v>
          </cell>
          <cell r="B259" t="str">
            <v>Impermeabilizante integral para concreto</v>
          </cell>
          <cell r="C259" t="str">
            <v>Kg</v>
          </cell>
          <cell r="D259">
            <v>1</v>
          </cell>
          <cell r="E259">
            <v>24725.119999999999</v>
          </cell>
        </row>
        <row r="260">
          <cell r="A260" t="str">
            <v>MAT,188</v>
          </cell>
          <cell r="B260" t="str">
            <v>Impermeabilizante integral para morteros, con polímeros sintéticos</v>
          </cell>
          <cell r="C260" t="str">
            <v>Kg</v>
          </cell>
          <cell r="D260">
            <v>1</v>
          </cell>
          <cell r="E260">
            <v>15046.08</v>
          </cell>
        </row>
        <row r="261">
          <cell r="A261" t="str">
            <v>MAT,189</v>
          </cell>
          <cell r="B261" t="str">
            <v>Imprimante para manto edil</v>
          </cell>
          <cell r="C261" t="str">
            <v>M2</v>
          </cell>
          <cell r="D261">
            <v>1</v>
          </cell>
          <cell r="E261">
            <v>14482.72</v>
          </cell>
        </row>
        <row r="262">
          <cell r="A262" t="str">
            <v>MAT,529</v>
          </cell>
          <cell r="B262" t="str">
            <v>Incrustaciones tipo Adhesivos (viene por 6 un)</v>
          </cell>
          <cell r="C262" t="str">
            <v>Un</v>
          </cell>
          <cell r="D262">
            <v>1</v>
          </cell>
          <cell r="E262">
            <v>207088</v>
          </cell>
        </row>
        <row r="263">
          <cell r="A263" t="str">
            <v>MAT,190</v>
          </cell>
          <cell r="B263" t="str">
            <v>Incrustaciones tipo Allegro (5 un)</v>
          </cell>
          <cell r="C263" t="str">
            <v>Un</v>
          </cell>
          <cell r="D263">
            <v>1</v>
          </cell>
          <cell r="E263">
            <v>99860.32</v>
          </cell>
        </row>
        <row r="264">
          <cell r="A264" t="str">
            <v>MAT,191</v>
          </cell>
          <cell r="B264" t="str">
            <v>Insecticida</v>
          </cell>
          <cell r="C264" t="str">
            <v>Kg</v>
          </cell>
          <cell r="D264">
            <v>1</v>
          </cell>
          <cell r="E264">
            <v>50512</v>
          </cell>
        </row>
        <row r="265">
          <cell r="A265" t="str">
            <v>MAT,192</v>
          </cell>
          <cell r="B265" t="str">
            <v>Interruptor conmutable</v>
          </cell>
          <cell r="C265" t="str">
            <v>Un</v>
          </cell>
          <cell r="D265">
            <v>1</v>
          </cell>
          <cell r="E265">
            <v>9856</v>
          </cell>
        </row>
        <row r="266">
          <cell r="A266" t="str">
            <v>MAT,193</v>
          </cell>
          <cell r="B266" t="str">
            <v>Interruptor doble sin luz piloto</v>
          </cell>
          <cell r="C266" t="str">
            <v>Un</v>
          </cell>
          <cell r="D266">
            <v>1</v>
          </cell>
          <cell r="E266">
            <v>20148.8</v>
          </cell>
        </row>
        <row r="267">
          <cell r="A267" t="str">
            <v>MAT,194</v>
          </cell>
          <cell r="B267" t="str">
            <v>Interruptor sencillo sin luz piloto</v>
          </cell>
          <cell r="C267" t="str">
            <v>Un</v>
          </cell>
          <cell r="D267">
            <v>1</v>
          </cell>
          <cell r="E267">
            <v>8836.7999999999993</v>
          </cell>
        </row>
        <row r="268">
          <cell r="A268" t="str">
            <v>MAT,650</v>
          </cell>
          <cell r="B268" t="str">
            <v>Juego de estructura múltiple Movible, (micro - baloncesto),  elaborada en tubería agua negra de primera calidad, de diámetro interior de 2½" la portería, el resto de la estructura de 1½", tablero en acrílico de 10 mm color cristal de medidas 1.20 x 1.80 m, debidamente demarcado con aro, incluye mallas para aro y portería. Movible: con ruedas y sobrepeso</v>
          </cell>
          <cell r="C268" t="str">
            <v>Un</v>
          </cell>
          <cell r="D268">
            <v>1</v>
          </cell>
          <cell r="E268">
            <v>6617953.4399999995</v>
          </cell>
        </row>
        <row r="269">
          <cell r="A269" t="str">
            <v>MAT,195</v>
          </cell>
          <cell r="B269" t="str">
            <v>Juegos infantiles de madera en pino completo</v>
          </cell>
          <cell r="C269" t="str">
            <v>Un</v>
          </cell>
          <cell r="D269">
            <v>1</v>
          </cell>
          <cell r="E269">
            <v>6618360</v>
          </cell>
        </row>
        <row r="270">
          <cell r="A270" t="str">
            <v>MAT,196</v>
          </cell>
          <cell r="B270" t="str">
            <v>Juegos infantiles de madera en pino, básico</v>
          </cell>
          <cell r="C270" t="str">
            <v>Un</v>
          </cell>
          <cell r="D270">
            <v>1</v>
          </cell>
          <cell r="E270">
            <v>3319148</v>
          </cell>
        </row>
        <row r="271">
          <cell r="A271" t="str">
            <v>MAT,197</v>
          </cell>
          <cell r="B271" t="str">
            <v>Kit de accesorios para sistema séptico de 2000 lt</v>
          </cell>
          <cell r="C271" t="str">
            <v>Un</v>
          </cell>
          <cell r="D271">
            <v>1</v>
          </cell>
          <cell r="E271">
            <v>270982.27296000003</v>
          </cell>
        </row>
        <row r="272">
          <cell r="A272" t="str">
            <v>MAT,198</v>
          </cell>
          <cell r="B272" t="str">
            <v>Kit de accesorios para sistema séptico de 4000 lt</v>
          </cell>
          <cell r="C272" t="str">
            <v>Un</v>
          </cell>
          <cell r="D272">
            <v>1</v>
          </cell>
          <cell r="E272">
            <v>472231.87200000003</v>
          </cell>
        </row>
        <row r="273">
          <cell r="A273" t="str">
            <v>MAT,199</v>
          </cell>
          <cell r="B273" t="str">
            <v>Kit séptico 2000 lt + aeróbico 1000 lt</v>
          </cell>
          <cell r="C273" t="str">
            <v>Un</v>
          </cell>
          <cell r="D273">
            <v>1</v>
          </cell>
          <cell r="E273">
            <v>1826301.54336</v>
          </cell>
        </row>
        <row r="274">
          <cell r="A274" t="str">
            <v>MAT,200</v>
          </cell>
          <cell r="B274" t="str">
            <v>Ladrillo farol rayado de 0,10 x 0,20 x 0,30 m</v>
          </cell>
          <cell r="C274" t="str">
            <v>Un</v>
          </cell>
          <cell r="D274">
            <v>1</v>
          </cell>
          <cell r="E274">
            <v>1148</v>
          </cell>
        </row>
        <row r="275">
          <cell r="A275" t="str">
            <v>MAT,201</v>
          </cell>
          <cell r="B275" t="str">
            <v>Ladrillo farol rayado de 0,12 x 0,20 x 0,30 m</v>
          </cell>
          <cell r="C275" t="str">
            <v>Un</v>
          </cell>
          <cell r="D275">
            <v>1</v>
          </cell>
          <cell r="E275">
            <v>1372</v>
          </cell>
        </row>
        <row r="276">
          <cell r="A276" t="str">
            <v>MAT,202</v>
          </cell>
          <cell r="B276" t="str">
            <v>Ladrillo tolete común</v>
          </cell>
          <cell r="C276" t="str">
            <v>Un</v>
          </cell>
          <cell r="D276">
            <v>1</v>
          </cell>
          <cell r="E276">
            <v>896</v>
          </cell>
        </row>
        <row r="277">
          <cell r="A277" t="str">
            <v>MAT,203</v>
          </cell>
          <cell r="B277" t="str">
            <v>Ladrillo visto 6 x 12 x 24 57 un/m2</v>
          </cell>
          <cell r="C277" t="str">
            <v>Un</v>
          </cell>
          <cell r="D277">
            <v>1</v>
          </cell>
          <cell r="E277">
            <v>2132.48</v>
          </cell>
        </row>
        <row r="278">
          <cell r="A278" t="str">
            <v>MAT,515</v>
          </cell>
          <cell r="B278" t="str">
            <v>Ladrillo prensado tipo Santa Fe 24,5  x 12 x 5,5 cm</v>
          </cell>
          <cell r="C278" t="str">
            <v>Un</v>
          </cell>
          <cell r="D278">
            <v>1</v>
          </cell>
          <cell r="E278">
            <v>2128</v>
          </cell>
        </row>
        <row r="279">
          <cell r="A279" t="str">
            <v>MAT,526</v>
          </cell>
          <cell r="B279" t="str">
            <v>Lámina duracustic 1,2 x 0,6 m</v>
          </cell>
          <cell r="C279" t="str">
            <v>Un</v>
          </cell>
          <cell r="D279">
            <v>1</v>
          </cell>
          <cell r="E279">
            <v>47003.040000000001</v>
          </cell>
        </row>
        <row r="280">
          <cell r="A280" t="str">
            <v>MAT,637</v>
          </cell>
          <cell r="B280" t="str">
            <v>Lámina de icopor 1,2 x 0,6 m</v>
          </cell>
          <cell r="C280" t="str">
            <v>Un</v>
          </cell>
          <cell r="D280">
            <v>1</v>
          </cell>
          <cell r="E280">
            <v>7280</v>
          </cell>
        </row>
        <row r="281">
          <cell r="A281" t="str">
            <v>MAT,638</v>
          </cell>
          <cell r="B281" t="str">
            <v>Lámina de icopor perlita sintética 1,2 x 0,6 m</v>
          </cell>
          <cell r="C281" t="str">
            <v>Un</v>
          </cell>
          <cell r="D281">
            <v>1</v>
          </cell>
          <cell r="E281">
            <v>5376</v>
          </cell>
        </row>
        <row r="282">
          <cell r="A282" t="str">
            <v>MAT,496</v>
          </cell>
          <cell r="B282" t="str">
            <v>Lámina de icopor perlita lisa 1,2 x  0,6 m</v>
          </cell>
          <cell r="C282" t="str">
            <v>Un</v>
          </cell>
          <cell r="D282">
            <v>1</v>
          </cell>
          <cell r="E282">
            <v>4480</v>
          </cell>
        </row>
        <row r="283">
          <cell r="A283" t="str">
            <v>MAT,204</v>
          </cell>
          <cell r="B283" t="str">
            <v>Lámina de fibrocemento de 10 mm</v>
          </cell>
          <cell r="C283" t="str">
            <v>M2</v>
          </cell>
          <cell r="D283">
            <v>1</v>
          </cell>
          <cell r="E283">
            <v>77853.440000000002</v>
          </cell>
        </row>
        <row r="284">
          <cell r="A284" t="str">
            <v>MAT,205</v>
          </cell>
          <cell r="B284" t="str">
            <v>Lámina de fibrocemento e =  8 mm</v>
          </cell>
          <cell r="C284" t="str">
            <v>M2</v>
          </cell>
          <cell r="D284">
            <v>1</v>
          </cell>
          <cell r="E284">
            <v>59718.400000000001</v>
          </cell>
        </row>
        <row r="285">
          <cell r="A285" t="str">
            <v>MAT,535</v>
          </cell>
          <cell r="B285" t="str">
            <v>Lámina de mármol para piso o mesón</v>
          </cell>
          <cell r="C285" t="str">
            <v>M2</v>
          </cell>
          <cell r="D285">
            <v>1</v>
          </cell>
          <cell r="E285">
            <v>244137.60000000001</v>
          </cell>
        </row>
        <row r="286">
          <cell r="A286" t="str">
            <v>MAT,542</v>
          </cell>
          <cell r="B286" t="str">
            <v>Lámina de yeso 1,22 m x 2,44 m e = 12,7 mm</v>
          </cell>
          <cell r="C286" t="str">
            <v>M2</v>
          </cell>
          <cell r="D286">
            <v>1</v>
          </cell>
          <cell r="E286">
            <v>8347.36</v>
          </cell>
        </row>
        <row r="287">
          <cell r="A287" t="str">
            <v>MAT,206</v>
          </cell>
          <cell r="B287" t="str">
            <v>Lámina fibrocemento e = 12 mm</v>
          </cell>
          <cell r="C287" t="str">
            <v>M2</v>
          </cell>
          <cell r="D287">
            <v>1</v>
          </cell>
          <cell r="E287">
            <v>16022.72</v>
          </cell>
        </row>
        <row r="288">
          <cell r="A288" t="str">
            <v>MAT,527</v>
          </cell>
          <cell r="B288" t="str">
            <v xml:space="preserve">Lámina galvanizada C 26 </v>
          </cell>
          <cell r="C288" t="str">
            <v>M2</v>
          </cell>
          <cell r="D288">
            <v>1</v>
          </cell>
          <cell r="E288">
            <v>31862.880000000001</v>
          </cell>
        </row>
        <row r="289">
          <cell r="A289" t="str">
            <v>MAT,207</v>
          </cell>
          <cell r="B289" t="str">
            <v>Lámina galvanizada C 22</v>
          </cell>
          <cell r="C289" t="str">
            <v>M2</v>
          </cell>
          <cell r="D289">
            <v>1</v>
          </cell>
          <cell r="E289">
            <v>49991.199999999997</v>
          </cell>
        </row>
        <row r="290">
          <cell r="A290" t="str">
            <v>MAT,208</v>
          </cell>
          <cell r="B290" t="str">
            <v>Lámina neopreno dureza 50 e = 374</v>
          </cell>
          <cell r="C290" t="str">
            <v>M2</v>
          </cell>
          <cell r="D290">
            <v>1</v>
          </cell>
          <cell r="E290">
            <v>2432375.4604799999</v>
          </cell>
        </row>
        <row r="291">
          <cell r="A291" t="str">
            <v>MAT,209</v>
          </cell>
          <cell r="B291" t="str">
            <v>Lámpara de 2 x 32 W con balasto electrónico T8 completa de sobreponer</v>
          </cell>
          <cell r="C291" t="str">
            <v>Un</v>
          </cell>
          <cell r="D291">
            <v>1</v>
          </cell>
          <cell r="E291">
            <v>169008</v>
          </cell>
        </row>
        <row r="292">
          <cell r="A292" t="str">
            <v>MAT,532</v>
          </cell>
          <cell r="B292" t="str">
            <v>Lavadero en resina de poliéster con tanque de 60 x 60 cm</v>
          </cell>
          <cell r="C292" t="str">
            <v>Un</v>
          </cell>
          <cell r="D292">
            <v>1</v>
          </cell>
          <cell r="E292">
            <v>300048</v>
          </cell>
        </row>
        <row r="293">
          <cell r="A293" t="str">
            <v>MAT,210</v>
          </cell>
          <cell r="B293" t="str">
            <v>Lavadero prefabricado en granito pulido</v>
          </cell>
          <cell r="C293" t="str">
            <v>Un</v>
          </cell>
          <cell r="D293">
            <v>1</v>
          </cell>
          <cell r="E293">
            <v>225568</v>
          </cell>
        </row>
        <row r="294">
          <cell r="A294" t="str">
            <v>MAT,651</v>
          </cell>
          <cell r="B294" t="str">
            <v>Lavadero prefabricado en granito pulido completo</v>
          </cell>
          <cell r="C294" t="str">
            <v>Un</v>
          </cell>
          <cell r="D294">
            <v>1</v>
          </cell>
          <cell r="E294">
            <v>296105.59999999998</v>
          </cell>
        </row>
        <row r="295">
          <cell r="A295" t="str">
            <v>MAT,211</v>
          </cell>
          <cell r="B295" t="str">
            <v>Lavamanos tipo Acuacer de colgar</v>
          </cell>
          <cell r="C295" t="str">
            <v>Un</v>
          </cell>
          <cell r="D295">
            <v>1</v>
          </cell>
          <cell r="E295">
            <v>74200</v>
          </cell>
        </row>
        <row r="296">
          <cell r="A296" t="str">
            <v>MAT,212</v>
          </cell>
          <cell r="B296" t="str">
            <v>Lavamanos tipo Acuacer de pedestal</v>
          </cell>
          <cell r="C296" t="str">
            <v>Un</v>
          </cell>
          <cell r="D296">
            <v>1</v>
          </cell>
          <cell r="E296">
            <v>118104</v>
          </cell>
        </row>
        <row r="297">
          <cell r="A297" t="str">
            <v>MAT,213</v>
          </cell>
          <cell r="B297" t="str">
            <v>Lavamanos tipo Avanti de colgar</v>
          </cell>
          <cell r="C297" t="str">
            <v>Un</v>
          </cell>
          <cell r="D297">
            <v>1</v>
          </cell>
          <cell r="E297">
            <v>69328</v>
          </cell>
        </row>
        <row r="298">
          <cell r="A298" t="str">
            <v>MAT,214</v>
          </cell>
          <cell r="B298" t="str">
            <v>Lavamanos tipo Avanti de pedestal</v>
          </cell>
          <cell r="C298" t="str">
            <v>Un</v>
          </cell>
          <cell r="D298">
            <v>1</v>
          </cell>
          <cell r="E298">
            <v>157080</v>
          </cell>
        </row>
        <row r="299">
          <cell r="A299" t="str">
            <v>MAT,215</v>
          </cell>
          <cell r="B299" t="str">
            <v>Lavamanos tipo Happy blanco de colgar</v>
          </cell>
          <cell r="C299" t="str">
            <v>Un</v>
          </cell>
          <cell r="D299">
            <v>1</v>
          </cell>
          <cell r="E299">
            <v>101024</v>
          </cell>
        </row>
        <row r="300">
          <cell r="A300" t="str">
            <v>MAT,216</v>
          </cell>
          <cell r="B300" t="str">
            <v>Lavamanos tipo Marsella de sobreponer</v>
          </cell>
          <cell r="C300" t="str">
            <v>Un</v>
          </cell>
          <cell r="D300">
            <v>1</v>
          </cell>
          <cell r="E300">
            <v>212128</v>
          </cell>
        </row>
        <row r="301">
          <cell r="A301" t="str">
            <v>MAT,533</v>
          </cell>
          <cell r="B301" t="str">
            <v>Lavamanos de pared tipo push, línea antivandálica</v>
          </cell>
          <cell r="C301" t="str">
            <v>Un</v>
          </cell>
          <cell r="D301">
            <v>1</v>
          </cell>
          <cell r="E301">
            <v>410088</v>
          </cell>
        </row>
        <row r="302">
          <cell r="A302" t="str">
            <v>MAT,217</v>
          </cell>
          <cell r="B302" t="str">
            <v>Lavaplatos en acero inoxidable de 0,4 x 0,6 m</v>
          </cell>
          <cell r="C302" t="str">
            <v>Un</v>
          </cell>
          <cell r="D302">
            <v>1</v>
          </cell>
          <cell r="E302">
            <v>79187.360000000001</v>
          </cell>
        </row>
        <row r="303">
          <cell r="A303" t="str">
            <v>MAT,218</v>
          </cell>
          <cell r="B303" t="str">
            <v>Lija de agua</v>
          </cell>
          <cell r="C303" t="str">
            <v>Un</v>
          </cell>
          <cell r="D303">
            <v>1</v>
          </cell>
          <cell r="E303">
            <v>1360.8</v>
          </cell>
        </row>
        <row r="304">
          <cell r="A304" t="str">
            <v>MAT,219</v>
          </cell>
          <cell r="B304" t="str">
            <v>Lima plana con mango de 8"</v>
          </cell>
          <cell r="C304" t="str">
            <v>Un</v>
          </cell>
          <cell r="D304">
            <v>1</v>
          </cell>
          <cell r="E304">
            <v>22624</v>
          </cell>
        </row>
        <row r="305">
          <cell r="A305" t="str">
            <v>MAT,220</v>
          </cell>
          <cell r="B305" t="str">
            <v>Limatesa, limahoya de fibrocemento</v>
          </cell>
          <cell r="C305" t="str">
            <v>M</v>
          </cell>
          <cell r="D305">
            <v>1</v>
          </cell>
          <cell r="E305">
            <v>25648</v>
          </cell>
        </row>
        <row r="306">
          <cell r="A306" t="str">
            <v>MAT,221</v>
          </cell>
          <cell r="B306" t="str">
            <v>Limpiador removedor PVC 1/4</v>
          </cell>
          <cell r="C306" t="str">
            <v>Un</v>
          </cell>
          <cell r="D306">
            <v>1</v>
          </cell>
          <cell r="E306">
            <v>41532.959999999999</v>
          </cell>
        </row>
        <row r="307">
          <cell r="A307" t="str">
            <v>MAT,222</v>
          </cell>
          <cell r="B307" t="str">
            <v>Listón sajo de 5 x 3 cm x 2,5 m (varilla)</v>
          </cell>
          <cell r="C307" t="str">
            <v>M</v>
          </cell>
          <cell r="D307">
            <v>1</v>
          </cell>
          <cell r="E307">
            <v>6930.5599999999995</v>
          </cell>
        </row>
        <row r="308">
          <cell r="A308" t="str">
            <v>MAT,223</v>
          </cell>
          <cell r="B308" t="str">
            <v>Llave de paso tipo Red White de 1 1/2"</v>
          </cell>
          <cell r="C308" t="str">
            <v>Un</v>
          </cell>
          <cell r="D308">
            <v>1</v>
          </cell>
          <cell r="E308">
            <v>253120</v>
          </cell>
        </row>
        <row r="309">
          <cell r="A309" t="str">
            <v>MAT,224</v>
          </cell>
          <cell r="B309" t="str">
            <v>Llave de paso tipo Red White de 1"</v>
          </cell>
          <cell r="C309" t="str">
            <v>Un</v>
          </cell>
          <cell r="D309">
            <v>1</v>
          </cell>
          <cell r="E309">
            <v>13104</v>
          </cell>
        </row>
        <row r="310">
          <cell r="A310" t="str">
            <v>MAT,225</v>
          </cell>
          <cell r="B310" t="str">
            <v>Llave de paso tipo Red White de 1/2"</v>
          </cell>
          <cell r="C310" t="str">
            <v>Un</v>
          </cell>
          <cell r="D310">
            <v>1</v>
          </cell>
          <cell r="E310">
            <v>77392</v>
          </cell>
        </row>
        <row r="311">
          <cell r="A311" t="str">
            <v>MAT,226</v>
          </cell>
          <cell r="B311" t="str">
            <v>Llave de paso tipo Red White de 2"</v>
          </cell>
          <cell r="C311" t="str">
            <v>Un</v>
          </cell>
          <cell r="D311">
            <v>1</v>
          </cell>
          <cell r="E311">
            <v>302848</v>
          </cell>
        </row>
        <row r="312">
          <cell r="A312" t="str">
            <v>MAT,227</v>
          </cell>
          <cell r="B312" t="str">
            <v>Llave de paso tipo Red White de 3/4"</v>
          </cell>
          <cell r="C312" t="str">
            <v>Un</v>
          </cell>
          <cell r="D312">
            <v>1</v>
          </cell>
          <cell r="E312">
            <v>141008</v>
          </cell>
        </row>
        <row r="313">
          <cell r="A313" t="str">
            <v>MAT,228</v>
          </cell>
          <cell r="B313" t="str">
            <v>Llave terminal cromada de 1/2"</v>
          </cell>
          <cell r="C313" t="str">
            <v>Un</v>
          </cell>
          <cell r="D313">
            <v>1</v>
          </cell>
          <cell r="E313">
            <v>35728</v>
          </cell>
        </row>
        <row r="314">
          <cell r="A314" t="str">
            <v>MAT,229</v>
          </cell>
          <cell r="B314" t="str">
            <v>Llave terminal roscada de 1/2" pesada</v>
          </cell>
          <cell r="C314" t="str">
            <v>Un</v>
          </cell>
          <cell r="D314">
            <v>1</v>
          </cell>
          <cell r="E314">
            <v>32368</v>
          </cell>
        </row>
        <row r="315">
          <cell r="A315" t="str">
            <v>MAT,230</v>
          </cell>
          <cell r="B315" t="str">
            <v>Loseta prefabricada A30 (600 x 400 x 60 mm)</v>
          </cell>
          <cell r="C315" t="str">
            <v>M2</v>
          </cell>
          <cell r="D315">
            <v>1</v>
          </cell>
          <cell r="E315">
            <v>46502.400000000001</v>
          </cell>
        </row>
        <row r="316">
          <cell r="A316" t="str">
            <v>MAT,231</v>
          </cell>
          <cell r="B316" t="str">
            <v>Machete</v>
          </cell>
          <cell r="C316" t="str">
            <v>Un</v>
          </cell>
          <cell r="D316">
            <v>1</v>
          </cell>
          <cell r="E316">
            <v>33488</v>
          </cell>
        </row>
        <row r="317">
          <cell r="A317" t="str">
            <v>MAT,232</v>
          </cell>
          <cell r="B317" t="str">
            <v>Malla con vena C 24</v>
          </cell>
          <cell r="C317" t="str">
            <v>M2</v>
          </cell>
          <cell r="D317">
            <v>1</v>
          </cell>
          <cell r="E317">
            <v>8199.52</v>
          </cell>
        </row>
        <row r="318">
          <cell r="A318" t="str">
            <v>MAT,233</v>
          </cell>
          <cell r="B318" t="str">
            <v>Malla de gallinero o hexagonal</v>
          </cell>
          <cell r="C318" t="str">
            <v>M2</v>
          </cell>
          <cell r="D318">
            <v>1</v>
          </cell>
          <cell r="E318">
            <v>3368.96</v>
          </cell>
        </row>
        <row r="319">
          <cell r="A319" t="str">
            <v>MAT,237</v>
          </cell>
          <cell r="B319" t="str">
            <v>Mallas eslabonada galvanizada calibre 13 ojo de 2” que cumpla con la norma 80 gramos de galvanizado/m2</v>
          </cell>
          <cell r="C319" t="str">
            <v>M2</v>
          </cell>
          <cell r="D319">
            <v>1</v>
          </cell>
          <cell r="E319">
            <v>20932.8</v>
          </cell>
        </row>
        <row r="320">
          <cell r="A320" t="str">
            <v>MAT,234</v>
          </cell>
          <cell r="B320" t="str">
            <v>Malla electrosoldada M-188 Φ 6.00 mm c/0.15 m</v>
          </cell>
          <cell r="C320" t="str">
            <v>Kg</v>
          </cell>
          <cell r="D320">
            <v>1</v>
          </cell>
          <cell r="E320">
            <v>10175.200000000001</v>
          </cell>
        </row>
        <row r="321">
          <cell r="A321" t="str">
            <v>MAT,235</v>
          </cell>
          <cell r="B321" t="str">
            <v>Malla electrosoldada ojo 0,15 x 0,15 m 6,0 m 2,35 m de 5 mm</v>
          </cell>
          <cell r="C321" t="str">
            <v>M2</v>
          </cell>
          <cell r="D321">
            <v>1</v>
          </cell>
          <cell r="E321">
            <v>12317.76</v>
          </cell>
        </row>
        <row r="322">
          <cell r="A322" t="str">
            <v>MAT,236</v>
          </cell>
          <cell r="B322" t="str">
            <v>Malla gavión 2 x 1 x 1  7,5 C 13 triple torsión</v>
          </cell>
          <cell r="C322" t="str">
            <v>Un</v>
          </cell>
          <cell r="D322">
            <v>1</v>
          </cell>
          <cell r="E322">
            <v>114954</v>
          </cell>
        </row>
        <row r="323">
          <cell r="A323" t="str">
            <v>MAT,238</v>
          </cell>
          <cell r="B323" t="str">
            <v>Fondo de junta de polietileno Φ = 3/8"</v>
          </cell>
          <cell r="C323" t="str">
            <v>M</v>
          </cell>
          <cell r="D323">
            <v>1</v>
          </cell>
          <cell r="E323">
            <v>1275.3283200000001</v>
          </cell>
        </row>
        <row r="324">
          <cell r="A324" t="str">
            <v>MAT,239</v>
          </cell>
          <cell r="B324" t="str">
            <v>Manija (asa) para puerta</v>
          </cell>
          <cell r="C324" t="str">
            <v>Un</v>
          </cell>
          <cell r="D324">
            <v>1</v>
          </cell>
          <cell r="E324">
            <v>6384</v>
          </cell>
        </row>
        <row r="325">
          <cell r="A325" t="str">
            <v>MAT,240</v>
          </cell>
          <cell r="B325" t="str">
            <v>Manto impermeabilizante con base en asfalto</v>
          </cell>
          <cell r="C325" t="str">
            <v>M2</v>
          </cell>
          <cell r="D325">
            <v>1</v>
          </cell>
          <cell r="E325">
            <v>27764.799999999999</v>
          </cell>
        </row>
        <row r="326">
          <cell r="A326" t="str">
            <v>MAT,241</v>
          </cell>
          <cell r="B326" t="str">
            <v>Marco metálico en lámina C 20 de 0,60 x 2,05 m, incluye anticorrosivo</v>
          </cell>
          <cell r="C326" t="str">
            <v>Un</v>
          </cell>
          <cell r="D326">
            <v>1</v>
          </cell>
          <cell r="E326">
            <v>91284.211200000005</v>
          </cell>
        </row>
        <row r="327">
          <cell r="A327" t="str">
            <v>MAT,242</v>
          </cell>
          <cell r="B327" t="str">
            <v>Marco metálico en lámina C 20 de 0,80 x 2,05 m, incluye anticorrosivo</v>
          </cell>
          <cell r="C327" t="str">
            <v>Un</v>
          </cell>
          <cell r="D327">
            <v>1</v>
          </cell>
          <cell r="E327">
            <v>102431.99904000001</v>
          </cell>
        </row>
        <row r="328">
          <cell r="A328" t="str">
            <v>MAT,243</v>
          </cell>
          <cell r="B328" t="str">
            <v>Marco metálico en lámina C 20 de 0,90 x 2,05 m, incluye anticorrosivo</v>
          </cell>
          <cell r="C328" t="str">
            <v>Un</v>
          </cell>
          <cell r="D328">
            <v>1</v>
          </cell>
          <cell r="E328">
            <v>117812.66783999999</v>
          </cell>
        </row>
        <row r="329">
          <cell r="A329" t="str">
            <v>MAT,244</v>
          </cell>
          <cell r="B329" t="str">
            <v>Marco metálico en lámina C 20 de 1 x 2,05 m, incluye anticorrosivo</v>
          </cell>
          <cell r="C329" t="str">
            <v>Un</v>
          </cell>
          <cell r="D329">
            <v>1</v>
          </cell>
          <cell r="E329">
            <v>135656.80128000001</v>
          </cell>
        </row>
        <row r="330">
          <cell r="A330" t="str">
            <v>MAT,245</v>
          </cell>
          <cell r="B330" t="str">
            <v>Marco metálico en lámina C 20 de 1,20 x 2,05 m, incluye anticorrosivo</v>
          </cell>
          <cell r="C330" t="str">
            <v>Un</v>
          </cell>
          <cell r="D330">
            <v>1</v>
          </cell>
          <cell r="E330">
            <v>246400</v>
          </cell>
        </row>
        <row r="331">
          <cell r="A331" t="str">
            <v>MAT,246</v>
          </cell>
          <cell r="B331" t="str">
            <v>Masilla para vidrios</v>
          </cell>
          <cell r="C331" t="str">
            <v>Kg</v>
          </cell>
          <cell r="D331">
            <v>1</v>
          </cell>
          <cell r="E331">
            <v>3859.6992000000005</v>
          </cell>
        </row>
        <row r="332">
          <cell r="A332" t="str">
            <v>MAT,505</v>
          </cell>
          <cell r="B332" t="str">
            <v>Masilla elástica sellante tubo x 330 ml</v>
          </cell>
          <cell r="C332" t="str">
            <v>Un</v>
          </cell>
          <cell r="D332">
            <v>1</v>
          </cell>
          <cell r="E332">
            <v>7840</v>
          </cell>
        </row>
        <row r="333">
          <cell r="A333" t="str">
            <v>MAT,247</v>
          </cell>
          <cell r="B333" t="str">
            <v>Masilla topex joint</v>
          </cell>
          <cell r="C333" t="str">
            <v>Gl</v>
          </cell>
          <cell r="D333">
            <v>1</v>
          </cell>
          <cell r="E333">
            <v>32928</v>
          </cell>
        </row>
        <row r="334">
          <cell r="A334" t="str">
            <v>MAT,643</v>
          </cell>
          <cell r="B334" t="str">
            <v>Material de peña (recebo) en cantera</v>
          </cell>
          <cell r="C334" t="str">
            <v>M3</v>
          </cell>
          <cell r="D334">
            <v>1</v>
          </cell>
          <cell r="E334">
            <v>41852.160000000003</v>
          </cell>
        </row>
        <row r="335">
          <cell r="A335" t="str">
            <v>MAT,248</v>
          </cell>
          <cell r="B335" t="str">
            <v>Material de rio no seleccionado</v>
          </cell>
          <cell r="C335" t="str">
            <v>M3</v>
          </cell>
          <cell r="D335">
            <v>1</v>
          </cell>
          <cell r="E335">
            <v>34876.800000000003</v>
          </cell>
        </row>
        <row r="336">
          <cell r="A336" t="str">
            <v>MAT,249</v>
          </cell>
          <cell r="B336" t="str">
            <v>Material de sub-base granular tipo Invías</v>
          </cell>
          <cell r="C336" t="str">
            <v>M3</v>
          </cell>
          <cell r="D336">
            <v>1</v>
          </cell>
          <cell r="E336">
            <v>50400</v>
          </cell>
        </row>
        <row r="337">
          <cell r="A337" t="str">
            <v>MAT,250</v>
          </cell>
          <cell r="B337" t="str">
            <v>Material granular seleccionado</v>
          </cell>
          <cell r="C337" t="str">
            <v>M3</v>
          </cell>
          <cell r="D337">
            <v>1</v>
          </cell>
          <cell r="E337">
            <v>27988.799999999999</v>
          </cell>
        </row>
        <row r="338">
          <cell r="A338" t="str">
            <v>MAT,251</v>
          </cell>
          <cell r="B338" t="str">
            <v>Material para base granular tipo Invías hasta 40 km</v>
          </cell>
          <cell r="C338" t="str">
            <v>M3</v>
          </cell>
          <cell r="D338">
            <v>1</v>
          </cell>
          <cell r="E338">
            <v>59788.959999999999</v>
          </cell>
        </row>
        <row r="339">
          <cell r="A339" t="str">
            <v>MAT,252</v>
          </cell>
          <cell r="B339" t="str">
            <v>Material seleccionado para filtro</v>
          </cell>
          <cell r="C339" t="str">
            <v>M3</v>
          </cell>
          <cell r="D339">
            <v>1</v>
          </cell>
          <cell r="E339">
            <v>87192</v>
          </cell>
        </row>
        <row r="340">
          <cell r="A340" t="str">
            <v>MAT,560</v>
          </cell>
          <cell r="B340" t="str">
            <v>Medidor de 3/4" volumétrico tipo "B"</v>
          </cell>
          <cell r="C340" t="str">
            <v>Un</v>
          </cell>
          <cell r="D340">
            <v>1</v>
          </cell>
          <cell r="E340">
            <v>187596.64</v>
          </cell>
        </row>
        <row r="341">
          <cell r="A341" t="str">
            <v>MAT,253</v>
          </cell>
          <cell r="B341" t="str">
            <v>Medidor de 1"    volumétrico tipo "B"</v>
          </cell>
          <cell r="C341" t="str">
            <v>Un</v>
          </cell>
          <cell r="D341">
            <v>1</v>
          </cell>
          <cell r="E341">
            <v>595840</v>
          </cell>
        </row>
        <row r="342">
          <cell r="A342" t="str">
            <v>MAT,254</v>
          </cell>
          <cell r="B342" t="str">
            <v>Medidor de 1/2" volumétrico tipo "C"</v>
          </cell>
          <cell r="C342" t="str">
            <v>Un</v>
          </cell>
          <cell r="D342">
            <v>1</v>
          </cell>
          <cell r="E342">
            <v>161280</v>
          </cell>
        </row>
        <row r="343">
          <cell r="A343" t="str">
            <v>MAT,255</v>
          </cell>
          <cell r="B343" t="str">
            <v>Mezcla asfáltica MDC 19</v>
          </cell>
          <cell r="C343" t="str">
            <v>M3</v>
          </cell>
          <cell r="D343">
            <v>1</v>
          </cell>
          <cell r="E343">
            <v>749156.8</v>
          </cell>
        </row>
        <row r="344">
          <cell r="A344" t="str">
            <v>MAT,256</v>
          </cell>
          <cell r="B344" t="str">
            <v>Mezclador para lavaplatos</v>
          </cell>
          <cell r="C344" t="str">
            <v>Un</v>
          </cell>
          <cell r="D344">
            <v>1</v>
          </cell>
          <cell r="E344">
            <v>75040</v>
          </cell>
        </row>
        <row r="345">
          <cell r="A345" t="str">
            <v>MAT,499</v>
          </cell>
          <cell r="B345" t="str">
            <v>Microesferas reflectivas 25 kg</v>
          </cell>
          <cell r="C345" t="str">
            <v>Kg</v>
          </cell>
          <cell r="D345">
            <v>1</v>
          </cell>
          <cell r="E345">
            <v>6371.99136</v>
          </cell>
        </row>
        <row r="346">
          <cell r="A346" t="str">
            <v>MAT,257</v>
          </cell>
          <cell r="B346" t="str">
            <v>Mortero de alta adherencia</v>
          </cell>
          <cell r="C346" t="str">
            <v>Kg</v>
          </cell>
          <cell r="D346">
            <v>1</v>
          </cell>
          <cell r="E346">
            <v>5529.1353600000002</v>
          </cell>
        </row>
        <row r="347">
          <cell r="A347" t="str">
            <v>MAT,259</v>
          </cell>
          <cell r="B347" t="str">
            <v>Mortero fluido para anclaje y nivelación</v>
          </cell>
          <cell r="C347" t="str">
            <v>Kg</v>
          </cell>
          <cell r="D347">
            <v>1</v>
          </cell>
          <cell r="E347">
            <v>29877.792000000001</v>
          </cell>
        </row>
        <row r="348">
          <cell r="A348" t="str">
            <v>MAT,260</v>
          </cell>
          <cell r="B348" t="str">
            <v>Mortero para bloques de vidrio</v>
          </cell>
          <cell r="C348" t="str">
            <v>Kg</v>
          </cell>
          <cell r="D348">
            <v>1</v>
          </cell>
          <cell r="E348">
            <v>4068.96</v>
          </cell>
        </row>
        <row r="349">
          <cell r="A349" t="str">
            <v>MAT,261</v>
          </cell>
          <cell r="B349" t="str">
            <v>Mueble inferior en fórmica para mesón cocineta l = 2,00 h = 0,90 m</v>
          </cell>
          <cell r="C349" t="str">
            <v>M</v>
          </cell>
          <cell r="D349">
            <v>1</v>
          </cell>
          <cell r="E349">
            <v>540590.4</v>
          </cell>
        </row>
        <row r="350">
          <cell r="A350" t="str">
            <v>MAT,262</v>
          </cell>
          <cell r="B350" t="str">
            <v>Nave en madera triplex de 0,90 x 2,05 m, entamborada</v>
          </cell>
          <cell r="C350" t="str">
            <v>Un</v>
          </cell>
          <cell r="D350">
            <v>1</v>
          </cell>
          <cell r="E350">
            <v>145600</v>
          </cell>
        </row>
        <row r="351">
          <cell r="A351" t="str">
            <v>MAT,263</v>
          </cell>
          <cell r="B351" t="str">
            <v>Nave metálica en lamina C 20 de 0,60 x 2,05 m, incluye anticorrosivo</v>
          </cell>
          <cell r="C351" t="str">
            <v>Un</v>
          </cell>
          <cell r="D351">
            <v>1</v>
          </cell>
          <cell r="E351">
            <v>191822.4</v>
          </cell>
        </row>
        <row r="352">
          <cell r="A352" t="str">
            <v>MAT,264</v>
          </cell>
          <cell r="B352" t="str">
            <v>Nave metálica en lamina C 20 de 0,80 x 2,05 m, incluye anticorrosivo</v>
          </cell>
          <cell r="C352" t="str">
            <v>Un</v>
          </cell>
          <cell r="D352">
            <v>1</v>
          </cell>
          <cell r="E352">
            <v>192287.424</v>
          </cell>
        </row>
        <row r="353">
          <cell r="A353" t="str">
            <v>MAT,265</v>
          </cell>
          <cell r="B353" t="str">
            <v>Nave metálica en lamina C 20 de 0,90 x 2,05 m, incluye anticorrosivo</v>
          </cell>
          <cell r="C353" t="str">
            <v>Un</v>
          </cell>
          <cell r="D353">
            <v>1</v>
          </cell>
          <cell r="E353">
            <v>211004.64</v>
          </cell>
        </row>
        <row r="354">
          <cell r="A354" t="str">
            <v>MAT,266</v>
          </cell>
          <cell r="B354" t="str">
            <v>Nave metálica en lamina C 20 de 1 x 2,05 m, incluye anticorrosivo</v>
          </cell>
          <cell r="C354" t="str">
            <v>Un</v>
          </cell>
          <cell r="D354">
            <v>1</v>
          </cell>
          <cell r="E354">
            <v>239487.35999999999</v>
          </cell>
        </row>
        <row r="355">
          <cell r="A355" t="str">
            <v>MAT,267</v>
          </cell>
          <cell r="B355" t="str">
            <v>Niple Tub HG 1/2" de 15 cm</v>
          </cell>
          <cell r="C355" t="str">
            <v>Un</v>
          </cell>
          <cell r="D355">
            <v>1</v>
          </cell>
          <cell r="E355">
            <v>5331.2</v>
          </cell>
        </row>
        <row r="356">
          <cell r="A356" t="str">
            <v>MAT,498</v>
          </cell>
          <cell r="B356" t="str">
            <v>Niple Tub HG 1 1/4 " de 60 cm</v>
          </cell>
          <cell r="C356" t="str">
            <v>Un</v>
          </cell>
          <cell r="D356">
            <v>1</v>
          </cell>
          <cell r="E356">
            <v>19488</v>
          </cell>
        </row>
        <row r="357">
          <cell r="A357" t="str">
            <v>MAT,268</v>
          </cell>
          <cell r="B357" t="str">
            <v>Niple Tub HG 3/4" de 15 cm</v>
          </cell>
          <cell r="C357" t="str">
            <v>Un</v>
          </cell>
          <cell r="D357">
            <v>1</v>
          </cell>
          <cell r="E357">
            <v>7996.8</v>
          </cell>
        </row>
        <row r="358">
          <cell r="A358" t="str">
            <v>MAT,269</v>
          </cell>
          <cell r="B358" t="str">
            <v>Niple Tub HG 3/4" de 25 cm</v>
          </cell>
          <cell r="C358" t="str">
            <v>Un</v>
          </cell>
          <cell r="D358">
            <v>1</v>
          </cell>
          <cell r="E358">
            <v>7996.8</v>
          </cell>
        </row>
        <row r="359">
          <cell r="A359" t="str">
            <v>MAT,270</v>
          </cell>
          <cell r="B359" t="str">
            <v>Niple Tub HG 1" de 15 cm</v>
          </cell>
          <cell r="C359" t="str">
            <v>Un</v>
          </cell>
          <cell r="D359">
            <v>1</v>
          </cell>
          <cell r="E359">
            <v>15993.6</v>
          </cell>
        </row>
        <row r="360">
          <cell r="A360" t="str">
            <v>MAT,271</v>
          </cell>
          <cell r="B360" t="str">
            <v>Niple Tub Hg 1 1/4" de 15 cm</v>
          </cell>
          <cell r="C360" t="str">
            <v>Un</v>
          </cell>
          <cell r="D360">
            <v>1</v>
          </cell>
          <cell r="E360">
            <v>15993.6</v>
          </cell>
        </row>
        <row r="361">
          <cell r="A361" t="str">
            <v>MAT,272</v>
          </cell>
          <cell r="B361" t="str">
            <v>Niple Tub HG 1 1/2" de 15 cm</v>
          </cell>
          <cell r="C361" t="str">
            <v>Un</v>
          </cell>
          <cell r="D361">
            <v>1</v>
          </cell>
          <cell r="E361">
            <v>18659.2</v>
          </cell>
        </row>
        <row r="362">
          <cell r="A362" t="str">
            <v>MAT,510</v>
          </cell>
          <cell r="B362" t="str">
            <v>Niple Tub HG 2" de 15 cm</v>
          </cell>
          <cell r="C362" t="str">
            <v>Un</v>
          </cell>
          <cell r="D362">
            <v>1</v>
          </cell>
          <cell r="E362">
            <v>23990.400000000001</v>
          </cell>
        </row>
        <row r="363">
          <cell r="A363" t="str">
            <v>MAT,167</v>
          </cell>
          <cell r="B363" t="str">
            <v>Niple Tub HG 3" de 15 cm</v>
          </cell>
          <cell r="C363" t="str">
            <v>Un</v>
          </cell>
          <cell r="D363">
            <v>1</v>
          </cell>
          <cell r="E363">
            <v>41316.800000000003</v>
          </cell>
        </row>
        <row r="364">
          <cell r="A364" t="str">
            <v>MAT,273</v>
          </cell>
          <cell r="B364" t="str">
            <v>Omega en 63 liviana en 2,4 m</v>
          </cell>
          <cell r="C364" t="str">
            <v>Un</v>
          </cell>
          <cell r="D364">
            <v>1</v>
          </cell>
          <cell r="E364">
            <v>6165.6</v>
          </cell>
        </row>
        <row r="365">
          <cell r="A365" t="str">
            <v>MAT,275</v>
          </cell>
          <cell r="B365" t="str">
            <v>Orinal mediano con grifería</v>
          </cell>
          <cell r="C365" t="str">
            <v>Un</v>
          </cell>
          <cell r="D365">
            <v>1</v>
          </cell>
          <cell r="E365">
            <v>295156.96000000002</v>
          </cell>
        </row>
        <row r="366">
          <cell r="A366" t="str">
            <v>MAT,274</v>
          </cell>
          <cell r="B366" t="str">
            <v>Orinal gotta antibacterial</v>
          </cell>
          <cell r="C366" t="str">
            <v>Un</v>
          </cell>
          <cell r="D366">
            <v>1</v>
          </cell>
          <cell r="E366">
            <v>909552</v>
          </cell>
        </row>
        <row r="367">
          <cell r="A367" t="str">
            <v>MAT,276</v>
          </cell>
          <cell r="B367" t="str">
            <v>Orinal Institucional tipo Arrecife</v>
          </cell>
          <cell r="C367" t="str">
            <v>Un</v>
          </cell>
          <cell r="D367">
            <v>1</v>
          </cell>
          <cell r="E367">
            <v>371392</v>
          </cell>
        </row>
        <row r="368">
          <cell r="A368" t="str">
            <v>MAT,275</v>
          </cell>
          <cell r="B368" t="str">
            <v>Orinal mediano con grifería</v>
          </cell>
          <cell r="C368" t="str">
            <v>Un</v>
          </cell>
          <cell r="D368">
            <v>1</v>
          </cell>
          <cell r="E368">
            <v>287728</v>
          </cell>
        </row>
        <row r="369">
          <cell r="A369" t="str">
            <v>MAT,277</v>
          </cell>
          <cell r="B369" t="str">
            <v>Pala con cabo</v>
          </cell>
          <cell r="C369" t="str">
            <v>Un</v>
          </cell>
          <cell r="D369">
            <v>1</v>
          </cell>
          <cell r="E369">
            <v>54745.599999999999</v>
          </cell>
        </row>
        <row r="370">
          <cell r="A370" t="str">
            <v>MAT,278</v>
          </cell>
          <cell r="B370" t="str">
            <v>Paleta pare - siga en polietileno y texto reflectivo de 45 cm</v>
          </cell>
          <cell r="C370" t="str">
            <v>Un</v>
          </cell>
          <cell r="D370">
            <v>1</v>
          </cell>
          <cell r="E370">
            <v>30290.400000000001</v>
          </cell>
        </row>
        <row r="371">
          <cell r="A371" t="str">
            <v>MAT,279</v>
          </cell>
          <cell r="B371" t="str">
            <v>Papel de colgadura a = 0,50 m x 10 m</v>
          </cell>
          <cell r="C371" t="str">
            <v>Rll</v>
          </cell>
          <cell r="D371">
            <v>1</v>
          </cell>
          <cell r="E371">
            <v>212800</v>
          </cell>
        </row>
        <row r="372">
          <cell r="A372" t="str">
            <v>MAT,280</v>
          </cell>
          <cell r="B372" t="str">
            <v>Papelería, fotografías, fotocopias - rocerías</v>
          </cell>
          <cell r="C372" t="str">
            <v>Mes</v>
          </cell>
          <cell r="D372">
            <v>1</v>
          </cell>
          <cell r="E372">
            <v>60162.479999999989</v>
          </cell>
        </row>
        <row r="373">
          <cell r="A373" t="str">
            <v>MAT,281</v>
          </cell>
          <cell r="B373" t="str">
            <v>Par de botas alta suela antideslizante</v>
          </cell>
          <cell r="C373" t="str">
            <v>Un</v>
          </cell>
          <cell r="D373">
            <v>1</v>
          </cell>
          <cell r="E373">
            <v>88354.559999999998</v>
          </cell>
        </row>
        <row r="374">
          <cell r="A374" t="str">
            <v>MAT,282</v>
          </cell>
          <cell r="B374" t="str">
            <v>Paral 59 en 2,4 m calibre 26</v>
          </cell>
          <cell r="C374" t="str">
            <v>Un</v>
          </cell>
          <cell r="D374">
            <v>1</v>
          </cell>
          <cell r="E374">
            <v>10987.2</v>
          </cell>
        </row>
        <row r="375">
          <cell r="A375" t="str">
            <v>MAT,283</v>
          </cell>
          <cell r="B375" t="str">
            <v>Pasador metálico de 3"</v>
          </cell>
          <cell r="C375" t="str">
            <v>Un</v>
          </cell>
          <cell r="D375">
            <v>1</v>
          </cell>
          <cell r="E375">
            <v>12208</v>
          </cell>
        </row>
        <row r="376">
          <cell r="A376" t="str">
            <v>MAT,284</v>
          </cell>
          <cell r="B376" t="str">
            <v>Pasamanos con casita, escalera: casita y pasamanos en tubo de 1 1/2", escalera en 1", la casita de 1.20 x 1.20 m con piso en lámina y techo en fibra de vidrio, anclado en concreto. Incluye anticorrosivo y pintura en esmalte para exteriores</v>
          </cell>
          <cell r="C376" t="str">
            <v>Un</v>
          </cell>
          <cell r="D376">
            <v>1</v>
          </cell>
          <cell r="E376">
            <v>7516824</v>
          </cell>
        </row>
        <row r="377">
          <cell r="A377" t="str">
            <v>MAT,285</v>
          </cell>
          <cell r="B377" t="str">
            <v>Pasamanos sencillo en tubería de 1 1/2" y 3/4" los pasos, altura 1.90 m, anclado en concreto. Incluye anticorrosivo y pintura en esmalte para exteriores</v>
          </cell>
          <cell r="C377" t="str">
            <v>Un</v>
          </cell>
          <cell r="D377">
            <v>1</v>
          </cell>
          <cell r="E377">
            <v>1453200</v>
          </cell>
        </row>
        <row r="378">
          <cell r="A378" t="str">
            <v>MAT,286</v>
          </cell>
          <cell r="B378" t="str">
            <v>Perfil aluminio anoloc T L = 6 m</v>
          </cell>
          <cell r="C378" t="str">
            <v>Un</v>
          </cell>
          <cell r="D378">
            <v>1</v>
          </cell>
          <cell r="E378">
            <v>16240</v>
          </cell>
        </row>
        <row r="379">
          <cell r="A379" t="str">
            <v>MAT,287</v>
          </cell>
          <cell r="B379" t="str">
            <v>Perfil aluminio blanco ángulo L = 6 m</v>
          </cell>
          <cell r="C379" t="str">
            <v>Un</v>
          </cell>
          <cell r="D379">
            <v>1</v>
          </cell>
          <cell r="E379">
            <v>16240</v>
          </cell>
        </row>
        <row r="380">
          <cell r="A380" t="str">
            <v>MAT,288</v>
          </cell>
          <cell r="B380" t="str">
            <v>Perfil aluminio blanco T L = 6 m</v>
          </cell>
          <cell r="C380" t="str">
            <v>Un</v>
          </cell>
          <cell r="D380">
            <v>1</v>
          </cell>
          <cell r="E380">
            <v>16240</v>
          </cell>
        </row>
        <row r="381">
          <cell r="A381" t="str">
            <v>MAT,289</v>
          </cell>
          <cell r="B381" t="str">
            <v>Perfil aluminio natural ángulo L = 6 m</v>
          </cell>
          <cell r="C381" t="str">
            <v>Un</v>
          </cell>
          <cell r="D381">
            <v>1</v>
          </cell>
          <cell r="E381">
            <v>15680</v>
          </cell>
        </row>
        <row r="382">
          <cell r="A382" t="str">
            <v>MAT,290</v>
          </cell>
          <cell r="B382" t="str">
            <v>Perfil aluminio natural T L = 6 m</v>
          </cell>
          <cell r="C382" t="str">
            <v>Un</v>
          </cell>
          <cell r="D382">
            <v>1</v>
          </cell>
          <cell r="E382">
            <v>15680</v>
          </cell>
        </row>
        <row r="383">
          <cell r="A383" t="str">
            <v>MAT,291</v>
          </cell>
          <cell r="B383" t="str">
            <v>Perfil aluminio sencillo D17</v>
          </cell>
          <cell r="C383" t="str">
            <v>M</v>
          </cell>
          <cell r="D383">
            <v>1</v>
          </cell>
          <cell r="E383">
            <v>1162.56</v>
          </cell>
        </row>
        <row r="384">
          <cell r="A384" t="str">
            <v>MAT,292</v>
          </cell>
          <cell r="B384" t="str">
            <v>Perfil aluminio anoloc ángulo L = 6 m</v>
          </cell>
          <cell r="C384" t="str">
            <v>Un</v>
          </cell>
          <cell r="D384">
            <v>1</v>
          </cell>
          <cell r="E384">
            <v>16240</v>
          </cell>
        </row>
        <row r="385">
          <cell r="A385" t="str">
            <v>MAT,293</v>
          </cell>
          <cell r="B385" t="str">
            <v>Perfil e = 1,5 mm 90 x 130 mm</v>
          </cell>
          <cell r="C385" t="str">
            <v>Ml</v>
          </cell>
          <cell r="D385">
            <v>1</v>
          </cell>
          <cell r="E385">
            <v>2416.96</v>
          </cell>
        </row>
        <row r="386">
          <cell r="A386" t="str">
            <v>MAT,652</v>
          </cell>
          <cell r="B386" t="str">
            <v>Pegante papel colgadura</v>
          </cell>
          <cell r="C386" t="str">
            <v>Un</v>
          </cell>
          <cell r="D386">
            <v>1</v>
          </cell>
          <cell r="E386">
            <v>27888</v>
          </cell>
        </row>
        <row r="387">
          <cell r="A387" t="str">
            <v>MAT,294</v>
          </cell>
          <cell r="B387" t="str">
            <v>Perlín promedio (0,12 x 0,6 C 16)</v>
          </cell>
          <cell r="C387" t="str">
            <v>M</v>
          </cell>
          <cell r="D387">
            <v>1</v>
          </cell>
          <cell r="E387">
            <v>22666.560000000001</v>
          </cell>
        </row>
        <row r="388">
          <cell r="A388" t="str">
            <v>MAT,295</v>
          </cell>
          <cell r="B388" t="str">
            <v>Pica con cabo</v>
          </cell>
          <cell r="C388" t="str">
            <v>Un</v>
          </cell>
          <cell r="D388">
            <v>1</v>
          </cell>
          <cell r="E388">
            <v>48366.080000000002</v>
          </cell>
        </row>
        <row r="389">
          <cell r="A389" t="str">
            <v>MAT,296</v>
          </cell>
          <cell r="B389" t="str">
            <v>Piedra media songa</v>
          </cell>
          <cell r="C389" t="str">
            <v>M3</v>
          </cell>
          <cell r="D389">
            <v>1</v>
          </cell>
          <cell r="E389">
            <v>95200</v>
          </cell>
        </row>
        <row r="390">
          <cell r="A390" t="str">
            <v>MAT,297</v>
          </cell>
          <cell r="B390" t="str">
            <v>Pintura acrílica para tráfico</v>
          </cell>
          <cell r="C390" t="str">
            <v>Gl</v>
          </cell>
          <cell r="D390">
            <v>1</v>
          </cell>
          <cell r="E390">
            <v>117488</v>
          </cell>
        </row>
        <row r="391">
          <cell r="A391" t="str">
            <v>MAT,298</v>
          </cell>
          <cell r="B391" t="str">
            <v>Pintura esmalte para exteriores</v>
          </cell>
          <cell r="C391" t="str">
            <v>Gl</v>
          </cell>
          <cell r="D391">
            <v>1</v>
          </cell>
          <cell r="E391">
            <v>89488</v>
          </cell>
        </row>
        <row r="392">
          <cell r="A392" t="str">
            <v>MAT,299</v>
          </cell>
          <cell r="B392" t="str">
            <v>Pintura reflectiva de aluminio</v>
          </cell>
          <cell r="C392" t="str">
            <v>Kg</v>
          </cell>
          <cell r="D392">
            <v>1</v>
          </cell>
          <cell r="E392">
            <v>58464</v>
          </cell>
        </row>
        <row r="393">
          <cell r="A393" t="str">
            <v>MAT,300</v>
          </cell>
          <cell r="B393" t="str">
            <v>Pintura texturizada hidrorepelente</v>
          </cell>
          <cell r="C393" t="str">
            <v>Cñ</v>
          </cell>
          <cell r="D393">
            <v>1</v>
          </cell>
          <cell r="E393">
            <v>56000</v>
          </cell>
        </row>
        <row r="394">
          <cell r="A394" t="str">
            <v>MAT,301</v>
          </cell>
          <cell r="B394" t="str">
            <v>Pintura transparente protectora de fachadas tipo Sika transparente 10 o similar</v>
          </cell>
          <cell r="C394" t="str">
            <v>Gl</v>
          </cell>
          <cell r="D394">
            <v>1</v>
          </cell>
          <cell r="E394">
            <v>107408</v>
          </cell>
        </row>
        <row r="395">
          <cell r="A395" t="str">
            <v>MAT,302</v>
          </cell>
          <cell r="B395" t="str">
            <v>Pintura verde óptico (tablero)</v>
          </cell>
          <cell r="C395" t="str">
            <v>Gl</v>
          </cell>
          <cell r="D395">
            <v>1</v>
          </cell>
          <cell r="E395">
            <v>67200</v>
          </cell>
        </row>
        <row r="396">
          <cell r="A396" t="str">
            <v>MAT,303</v>
          </cell>
          <cell r="B396" t="str">
            <v>Pintura vinilo para exteriores koraza o similar</v>
          </cell>
          <cell r="C396" t="str">
            <v>Gl</v>
          </cell>
          <cell r="D396">
            <v>1</v>
          </cell>
          <cell r="E396">
            <v>80216.639999999999</v>
          </cell>
        </row>
        <row r="397">
          <cell r="A397" t="str">
            <v>MAT,304</v>
          </cell>
          <cell r="B397" t="str">
            <v>Pintura vinilo tipo I</v>
          </cell>
          <cell r="C397" t="str">
            <v>Gl</v>
          </cell>
          <cell r="D397">
            <v>1</v>
          </cell>
          <cell r="E397">
            <v>51049.599999999999</v>
          </cell>
        </row>
        <row r="398">
          <cell r="A398" t="str">
            <v>MAT,305</v>
          </cell>
          <cell r="B398" t="str">
            <v>Pintura vinilo tipo II</v>
          </cell>
          <cell r="C398" t="str">
            <v>Gl</v>
          </cell>
          <cell r="D398">
            <v>1</v>
          </cell>
          <cell r="E398">
            <v>32905.599999999999</v>
          </cell>
        </row>
        <row r="399">
          <cell r="A399" t="str">
            <v>MAT,306</v>
          </cell>
          <cell r="B399" t="str">
            <v>Pirlán de bronce</v>
          </cell>
          <cell r="C399" t="str">
            <v>M</v>
          </cell>
          <cell r="D399">
            <v>1</v>
          </cell>
          <cell r="E399">
            <v>24864</v>
          </cell>
        </row>
        <row r="400">
          <cell r="A400" t="str">
            <v>MAT,307</v>
          </cell>
          <cell r="B400" t="str">
            <v>Piso en lámina de vinilo C 1,6 mm</v>
          </cell>
          <cell r="C400" t="str">
            <v>M2</v>
          </cell>
          <cell r="D400">
            <v>1</v>
          </cell>
          <cell r="E400">
            <v>38480.736000000004</v>
          </cell>
        </row>
        <row r="401">
          <cell r="A401" t="str">
            <v>MAT,308</v>
          </cell>
          <cell r="B401" t="str">
            <v>Piso tipo Duropiso de 33 x 33 cm</v>
          </cell>
          <cell r="C401" t="str">
            <v>M2</v>
          </cell>
          <cell r="D401">
            <v>1</v>
          </cell>
          <cell r="E401">
            <v>42665.951999999997</v>
          </cell>
        </row>
        <row r="402">
          <cell r="A402" t="str">
            <v>MAT,309</v>
          </cell>
          <cell r="B402" t="str">
            <v>Piso tipo Mayólica</v>
          </cell>
          <cell r="C402" t="str">
            <v>M2</v>
          </cell>
          <cell r="D402">
            <v>1</v>
          </cell>
          <cell r="E402">
            <v>26855.135999999999</v>
          </cell>
        </row>
        <row r="403">
          <cell r="A403" t="str">
            <v>MAT,310</v>
          </cell>
          <cell r="B403" t="str">
            <v>Piso vinílico antideslizante, tráfico 5 e = 2 mm</v>
          </cell>
          <cell r="C403" t="str">
            <v>M2</v>
          </cell>
          <cell r="D403">
            <v>1</v>
          </cell>
          <cell r="E403">
            <v>108815.61600000001</v>
          </cell>
        </row>
        <row r="404">
          <cell r="A404" t="str">
            <v>MAT,311</v>
          </cell>
          <cell r="B404" t="str">
            <v>Pisofuerte tipo Corona de 30 x 30 cm tráfico 5</v>
          </cell>
          <cell r="C404" t="str">
            <v>M2</v>
          </cell>
          <cell r="D404">
            <v>1</v>
          </cell>
          <cell r="E404">
            <v>42112</v>
          </cell>
        </row>
        <row r="405">
          <cell r="A405" t="str">
            <v>MAT,312</v>
          </cell>
          <cell r="B405" t="str">
            <v>Plántula (nacedero, carey, leucaena, matarratón), altura promedio 0.25 m)</v>
          </cell>
          <cell r="C405" t="str">
            <v>Un</v>
          </cell>
          <cell r="D405">
            <v>1</v>
          </cell>
          <cell r="E405">
            <v>11200</v>
          </cell>
        </row>
        <row r="406">
          <cell r="A406" t="str">
            <v>MAT,313</v>
          </cell>
          <cell r="B406" t="str">
            <v>Plántula (vetiver, limoncillo, lirio y afines), altura promedio 0.25 m)</v>
          </cell>
          <cell r="C406" t="str">
            <v>Un</v>
          </cell>
          <cell r="D406">
            <v>1</v>
          </cell>
          <cell r="E406">
            <v>8960</v>
          </cell>
        </row>
        <row r="407">
          <cell r="A407" t="str">
            <v>MAT,314</v>
          </cell>
          <cell r="B407" t="str">
            <v>Plántula con especies diferentes a guayacán, acacia, eucalipto, altura promedio 0.25 m</v>
          </cell>
          <cell r="C407" t="str">
            <v>Un</v>
          </cell>
          <cell r="D407">
            <v>1</v>
          </cell>
          <cell r="E407">
            <v>8960</v>
          </cell>
        </row>
        <row r="408">
          <cell r="A408" t="str">
            <v>MAT,315</v>
          </cell>
          <cell r="B408" t="str">
            <v>Platina 1" x 1/4"</v>
          </cell>
          <cell r="C408" t="str">
            <v>M</v>
          </cell>
          <cell r="D408">
            <v>1</v>
          </cell>
          <cell r="E408">
            <v>6538.5599999999995</v>
          </cell>
        </row>
        <row r="409">
          <cell r="A409" t="str">
            <v>MAT,316</v>
          </cell>
          <cell r="B409" t="str">
            <v>Platina 1 1/2" x 1/4"</v>
          </cell>
          <cell r="C409" t="str">
            <v>M</v>
          </cell>
          <cell r="D409">
            <v>1</v>
          </cell>
          <cell r="E409">
            <v>10551.52</v>
          </cell>
        </row>
        <row r="410">
          <cell r="A410" t="str">
            <v>MAT,317</v>
          </cell>
          <cell r="B410" t="str">
            <v>Platina 2" x 1/4"</v>
          </cell>
          <cell r="C410" t="str">
            <v>M</v>
          </cell>
          <cell r="D410">
            <v>1</v>
          </cell>
          <cell r="E410">
            <v>13084.96</v>
          </cell>
        </row>
        <row r="411">
          <cell r="A411" t="str">
            <v>MAT,639</v>
          </cell>
          <cell r="B411" t="str">
            <v>Plántula (guayacán, acacia, eucalipto, altura promedio 0.25 m)</v>
          </cell>
          <cell r="C411" t="str">
            <v>Un</v>
          </cell>
          <cell r="D411">
            <v>1</v>
          </cell>
          <cell r="E411">
            <v>5072.24928</v>
          </cell>
        </row>
        <row r="412">
          <cell r="A412" t="str">
            <v>MAT,318</v>
          </cell>
          <cell r="B412" t="str">
            <v>Platinas para claraboya</v>
          </cell>
          <cell r="C412" t="str">
            <v>Jg</v>
          </cell>
          <cell r="D412">
            <v>1</v>
          </cell>
          <cell r="E412">
            <v>4368</v>
          </cell>
        </row>
        <row r="413">
          <cell r="A413" t="str">
            <v>MAT,507</v>
          </cell>
          <cell r="B413" t="str">
            <v>Polietileno negro C 4 a = 3 m</v>
          </cell>
          <cell r="C413" t="str">
            <v>M2</v>
          </cell>
          <cell r="D413">
            <v>1</v>
          </cell>
          <cell r="E413">
            <v>3475.36</v>
          </cell>
        </row>
        <row r="414">
          <cell r="A414" t="str">
            <v>MAT,544</v>
          </cell>
          <cell r="B414" t="str">
            <v>Pomos de porcelana</v>
          </cell>
          <cell r="C414" t="str">
            <v>Par</v>
          </cell>
          <cell r="D414">
            <v>1</v>
          </cell>
          <cell r="E414">
            <v>15680</v>
          </cell>
        </row>
        <row r="415">
          <cell r="A415" t="str">
            <v>MAT,319</v>
          </cell>
          <cell r="B415" t="str">
            <v>Poste de concreto 12 x 510 kg</v>
          </cell>
          <cell r="C415" t="str">
            <v>Un</v>
          </cell>
          <cell r="D415">
            <v>1</v>
          </cell>
          <cell r="E415">
            <v>1007596.8</v>
          </cell>
        </row>
        <row r="416">
          <cell r="A416" t="str">
            <v>MAT,320</v>
          </cell>
          <cell r="B416" t="str">
            <v>Poste de concreto 12 x 750 kg</v>
          </cell>
          <cell r="C416" t="str">
            <v>Un</v>
          </cell>
          <cell r="D416">
            <v>1</v>
          </cell>
          <cell r="E416">
            <v>1140212.6399999999</v>
          </cell>
        </row>
        <row r="417">
          <cell r="A417" t="str">
            <v>MAT,321</v>
          </cell>
          <cell r="B417" t="str">
            <v>Poste de concreto 9 x 510 kg</v>
          </cell>
          <cell r="C417" t="str">
            <v>Un</v>
          </cell>
          <cell r="D417">
            <v>1</v>
          </cell>
          <cell r="E417">
            <v>591918.58655999997</v>
          </cell>
        </row>
        <row r="418">
          <cell r="A418" t="str">
            <v>MAT,324</v>
          </cell>
          <cell r="B418" t="str">
            <v>Poste en ángulo de 2 x 2 1/4" de 3,5 m</v>
          </cell>
          <cell r="C418" t="str">
            <v>Un</v>
          </cell>
          <cell r="D418">
            <v>1</v>
          </cell>
          <cell r="E418">
            <v>71713.676160000003</v>
          </cell>
        </row>
        <row r="419">
          <cell r="A419" t="str">
            <v>MAT,328</v>
          </cell>
          <cell r="B419" t="str">
            <v>Postes para defensa metálica (1.80 m) 6 mm, galvanizado (incluye tornillos)</v>
          </cell>
          <cell r="C419" t="str">
            <v>Un</v>
          </cell>
          <cell r="D419">
            <v>1</v>
          </cell>
          <cell r="E419">
            <v>232512</v>
          </cell>
        </row>
        <row r="420">
          <cell r="A420" t="str">
            <v>MAT,322</v>
          </cell>
          <cell r="B420" t="str">
            <v>Poste de madera (estacón de 2,50 m diámetro = 0,10 m inmunizado)</v>
          </cell>
          <cell r="C420" t="str">
            <v>Un</v>
          </cell>
          <cell r="D420">
            <v>1</v>
          </cell>
          <cell r="E420">
            <v>14291.2</v>
          </cell>
        </row>
        <row r="421">
          <cell r="A421" t="str">
            <v>MAT,323</v>
          </cell>
          <cell r="B421" t="str">
            <v>Poste de madera o guadua h = 2 m</v>
          </cell>
          <cell r="C421" t="str">
            <v>Un</v>
          </cell>
          <cell r="D421">
            <v>1</v>
          </cell>
          <cell r="E421">
            <v>3080</v>
          </cell>
        </row>
        <row r="422">
          <cell r="A422" t="str">
            <v>MAT,325</v>
          </cell>
          <cell r="B422" t="str">
            <v>Poste metálico h = 12 m, brazo sencillo, pintado</v>
          </cell>
          <cell r="C422" t="str">
            <v>Un</v>
          </cell>
          <cell r="D422">
            <v>1</v>
          </cell>
          <cell r="E422">
            <v>2162361.6</v>
          </cell>
        </row>
        <row r="423">
          <cell r="A423" t="str">
            <v>MAT,326</v>
          </cell>
          <cell r="B423" t="str">
            <v>Poste para cerramiento en concreto 3,00 m</v>
          </cell>
          <cell r="C423" t="str">
            <v>Un</v>
          </cell>
          <cell r="D423">
            <v>1</v>
          </cell>
          <cell r="E423">
            <v>37147.040000000001</v>
          </cell>
        </row>
        <row r="424">
          <cell r="A424" t="str">
            <v>MAT,327</v>
          </cell>
          <cell r="B424" t="str">
            <v>Poste para cerramiento en concreto de 2,50 m recto</v>
          </cell>
          <cell r="C424" t="str">
            <v>M</v>
          </cell>
          <cell r="D424">
            <v>1</v>
          </cell>
          <cell r="E424">
            <v>30912</v>
          </cell>
        </row>
        <row r="425">
          <cell r="A425" t="str">
            <v>MAT,329</v>
          </cell>
          <cell r="B425" t="str">
            <v>Prado kikuyo</v>
          </cell>
          <cell r="C425" t="str">
            <v>M2</v>
          </cell>
          <cell r="D425">
            <v>1</v>
          </cell>
          <cell r="E425">
            <v>5464.0320000000002</v>
          </cell>
        </row>
        <row r="426">
          <cell r="A426" t="str">
            <v>MAT,330</v>
          </cell>
          <cell r="B426" t="str">
            <v>Prado trenza</v>
          </cell>
          <cell r="C426" t="str">
            <v>M2</v>
          </cell>
          <cell r="D426">
            <v>1</v>
          </cell>
          <cell r="E426">
            <v>5231.5200000000004</v>
          </cell>
        </row>
        <row r="427">
          <cell r="A427" t="str">
            <v>MAT,331</v>
          </cell>
          <cell r="B427" t="str">
            <v>Puerta para división en acero inoxidable</v>
          </cell>
          <cell r="C427" t="str">
            <v>M2</v>
          </cell>
          <cell r="D427">
            <v>1</v>
          </cell>
          <cell r="E427">
            <v>890400</v>
          </cell>
        </row>
        <row r="428">
          <cell r="A428" t="str">
            <v>MAT,332</v>
          </cell>
          <cell r="B428" t="str">
            <v>Pulsador timbre con luz piloto</v>
          </cell>
          <cell r="C428" t="str">
            <v>Un</v>
          </cell>
          <cell r="D428">
            <v>1</v>
          </cell>
          <cell r="E428">
            <v>25648</v>
          </cell>
        </row>
        <row r="429">
          <cell r="A429" t="str">
            <v>MAT,333</v>
          </cell>
          <cell r="B429" t="str">
            <v>Puntilla (promedio)</v>
          </cell>
          <cell r="C429" t="str">
            <v>Lb</v>
          </cell>
          <cell r="D429">
            <v>1</v>
          </cell>
          <cell r="E429">
            <v>3647.84</v>
          </cell>
        </row>
        <row r="430">
          <cell r="A430" t="str">
            <v>MAT,334</v>
          </cell>
          <cell r="B430" t="str">
            <v>Puntilla de 3"</v>
          </cell>
          <cell r="C430" t="str">
            <v>Lb</v>
          </cell>
          <cell r="D430">
            <v>1</v>
          </cell>
          <cell r="E430">
            <v>6608</v>
          </cell>
        </row>
        <row r="431">
          <cell r="A431" t="str">
            <v>MAT,335</v>
          </cell>
          <cell r="B431" t="str">
            <v>Reflector RRA 250W M.H completa con bombillo</v>
          </cell>
          <cell r="C431" t="str">
            <v>Un</v>
          </cell>
          <cell r="D431">
            <v>1</v>
          </cell>
          <cell r="E431">
            <v>0</v>
          </cell>
        </row>
        <row r="432">
          <cell r="A432" t="str">
            <v>MAT,336</v>
          </cell>
          <cell r="B432" t="str">
            <v>Regadera con mezclador (tipo Grival)</v>
          </cell>
          <cell r="C432" t="str">
            <v>Un</v>
          </cell>
          <cell r="D432">
            <v>1</v>
          </cell>
          <cell r="E432">
            <v>119558.88</v>
          </cell>
        </row>
        <row r="433">
          <cell r="A433" t="str">
            <v>MAT,337</v>
          </cell>
          <cell r="B433" t="str">
            <v>Regadera corriente</v>
          </cell>
          <cell r="C433" t="str">
            <v>Un</v>
          </cell>
          <cell r="D433">
            <v>1</v>
          </cell>
          <cell r="E433">
            <v>61600</v>
          </cell>
        </row>
        <row r="434">
          <cell r="A434" t="str">
            <v>MAT,338</v>
          </cell>
          <cell r="B434" t="str">
            <v>Registro de corte de 1/2"</v>
          </cell>
          <cell r="C434" t="str">
            <v>Un</v>
          </cell>
          <cell r="D434">
            <v>1</v>
          </cell>
          <cell r="E434">
            <v>24528</v>
          </cell>
        </row>
        <row r="435">
          <cell r="A435" t="str">
            <v>MAT,339</v>
          </cell>
          <cell r="B435" t="str">
            <v>Registro de incorporación de 1/2"</v>
          </cell>
          <cell r="C435" t="str">
            <v>Un</v>
          </cell>
          <cell r="D435">
            <v>1</v>
          </cell>
          <cell r="E435">
            <v>26768</v>
          </cell>
        </row>
        <row r="436">
          <cell r="A436" t="str">
            <v>MAT,340</v>
          </cell>
          <cell r="B436" t="str">
            <v>Reja panal de abeja de 0,60 x 1,20 m</v>
          </cell>
          <cell r="C436" t="str">
            <v>Un</v>
          </cell>
          <cell r="D436">
            <v>1</v>
          </cell>
          <cell r="E436">
            <v>97328</v>
          </cell>
        </row>
        <row r="437">
          <cell r="A437" t="str">
            <v>MAT,258</v>
          </cell>
          <cell r="B437" t="str">
            <v>Resina termoplástica (pegante epóxico)</v>
          </cell>
          <cell r="C437" t="str">
            <v>Kg</v>
          </cell>
          <cell r="D437">
            <v>1</v>
          </cell>
          <cell r="E437">
            <v>6068.5632000000005</v>
          </cell>
        </row>
        <row r="438">
          <cell r="A438" t="str">
            <v>MAT,341</v>
          </cell>
          <cell r="B438" t="str">
            <v>Rejilla para piso corriente de 3" x 2" bronce</v>
          </cell>
          <cell r="C438" t="str">
            <v>Un</v>
          </cell>
          <cell r="D438">
            <v>1</v>
          </cell>
          <cell r="E438">
            <v>37128</v>
          </cell>
        </row>
        <row r="439">
          <cell r="A439" t="str">
            <v>MAT,342</v>
          </cell>
          <cell r="B439" t="str">
            <v>Remache de aluminio</v>
          </cell>
          <cell r="C439" t="str">
            <v>Un</v>
          </cell>
          <cell r="D439">
            <v>1</v>
          </cell>
          <cell r="E439">
            <v>39.200000000000003</v>
          </cell>
        </row>
        <row r="440">
          <cell r="A440" t="str">
            <v>MAT,343</v>
          </cell>
          <cell r="B440" t="str">
            <v>Sanitario infantil blanco incluye grifería</v>
          </cell>
          <cell r="C440" t="str">
            <v>Un</v>
          </cell>
          <cell r="D440">
            <v>1</v>
          </cell>
          <cell r="E440">
            <v>530544</v>
          </cell>
        </row>
        <row r="441">
          <cell r="A441" t="str">
            <v>MAT,653</v>
          </cell>
          <cell r="B441" t="str">
            <v>Sanitario One Piece Solare blanco tipo Corona</v>
          </cell>
          <cell r="C441" t="str">
            <v>Un</v>
          </cell>
          <cell r="D441">
            <v>1</v>
          </cell>
          <cell r="E441">
            <v>954128</v>
          </cell>
        </row>
        <row r="442">
          <cell r="A442" t="str">
            <v>MAT,344</v>
          </cell>
          <cell r="B442" t="str">
            <v>Sanitario tipo Acua plus blanco</v>
          </cell>
          <cell r="C442" t="str">
            <v>Un</v>
          </cell>
          <cell r="D442">
            <v>1</v>
          </cell>
          <cell r="E442">
            <v>198128</v>
          </cell>
        </row>
        <row r="443">
          <cell r="A443" t="str">
            <v>MAT,345</v>
          </cell>
          <cell r="B443" t="str">
            <v>Sanitario tipo Avanti plus</v>
          </cell>
          <cell r="C443" t="str">
            <v>Un</v>
          </cell>
          <cell r="D443">
            <v>1</v>
          </cell>
          <cell r="E443">
            <v>307664</v>
          </cell>
        </row>
        <row r="444">
          <cell r="A444" t="str">
            <v>MAT,346</v>
          </cell>
          <cell r="B444" t="str">
            <v>Sardinel prefabricado A10 (800 x 200 x 500 mm)</v>
          </cell>
          <cell r="C444" t="str">
            <v>Un</v>
          </cell>
          <cell r="D444">
            <v>1</v>
          </cell>
          <cell r="E444">
            <v>26880</v>
          </cell>
        </row>
        <row r="445">
          <cell r="A445" t="str">
            <v>MAT,347</v>
          </cell>
          <cell r="B445" t="str">
            <v>Seguro para puerta en lámina</v>
          </cell>
          <cell r="C445" t="str">
            <v>Un</v>
          </cell>
          <cell r="D445">
            <v>1</v>
          </cell>
          <cell r="E445">
            <v>41328</v>
          </cell>
        </row>
        <row r="446">
          <cell r="A446" t="str">
            <v>MAT,348</v>
          </cell>
          <cell r="B446" t="str">
            <v>Señal (grupo 1). Tablero en lámina galvanizada de 75 cm x 75 cm, calibre 16 reflectivo tipo III</v>
          </cell>
          <cell r="C446" t="str">
            <v>Un</v>
          </cell>
          <cell r="D446">
            <v>1</v>
          </cell>
          <cell r="E446">
            <v>404768</v>
          </cell>
        </row>
        <row r="447">
          <cell r="A447" t="str">
            <v>MAT,349</v>
          </cell>
          <cell r="B447" t="str">
            <v>Señal (grupo 2). Tablero en lámina galvanizada de 1.2 m x 0.4 m, calibre16, reflectivo tipo III</v>
          </cell>
          <cell r="C447" t="str">
            <v>Un</v>
          </cell>
          <cell r="D447">
            <v>1</v>
          </cell>
          <cell r="E447">
            <v>385952</v>
          </cell>
        </row>
        <row r="448">
          <cell r="A448" t="str">
            <v>MAT,350</v>
          </cell>
          <cell r="B448" t="str">
            <v>Señal vertical con cinta reflectiva, D = 0,90 m</v>
          </cell>
          <cell r="C448" t="str">
            <v>Un</v>
          </cell>
          <cell r="D448">
            <v>1</v>
          </cell>
          <cell r="E448">
            <v>364288.17599999998</v>
          </cell>
        </row>
        <row r="449">
          <cell r="A449" t="str">
            <v>MAT,351</v>
          </cell>
          <cell r="B449" t="str">
            <v>Señalizador tubular de 1 m (2 líneas de cinta)</v>
          </cell>
          <cell r="C449" t="str">
            <v>Un</v>
          </cell>
          <cell r="D449">
            <v>1</v>
          </cell>
          <cell r="E449">
            <v>49448</v>
          </cell>
        </row>
        <row r="450">
          <cell r="A450" t="str">
            <v>MAT,352</v>
          </cell>
          <cell r="B450" t="str">
            <v>Separador plástico para bloques de vidrio</v>
          </cell>
          <cell r="C450" t="str">
            <v>Un</v>
          </cell>
          <cell r="D450">
            <v>1</v>
          </cell>
          <cell r="E450">
            <v>406.89600000000002</v>
          </cell>
        </row>
        <row r="451">
          <cell r="A451" t="str">
            <v>MAT,500</v>
          </cell>
          <cell r="B451" t="str">
            <v>Steeldeck, C 22 0,94 x 5,60 m e = 0,75 mm</v>
          </cell>
          <cell r="C451" t="str">
            <v>M2</v>
          </cell>
          <cell r="D451">
            <v>1</v>
          </cell>
          <cell r="E451">
            <v>73871.839999999997</v>
          </cell>
        </row>
        <row r="452">
          <cell r="A452" t="str">
            <v>MAT,353</v>
          </cell>
          <cell r="B452" t="str">
            <v>Sifón PVC sanitario 2"</v>
          </cell>
          <cell r="C452" t="str">
            <v>Un</v>
          </cell>
          <cell r="D452">
            <v>1</v>
          </cell>
          <cell r="E452">
            <v>12157.6</v>
          </cell>
        </row>
        <row r="453">
          <cell r="A453" t="str">
            <v>MAT,354</v>
          </cell>
          <cell r="B453" t="str">
            <v>Sifón PVC sanitario 3"</v>
          </cell>
          <cell r="C453" t="str">
            <v>Un</v>
          </cell>
          <cell r="D453">
            <v>1</v>
          </cell>
          <cell r="E453">
            <v>15074.08</v>
          </cell>
        </row>
        <row r="454">
          <cell r="A454" t="str">
            <v>MAT,355</v>
          </cell>
          <cell r="B454" t="str">
            <v>Sikarod 6 - 10 mm de diámetro o similar</v>
          </cell>
          <cell r="C454" t="str">
            <v>M</v>
          </cell>
          <cell r="D454">
            <v>1</v>
          </cell>
          <cell r="E454">
            <v>1976.3520000000001</v>
          </cell>
        </row>
        <row r="455">
          <cell r="A455" t="str">
            <v>MAT,356</v>
          </cell>
          <cell r="B455" t="str">
            <v>Silicona transparente sellador de vidrios tubo x 280 ml</v>
          </cell>
          <cell r="C455" t="str">
            <v>Un</v>
          </cell>
          <cell r="D455">
            <v>1</v>
          </cell>
          <cell r="E455">
            <v>52228.959999999999</v>
          </cell>
        </row>
        <row r="456">
          <cell r="A456" t="str">
            <v>MAT,357</v>
          </cell>
          <cell r="B456" t="str">
            <v>Silla Yee PVC de pared estructural 400 x 160</v>
          </cell>
          <cell r="C456" t="str">
            <v>Un</v>
          </cell>
          <cell r="D456">
            <v>1</v>
          </cell>
          <cell r="E456">
            <v>383846.40000000002</v>
          </cell>
        </row>
        <row r="457">
          <cell r="A457" t="str">
            <v>MAT,358</v>
          </cell>
          <cell r="B457" t="str">
            <v>Silla Yee PVC de pared estructural 450 x 160</v>
          </cell>
          <cell r="C457" t="str">
            <v>Un</v>
          </cell>
          <cell r="D457">
            <v>1</v>
          </cell>
          <cell r="E457">
            <v>413168</v>
          </cell>
        </row>
        <row r="458">
          <cell r="A458" t="str">
            <v>MAT,359</v>
          </cell>
          <cell r="B458" t="str">
            <v>Silla Yee PVC de pared estructural 500 x 160</v>
          </cell>
          <cell r="C458" t="str">
            <v>Un</v>
          </cell>
          <cell r="D458">
            <v>1</v>
          </cell>
          <cell r="E458">
            <v>629081.59999999998</v>
          </cell>
        </row>
        <row r="459">
          <cell r="A459" t="str">
            <v>MAT,360</v>
          </cell>
          <cell r="B459" t="str">
            <v>Sistema séptico integrado horizontal 4000 litros subterráneo</v>
          </cell>
          <cell r="C459" t="str">
            <v>Un</v>
          </cell>
          <cell r="D459">
            <v>1</v>
          </cell>
          <cell r="E459">
            <v>5800368</v>
          </cell>
        </row>
        <row r="460">
          <cell r="A460" t="str">
            <v>MAT,361</v>
          </cell>
          <cell r="B460" t="str">
            <v xml:space="preserve">Soldadura 6013 </v>
          </cell>
          <cell r="C460" t="str">
            <v>Kg</v>
          </cell>
          <cell r="D460">
            <v>1</v>
          </cell>
          <cell r="E460">
            <v>15644.16</v>
          </cell>
        </row>
        <row r="461">
          <cell r="A461" t="str">
            <v>MAT,362</v>
          </cell>
          <cell r="B461" t="str">
            <v>Soldadura CPVC liquida agua caliente 1/4</v>
          </cell>
          <cell r="C461" t="str">
            <v>Un</v>
          </cell>
          <cell r="D461">
            <v>1</v>
          </cell>
          <cell r="E461">
            <v>169265.6</v>
          </cell>
        </row>
        <row r="462">
          <cell r="A462" t="str">
            <v>MAT,508</v>
          </cell>
          <cell r="B462" t="str">
            <v>Soldadura para hierro estructural</v>
          </cell>
          <cell r="C462" t="str">
            <v>KG</v>
          </cell>
          <cell r="D462">
            <v>1</v>
          </cell>
          <cell r="E462">
            <v>19256.16</v>
          </cell>
        </row>
        <row r="463">
          <cell r="A463" t="str">
            <v>MAT,364</v>
          </cell>
          <cell r="B463" t="str">
            <v>Soldadura liquida para PVC 1/4</v>
          </cell>
          <cell r="C463" t="str">
            <v>Un</v>
          </cell>
          <cell r="D463">
            <v>1</v>
          </cell>
          <cell r="E463">
            <v>139184.64000000001</v>
          </cell>
        </row>
        <row r="464">
          <cell r="A464" t="str">
            <v>MAT,549</v>
          </cell>
          <cell r="B464" t="str">
            <v>Soldadura PVC Gerfor 250 cm3</v>
          </cell>
          <cell r="C464" t="str">
            <v>Gl</v>
          </cell>
          <cell r="D464">
            <v>1</v>
          </cell>
          <cell r="E464">
            <v>281792</v>
          </cell>
        </row>
        <row r="465">
          <cell r="A465" t="str">
            <v>MAT,366</v>
          </cell>
          <cell r="B465" t="str">
            <v>Solución impermeable en asfalto</v>
          </cell>
          <cell r="C465" t="str">
            <v>Kg</v>
          </cell>
          <cell r="D465">
            <v>1</v>
          </cell>
          <cell r="E465">
            <v>8137.92</v>
          </cell>
        </row>
        <row r="466">
          <cell r="A466" t="str">
            <v>MAT,539</v>
          </cell>
          <cell r="B466" t="str">
            <v xml:space="preserve">Soporte bajante PVC </v>
          </cell>
          <cell r="C466" t="str">
            <v>Un</v>
          </cell>
          <cell r="D466">
            <v>1</v>
          </cell>
          <cell r="E466">
            <v>3809.12</v>
          </cell>
        </row>
        <row r="467">
          <cell r="A467" t="str">
            <v>MAT,562</v>
          </cell>
          <cell r="B467" t="str">
            <v>Tablero de baloncesto acrílico, incluye armazón metálico, aro y malla (móvil)</v>
          </cell>
          <cell r="C467" t="str">
            <v>Un</v>
          </cell>
          <cell r="D467">
            <v>1</v>
          </cell>
          <cell r="E467">
            <v>2079168</v>
          </cell>
        </row>
        <row r="468">
          <cell r="A468" t="str">
            <v>MAT,368</v>
          </cell>
          <cell r="B468" t="str">
            <v>Tabla para formaleta de 1" x 10" x 2,9 m</v>
          </cell>
          <cell r="C468" t="str">
            <v>M</v>
          </cell>
          <cell r="D468">
            <v>1</v>
          </cell>
          <cell r="E468">
            <v>9035.0400000000009</v>
          </cell>
        </row>
        <row r="469">
          <cell r="A469" t="str">
            <v>MAT,502</v>
          </cell>
          <cell r="B469" t="str">
            <v>Tableta egipcia de 0,09 x 0,09 m roja</v>
          </cell>
          <cell r="C469" t="str">
            <v>M2</v>
          </cell>
          <cell r="D469">
            <v>1</v>
          </cell>
          <cell r="E469">
            <v>14651.743680000001</v>
          </cell>
        </row>
        <row r="470">
          <cell r="A470" t="str">
            <v>MAT,561</v>
          </cell>
          <cell r="B470" t="str">
            <v>Tablero melamínico de 2,40 x 1,20 m, base en tablex de 2 cm, para marcador seco, incluye marco en cedro y ticero en madera, instalado</v>
          </cell>
          <cell r="C470" t="str">
            <v>Un</v>
          </cell>
          <cell r="D470">
            <v>1</v>
          </cell>
          <cell r="E470">
            <v>492688</v>
          </cell>
        </row>
        <row r="471">
          <cell r="A471" t="str">
            <v>MAT,369</v>
          </cell>
          <cell r="B471" t="str">
            <v>Tablero de 4 circuitos</v>
          </cell>
          <cell r="C471" t="str">
            <v>Un</v>
          </cell>
          <cell r="D471">
            <v>1</v>
          </cell>
          <cell r="E471">
            <v>50626.239999999998</v>
          </cell>
        </row>
        <row r="472">
          <cell r="A472" t="str">
            <v>MAT,371</v>
          </cell>
          <cell r="B472" t="str">
            <v>Tablero monofásico Vtq  4 circuitos Sb.</v>
          </cell>
          <cell r="C472" t="str">
            <v>Un</v>
          </cell>
          <cell r="D472">
            <v>1</v>
          </cell>
          <cell r="E472">
            <v>45364.479999999996</v>
          </cell>
        </row>
        <row r="473">
          <cell r="A473" t="str">
            <v>MAT,372</v>
          </cell>
          <cell r="B473" t="str">
            <v>Tablero monofásico Vtq  6 circuitos Sb.</v>
          </cell>
          <cell r="C473" t="str">
            <v>Un</v>
          </cell>
          <cell r="D473">
            <v>1</v>
          </cell>
          <cell r="E473">
            <v>93968</v>
          </cell>
        </row>
        <row r="474">
          <cell r="A474" t="str">
            <v>MAT,373</v>
          </cell>
          <cell r="B474" t="str">
            <v>Tablero Tqcp412 trifásico</v>
          </cell>
          <cell r="C474" t="str">
            <v>Un</v>
          </cell>
          <cell r="D474">
            <v>1</v>
          </cell>
          <cell r="E474">
            <v>350448</v>
          </cell>
        </row>
        <row r="475">
          <cell r="A475" t="str">
            <v>MAT,374</v>
          </cell>
          <cell r="B475" t="str">
            <v>Tableta tipo Tradicional de 0,30 x 0,30 m</v>
          </cell>
          <cell r="C475" t="str">
            <v>M2</v>
          </cell>
          <cell r="D475">
            <v>1</v>
          </cell>
          <cell r="E475">
            <v>24491.040000000001</v>
          </cell>
        </row>
        <row r="476">
          <cell r="A476" t="str">
            <v>MAT,375</v>
          </cell>
          <cell r="B476" t="str">
            <v xml:space="preserve">Tablilla fina para piso </v>
          </cell>
          <cell r="C476" t="str">
            <v>M2</v>
          </cell>
          <cell r="D476">
            <v>1</v>
          </cell>
          <cell r="E476">
            <v>69203.679999999993</v>
          </cell>
        </row>
        <row r="477">
          <cell r="A477" t="str">
            <v>MAT,376</v>
          </cell>
          <cell r="B477" t="str">
            <v>Tablilla machihembrada para cielo raso pino ciprés</v>
          </cell>
          <cell r="C477" t="str">
            <v>M2</v>
          </cell>
          <cell r="D477">
            <v>1</v>
          </cell>
          <cell r="E477">
            <v>27988.799999999999</v>
          </cell>
        </row>
        <row r="478">
          <cell r="A478" t="str">
            <v>MAT,377</v>
          </cell>
          <cell r="B478" t="str">
            <v>Tablón de 0,20 x 0,20 m rojo</v>
          </cell>
          <cell r="C478" t="str">
            <v>M2</v>
          </cell>
          <cell r="D478">
            <v>1</v>
          </cell>
          <cell r="E478">
            <v>33096</v>
          </cell>
        </row>
        <row r="479">
          <cell r="A479" t="str">
            <v>MAT,378</v>
          </cell>
          <cell r="B479" t="str">
            <v>Tablón de 0,20 x 0,20 m tipo sahara</v>
          </cell>
          <cell r="C479" t="str">
            <v>M2</v>
          </cell>
          <cell r="D479">
            <v>1</v>
          </cell>
          <cell r="E479">
            <v>30232.16</v>
          </cell>
        </row>
        <row r="480">
          <cell r="A480" t="str">
            <v>MAT,523</v>
          </cell>
          <cell r="B480" t="str">
            <v>Tablón grafilado vitrificado x 25 en hojilla</v>
          </cell>
          <cell r="C480" t="str">
            <v>M2</v>
          </cell>
          <cell r="D480">
            <v>1</v>
          </cell>
          <cell r="E480">
            <v>25200</v>
          </cell>
        </row>
        <row r="481">
          <cell r="A481" t="str">
            <v>MAT,379</v>
          </cell>
          <cell r="B481" t="str">
            <v>Tablón porcelagres o similar de 0,20 x 0,20 m</v>
          </cell>
          <cell r="C481" t="str">
            <v>M2</v>
          </cell>
          <cell r="D481">
            <v>1</v>
          </cell>
          <cell r="E481">
            <v>46480</v>
          </cell>
        </row>
        <row r="482">
          <cell r="A482" t="str">
            <v>MAT,380</v>
          </cell>
          <cell r="B482" t="str">
            <v>Tablón tipo Andino de 0,10 x 0,20 m</v>
          </cell>
          <cell r="C482" t="str">
            <v>M2</v>
          </cell>
          <cell r="D482">
            <v>1</v>
          </cell>
          <cell r="E482">
            <v>15120</v>
          </cell>
        </row>
        <row r="483">
          <cell r="A483" t="str">
            <v>MAT,381</v>
          </cell>
          <cell r="B483" t="str">
            <v>Tacha reflectiva unidireccional</v>
          </cell>
          <cell r="C483" t="str">
            <v>Un</v>
          </cell>
          <cell r="D483">
            <v>1</v>
          </cell>
          <cell r="E483">
            <v>9181.76</v>
          </cell>
        </row>
        <row r="484">
          <cell r="A484" t="str">
            <v>MAT,382</v>
          </cell>
          <cell r="B484" t="str">
            <v>Tachón en resina 0,4 x 0,15 x 0,08 m</v>
          </cell>
          <cell r="C484" t="str">
            <v>Un</v>
          </cell>
          <cell r="D484">
            <v>1</v>
          </cell>
          <cell r="E484">
            <v>30119.040000000001</v>
          </cell>
        </row>
        <row r="485">
          <cell r="A485" t="str">
            <v>MAT,383</v>
          </cell>
          <cell r="B485" t="str">
            <v>Tanque para agua plástico de 1.000 lt completo</v>
          </cell>
          <cell r="C485" t="str">
            <v>Un</v>
          </cell>
          <cell r="D485">
            <v>1</v>
          </cell>
          <cell r="E485">
            <v>427728</v>
          </cell>
        </row>
        <row r="486">
          <cell r="A486" t="str">
            <v>MAT,384</v>
          </cell>
          <cell r="B486" t="str">
            <v>Tanque para agua plástico de 250 lt completo</v>
          </cell>
          <cell r="C486" t="str">
            <v>Un</v>
          </cell>
          <cell r="D486">
            <v>1</v>
          </cell>
          <cell r="E486">
            <v>233632</v>
          </cell>
        </row>
        <row r="487">
          <cell r="A487" t="str">
            <v>MAT,385</v>
          </cell>
          <cell r="B487" t="str">
            <v>Tanque para agua plástico de 500 lt completo</v>
          </cell>
          <cell r="C487" t="str">
            <v>Un</v>
          </cell>
          <cell r="D487">
            <v>1</v>
          </cell>
          <cell r="E487">
            <v>301728</v>
          </cell>
        </row>
        <row r="488">
          <cell r="A488" t="str">
            <v>MAT,386</v>
          </cell>
          <cell r="B488" t="str">
            <v>Tapa de hierro d = 0,60 m de 90 kg (man hall) + aro</v>
          </cell>
          <cell r="C488" t="str">
            <v>Un</v>
          </cell>
          <cell r="D488">
            <v>1</v>
          </cell>
          <cell r="E488">
            <v>807408</v>
          </cell>
        </row>
        <row r="489">
          <cell r="A489" t="str">
            <v>MAT,387</v>
          </cell>
          <cell r="B489" t="str">
            <v>Tapa plástica de registro de 0,20 x 0,20 m</v>
          </cell>
          <cell r="C489" t="str">
            <v>Un</v>
          </cell>
          <cell r="D489">
            <v>1</v>
          </cell>
          <cell r="E489">
            <v>17383.52</v>
          </cell>
        </row>
        <row r="490">
          <cell r="A490" t="str">
            <v>MAT,388</v>
          </cell>
          <cell r="B490" t="str">
            <v>Tapa poros referencia 7203 o similar</v>
          </cell>
          <cell r="C490" t="str">
            <v>Gl</v>
          </cell>
          <cell r="D490">
            <v>1</v>
          </cell>
          <cell r="E490">
            <v>93004.800000000003</v>
          </cell>
        </row>
        <row r="491">
          <cell r="A491" t="str">
            <v>MAT,389</v>
          </cell>
          <cell r="B491" t="str">
            <v>Tee de HG 2"</v>
          </cell>
          <cell r="C491" t="str">
            <v>Un</v>
          </cell>
          <cell r="D491">
            <v>1</v>
          </cell>
          <cell r="E491">
            <v>19992</v>
          </cell>
        </row>
        <row r="492">
          <cell r="A492" t="str">
            <v>MAT,390</v>
          </cell>
          <cell r="B492" t="str">
            <v>Tee de HG 3"</v>
          </cell>
          <cell r="C492" t="str">
            <v>Un</v>
          </cell>
          <cell r="D492">
            <v>1</v>
          </cell>
          <cell r="E492">
            <v>53312</v>
          </cell>
        </row>
        <row r="493">
          <cell r="A493" t="str">
            <v>MAT,563</v>
          </cell>
          <cell r="B493" t="str">
            <v>Teja española de A. C.</v>
          </cell>
          <cell r="C493" t="str">
            <v>Un</v>
          </cell>
          <cell r="D493">
            <v>1</v>
          </cell>
          <cell r="E493">
            <v>89101.6</v>
          </cell>
        </row>
        <row r="494">
          <cell r="A494" t="str">
            <v>MAT,497</v>
          </cell>
          <cell r="B494" t="str">
            <v>Teja ondulada de fibrocemento Nº 6</v>
          </cell>
          <cell r="C494" t="str">
            <v>M2</v>
          </cell>
          <cell r="D494">
            <v>1</v>
          </cell>
          <cell r="E494">
            <v>21168</v>
          </cell>
        </row>
        <row r="495">
          <cell r="A495" t="str">
            <v>MAT,391</v>
          </cell>
          <cell r="B495" t="str">
            <v>Teja de barro S l = 0,40 m a = 0,17 m</v>
          </cell>
          <cell r="C495" t="str">
            <v>Un</v>
          </cell>
          <cell r="D495">
            <v>1</v>
          </cell>
          <cell r="E495">
            <v>1512</v>
          </cell>
        </row>
        <row r="496">
          <cell r="A496" t="str">
            <v>MAT,392</v>
          </cell>
          <cell r="B496" t="str">
            <v>Teja ondulada transparente policarbonato</v>
          </cell>
          <cell r="C496" t="str">
            <v>M2</v>
          </cell>
          <cell r="D496">
            <v>1</v>
          </cell>
          <cell r="E496">
            <v>57501.919999999998</v>
          </cell>
        </row>
        <row r="497">
          <cell r="A497" t="str">
            <v>MAT,393</v>
          </cell>
          <cell r="B497" t="str">
            <v>Teja termoacústica UPVC 2,5 mm, azul, roja, verde o blanca</v>
          </cell>
          <cell r="C497" t="str">
            <v>M2</v>
          </cell>
          <cell r="D497">
            <v>1</v>
          </cell>
          <cell r="E497">
            <v>97328</v>
          </cell>
        </row>
        <row r="498">
          <cell r="A498" t="str">
            <v>MAT,394</v>
          </cell>
          <cell r="B498" t="str">
            <v>Tela de cerramiento a = 2,10 m (rollo por 100 m)</v>
          </cell>
          <cell r="C498" t="str">
            <v>M2</v>
          </cell>
          <cell r="D498">
            <v>1</v>
          </cell>
          <cell r="E498">
            <v>1930.1296</v>
          </cell>
        </row>
        <row r="499">
          <cell r="A499" t="str">
            <v>MAT,166</v>
          </cell>
          <cell r="B499" t="str">
            <v>Teja zinc ondulada 2,13 x 0,80 m calibre 24</v>
          </cell>
          <cell r="C499" t="str">
            <v>M2</v>
          </cell>
          <cell r="D499">
            <v>1</v>
          </cell>
          <cell r="E499">
            <v>14828.8</v>
          </cell>
        </row>
        <row r="500">
          <cell r="A500" t="str">
            <v>MAT,395</v>
          </cell>
          <cell r="B500" t="str">
            <v>Tela para protección de edificios</v>
          </cell>
          <cell r="C500" t="str">
            <v>M2</v>
          </cell>
          <cell r="D500">
            <v>1</v>
          </cell>
          <cell r="E500">
            <v>2067.52</v>
          </cell>
        </row>
        <row r="501">
          <cell r="A501" t="str">
            <v>MAT,396</v>
          </cell>
          <cell r="B501" t="str">
            <v>Telera de 3,5 x 24 cm x 2,9 m de sajo</v>
          </cell>
          <cell r="C501" t="str">
            <v>M</v>
          </cell>
          <cell r="D501">
            <v>1</v>
          </cell>
          <cell r="E501">
            <v>14881.44</v>
          </cell>
        </row>
        <row r="502">
          <cell r="A502" t="str">
            <v>MAT,397</v>
          </cell>
          <cell r="B502" t="str">
            <v>Tierra no vegetal</v>
          </cell>
          <cell r="C502" t="str">
            <v>M3</v>
          </cell>
          <cell r="D502">
            <v>1</v>
          </cell>
          <cell r="E502">
            <v>9300.48</v>
          </cell>
        </row>
        <row r="503">
          <cell r="A503" t="str">
            <v>MAT,398</v>
          </cell>
          <cell r="B503" t="str">
            <v>Tierra vegetal</v>
          </cell>
          <cell r="C503" t="str">
            <v>M3</v>
          </cell>
          <cell r="D503">
            <v>1</v>
          </cell>
          <cell r="E503">
            <v>29064</v>
          </cell>
        </row>
        <row r="504">
          <cell r="A504" t="str">
            <v>MAT,399</v>
          </cell>
          <cell r="B504" t="str">
            <v xml:space="preserve">Timbre ding dong </v>
          </cell>
          <cell r="C504" t="str">
            <v>Un</v>
          </cell>
          <cell r="D504">
            <v>1</v>
          </cell>
          <cell r="E504">
            <v>28112</v>
          </cell>
        </row>
        <row r="505">
          <cell r="A505" t="str">
            <v>MAT,400</v>
          </cell>
          <cell r="B505" t="str">
            <v>Toma corriente doble polo a tierra</v>
          </cell>
          <cell r="C505" t="str">
            <v>Un</v>
          </cell>
          <cell r="D505">
            <v>1</v>
          </cell>
          <cell r="E505">
            <v>12706.4</v>
          </cell>
        </row>
        <row r="506">
          <cell r="A506" t="str">
            <v>MAT,401</v>
          </cell>
          <cell r="B506" t="str">
            <v>Toma corriente doble polo regulado a tierra</v>
          </cell>
          <cell r="C506" t="str">
            <v>Un</v>
          </cell>
          <cell r="D506">
            <v>1</v>
          </cell>
          <cell r="E506">
            <v>29008</v>
          </cell>
        </row>
        <row r="507">
          <cell r="A507" t="str">
            <v>MAT,402</v>
          </cell>
          <cell r="B507" t="str">
            <v>Toma especial estufa</v>
          </cell>
          <cell r="C507" t="str">
            <v>Un</v>
          </cell>
          <cell r="D507">
            <v>1</v>
          </cell>
          <cell r="E507">
            <v>24365.599999999999</v>
          </cell>
        </row>
        <row r="508">
          <cell r="A508" t="str">
            <v>MAT,403</v>
          </cell>
          <cell r="B508" t="str">
            <v>Toma telefónico de 4 conductos</v>
          </cell>
          <cell r="C508" t="str">
            <v>Un</v>
          </cell>
          <cell r="D508">
            <v>1</v>
          </cell>
          <cell r="E508">
            <v>23856</v>
          </cell>
        </row>
        <row r="509">
          <cell r="A509" t="str">
            <v>MAT,404</v>
          </cell>
          <cell r="B509" t="str">
            <v>Toma terminal coaxial tv americano. 75 OHM</v>
          </cell>
          <cell r="C509" t="str">
            <v>Un</v>
          </cell>
          <cell r="D509">
            <v>1</v>
          </cell>
          <cell r="E509">
            <v>16755.2</v>
          </cell>
        </row>
        <row r="510">
          <cell r="A510" t="str">
            <v>MAT,405</v>
          </cell>
          <cell r="B510" t="str">
            <v xml:space="preserve">Tornillo autoperforante </v>
          </cell>
          <cell r="C510" t="str">
            <v>Un</v>
          </cell>
          <cell r="D510">
            <v>1</v>
          </cell>
          <cell r="E510">
            <v>236.32</v>
          </cell>
        </row>
        <row r="511">
          <cell r="A511" t="str">
            <v>MAT,406</v>
          </cell>
          <cell r="B511" t="str">
            <v>Tornillo drywall 6 x 1"</v>
          </cell>
          <cell r="C511" t="str">
            <v>Un</v>
          </cell>
          <cell r="D511">
            <v>1</v>
          </cell>
          <cell r="E511">
            <v>30.24</v>
          </cell>
        </row>
        <row r="512">
          <cell r="A512" t="str">
            <v>MAT,407</v>
          </cell>
          <cell r="B512" t="str">
            <v>Tornillo estructura drywall 8 x 1/2"</v>
          </cell>
          <cell r="C512" t="str">
            <v>Un</v>
          </cell>
          <cell r="D512">
            <v>1</v>
          </cell>
          <cell r="E512">
            <v>48.16</v>
          </cell>
        </row>
        <row r="513">
          <cell r="A513" t="str">
            <v>MAT,408</v>
          </cell>
          <cell r="B513" t="str">
            <v>Tornillos de fijación canaleta 90</v>
          </cell>
          <cell r="C513" t="str">
            <v>Un</v>
          </cell>
          <cell r="D513">
            <v>1</v>
          </cell>
          <cell r="E513">
            <v>5929.0560000000005</v>
          </cell>
        </row>
        <row r="514">
          <cell r="A514" t="str">
            <v>MAT,511</v>
          </cell>
          <cell r="B514" t="str">
            <v>Tope para puerta (caucho - resorte)</v>
          </cell>
          <cell r="C514" t="str">
            <v>Un</v>
          </cell>
          <cell r="D514">
            <v>1</v>
          </cell>
          <cell r="E514">
            <v>7728</v>
          </cell>
        </row>
        <row r="515">
          <cell r="A515" t="str">
            <v>MAT,484</v>
          </cell>
          <cell r="B515" t="str">
            <v>Válvula de 3" sello elástico extremo liso o junta hidráulica PVC</v>
          </cell>
          <cell r="C515" t="str">
            <v>Un</v>
          </cell>
          <cell r="D515">
            <v>1</v>
          </cell>
          <cell r="E515">
            <v>476649.6</v>
          </cell>
        </row>
        <row r="516">
          <cell r="A516" t="str">
            <v>MAT,409</v>
          </cell>
          <cell r="B516" t="str">
            <v>Trampa de grasa 250 lt</v>
          </cell>
          <cell r="C516" t="str">
            <v>Un</v>
          </cell>
          <cell r="D516">
            <v>1</v>
          </cell>
          <cell r="E516">
            <v>531776</v>
          </cell>
        </row>
        <row r="517">
          <cell r="A517" t="str">
            <v>MAT,410</v>
          </cell>
          <cell r="B517" t="str">
            <v xml:space="preserve">Triturado </v>
          </cell>
          <cell r="C517" t="str">
            <v>M3</v>
          </cell>
          <cell r="D517">
            <v>1</v>
          </cell>
          <cell r="E517">
            <v>60852.959999999999</v>
          </cell>
        </row>
        <row r="518">
          <cell r="A518" t="str">
            <v>MAT,411</v>
          </cell>
          <cell r="B518" t="str">
            <v>Tubería CPVC de 1/2" 100 psi</v>
          </cell>
          <cell r="C518" t="str">
            <v>M</v>
          </cell>
          <cell r="D518">
            <v>1</v>
          </cell>
          <cell r="E518">
            <v>6687.52</v>
          </cell>
        </row>
        <row r="519">
          <cell r="A519" t="str">
            <v>MAT,412</v>
          </cell>
          <cell r="B519" t="str">
            <v>Tubería de concreto vibrada de 10" unión caucho C 2</v>
          </cell>
          <cell r="C519" t="str">
            <v>M</v>
          </cell>
          <cell r="D519">
            <v>1</v>
          </cell>
          <cell r="E519">
            <v>36484</v>
          </cell>
        </row>
        <row r="520">
          <cell r="A520" t="str">
            <v>MAT,413</v>
          </cell>
          <cell r="B520" t="str">
            <v>Tubería de concreto vibrada de 12" unión caucho C 2</v>
          </cell>
          <cell r="C520" t="str">
            <v>M</v>
          </cell>
          <cell r="D520">
            <v>1</v>
          </cell>
          <cell r="E520">
            <v>50303.68</v>
          </cell>
        </row>
        <row r="521">
          <cell r="A521" t="str">
            <v>MAT,414</v>
          </cell>
          <cell r="B521" t="str">
            <v>Tubería de concreto vibrada de 15" unión caucho C 2</v>
          </cell>
          <cell r="C521" t="str">
            <v>M</v>
          </cell>
          <cell r="D521">
            <v>1</v>
          </cell>
          <cell r="E521">
            <v>86365.440000000002</v>
          </cell>
        </row>
        <row r="522">
          <cell r="A522" t="str">
            <v>MAT,415</v>
          </cell>
          <cell r="B522" t="str">
            <v>Tubería de concreto vibrada de 16" unión caucho C 2</v>
          </cell>
          <cell r="C522" t="str">
            <v>M</v>
          </cell>
          <cell r="D522">
            <v>1</v>
          </cell>
          <cell r="E522">
            <v>84665.279999999999</v>
          </cell>
        </row>
        <row r="523">
          <cell r="A523" t="str">
            <v>MAT,416</v>
          </cell>
          <cell r="B523" t="str">
            <v>Tubería de concreto vibrada de 18" unión caucho C 2</v>
          </cell>
          <cell r="C523" t="str">
            <v>M</v>
          </cell>
          <cell r="D523">
            <v>1</v>
          </cell>
          <cell r="E523">
            <v>122254.72</v>
          </cell>
        </row>
        <row r="524">
          <cell r="A524" t="str">
            <v>MAT,417</v>
          </cell>
          <cell r="B524" t="str">
            <v>Tubería de concreto vibrada de 21" unión caucho C 2</v>
          </cell>
          <cell r="C524" t="str">
            <v>M</v>
          </cell>
          <cell r="D524">
            <v>1</v>
          </cell>
          <cell r="E524">
            <v>149548</v>
          </cell>
        </row>
        <row r="525">
          <cell r="A525" t="str">
            <v>MAT,418</v>
          </cell>
          <cell r="B525" t="str">
            <v>Tubería de concreto vibrada de 24" unión caucho C 2</v>
          </cell>
          <cell r="C525" t="str">
            <v>M</v>
          </cell>
          <cell r="D525">
            <v>1</v>
          </cell>
          <cell r="E525">
            <v>203000</v>
          </cell>
        </row>
        <row r="526">
          <cell r="A526" t="str">
            <v>MAT,419</v>
          </cell>
          <cell r="B526" t="str">
            <v>Tubería de concreto vibrada de 8" unión caucho C 2</v>
          </cell>
          <cell r="C526" t="str">
            <v>M</v>
          </cell>
          <cell r="D526">
            <v>1</v>
          </cell>
          <cell r="E526">
            <v>30532.32</v>
          </cell>
        </row>
        <row r="527">
          <cell r="A527" t="str">
            <v>MAT,420</v>
          </cell>
          <cell r="B527" t="str">
            <v>Tubería de concreto vibrada reforzada de 24" unión caucho C 3</v>
          </cell>
          <cell r="C527" t="str">
            <v>M</v>
          </cell>
          <cell r="D527">
            <v>1</v>
          </cell>
          <cell r="E527">
            <v>274681.12</v>
          </cell>
        </row>
        <row r="528">
          <cell r="A528" t="str">
            <v>MAT,421</v>
          </cell>
          <cell r="B528" t="str">
            <v>Tubería de concreto vibrada reforzada de 30" unión caucho C 3</v>
          </cell>
          <cell r="C528" t="str">
            <v>M</v>
          </cell>
          <cell r="D528">
            <v>1</v>
          </cell>
          <cell r="E528">
            <v>429003.68</v>
          </cell>
        </row>
        <row r="529">
          <cell r="A529" t="str">
            <v>MAT,422</v>
          </cell>
          <cell r="B529" t="str">
            <v>Tubería de concreto vibrada reforzada de 36" unión caucho C 3</v>
          </cell>
          <cell r="C529" t="str">
            <v>M</v>
          </cell>
          <cell r="D529">
            <v>1</v>
          </cell>
          <cell r="E529">
            <v>538311.19999999995</v>
          </cell>
        </row>
        <row r="530">
          <cell r="A530" t="str">
            <v>MAT,423</v>
          </cell>
          <cell r="B530" t="str">
            <v>Tubería de concreto vibrada reforzada de 40" unión caucho C 3</v>
          </cell>
          <cell r="C530" t="str">
            <v>M</v>
          </cell>
          <cell r="D530">
            <v>1</v>
          </cell>
          <cell r="E530">
            <v>609579.04</v>
          </cell>
        </row>
        <row r="531">
          <cell r="A531" t="str">
            <v>MAT,424</v>
          </cell>
          <cell r="B531" t="str">
            <v>Tubería de concreto vibrada reforzada de 48" unión caucho C 3</v>
          </cell>
          <cell r="C531" t="str">
            <v>M</v>
          </cell>
          <cell r="D531">
            <v>1</v>
          </cell>
          <cell r="E531">
            <v>821517.76</v>
          </cell>
        </row>
        <row r="532">
          <cell r="A532" t="str">
            <v>MAT,425</v>
          </cell>
          <cell r="B532" t="str">
            <v>Tubería de concreto vibrada reforzada de 52" unión caucho C 3</v>
          </cell>
          <cell r="C532" t="str">
            <v>M</v>
          </cell>
          <cell r="D532">
            <v>1</v>
          </cell>
          <cell r="E532">
            <v>973806.4</v>
          </cell>
        </row>
        <row r="533">
          <cell r="A533" t="str">
            <v>MAT,426</v>
          </cell>
          <cell r="B533" t="str">
            <v>Tubería de concreto vibrada reforzada de 60" unión caucho C 3</v>
          </cell>
          <cell r="C533" t="str">
            <v>M</v>
          </cell>
          <cell r="D533">
            <v>1</v>
          </cell>
          <cell r="E533">
            <v>1113103.04</v>
          </cell>
        </row>
        <row r="534">
          <cell r="A534" t="str">
            <v>MAT,519</v>
          </cell>
          <cell r="B534" t="str">
            <v>Tubería de HG de 2" calibre 14</v>
          </cell>
          <cell r="C534" t="str">
            <v>M</v>
          </cell>
          <cell r="D534">
            <v>1</v>
          </cell>
          <cell r="E534">
            <v>75600</v>
          </cell>
        </row>
        <row r="535">
          <cell r="A535" t="str">
            <v>MAT,427</v>
          </cell>
          <cell r="B535" t="str">
            <v>Tubería de HG de 3"</v>
          </cell>
          <cell r="C535" t="str">
            <v>M</v>
          </cell>
          <cell r="D535">
            <v>1</v>
          </cell>
          <cell r="E535">
            <v>65520</v>
          </cell>
        </row>
        <row r="536">
          <cell r="A536" t="str">
            <v>MAT,428</v>
          </cell>
          <cell r="B536" t="str">
            <v>Tubería galvanizada para cerramiento de 1 1/2" x 6 m</v>
          </cell>
          <cell r="C536" t="str">
            <v>M</v>
          </cell>
          <cell r="D536">
            <v>1</v>
          </cell>
          <cell r="E536">
            <v>15549.333333333334</v>
          </cell>
        </row>
        <row r="537">
          <cell r="A537" t="str">
            <v>MAT,429</v>
          </cell>
          <cell r="B537" t="str">
            <v>Tubería PF + UAD 1/2" (manguera)</v>
          </cell>
          <cell r="C537" t="str">
            <v>M</v>
          </cell>
          <cell r="D537">
            <v>1</v>
          </cell>
          <cell r="E537">
            <v>3731.84</v>
          </cell>
        </row>
        <row r="538">
          <cell r="A538" t="str">
            <v>MAT,430</v>
          </cell>
          <cell r="B538" t="str">
            <v>Tubería PVC acueducto unión platino de 2" rde 21</v>
          </cell>
          <cell r="C538" t="str">
            <v>M</v>
          </cell>
          <cell r="D538">
            <v>1</v>
          </cell>
          <cell r="E538">
            <v>17992.8</v>
          </cell>
        </row>
        <row r="539">
          <cell r="A539" t="str">
            <v>MAT,503</v>
          </cell>
          <cell r="B539" t="str">
            <v>Tubería PVC acueducto unión platino de 2 1/2" rde 21</v>
          </cell>
          <cell r="C539" t="str">
            <v>M</v>
          </cell>
          <cell r="D539">
            <v>1</v>
          </cell>
          <cell r="E539">
            <v>31320.799999999999</v>
          </cell>
        </row>
        <row r="540">
          <cell r="A540" t="str">
            <v>MAT,431</v>
          </cell>
          <cell r="B540" t="str">
            <v>Tubería PVC acueducto unión platino de 3" rde 21</v>
          </cell>
          <cell r="C540" t="str">
            <v>M</v>
          </cell>
          <cell r="D540">
            <v>1</v>
          </cell>
          <cell r="E540">
            <v>44782.080000000002</v>
          </cell>
        </row>
        <row r="541">
          <cell r="A541" t="str">
            <v>MAT,432</v>
          </cell>
          <cell r="B541" t="str">
            <v>Tubería PVC acueducto unión platino de 4" rde 21</v>
          </cell>
          <cell r="C541" t="str">
            <v>M</v>
          </cell>
          <cell r="D541">
            <v>1</v>
          </cell>
          <cell r="E541">
            <v>64374.239999999998</v>
          </cell>
        </row>
        <row r="542">
          <cell r="A542" t="str">
            <v>MAT,433</v>
          </cell>
          <cell r="B542" t="str">
            <v>Tubería PVC acueducto unión platino de 6" rde 21</v>
          </cell>
          <cell r="C542" t="str">
            <v>M</v>
          </cell>
          <cell r="D542">
            <v>1</v>
          </cell>
          <cell r="E542">
            <v>132480.32000000001</v>
          </cell>
        </row>
        <row r="543">
          <cell r="A543" t="str">
            <v>MAT,434</v>
          </cell>
          <cell r="B543" t="str">
            <v>Tubería PVC acueducto unión platino de 8" rde 21</v>
          </cell>
          <cell r="C543" t="str">
            <v>M</v>
          </cell>
          <cell r="D543">
            <v>1</v>
          </cell>
          <cell r="E543">
            <v>223910.39999999999</v>
          </cell>
        </row>
        <row r="544">
          <cell r="A544" t="str">
            <v>MAT,435</v>
          </cell>
          <cell r="B544" t="str">
            <v>Tubería PVC agua lluvia cuadrada</v>
          </cell>
          <cell r="C544" t="str">
            <v>M</v>
          </cell>
          <cell r="D544">
            <v>1</v>
          </cell>
          <cell r="E544">
            <v>31360</v>
          </cell>
        </row>
        <row r="545">
          <cell r="A545" t="str">
            <v>MAT,436</v>
          </cell>
          <cell r="B545" t="str">
            <v>Tubería PVC agua lluvia de 2"</v>
          </cell>
          <cell r="C545" t="str">
            <v>M</v>
          </cell>
          <cell r="D545">
            <v>1</v>
          </cell>
          <cell r="E545">
            <v>11861.92</v>
          </cell>
        </row>
        <row r="546">
          <cell r="A546" t="str">
            <v>MAT,437</v>
          </cell>
          <cell r="B546" t="str">
            <v>Tubería PVC agua lluvia de 3"</v>
          </cell>
          <cell r="C546" t="str">
            <v>M</v>
          </cell>
          <cell r="D546">
            <v>1</v>
          </cell>
          <cell r="E546">
            <v>16841.439999999999</v>
          </cell>
        </row>
        <row r="547">
          <cell r="A547" t="str">
            <v>MAT,438</v>
          </cell>
          <cell r="B547" t="str">
            <v>Tubería PVC agua lluvia de 4"</v>
          </cell>
          <cell r="C547" t="str">
            <v>M</v>
          </cell>
          <cell r="D547">
            <v>1</v>
          </cell>
          <cell r="E547">
            <v>27256.32</v>
          </cell>
        </row>
        <row r="548">
          <cell r="A548" t="str">
            <v>MAT,439</v>
          </cell>
          <cell r="B548" t="str">
            <v>Tubería PVC conduit de 1/2"</v>
          </cell>
          <cell r="C548" t="str">
            <v>M</v>
          </cell>
          <cell r="D548">
            <v>1</v>
          </cell>
          <cell r="E548">
            <v>2049.6</v>
          </cell>
        </row>
        <row r="549">
          <cell r="A549" t="str">
            <v>MAT,440</v>
          </cell>
          <cell r="B549" t="str">
            <v>Tubería PVC corrugada perforada de 65 mm (2 1/2")</v>
          </cell>
          <cell r="C549" t="str">
            <v>M</v>
          </cell>
          <cell r="D549">
            <v>1</v>
          </cell>
          <cell r="E549">
            <v>25189.919999999998</v>
          </cell>
        </row>
        <row r="550">
          <cell r="A550" t="str">
            <v>MAT,441</v>
          </cell>
          <cell r="B550" t="str">
            <v>Tubería PVC corrugada perforada de 100 mm (4")</v>
          </cell>
          <cell r="C550" t="str">
            <v>M</v>
          </cell>
          <cell r="D550">
            <v>1</v>
          </cell>
          <cell r="E550">
            <v>30387.84</v>
          </cell>
        </row>
        <row r="551">
          <cell r="A551" t="str">
            <v>MAT,442</v>
          </cell>
          <cell r="B551" t="str">
            <v>Tubería PVC corrugada perforada de 160 mm (6")</v>
          </cell>
          <cell r="C551" t="str">
            <v>M</v>
          </cell>
          <cell r="D551">
            <v>1</v>
          </cell>
          <cell r="E551">
            <v>64640.800000000003</v>
          </cell>
        </row>
        <row r="552">
          <cell r="A552" t="str">
            <v>MAT,443</v>
          </cell>
          <cell r="B552" t="str">
            <v>Tubería PVC corrugada perforada de 200 mm (8")</v>
          </cell>
          <cell r="C552" t="str">
            <v>M</v>
          </cell>
          <cell r="D552">
            <v>1</v>
          </cell>
          <cell r="E552">
            <v>147732.48000000001</v>
          </cell>
        </row>
        <row r="553">
          <cell r="A553" t="str">
            <v>MAT,447</v>
          </cell>
          <cell r="B553" t="str">
            <v>Tubería PVC de alcantarillado de pared estructural d =  4", exterior corrugado</v>
          </cell>
          <cell r="C553" t="str">
            <v>M</v>
          </cell>
          <cell r="D553">
            <v>1</v>
          </cell>
          <cell r="E553">
            <v>24696</v>
          </cell>
        </row>
        <row r="554">
          <cell r="A554" t="str">
            <v>MAT,448</v>
          </cell>
          <cell r="B554" t="str">
            <v>Tubería PVC de alcantarillado de pared estructural d =  6", exterior corrugado</v>
          </cell>
          <cell r="C554" t="str">
            <v>M</v>
          </cell>
          <cell r="D554">
            <v>1</v>
          </cell>
          <cell r="E554">
            <v>47788.160000000003</v>
          </cell>
        </row>
        <row r="555">
          <cell r="A555" t="str">
            <v>MAT,449</v>
          </cell>
          <cell r="B555" t="str">
            <v>Tubería PVC de alcantarillado de pared estructural d =  8", exterior corrugado</v>
          </cell>
          <cell r="C555" t="str">
            <v>M</v>
          </cell>
          <cell r="D555">
            <v>1</v>
          </cell>
          <cell r="E555">
            <v>68313.279999999999</v>
          </cell>
        </row>
        <row r="556">
          <cell r="A556" t="str">
            <v>MAT,444</v>
          </cell>
          <cell r="B556" t="str">
            <v>Tubería PVC de alcantarillado de pared estructural d =  10", exterior corrugado</v>
          </cell>
          <cell r="C556" t="str">
            <v>M</v>
          </cell>
          <cell r="D556">
            <v>1</v>
          </cell>
          <cell r="E556">
            <v>99774.080000000002</v>
          </cell>
        </row>
        <row r="557">
          <cell r="A557" t="str">
            <v>MAT,445</v>
          </cell>
          <cell r="B557" t="str">
            <v>Tubería PVC de alcantarillado de pared estructural d =  12", exterior corrugado</v>
          </cell>
          <cell r="C557" t="str">
            <v>M</v>
          </cell>
          <cell r="D557">
            <v>1</v>
          </cell>
          <cell r="E557">
            <v>143569.44</v>
          </cell>
        </row>
        <row r="558">
          <cell r="A558" t="str">
            <v>MAT,446</v>
          </cell>
          <cell r="B558" t="str">
            <v>Tubería PVC de alcantarillado de pared estructural d =  16", exterior corrugado</v>
          </cell>
          <cell r="C558" t="str">
            <v>M</v>
          </cell>
          <cell r="D558">
            <v>1</v>
          </cell>
          <cell r="E558">
            <v>263161.92</v>
          </cell>
        </row>
        <row r="559">
          <cell r="A559" t="str">
            <v>MAT,541</v>
          </cell>
          <cell r="B559" t="str">
            <v>Tubería PVC de alcantarillado de pared estructural d = 24", exterior corrugado</v>
          </cell>
          <cell r="C559" t="str">
            <v>m</v>
          </cell>
          <cell r="D559">
            <v>1</v>
          </cell>
          <cell r="E559">
            <v>609222.88</v>
          </cell>
        </row>
        <row r="560">
          <cell r="A560" t="str">
            <v>MAT,450</v>
          </cell>
          <cell r="B560" t="str">
            <v>Tubería PVC de alcantarillado de pared estructural d = 27", exterior corrugado</v>
          </cell>
          <cell r="C560" t="str">
            <v>M</v>
          </cell>
          <cell r="D560">
            <v>1</v>
          </cell>
          <cell r="E560">
            <v>727013.28</v>
          </cell>
        </row>
        <row r="561">
          <cell r="A561" t="str">
            <v>MAT,451</v>
          </cell>
          <cell r="B561" t="str">
            <v>Tubería PVC de alcantarillado de pared estructural d = 30", exterior corrugado</v>
          </cell>
          <cell r="C561" t="str">
            <v>M</v>
          </cell>
          <cell r="D561">
            <v>1</v>
          </cell>
          <cell r="E561">
            <v>907241.44</v>
          </cell>
        </row>
        <row r="562">
          <cell r="A562" t="str">
            <v>MAT,452</v>
          </cell>
          <cell r="B562" t="str">
            <v>Tubería PVC de alcantarillado de pared estructural d = 36", exterior corrugado</v>
          </cell>
          <cell r="C562" t="str">
            <v>M</v>
          </cell>
          <cell r="D562">
            <v>1</v>
          </cell>
          <cell r="E562">
            <v>1683952.48</v>
          </cell>
        </row>
        <row r="563">
          <cell r="A563" t="str">
            <v>MAT,453</v>
          </cell>
          <cell r="B563" t="str">
            <v>Tubería PVC de alcantarillado de pared estructural d = 42", exterior corrugado</v>
          </cell>
          <cell r="C563" t="str">
            <v>M</v>
          </cell>
          <cell r="D563">
            <v>1</v>
          </cell>
          <cell r="E563">
            <v>2645067.04</v>
          </cell>
        </row>
        <row r="564">
          <cell r="A564" t="str">
            <v>MAT,564</v>
          </cell>
          <cell r="B564" t="str">
            <v>Tubería PVC de alcantarillado de pared estructural d = 45", interior y exterior  liso</v>
          </cell>
          <cell r="C564" t="str">
            <v>M</v>
          </cell>
          <cell r="D564">
            <v>1</v>
          </cell>
          <cell r="E564">
            <v>2397586.2400000002</v>
          </cell>
        </row>
        <row r="565">
          <cell r="A565" t="str">
            <v>MAT,454</v>
          </cell>
          <cell r="B565" t="str">
            <v>Tubería PVC de alcantarillado de pared estructural d = 48", exterior liso</v>
          </cell>
          <cell r="C565" t="str">
            <v>M</v>
          </cell>
          <cell r="D565">
            <v>1</v>
          </cell>
          <cell r="E565">
            <v>2922829.28</v>
          </cell>
        </row>
        <row r="566">
          <cell r="A566" t="str">
            <v>MAT,455</v>
          </cell>
          <cell r="B566" t="str">
            <v>Tubería PVC de alcantarillado de pared estructural d = 51", exterior liso</v>
          </cell>
          <cell r="C566" t="str">
            <v>M</v>
          </cell>
          <cell r="D566">
            <v>1</v>
          </cell>
          <cell r="E566">
            <v>2784434.24</v>
          </cell>
        </row>
        <row r="567">
          <cell r="A567" t="str">
            <v>MAT,456</v>
          </cell>
          <cell r="B567" t="str">
            <v>Tubería PVC de alcantarillado de pared estructural d = 54", exterior liso</v>
          </cell>
          <cell r="C567" t="str">
            <v>M</v>
          </cell>
          <cell r="D567">
            <v>1</v>
          </cell>
          <cell r="E567">
            <v>2931278.56</v>
          </cell>
        </row>
        <row r="568">
          <cell r="A568" t="str">
            <v>MAT,457</v>
          </cell>
          <cell r="B568" t="str">
            <v>Tubería PVC de alcantarillado de pared estructural d = 57", exterior liso</v>
          </cell>
          <cell r="C568" t="str">
            <v>M</v>
          </cell>
          <cell r="D568">
            <v>1</v>
          </cell>
          <cell r="E568">
            <v>3248000</v>
          </cell>
        </row>
        <row r="569">
          <cell r="A569" t="str">
            <v>MAT,458</v>
          </cell>
          <cell r="B569" t="str">
            <v>Tubería PVC de alcantarillado de pared estructural d = 60", exterior liso</v>
          </cell>
          <cell r="C569" t="str">
            <v>M</v>
          </cell>
          <cell r="D569">
            <v>1</v>
          </cell>
          <cell r="E569">
            <v>3518665.92</v>
          </cell>
        </row>
        <row r="570">
          <cell r="A570" t="str">
            <v>MAT,459</v>
          </cell>
          <cell r="B570" t="str">
            <v>Tubería PVC de ventilación de 2"</v>
          </cell>
          <cell r="C570" t="str">
            <v>M</v>
          </cell>
          <cell r="D570">
            <v>1</v>
          </cell>
          <cell r="E570">
            <v>9444.9599999999991</v>
          </cell>
        </row>
        <row r="571">
          <cell r="A571" t="str">
            <v>MAT,460</v>
          </cell>
          <cell r="B571" t="str">
            <v>Tubería PVC de ventilación de 3"</v>
          </cell>
          <cell r="C571" t="str">
            <v>M</v>
          </cell>
          <cell r="D571">
            <v>1</v>
          </cell>
          <cell r="E571">
            <v>12404</v>
          </cell>
        </row>
        <row r="572">
          <cell r="A572" t="str">
            <v>MAT,461</v>
          </cell>
          <cell r="B572" t="str">
            <v>Tubería PVC presión de 1 1/2" rde 21</v>
          </cell>
          <cell r="C572" t="str">
            <v>M</v>
          </cell>
          <cell r="D572">
            <v>1</v>
          </cell>
          <cell r="E572">
            <v>11038.72</v>
          </cell>
        </row>
        <row r="573">
          <cell r="A573" t="str">
            <v>MAT,462</v>
          </cell>
          <cell r="B573" t="str">
            <v>Tubería PVC presión de 1 1/4" rde 21</v>
          </cell>
          <cell r="C573" t="str">
            <v>M</v>
          </cell>
          <cell r="D573">
            <v>1</v>
          </cell>
          <cell r="E573">
            <v>8454.8799999999992</v>
          </cell>
        </row>
        <row r="574">
          <cell r="A574" t="str">
            <v>MAT,463</v>
          </cell>
          <cell r="B574" t="str">
            <v>Tubería PVC presión de 1" rde 21</v>
          </cell>
          <cell r="C574" t="str">
            <v>M</v>
          </cell>
          <cell r="D574">
            <v>1</v>
          </cell>
          <cell r="E574">
            <v>4693.92</v>
          </cell>
        </row>
        <row r="575">
          <cell r="A575" t="str">
            <v>MAT,464</v>
          </cell>
          <cell r="B575" t="str">
            <v>Tubería PVC presión de 1/2" rde 9</v>
          </cell>
          <cell r="C575" t="str">
            <v>M</v>
          </cell>
          <cell r="D575">
            <v>1</v>
          </cell>
          <cell r="E575">
            <v>4664.8</v>
          </cell>
        </row>
        <row r="576">
          <cell r="A576" t="str">
            <v>MAT,465</v>
          </cell>
          <cell r="B576" t="str">
            <v>Tubería PVC presión de 2" rde 21</v>
          </cell>
          <cell r="C576" t="str">
            <v>M</v>
          </cell>
          <cell r="D576">
            <v>1</v>
          </cell>
          <cell r="E576">
            <v>21191.52</v>
          </cell>
        </row>
        <row r="577">
          <cell r="A577" t="str">
            <v>MAT,466</v>
          </cell>
          <cell r="B577" t="str">
            <v>Tubería PVC presión de 3" rde 21</v>
          </cell>
          <cell r="C577" t="str">
            <v>M</v>
          </cell>
          <cell r="D577">
            <v>1</v>
          </cell>
          <cell r="E577">
            <v>45821.440000000002</v>
          </cell>
        </row>
        <row r="578">
          <cell r="A578" t="str">
            <v>MAT,467</v>
          </cell>
          <cell r="B578" t="str">
            <v>Tubería PVC presión de 3/4" rde 21</v>
          </cell>
          <cell r="C578" t="str">
            <v>M</v>
          </cell>
          <cell r="D578">
            <v>1</v>
          </cell>
          <cell r="E578">
            <v>4198.88</v>
          </cell>
        </row>
        <row r="579">
          <cell r="A579" t="str">
            <v>MAT,468</v>
          </cell>
          <cell r="B579" t="str">
            <v>Tubería PVC sanitaria de 2"</v>
          </cell>
          <cell r="C579" t="str">
            <v>M</v>
          </cell>
          <cell r="D579">
            <v>1</v>
          </cell>
          <cell r="E579">
            <v>16936.64</v>
          </cell>
        </row>
        <row r="580">
          <cell r="A580" t="str">
            <v>MAT,469</v>
          </cell>
          <cell r="B580" t="str">
            <v>Tubería PVC sanitaria de 3"</v>
          </cell>
          <cell r="C580" t="str">
            <v>M</v>
          </cell>
          <cell r="D580">
            <v>1</v>
          </cell>
          <cell r="E580">
            <v>25296.32</v>
          </cell>
        </row>
        <row r="581">
          <cell r="A581" t="str">
            <v>MAT,470</v>
          </cell>
          <cell r="B581" t="str">
            <v>Tubería PVC sanitaria de 4"</v>
          </cell>
          <cell r="C581" t="str">
            <v>M</v>
          </cell>
          <cell r="D581">
            <v>1</v>
          </cell>
          <cell r="E581">
            <v>35576.800000000003</v>
          </cell>
        </row>
        <row r="582">
          <cell r="A582" t="str">
            <v>MAT,471</v>
          </cell>
          <cell r="B582" t="str">
            <v>Tubería PVC sanitaria de 6"</v>
          </cell>
          <cell r="C582" t="str">
            <v>M</v>
          </cell>
          <cell r="D582">
            <v>1</v>
          </cell>
          <cell r="E582">
            <v>74653.600000000006</v>
          </cell>
        </row>
        <row r="583">
          <cell r="A583" t="str">
            <v>MAT,472</v>
          </cell>
          <cell r="B583" t="str">
            <v>Tubo cerramiento galvanizado 1 1/2 pg x 1.5 mm x 6 m tipo Acesco</v>
          </cell>
          <cell r="C583" t="str">
            <v>Un</v>
          </cell>
          <cell r="D583">
            <v>1</v>
          </cell>
          <cell r="E583">
            <v>76160</v>
          </cell>
        </row>
        <row r="584">
          <cell r="A584" t="str">
            <v>MAT,473</v>
          </cell>
          <cell r="B584" t="str">
            <v>Unión de reparación de 2 1/2"</v>
          </cell>
          <cell r="C584" t="str">
            <v>Un</v>
          </cell>
          <cell r="D584">
            <v>1</v>
          </cell>
          <cell r="E584">
            <v>41440</v>
          </cell>
        </row>
        <row r="585">
          <cell r="A585" t="str">
            <v>MAT,474</v>
          </cell>
          <cell r="B585" t="str">
            <v>Unión de reparación de 2"</v>
          </cell>
          <cell r="C585" t="str">
            <v>Un</v>
          </cell>
          <cell r="D585">
            <v>1</v>
          </cell>
          <cell r="E585">
            <v>30800</v>
          </cell>
        </row>
        <row r="586">
          <cell r="A586" t="str">
            <v>MAT,475</v>
          </cell>
          <cell r="B586" t="str">
            <v>Unión de reparación de 3"</v>
          </cell>
          <cell r="C586" t="str">
            <v>Un</v>
          </cell>
          <cell r="D586">
            <v>1</v>
          </cell>
          <cell r="E586">
            <v>69567.679999999993</v>
          </cell>
        </row>
        <row r="587">
          <cell r="A587" t="str">
            <v>MAT,476</v>
          </cell>
          <cell r="B587" t="str">
            <v>Unión de reparación de 4"</v>
          </cell>
          <cell r="C587" t="str">
            <v>Un</v>
          </cell>
          <cell r="D587">
            <v>1</v>
          </cell>
          <cell r="E587">
            <v>106884.95999999999</v>
          </cell>
        </row>
        <row r="588">
          <cell r="A588" t="str">
            <v>MAT,477</v>
          </cell>
          <cell r="B588" t="str">
            <v>Unión de reparación de 6"</v>
          </cell>
          <cell r="C588" t="str">
            <v>Un</v>
          </cell>
          <cell r="D588">
            <v>1</v>
          </cell>
          <cell r="E588">
            <v>247509.91999999998</v>
          </cell>
        </row>
        <row r="589">
          <cell r="A589" t="str">
            <v>MAT,478</v>
          </cell>
          <cell r="B589" t="str">
            <v>Unión de reparación de 8"</v>
          </cell>
          <cell r="C589" t="str">
            <v>Un</v>
          </cell>
          <cell r="D589">
            <v>1</v>
          </cell>
          <cell r="E589">
            <v>455095.2</v>
          </cell>
        </row>
        <row r="590">
          <cell r="A590" t="str">
            <v>MAT,538</v>
          </cell>
          <cell r="B590" t="str">
            <v>Universal PVC 1/2"</v>
          </cell>
          <cell r="C590" t="str">
            <v>Un</v>
          </cell>
          <cell r="D590">
            <v>1</v>
          </cell>
          <cell r="E590">
            <v>4877.6000000000004</v>
          </cell>
        </row>
        <row r="591">
          <cell r="A591" t="str">
            <v>MAT,537</v>
          </cell>
          <cell r="B591" t="str">
            <v>Universal PVC 1"</v>
          </cell>
          <cell r="C591" t="str">
            <v>Un</v>
          </cell>
          <cell r="D591">
            <v>1</v>
          </cell>
          <cell r="E591">
            <v>13074.88</v>
          </cell>
        </row>
        <row r="592">
          <cell r="A592" t="str">
            <v>MAT,479</v>
          </cell>
          <cell r="B592" t="str">
            <v>Universal PVC 1 1/2"</v>
          </cell>
          <cell r="C592" t="str">
            <v>Un</v>
          </cell>
          <cell r="D592">
            <v>1</v>
          </cell>
          <cell r="E592">
            <v>40508.160000000003</v>
          </cell>
        </row>
        <row r="593">
          <cell r="A593" t="str">
            <v>MAT,480</v>
          </cell>
          <cell r="B593" t="str">
            <v>Universal PVC 2"</v>
          </cell>
          <cell r="C593" t="str">
            <v>Un</v>
          </cell>
          <cell r="D593">
            <v>1</v>
          </cell>
          <cell r="E593">
            <v>51780.959999999999</v>
          </cell>
        </row>
        <row r="594">
          <cell r="A594" t="str">
            <v>MAT,481</v>
          </cell>
          <cell r="B594" t="str">
            <v>Universal PVC 3/4"</v>
          </cell>
          <cell r="C594" t="str">
            <v>Un</v>
          </cell>
          <cell r="D594">
            <v>1</v>
          </cell>
          <cell r="E594">
            <v>8649.76</v>
          </cell>
        </row>
        <row r="595">
          <cell r="A595" t="str">
            <v>MAT,482</v>
          </cell>
          <cell r="B595" t="str">
            <v>Valla en Tela vinílica con malla de poliéster (banner)</v>
          </cell>
          <cell r="C595" t="str">
            <v>M2</v>
          </cell>
          <cell r="D595">
            <v>1</v>
          </cell>
          <cell r="E595">
            <v>67200</v>
          </cell>
        </row>
        <row r="596">
          <cell r="A596" t="str">
            <v>MAT,483</v>
          </cell>
          <cell r="B596" t="str">
            <v>Válvula de 3" sello de bronce extremo liso o junta hidráulica PVC</v>
          </cell>
          <cell r="C596" t="str">
            <v>Un</v>
          </cell>
          <cell r="D596">
            <v>1</v>
          </cell>
          <cell r="E596">
            <v>723303.84</v>
          </cell>
        </row>
        <row r="597">
          <cell r="A597" t="str">
            <v>MAT,485</v>
          </cell>
          <cell r="B597" t="str">
            <v>Varilla cuadrada de 1/2" para reja</v>
          </cell>
          <cell r="C597" t="str">
            <v>M</v>
          </cell>
          <cell r="D597">
            <v>1</v>
          </cell>
          <cell r="E597">
            <v>6140.96</v>
          </cell>
        </row>
        <row r="598">
          <cell r="A598" t="str">
            <v>MAT,486</v>
          </cell>
          <cell r="B598" t="str">
            <v>Varilla esqueleto fina</v>
          </cell>
          <cell r="C598" t="str">
            <v>M</v>
          </cell>
          <cell r="D598">
            <v>1</v>
          </cell>
          <cell r="E598">
            <v>2092.6080000000002</v>
          </cell>
        </row>
        <row r="599">
          <cell r="A599" t="str">
            <v>MAT,487</v>
          </cell>
          <cell r="B599" t="str">
            <v>Varillón de sajo 3 x 3</v>
          </cell>
          <cell r="C599" t="str">
            <v>M</v>
          </cell>
          <cell r="D599">
            <v>1</v>
          </cell>
          <cell r="E599">
            <v>2906.4</v>
          </cell>
        </row>
        <row r="600">
          <cell r="A600" t="str">
            <v>MAT,488</v>
          </cell>
          <cell r="B600" t="str">
            <v>Vaselina</v>
          </cell>
          <cell r="C600" t="str">
            <v>Lb</v>
          </cell>
          <cell r="D600">
            <v>1</v>
          </cell>
          <cell r="E600">
            <v>11790.24</v>
          </cell>
        </row>
        <row r="601">
          <cell r="A601" t="str">
            <v>MAT,489</v>
          </cell>
          <cell r="B601" t="str">
            <v>Ventanería en ángulo de 1" x 1/8", incluye anticorrosivo</v>
          </cell>
          <cell r="C601" t="str">
            <v>M2</v>
          </cell>
          <cell r="D601">
            <v>1</v>
          </cell>
          <cell r="E601">
            <v>112187.04</v>
          </cell>
        </row>
        <row r="602">
          <cell r="A602" t="str">
            <v>MAT,529</v>
          </cell>
          <cell r="B602" t="str">
            <v>Ventana 1.2 x 1.5 m aluminio Int negro corrediza XO/O vidrio 6 mm Alumina</v>
          </cell>
          <cell r="C602" t="str">
            <v>M2</v>
          </cell>
          <cell r="D602">
            <v>1</v>
          </cell>
          <cell r="E602">
            <v>370532.96</v>
          </cell>
        </row>
        <row r="603">
          <cell r="A603" t="str">
            <v>MAT,490</v>
          </cell>
          <cell r="B603" t="str">
            <v>Ventanería metálica en lámina C 20 de seguridad, incluye anticorrosivo</v>
          </cell>
          <cell r="C603" t="str">
            <v>M2</v>
          </cell>
          <cell r="D603">
            <v>1</v>
          </cell>
          <cell r="E603">
            <v>143692.416</v>
          </cell>
        </row>
        <row r="604">
          <cell r="A604" t="str">
            <v>MAT,491</v>
          </cell>
          <cell r="B604" t="str">
            <v>Ventanería metálica en lámina C 20, incluye anticorrosivo</v>
          </cell>
          <cell r="C604" t="str">
            <v>M2</v>
          </cell>
          <cell r="D604">
            <v>1</v>
          </cell>
          <cell r="E604">
            <v>207200</v>
          </cell>
        </row>
        <row r="605">
          <cell r="A605" t="str">
            <v>MAT,492</v>
          </cell>
          <cell r="B605" t="str">
            <v>Vidrio de 4 mm esmerilado</v>
          </cell>
          <cell r="C605" t="str">
            <v>M2</v>
          </cell>
          <cell r="D605">
            <v>1</v>
          </cell>
          <cell r="E605">
            <v>44177.279999999999</v>
          </cell>
        </row>
        <row r="606">
          <cell r="A606" t="str">
            <v>MAT,493</v>
          </cell>
          <cell r="B606" t="str">
            <v>Vidrio de 4 mm transparente</v>
          </cell>
          <cell r="C606" t="str">
            <v>M2</v>
          </cell>
          <cell r="D606">
            <v>1</v>
          </cell>
          <cell r="E606">
            <v>34399.68</v>
          </cell>
        </row>
        <row r="607">
          <cell r="A607" t="str">
            <v>MAT,494</v>
          </cell>
          <cell r="B607" t="str">
            <v>Vigueta principal en 2,4 m</v>
          </cell>
          <cell r="C607" t="str">
            <v>Un</v>
          </cell>
          <cell r="D607">
            <v>1</v>
          </cell>
          <cell r="E607">
            <v>6065.92</v>
          </cell>
        </row>
        <row r="608">
          <cell r="A608" t="str">
            <v>MAT,495</v>
          </cell>
          <cell r="B608" t="str">
            <v>Yeso</v>
          </cell>
          <cell r="C608" t="str">
            <v>Kg</v>
          </cell>
          <cell r="D608">
            <v>1</v>
          </cell>
          <cell r="E608">
            <v>2251.1999999999998</v>
          </cell>
        </row>
        <row r="609">
          <cell r="A609" t="str">
            <v>MAT,565</v>
          </cell>
          <cell r="B609" t="str">
            <v>Bentonita</v>
          </cell>
          <cell r="C609" t="str">
            <v>Kg</v>
          </cell>
          <cell r="D609">
            <v>1</v>
          </cell>
          <cell r="E609">
            <v>6975.36</v>
          </cell>
        </row>
        <row r="610">
          <cell r="A610" t="str">
            <v>MAT,566</v>
          </cell>
          <cell r="B610" t="str">
            <v>Anfo</v>
          </cell>
          <cell r="C610" t="str">
            <v>Kg</v>
          </cell>
          <cell r="D610">
            <v>1</v>
          </cell>
          <cell r="E610">
            <v>6975.36</v>
          </cell>
        </row>
        <row r="611">
          <cell r="A611" t="str">
            <v>MAT,567</v>
          </cell>
          <cell r="B611" t="str">
            <v>Mecha lenta</v>
          </cell>
          <cell r="C611" t="str">
            <v>M</v>
          </cell>
          <cell r="D611">
            <v>1</v>
          </cell>
          <cell r="E611">
            <v>1162.56</v>
          </cell>
        </row>
        <row r="612">
          <cell r="A612" t="str">
            <v>MAT,568</v>
          </cell>
          <cell r="B612" t="str">
            <v>Calfos (Fertilizante uso agrícola)</v>
          </cell>
          <cell r="C612" t="str">
            <v>Kg</v>
          </cell>
          <cell r="D612">
            <v>1</v>
          </cell>
          <cell r="E612">
            <v>896</v>
          </cell>
        </row>
        <row r="613">
          <cell r="A613" t="str">
            <v>MAT,569</v>
          </cell>
          <cell r="B613" t="str">
            <v>Costal de fique de 0,95 x 0,71 m</v>
          </cell>
          <cell r="C613" t="str">
            <v>Un</v>
          </cell>
          <cell r="D613">
            <v>1</v>
          </cell>
          <cell r="E613">
            <v>930.048</v>
          </cell>
        </row>
        <row r="614">
          <cell r="A614" t="str">
            <v>MAT,570</v>
          </cell>
          <cell r="B614" t="str">
            <v>División metálica en lámina doble C 20 h = 1,60 m, incluye anticorrosivo</v>
          </cell>
          <cell r="C614" t="str">
            <v>M2</v>
          </cell>
          <cell r="D614">
            <v>1</v>
          </cell>
          <cell r="E614">
            <v>406896</v>
          </cell>
        </row>
        <row r="615">
          <cell r="A615" t="str">
            <v>MAT,571</v>
          </cell>
          <cell r="B615" t="str">
            <v>Puerta para división en lamina doble C 20 h = 1,60 m, incluye anticorrosivo</v>
          </cell>
          <cell r="C615" t="str">
            <v>M2</v>
          </cell>
          <cell r="D615">
            <v>1</v>
          </cell>
          <cell r="E615">
            <v>337142.4</v>
          </cell>
        </row>
        <row r="616">
          <cell r="A616" t="str">
            <v>MAT,572</v>
          </cell>
          <cell r="B616" t="str">
            <v>Reja para sumidero de 50 x 70 cm y ángulo de 2 x 2 x 1/4" incluye anticorrosivo y pintura</v>
          </cell>
          <cell r="C616" t="str">
            <v>Un</v>
          </cell>
          <cell r="D616">
            <v>1</v>
          </cell>
          <cell r="E616">
            <v>337142.4</v>
          </cell>
        </row>
        <row r="617">
          <cell r="A617" t="str">
            <v>MAT,573</v>
          </cell>
          <cell r="B617" t="str">
            <v>1 Equipo salva escalera con plataforma Ref: omega exterior para escalera recta con descanso, con capacidad de carga de 225 kg</v>
          </cell>
          <cell r="C617" t="str">
            <v>Un</v>
          </cell>
          <cell r="D617">
            <v>1</v>
          </cell>
          <cell r="E617">
            <v>97362160</v>
          </cell>
        </row>
        <row r="618">
          <cell r="A618" t="str">
            <v>MAT,574</v>
          </cell>
          <cell r="B618" t="str">
            <v>Teja metálica aluzinc pintada 4 Cal 28 roja (tipo Techolum Plus RAL 9002)</v>
          </cell>
          <cell r="C618" t="str">
            <v>M2</v>
          </cell>
          <cell r="D618">
            <v>1</v>
          </cell>
          <cell r="E618">
            <v>40997.599999999999</v>
          </cell>
        </row>
        <row r="619">
          <cell r="A619" t="str">
            <v>MAT,575</v>
          </cell>
          <cell r="B619" t="str">
            <v>Estructura metálica (perlines, platinas y pernos), incluye anticorrosivo y pintura, para estructura de cubierta, trabajos en alturas, andamios certificados</v>
          </cell>
          <cell r="C619" t="str">
            <v>Kg</v>
          </cell>
          <cell r="D619">
            <v>1</v>
          </cell>
          <cell r="E619">
            <v>8436.6240000000016</v>
          </cell>
        </row>
        <row r="620">
          <cell r="A620" t="str">
            <v>MAT,576</v>
          </cell>
          <cell r="B620" t="str">
            <v>Cable cobre concéntrico 2 x 8 + 8</v>
          </cell>
          <cell r="C620" t="str">
            <v>M</v>
          </cell>
          <cell r="D620">
            <v>1</v>
          </cell>
          <cell r="E620">
            <v>25564</v>
          </cell>
        </row>
        <row r="621">
          <cell r="A621" t="str">
            <v>MAT,577</v>
          </cell>
          <cell r="B621" t="str">
            <v>Conector de perforación de aislamiento JZ2-95</v>
          </cell>
          <cell r="C621" t="str">
            <v>Un</v>
          </cell>
          <cell r="D621">
            <v>1</v>
          </cell>
          <cell r="E621">
            <v>21920.639999999999</v>
          </cell>
        </row>
        <row r="622">
          <cell r="A622" t="str">
            <v>MAT,578</v>
          </cell>
          <cell r="B622" t="str">
            <v>Aislador tipo carrete 3" ANSI 53-2</v>
          </cell>
          <cell r="C622" t="str">
            <v>Un</v>
          </cell>
          <cell r="D622">
            <v>1</v>
          </cell>
          <cell r="E622">
            <v>2512.16</v>
          </cell>
        </row>
        <row r="623">
          <cell r="A623" t="str">
            <v>MAT,579</v>
          </cell>
          <cell r="B623" t="str">
            <v>Percha tipo pesada de un puesto</v>
          </cell>
          <cell r="C623" t="str">
            <v>Un</v>
          </cell>
          <cell r="D623">
            <v>1</v>
          </cell>
          <cell r="E623">
            <v>14812</v>
          </cell>
        </row>
        <row r="624">
          <cell r="A624" t="str">
            <v>MAT,580</v>
          </cell>
          <cell r="B624" t="str">
            <v>Curva conduit PVC 3/4"</v>
          </cell>
          <cell r="C624" t="str">
            <v>Un</v>
          </cell>
          <cell r="D624">
            <v>1</v>
          </cell>
          <cell r="E624">
            <v>862.4</v>
          </cell>
        </row>
        <row r="625">
          <cell r="A625" t="str">
            <v>MAT,581</v>
          </cell>
          <cell r="B625" t="str">
            <v>Proyector Indulux BC Redondo con cofre de 250 W MH, Reactor 208/220/240V. Incluye bombillo</v>
          </cell>
          <cell r="C625" t="str">
            <v>Un</v>
          </cell>
          <cell r="D625">
            <v>1</v>
          </cell>
          <cell r="E625">
            <v>0</v>
          </cell>
        </row>
        <row r="626">
          <cell r="A626" t="str">
            <v>MAT,582</v>
          </cell>
          <cell r="B626" t="str">
            <v>Proyector RRA 400W MH incluye bombillo</v>
          </cell>
          <cell r="C626" t="str">
            <v>Un</v>
          </cell>
          <cell r="D626">
            <v>1</v>
          </cell>
          <cell r="E626">
            <v>0</v>
          </cell>
        </row>
        <row r="627">
          <cell r="A627" t="str">
            <v>MAT,583</v>
          </cell>
          <cell r="B627" t="str">
            <v>Tornillo de carriaje de 5/8" x 2", incluye tuerca, arandela plana y de presión</v>
          </cell>
          <cell r="C627" t="str">
            <v>Un</v>
          </cell>
          <cell r="D627">
            <v>1</v>
          </cell>
          <cell r="E627">
            <v>8636.32</v>
          </cell>
        </row>
        <row r="628">
          <cell r="A628" t="str">
            <v>MAT,584</v>
          </cell>
          <cell r="B628" t="str">
            <v xml:space="preserve">Tubo conduit IMC 1/2" </v>
          </cell>
          <cell r="C628" t="str">
            <v>M</v>
          </cell>
          <cell r="D628">
            <v>1</v>
          </cell>
          <cell r="E628">
            <v>8974.56</v>
          </cell>
        </row>
        <row r="629">
          <cell r="A629" t="str">
            <v>MAT,585</v>
          </cell>
          <cell r="B629" t="str">
            <v>Hebilla para cinta bandit 3/4"</v>
          </cell>
          <cell r="C629" t="str">
            <v>Un</v>
          </cell>
          <cell r="D629">
            <v>1</v>
          </cell>
          <cell r="E629">
            <v>1120</v>
          </cell>
        </row>
        <row r="630">
          <cell r="A630" t="str">
            <v>MAT,586</v>
          </cell>
          <cell r="B630" t="str">
            <v>Molde soldadura exotérmica</v>
          </cell>
          <cell r="C630" t="str">
            <v>Un</v>
          </cell>
          <cell r="D630">
            <v>1</v>
          </cell>
          <cell r="E630">
            <v>0</v>
          </cell>
        </row>
        <row r="631">
          <cell r="A631" t="str">
            <v>MAT,587</v>
          </cell>
          <cell r="B631" t="str">
            <v>Soldadura exotérmica 115 gr</v>
          </cell>
          <cell r="C631" t="str">
            <v>Un</v>
          </cell>
          <cell r="D631">
            <v>1</v>
          </cell>
          <cell r="E631">
            <v>27118.560000000001</v>
          </cell>
        </row>
        <row r="632">
          <cell r="A632" t="str">
            <v>MAT,588</v>
          </cell>
          <cell r="B632" t="str">
            <v>Varilla Cu 5/8" x 2,4 m</v>
          </cell>
          <cell r="C632" t="str">
            <v>Un</v>
          </cell>
          <cell r="D632">
            <v>1</v>
          </cell>
          <cell r="E632">
            <v>235240.32000000001</v>
          </cell>
        </row>
        <row r="633">
          <cell r="A633" t="str">
            <v>MAT,589</v>
          </cell>
          <cell r="B633" t="str">
            <v>Marquilla de identificación apantallamiento mínimo 30 x 40 cm</v>
          </cell>
          <cell r="C633" t="str">
            <v>Un</v>
          </cell>
          <cell r="D633">
            <v>1</v>
          </cell>
          <cell r="E633">
            <v>966.56</v>
          </cell>
        </row>
        <row r="634">
          <cell r="A634" t="str">
            <v>MAT,590</v>
          </cell>
          <cell r="B634" t="str">
            <v>Grapa bimetálica DEHN unión alambrón - Cu 8-10 mm Ref 459129</v>
          </cell>
          <cell r="C634" t="str">
            <v>Un</v>
          </cell>
          <cell r="D634">
            <v>1</v>
          </cell>
          <cell r="E634">
            <v>39984</v>
          </cell>
        </row>
        <row r="635">
          <cell r="A635" t="str">
            <v>MAT,591</v>
          </cell>
          <cell r="B635" t="str">
            <v>Tapa ciega metálica 4 x 4" para caja Rawelt</v>
          </cell>
          <cell r="C635" t="str">
            <v>Un</v>
          </cell>
          <cell r="D635">
            <v>1</v>
          </cell>
          <cell r="E635">
            <v>3346.56</v>
          </cell>
        </row>
        <row r="636">
          <cell r="A636" t="str">
            <v>MAT,592</v>
          </cell>
          <cell r="B636" t="str">
            <v>Caja Rawelt 4 x 4" 2 salidas 3/4"</v>
          </cell>
          <cell r="C636" t="str">
            <v>Un</v>
          </cell>
          <cell r="D636">
            <v>1</v>
          </cell>
          <cell r="E636">
            <v>21395.360000000001</v>
          </cell>
        </row>
        <row r="637">
          <cell r="A637" t="str">
            <v>MAT,593</v>
          </cell>
          <cell r="B637" t="str">
            <v>Abrazadera para chanel de 3/4"</v>
          </cell>
          <cell r="C637" t="str">
            <v>Un</v>
          </cell>
          <cell r="D637">
            <v>1</v>
          </cell>
          <cell r="E637">
            <v>1133.44</v>
          </cell>
        </row>
        <row r="638">
          <cell r="A638" t="str">
            <v>MAT,594</v>
          </cell>
          <cell r="B638" t="str">
            <v>Riel tipo chaner perforado 4 x 2"</v>
          </cell>
          <cell r="C638" t="str">
            <v>M</v>
          </cell>
          <cell r="D638">
            <v>1</v>
          </cell>
          <cell r="E638">
            <v>0</v>
          </cell>
        </row>
        <row r="639">
          <cell r="A639" t="str">
            <v>MAT,595</v>
          </cell>
          <cell r="B639" t="str">
            <v>Tubo conduit IMC 3/4"</v>
          </cell>
          <cell r="C639" t="str">
            <v>M</v>
          </cell>
          <cell r="D639">
            <v>1</v>
          </cell>
          <cell r="E639">
            <v>20119.68</v>
          </cell>
        </row>
        <row r="640">
          <cell r="A640" t="str">
            <v>MAT,596</v>
          </cell>
          <cell r="B640" t="str">
            <v>Cable de Cu desnudo 1/0</v>
          </cell>
          <cell r="C640" t="str">
            <v>M</v>
          </cell>
          <cell r="D640">
            <v>1</v>
          </cell>
          <cell r="E640">
            <v>37317.279999999999</v>
          </cell>
        </row>
        <row r="641">
          <cell r="A641" t="str">
            <v>MAT,597</v>
          </cell>
          <cell r="B641" t="str">
            <v>Soporte para alambrón de 8 mm tipo Snap</v>
          </cell>
          <cell r="C641" t="str">
            <v>Un</v>
          </cell>
          <cell r="D641">
            <v>1</v>
          </cell>
          <cell r="E641">
            <v>14053.76</v>
          </cell>
        </row>
        <row r="642">
          <cell r="A642" t="str">
            <v>MAT,598</v>
          </cell>
          <cell r="B642" t="str">
            <v xml:space="preserve">Alambrón de aluminio 8 mm </v>
          </cell>
          <cell r="C642" t="str">
            <v>M</v>
          </cell>
          <cell r="D642">
            <v>1</v>
          </cell>
          <cell r="E642">
            <v>26376</v>
          </cell>
        </row>
        <row r="643">
          <cell r="A643" t="str">
            <v>MAT,599</v>
          </cell>
          <cell r="B643" t="str">
            <v>Lámpara hermética Phillips o similar 2 x 32 W</v>
          </cell>
          <cell r="C643" t="str">
            <v>Un</v>
          </cell>
          <cell r="D643">
            <v>1</v>
          </cell>
          <cell r="E643">
            <v>145332.32</v>
          </cell>
        </row>
        <row r="644">
          <cell r="A644" t="str">
            <v>MAT,600</v>
          </cell>
          <cell r="B644" t="str">
            <v>Lámina en PVC, de 3,48 m2, blanca (2,9 m x ,30 m y e = 7 mm)</v>
          </cell>
          <cell r="C644" t="str">
            <v>M2</v>
          </cell>
          <cell r="D644">
            <v>1</v>
          </cell>
          <cell r="E644">
            <v>32144</v>
          </cell>
        </row>
        <row r="645">
          <cell r="A645" t="str">
            <v>MAT,601</v>
          </cell>
          <cell r="B645" t="str">
            <v>Balancín doble, incluye pintura e instalación</v>
          </cell>
          <cell r="C645" t="str">
            <v>Un</v>
          </cell>
          <cell r="D645">
            <v>1</v>
          </cell>
          <cell r="E645">
            <v>1008000</v>
          </cell>
        </row>
        <row r="646">
          <cell r="A646" t="str">
            <v>MAT,602</v>
          </cell>
          <cell r="B646" t="str">
            <v>Toma sencilla de Incrustar 20 A 250 V 2F Turnlock</v>
          </cell>
          <cell r="C646" t="str">
            <v>Un</v>
          </cell>
          <cell r="D646">
            <v>1</v>
          </cell>
          <cell r="E646">
            <v>47961.760000000002</v>
          </cell>
        </row>
        <row r="647">
          <cell r="A647" t="str">
            <v>MAT,605</v>
          </cell>
          <cell r="B647" t="str">
            <v>Toma corriente doble tipo GFCI, marca Luminex o similar</v>
          </cell>
          <cell r="C647" t="str">
            <v>Un</v>
          </cell>
          <cell r="D647">
            <v>1</v>
          </cell>
          <cell r="E647">
            <v>53148.479999999996</v>
          </cell>
        </row>
        <row r="648">
          <cell r="A648" t="str">
            <v>MAT,606</v>
          </cell>
          <cell r="B648" t="str">
            <v>Caja Rawelt 2 x 4" 1 salida 3/4"</v>
          </cell>
          <cell r="C648" t="str">
            <v>Un</v>
          </cell>
          <cell r="D648">
            <v>1</v>
          </cell>
          <cell r="E648">
            <v>11147.36</v>
          </cell>
        </row>
        <row r="649">
          <cell r="A649" t="str">
            <v>MAT,607</v>
          </cell>
          <cell r="B649" t="str">
            <v>Adaptador terminal EMT 3/4"</v>
          </cell>
          <cell r="C649" t="str">
            <v>Un</v>
          </cell>
          <cell r="D649">
            <v>1</v>
          </cell>
          <cell r="E649">
            <v>1942.08</v>
          </cell>
        </row>
        <row r="650">
          <cell r="A650" t="str">
            <v>MAT,609</v>
          </cell>
          <cell r="B650" t="str">
            <v>Tubo conduit EMT 3/4"</v>
          </cell>
          <cell r="C650" t="str">
            <v>M</v>
          </cell>
          <cell r="D650">
            <v>1</v>
          </cell>
          <cell r="E650">
            <v>33432</v>
          </cell>
        </row>
        <row r="651">
          <cell r="A651" t="str">
            <v>MAT,610</v>
          </cell>
          <cell r="B651" t="str">
            <v>Marquilla identificación salida</v>
          </cell>
          <cell r="C651" t="str">
            <v>Un</v>
          </cell>
          <cell r="D651">
            <v>1</v>
          </cell>
          <cell r="E651">
            <v>889.28</v>
          </cell>
        </row>
        <row r="652">
          <cell r="A652" t="str">
            <v>MAT,611</v>
          </cell>
          <cell r="B652" t="str">
            <v>Tomacorriente doble con polo a tierra, marca Luminex o similar</v>
          </cell>
          <cell r="C652" t="str">
            <v>Un</v>
          </cell>
          <cell r="D652">
            <v>1</v>
          </cell>
          <cell r="E652">
            <v>12364.8</v>
          </cell>
        </row>
        <row r="653">
          <cell r="A653" t="str">
            <v>MAT,612</v>
          </cell>
          <cell r="B653" t="str">
            <v>Interruptor doble sin luz piloto, marca Luminex similar</v>
          </cell>
          <cell r="C653" t="str">
            <v>M</v>
          </cell>
          <cell r="D653">
            <v>1</v>
          </cell>
          <cell r="E653">
            <v>8593.76</v>
          </cell>
        </row>
        <row r="654">
          <cell r="A654" t="str">
            <v>MAT,613</v>
          </cell>
          <cell r="B654" t="str">
            <v>Cable Cu aislado #12 HFFR LS</v>
          </cell>
          <cell r="C654" t="str">
            <v>M</v>
          </cell>
          <cell r="D654">
            <v>1</v>
          </cell>
          <cell r="E654">
            <v>2637.6</v>
          </cell>
        </row>
        <row r="655">
          <cell r="A655" t="str">
            <v>MAT,614</v>
          </cell>
          <cell r="B655" t="str">
            <v>Interruptor sencillo sin luz piloto, marca Luminex o similar</v>
          </cell>
          <cell r="C655" t="str">
            <v>Un</v>
          </cell>
          <cell r="D655">
            <v>1</v>
          </cell>
          <cell r="E655">
            <v>7985.6</v>
          </cell>
        </row>
        <row r="656">
          <cell r="A656" t="str">
            <v>MAT,615</v>
          </cell>
          <cell r="B656" t="str">
            <v>Conector tipo resorte para cable Nº 14/12</v>
          </cell>
          <cell r="C656" t="str">
            <v>Un</v>
          </cell>
          <cell r="D656">
            <v>1</v>
          </cell>
          <cell r="E656">
            <v>9548</v>
          </cell>
        </row>
        <row r="657">
          <cell r="A657" t="str">
            <v>MAT,616</v>
          </cell>
          <cell r="B657" t="str">
            <v>Cable Cu aislado #12 AWG THHN/THWN</v>
          </cell>
          <cell r="C657" t="str">
            <v>M</v>
          </cell>
          <cell r="D657">
            <v>1</v>
          </cell>
          <cell r="E657">
            <v>3240.16</v>
          </cell>
        </row>
        <row r="658">
          <cell r="A658" t="str">
            <v>MAT,617</v>
          </cell>
          <cell r="B658" t="str">
            <v>Caja 2 x 4 metálica galvanizada</v>
          </cell>
          <cell r="C658" t="str">
            <v>Un</v>
          </cell>
          <cell r="D658">
            <v>1</v>
          </cell>
          <cell r="E658">
            <v>2859.36</v>
          </cell>
        </row>
        <row r="659">
          <cell r="A659" t="str">
            <v>MAT,618</v>
          </cell>
          <cell r="B659" t="str">
            <v>Adaptador terminal PVC 1/2"</v>
          </cell>
          <cell r="C659" t="str">
            <v>Un</v>
          </cell>
          <cell r="D659">
            <v>1</v>
          </cell>
          <cell r="E659">
            <v>212.8</v>
          </cell>
        </row>
        <row r="660">
          <cell r="A660" t="str">
            <v>MAT,619</v>
          </cell>
          <cell r="B660" t="str">
            <v>Tubo conduit PVC 1/2"</v>
          </cell>
          <cell r="C660" t="str">
            <v>M</v>
          </cell>
          <cell r="D660">
            <v>1</v>
          </cell>
          <cell r="E660">
            <v>7173.6</v>
          </cell>
        </row>
        <row r="661">
          <cell r="A661" t="str">
            <v>MAT,620</v>
          </cell>
          <cell r="B661" t="str">
            <v>Tablero trifásico 24 circuitos con barraje de 200 A, barras de neutro y tierra, puerta y chapa. Ref NTQ-424-SQ marca Schneider Electric o similar</v>
          </cell>
          <cell r="C661" t="str">
            <v>Un</v>
          </cell>
          <cell r="D661">
            <v>1</v>
          </cell>
          <cell r="E661">
            <v>201219.20000000001</v>
          </cell>
        </row>
        <row r="662">
          <cell r="A662" t="str">
            <v>MAT,621</v>
          </cell>
          <cell r="B662" t="str">
            <v>Tablero trifásico 18 circuitos NTQ-418-SQ, con barraje de 200 A, barra de neutro, barra de tierra, puerta y chapa. Marca Schneider Electric o similar</v>
          </cell>
          <cell r="C662" t="str">
            <v>Un</v>
          </cell>
          <cell r="D662">
            <v>1</v>
          </cell>
          <cell r="E662">
            <v>245729.12</v>
          </cell>
        </row>
        <row r="663">
          <cell r="A663" t="str">
            <v>MAT,622</v>
          </cell>
          <cell r="B663" t="str">
            <v>Interruptor enchufable 3 x 20 A 10 KA marca Luminex o similar</v>
          </cell>
          <cell r="C663" t="str">
            <v>Un</v>
          </cell>
          <cell r="D663">
            <v>1</v>
          </cell>
          <cell r="E663">
            <v>23570.400000000001</v>
          </cell>
        </row>
        <row r="664">
          <cell r="A664" t="str">
            <v>MAT,623</v>
          </cell>
          <cell r="B664" t="str">
            <v>Tablero trifásico 12 circuitos con barraje de 200 A, barras de neutro y tierra. Puerta y chapa. Ref NTQ-412-SQ marca Schneider Electric o similar</v>
          </cell>
          <cell r="C664" t="str">
            <v>Un</v>
          </cell>
          <cell r="D664">
            <v>1</v>
          </cell>
          <cell r="E664">
            <v>201219.20000000001</v>
          </cell>
        </row>
        <row r="665">
          <cell r="A665" t="str">
            <v>MAT,624</v>
          </cell>
          <cell r="B665" t="str">
            <v>Interruptor enchufable 2 x 20 A 10 KA marca Luminex o similar</v>
          </cell>
          <cell r="C665" t="str">
            <v>Un</v>
          </cell>
          <cell r="D665">
            <v>1</v>
          </cell>
          <cell r="E665">
            <v>15277.92</v>
          </cell>
        </row>
        <row r="666">
          <cell r="A666" t="str">
            <v>MAT,625</v>
          </cell>
          <cell r="B666" t="str">
            <v>Tablero bifásico 4 circuitos con barraje de 75 A, barras de neutro y tierra.  Ref VTQ-4M-SQ marca Schneider Electric o similar</v>
          </cell>
          <cell r="C666" t="str">
            <v>Un</v>
          </cell>
          <cell r="D666">
            <v>1</v>
          </cell>
          <cell r="E666">
            <v>91415.52</v>
          </cell>
        </row>
        <row r="667">
          <cell r="A667" t="str">
            <v>MAT,626</v>
          </cell>
          <cell r="B667" t="str">
            <v>Marquilla identificación salida</v>
          </cell>
          <cell r="C667" t="str">
            <v>Un</v>
          </cell>
          <cell r="D667">
            <v>1</v>
          </cell>
          <cell r="E667">
            <v>889.28</v>
          </cell>
        </row>
        <row r="668">
          <cell r="A668" t="str">
            <v>MAT,627</v>
          </cell>
          <cell r="B668" t="str">
            <v>Marquilla adhesiva identificación circuitos</v>
          </cell>
          <cell r="C668" t="str">
            <v>Un</v>
          </cell>
          <cell r="D668">
            <v>1</v>
          </cell>
          <cell r="E668">
            <v>889.28</v>
          </cell>
        </row>
        <row r="669">
          <cell r="A669" t="str">
            <v>MAT,628</v>
          </cell>
          <cell r="B669" t="str">
            <v>Marcación: diagrama unifilar y cuadro de cargas</v>
          </cell>
          <cell r="C669" t="str">
            <v>Un</v>
          </cell>
          <cell r="D669">
            <v>1</v>
          </cell>
          <cell r="E669">
            <v>1932</v>
          </cell>
        </row>
        <row r="670">
          <cell r="A670" t="str">
            <v>MAT,629</v>
          </cell>
          <cell r="B670" t="str">
            <v>Marquilla adhesiva identificación tablero</v>
          </cell>
          <cell r="C670" t="str">
            <v>Un</v>
          </cell>
          <cell r="D670">
            <v>1</v>
          </cell>
          <cell r="E670">
            <v>966.56</v>
          </cell>
        </row>
        <row r="671">
          <cell r="A671" t="str">
            <v>MAT,630</v>
          </cell>
          <cell r="B671" t="str">
            <v>Compuesto sellante Sika Boom o similar x 250 cm3</v>
          </cell>
          <cell r="C671" t="str">
            <v>Tarro</v>
          </cell>
          <cell r="D671">
            <v>1</v>
          </cell>
          <cell r="E671">
            <v>24343.200000000001</v>
          </cell>
        </row>
        <row r="672">
          <cell r="A672" t="str">
            <v>MAT,631</v>
          </cell>
          <cell r="B672" t="str">
            <v>Accesorios de fijación</v>
          </cell>
          <cell r="C672" t="str">
            <v>Un</v>
          </cell>
          <cell r="D672">
            <v>1</v>
          </cell>
          <cell r="E672">
            <v>2444.96</v>
          </cell>
        </row>
        <row r="673">
          <cell r="A673" t="str">
            <v>MAT,632</v>
          </cell>
          <cell r="B673" t="str">
            <v>Interruptor enchufable 1 x 20 A 10 KA marca Luminex o similar</v>
          </cell>
          <cell r="C673" t="str">
            <v>Un</v>
          </cell>
          <cell r="D673">
            <v>1</v>
          </cell>
          <cell r="E673">
            <v>6941.76</v>
          </cell>
        </row>
        <row r="674">
          <cell r="A674" t="str">
            <v>MAT,633</v>
          </cell>
          <cell r="B674" t="str">
            <v>Tablero monofásico 6 circuitos con barraje de 75 A , barras de neutro y  tierra. Ref VTQ-6-SQ marca Schneider Electric o similar</v>
          </cell>
          <cell r="C674" t="str">
            <v>Un</v>
          </cell>
          <cell r="D674">
            <v>1</v>
          </cell>
          <cell r="E674">
            <v>52869.599999999999</v>
          </cell>
        </row>
        <row r="675">
          <cell r="A675" t="str">
            <v>MAT,635</v>
          </cell>
          <cell r="B675" t="str">
            <v>Interruptor triple sin luz piloto, marca Luminex  o similar</v>
          </cell>
          <cell r="C675" t="str">
            <v>Un</v>
          </cell>
          <cell r="D675">
            <v>1</v>
          </cell>
          <cell r="E675">
            <v>20671.84</v>
          </cell>
        </row>
        <row r="676">
          <cell r="A676" t="str">
            <v>MAT,636</v>
          </cell>
          <cell r="B676" t="str">
            <v>Tubo conduit PVC 3/4"</v>
          </cell>
          <cell r="C676" t="str">
            <v>M</v>
          </cell>
          <cell r="D676">
            <v>1</v>
          </cell>
          <cell r="E676">
            <v>3128.16</v>
          </cell>
        </row>
        <row r="677">
          <cell r="A677" t="str">
            <v>MAT,657</v>
          </cell>
          <cell r="B677" t="str">
            <v>Tubería PVC de alcantarillado de pared estructural d = 57", exterior liso</v>
          </cell>
          <cell r="C677" t="str">
            <v>M</v>
          </cell>
          <cell r="D677">
            <v>1</v>
          </cell>
          <cell r="E677">
            <v>0</v>
          </cell>
        </row>
        <row r="678">
          <cell r="A678" t="str">
            <v>MAT,800</v>
          </cell>
          <cell r="B678" t="str">
            <v>Detergentes</v>
          </cell>
          <cell r="C678" t="str">
            <v>Kg</v>
          </cell>
          <cell r="D678">
            <v>1</v>
          </cell>
          <cell r="E678">
            <v>3360</v>
          </cell>
        </row>
        <row r="679">
          <cell r="A679" t="str">
            <v>MAT,801</v>
          </cell>
          <cell r="B679" t="str">
            <v>Limpiavidrios</v>
          </cell>
          <cell r="C679" t="str">
            <v>Lt</v>
          </cell>
          <cell r="D679">
            <v>1</v>
          </cell>
          <cell r="E679">
            <v>17172.96</v>
          </cell>
        </row>
        <row r="680">
          <cell r="A680" t="str">
            <v>MAT,546</v>
          </cell>
          <cell r="B680" t="str">
            <v>Casetón h = 0,35, a = 0,65 m</v>
          </cell>
          <cell r="C680" t="str">
            <v>M</v>
          </cell>
          <cell r="D680">
            <v>1</v>
          </cell>
          <cell r="E680">
            <v>13067.04</v>
          </cell>
        </row>
        <row r="681">
          <cell r="A681" t="str">
            <v>MAT,802</v>
          </cell>
          <cell r="B681" t="str">
            <v>Ventana 1.2 x 1.5 m aluminio Int negro corrediza XO/O, vidrio 6 mm Alumina</v>
          </cell>
          <cell r="C681" t="str">
            <v>M2</v>
          </cell>
          <cell r="D681">
            <v>1</v>
          </cell>
          <cell r="E681">
            <v>370532.96</v>
          </cell>
        </row>
        <row r="682">
          <cell r="A682" t="str">
            <v>MAT,803</v>
          </cell>
          <cell r="B682" t="str">
            <v>Plántula (vainillo, guayacán (varios colores), acacia, eucalipto, guadua, guamo, gualanday, chachafruto, cámbulo), altura promedio 0.25 m</v>
          </cell>
          <cell r="C682" t="str">
            <v>Un</v>
          </cell>
          <cell r="D682">
            <v>1</v>
          </cell>
          <cell r="E682">
            <v>5680.64</v>
          </cell>
        </row>
        <row r="683">
          <cell r="A683" t="str">
            <v>MAT,804</v>
          </cell>
          <cell r="B683" t="str">
            <v>Semilla de grama</v>
          </cell>
          <cell r="C683" t="str">
            <v>Lb</v>
          </cell>
          <cell r="D683">
            <v>1</v>
          </cell>
          <cell r="E683">
            <v>40320</v>
          </cell>
        </row>
        <row r="684">
          <cell r="A684" t="str">
            <v>MAT,805</v>
          </cell>
          <cell r="B684" t="str">
            <v>Plantillas y pegante</v>
          </cell>
          <cell r="C684" t="str">
            <v>Un</v>
          </cell>
          <cell r="D684">
            <v>1</v>
          </cell>
          <cell r="E684">
            <v>10393.6</v>
          </cell>
        </row>
        <row r="685">
          <cell r="A685" t="str">
            <v>MAT,806</v>
          </cell>
          <cell r="B685" t="str">
            <v>Alambre Nº 6 de aluminio para amarre</v>
          </cell>
          <cell r="C685" t="str">
            <v>M</v>
          </cell>
          <cell r="D685">
            <v>1</v>
          </cell>
          <cell r="E685">
            <v>1509.76</v>
          </cell>
        </row>
        <row r="686">
          <cell r="A686" t="str">
            <v>MAT,816</v>
          </cell>
          <cell r="B686" t="str">
            <v>Cable Cu aislado # 12 HFFR LS</v>
          </cell>
          <cell r="C686" t="str">
            <v>M</v>
          </cell>
          <cell r="D686">
            <v>1</v>
          </cell>
          <cell r="E686">
            <v>2022.72</v>
          </cell>
        </row>
        <row r="687">
          <cell r="A687" t="str">
            <v>MAT,817</v>
          </cell>
          <cell r="B687" t="str">
            <v>Aditivo curador</v>
          </cell>
          <cell r="C687" t="str">
            <v>kg</v>
          </cell>
          <cell r="D687">
            <v>1</v>
          </cell>
          <cell r="E687">
            <v>6266.4</v>
          </cell>
        </row>
        <row r="688">
          <cell r="A688" t="str">
            <v>EQUIPO</v>
          </cell>
        </row>
        <row r="690">
          <cell r="A690" t="str">
            <v>EQU001</v>
          </cell>
          <cell r="B690" t="str">
            <v>Control de agua</v>
          </cell>
          <cell r="C690" t="str">
            <v>%MO</v>
          </cell>
          <cell r="D690">
            <v>1</v>
          </cell>
          <cell r="E690">
            <v>0</v>
          </cell>
        </row>
        <row r="691">
          <cell r="A691" t="str">
            <v>EQU002</v>
          </cell>
          <cell r="B691" t="str">
            <v>Herramienta menor</v>
          </cell>
          <cell r="C691" t="str">
            <v>%MO</v>
          </cell>
          <cell r="D691">
            <v>1</v>
          </cell>
          <cell r="E691">
            <v>0</v>
          </cell>
        </row>
        <row r="692">
          <cell r="A692" t="str">
            <v>EQU003</v>
          </cell>
          <cell r="B692" t="str">
            <v>Concretadora gasolina 1 o 1 1/2 sacos</v>
          </cell>
          <cell r="C692" t="str">
            <v>Día</v>
          </cell>
          <cell r="D692">
            <v>1</v>
          </cell>
          <cell r="E692">
            <v>42336</v>
          </cell>
        </row>
        <row r="693">
          <cell r="A693" t="str">
            <v>EQU004</v>
          </cell>
          <cell r="B693" t="str">
            <v>Buldózer, potencia al volante de 140 HP, motor de 2200 RPM, longitud de hoja 4,80 m</v>
          </cell>
          <cell r="C693" t="str">
            <v>Hr</v>
          </cell>
          <cell r="D693">
            <v>1</v>
          </cell>
          <cell r="E693">
            <v>266560</v>
          </cell>
        </row>
        <row r="694">
          <cell r="A694" t="str">
            <v>EQU005</v>
          </cell>
          <cell r="B694" t="str">
            <v>Compresor 185 pies3 CFM de 2 martillos, incluye 2 operarios y combustible</v>
          </cell>
          <cell r="C694" t="str">
            <v>Hr</v>
          </cell>
          <cell r="D694">
            <v>1</v>
          </cell>
          <cell r="E694">
            <v>119952</v>
          </cell>
        </row>
        <row r="695">
          <cell r="A695" t="str">
            <v>EQU006</v>
          </cell>
          <cell r="B695" t="str">
            <v>Andamio</v>
          </cell>
          <cell r="C695" t="str">
            <v>%MO</v>
          </cell>
          <cell r="E695">
            <v>0</v>
          </cell>
        </row>
        <row r="696">
          <cell r="A696" t="str">
            <v>EQU007</v>
          </cell>
          <cell r="B696" t="str">
            <v>Taco metálico de 2 - &gt; 3 m</v>
          </cell>
          <cell r="C696" t="str">
            <v>Día</v>
          </cell>
          <cell r="D696">
            <v>1</v>
          </cell>
          <cell r="E696">
            <v>320.32</v>
          </cell>
        </row>
        <row r="697">
          <cell r="A697" t="str">
            <v>EQU008</v>
          </cell>
          <cell r="B697" t="str">
            <v xml:space="preserve">Motoniveladora </v>
          </cell>
          <cell r="C697" t="str">
            <v>Hr</v>
          </cell>
          <cell r="D697">
            <v>1</v>
          </cell>
          <cell r="E697">
            <v>253232</v>
          </cell>
        </row>
        <row r="698">
          <cell r="A698" t="str">
            <v>EQU009</v>
          </cell>
          <cell r="B698" t="str">
            <v>Cargador 930 1,5 yd3</v>
          </cell>
          <cell r="C698" t="str">
            <v>Hr</v>
          </cell>
          <cell r="D698">
            <v>1</v>
          </cell>
          <cell r="E698">
            <v>126560</v>
          </cell>
        </row>
        <row r="699">
          <cell r="A699" t="str">
            <v>EQU010</v>
          </cell>
          <cell r="B699" t="str">
            <v>Volqueta 7 m3</v>
          </cell>
          <cell r="C699" t="str">
            <v>Hr</v>
          </cell>
          <cell r="D699">
            <v>1</v>
          </cell>
          <cell r="E699">
            <v>186592</v>
          </cell>
        </row>
        <row r="700">
          <cell r="A700" t="str">
            <v>EQU011</v>
          </cell>
          <cell r="B700" t="str">
            <v>Equipo completo de topografía</v>
          </cell>
          <cell r="C700" t="str">
            <v>Día</v>
          </cell>
          <cell r="D700">
            <v>1</v>
          </cell>
          <cell r="E700">
            <v>123088</v>
          </cell>
        </row>
        <row r="701">
          <cell r="A701" t="str">
            <v>EQU012</v>
          </cell>
          <cell r="B701" t="str">
            <v xml:space="preserve">Vibrocompactador manual </v>
          </cell>
          <cell r="C701" t="str">
            <v>Día</v>
          </cell>
          <cell r="D701">
            <v>1</v>
          </cell>
          <cell r="E701">
            <v>40320</v>
          </cell>
        </row>
        <row r="702">
          <cell r="A702" t="str">
            <v>EQU013</v>
          </cell>
          <cell r="B702" t="str">
            <v>Cilindro compactador vibratorio Dynapac y tractor</v>
          </cell>
          <cell r="C702" t="str">
            <v>Hr</v>
          </cell>
          <cell r="D702">
            <v>1</v>
          </cell>
          <cell r="E702">
            <v>79968</v>
          </cell>
        </row>
        <row r="703">
          <cell r="A703" t="str">
            <v>EQU014</v>
          </cell>
          <cell r="B703" t="str">
            <v>Guadaña</v>
          </cell>
          <cell r="C703" t="str">
            <v>Día</v>
          </cell>
          <cell r="D703">
            <v>1</v>
          </cell>
          <cell r="E703">
            <v>39984</v>
          </cell>
        </row>
        <row r="704">
          <cell r="A704" t="str">
            <v>EQU015</v>
          </cell>
          <cell r="B704" t="str">
            <v>Pulidora sin operario</v>
          </cell>
          <cell r="C704" t="str">
            <v>Día</v>
          </cell>
          <cell r="D704">
            <v>1</v>
          </cell>
          <cell r="E704">
            <v>29321.599999999999</v>
          </cell>
        </row>
        <row r="705">
          <cell r="A705" t="str">
            <v>EQU016</v>
          </cell>
          <cell r="B705" t="str">
            <v>Motobomba sumergible 3" con manguera</v>
          </cell>
          <cell r="C705" t="str">
            <v>Día</v>
          </cell>
          <cell r="D705">
            <v>1</v>
          </cell>
          <cell r="E705">
            <v>41440</v>
          </cell>
        </row>
        <row r="706">
          <cell r="A706" t="str">
            <v>EQU017</v>
          </cell>
          <cell r="B706" t="str">
            <v>Entibado</v>
          </cell>
          <cell r="C706" t="str">
            <v>%MO</v>
          </cell>
          <cell r="D706">
            <v>1</v>
          </cell>
          <cell r="E706">
            <v>0</v>
          </cell>
        </row>
        <row r="707">
          <cell r="A707" t="str">
            <v>EQU018</v>
          </cell>
          <cell r="B707" t="str">
            <v>Vibrador eléctrico o a gasolina</v>
          </cell>
          <cell r="C707" t="str">
            <v>Día</v>
          </cell>
          <cell r="D707">
            <v>1</v>
          </cell>
          <cell r="E707">
            <v>39984</v>
          </cell>
        </row>
        <row r="708">
          <cell r="A708" t="str">
            <v>EQU019</v>
          </cell>
          <cell r="B708" t="str">
            <v>Finisher (pavimentadora) con operario</v>
          </cell>
          <cell r="C708" t="str">
            <v>Hr</v>
          </cell>
          <cell r="D708">
            <v>1</v>
          </cell>
          <cell r="E708">
            <v>194736.93792</v>
          </cell>
        </row>
        <row r="709">
          <cell r="A709" t="str">
            <v>EQU020</v>
          </cell>
          <cell r="B709" t="str">
            <v>Carrotanque asfalto</v>
          </cell>
          <cell r="C709" t="str">
            <v>Hr</v>
          </cell>
          <cell r="D709">
            <v>1</v>
          </cell>
          <cell r="E709">
            <v>119952</v>
          </cell>
        </row>
        <row r="710">
          <cell r="A710" t="str">
            <v>EQU021</v>
          </cell>
          <cell r="B710" t="str">
            <v>Compresor pintura</v>
          </cell>
          <cell r="C710" t="str">
            <v>Día</v>
          </cell>
          <cell r="D710">
            <v>1</v>
          </cell>
          <cell r="E710">
            <v>39984</v>
          </cell>
        </row>
        <row r="711">
          <cell r="A711" t="str">
            <v>EQU022</v>
          </cell>
          <cell r="B711" t="str">
            <v>Compactador neumático con tractor</v>
          </cell>
          <cell r="C711" t="str">
            <v>Hr</v>
          </cell>
          <cell r="D711">
            <v>1</v>
          </cell>
          <cell r="E711">
            <v>199920</v>
          </cell>
        </row>
        <row r="712">
          <cell r="A712" t="str">
            <v>EQU023</v>
          </cell>
          <cell r="B712" t="str">
            <v>Carrotanque agua</v>
          </cell>
          <cell r="C712" t="str">
            <v>Hr</v>
          </cell>
          <cell r="D712">
            <v>1</v>
          </cell>
          <cell r="E712">
            <v>116620</v>
          </cell>
        </row>
        <row r="713">
          <cell r="A713" t="str">
            <v>EQU024</v>
          </cell>
          <cell r="B713" t="str">
            <v>Retroexcavadora de orugas capacidad 0,9 m3 (1,5 m3)</v>
          </cell>
          <cell r="C713" t="str">
            <v>Hr</v>
          </cell>
          <cell r="D713">
            <v>1</v>
          </cell>
          <cell r="E713">
            <v>293216</v>
          </cell>
        </row>
        <row r="714">
          <cell r="A714" t="str">
            <v>EQU025</v>
          </cell>
          <cell r="B714" t="str">
            <v>Formaleta cono cámara</v>
          </cell>
          <cell r="C714" t="str">
            <v>Día</v>
          </cell>
          <cell r="D714">
            <v>1</v>
          </cell>
          <cell r="E714">
            <v>17299.52</v>
          </cell>
        </row>
        <row r="715">
          <cell r="A715" t="str">
            <v>EQU026</v>
          </cell>
          <cell r="B715" t="str">
            <v>Regla vibradora</v>
          </cell>
          <cell r="C715" t="str">
            <v>Día</v>
          </cell>
          <cell r="D715">
            <v>1</v>
          </cell>
          <cell r="E715">
            <v>53312</v>
          </cell>
        </row>
        <row r="716">
          <cell r="A716" t="str">
            <v>EQU027</v>
          </cell>
          <cell r="B716" t="str">
            <v>Formaleta pavimento concreto 3 m</v>
          </cell>
          <cell r="C716" t="str">
            <v>Día</v>
          </cell>
          <cell r="D716">
            <v>1</v>
          </cell>
          <cell r="E716">
            <v>2906.4</v>
          </cell>
        </row>
        <row r="717">
          <cell r="A717" t="str">
            <v>EQU028</v>
          </cell>
          <cell r="B717" t="str">
            <v>Formaleta cuerpo cámara inspección 1,20 m</v>
          </cell>
          <cell r="C717" t="str">
            <v>Día</v>
          </cell>
          <cell r="D717">
            <v>1</v>
          </cell>
          <cell r="E717">
            <v>19992</v>
          </cell>
        </row>
        <row r="718">
          <cell r="A718" t="str">
            <v>EQU029</v>
          </cell>
          <cell r="B718" t="str">
            <v>Manejo de tubería</v>
          </cell>
          <cell r="C718" t="str">
            <v>%MO</v>
          </cell>
          <cell r="D718">
            <v>1</v>
          </cell>
          <cell r="E718">
            <v>0</v>
          </cell>
        </row>
        <row r="719">
          <cell r="A719" t="str">
            <v>EQU030</v>
          </cell>
          <cell r="B719" t="str">
            <v>Cama baja</v>
          </cell>
          <cell r="C719" t="str">
            <v>Serv x 10 Km</v>
          </cell>
          <cell r="D719">
            <v>1</v>
          </cell>
          <cell r="E719">
            <v>29956.639999999999</v>
          </cell>
        </row>
        <row r="720">
          <cell r="A720" t="str">
            <v>EQU031</v>
          </cell>
          <cell r="B720" t="str">
            <v>Cortadora de concreto con disco</v>
          </cell>
          <cell r="C720" t="str">
            <v>Día</v>
          </cell>
          <cell r="D720">
            <v>1</v>
          </cell>
          <cell r="E720">
            <v>186592</v>
          </cell>
        </row>
        <row r="721">
          <cell r="A721" t="str">
            <v>EQU032</v>
          </cell>
          <cell r="B721" t="str">
            <v>Equipo móvil pintura línea vías, incluye camioneta guía</v>
          </cell>
          <cell r="C721" t="str">
            <v>Día</v>
          </cell>
          <cell r="D721">
            <v>1</v>
          </cell>
          <cell r="E721">
            <v>652112.4556799999</v>
          </cell>
        </row>
        <row r="722">
          <cell r="A722" t="str">
            <v>EQU033</v>
          </cell>
          <cell r="B722" t="str">
            <v>Alquiler de campero o camioneta modelo &gt; 2016 de 2.600 o más c. c., con conductor</v>
          </cell>
          <cell r="C722" t="str">
            <v>Día</v>
          </cell>
          <cell r="D722">
            <v>1</v>
          </cell>
          <cell r="E722">
            <v>181067.04</v>
          </cell>
        </row>
        <row r="723">
          <cell r="A723" t="str">
            <v>EQU034</v>
          </cell>
          <cell r="B723" t="str">
            <v>Compactador manual (canguro)</v>
          </cell>
          <cell r="C723" t="str">
            <v>Día</v>
          </cell>
          <cell r="D723">
            <v>1</v>
          </cell>
          <cell r="E723">
            <v>50646.400000000001</v>
          </cell>
        </row>
        <row r="724">
          <cell r="A724" t="str">
            <v>EQU035</v>
          </cell>
          <cell r="B724" t="str">
            <v>Cortadora de ladrillo sin disco</v>
          </cell>
          <cell r="C724" t="str">
            <v>Día</v>
          </cell>
          <cell r="D724">
            <v>1</v>
          </cell>
          <cell r="E724">
            <v>39984</v>
          </cell>
        </row>
        <row r="725">
          <cell r="A725" t="str">
            <v>EQU036</v>
          </cell>
          <cell r="B725" t="str">
            <v>Equipo perforación de pilotes</v>
          </cell>
          <cell r="C725" t="str">
            <v>Hr</v>
          </cell>
          <cell r="D725">
            <v>1</v>
          </cell>
          <cell r="E725">
            <v>448770.24864000001</v>
          </cell>
        </row>
        <row r="726">
          <cell r="A726" t="str">
            <v>EQU037</v>
          </cell>
          <cell r="B726" t="str">
            <v>Transporte de materiales en mula</v>
          </cell>
          <cell r="C726" t="str">
            <v>Cg</v>
          </cell>
          <cell r="D726">
            <v>1</v>
          </cell>
          <cell r="E726">
            <v>4911.2</v>
          </cell>
        </row>
        <row r="727">
          <cell r="A727" t="str">
            <v>EQU038</v>
          </cell>
          <cell r="B727" t="str">
            <v>Grúa montacarga (7 Tn)</v>
          </cell>
          <cell r="C727" t="str">
            <v>Hr</v>
          </cell>
          <cell r="D727">
            <v>1</v>
          </cell>
          <cell r="E727">
            <v>205308.09600000002</v>
          </cell>
        </row>
        <row r="728">
          <cell r="A728" t="str">
            <v>EQU039</v>
          </cell>
          <cell r="B728" t="str">
            <v>Equipo soldadura eléctrica</v>
          </cell>
          <cell r="C728" t="str">
            <v>Día</v>
          </cell>
          <cell r="D728">
            <v>1</v>
          </cell>
          <cell r="E728">
            <v>53312</v>
          </cell>
        </row>
        <row r="729">
          <cell r="A729" t="str">
            <v>EQU040</v>
          </cell>
          <cell r="B729" t="str">
            <v>Bomba para concreto</v>
          </cell>
          <cell r="C729" t="str">
            <v>Hr</v>
          </cell>
          <cell r="D729">
            <v>1</v>
          </cell>
          <cell r="E729">
            <v>42903.114239999995</v>
          </cell>
        </row>
        <row r="730">
          <cell r="A730" t="str">
            <v>EQU041</v>
          </cell>
          <cell r="B730" t="str">
            <v>Taco metálico de 2,6 - &gt; 4 m</v>
          </cell>
          <cell r="C730" t="str">
            <v>Día</v>
          </cell>
          <cell r="D730">
            <v>1</v>
          </cell>
          <cell r="E730">
            <v>266.56</v>
          </cell>
        </row>
        <row r="731">
          <cell r="A731" t="str">
            <v>EQU042</v>
          </cell>
          <cell r="B731" t="str">
            <v>Tablero formaleta 45 x 135</v>
          </cell>
          <cell r="C731" t="str">
            <v>Día</v>
          </cell>
          <cell r="D731">
            <v>1</v>
          </cell>
          <cell r="E731">
            <v>453.6</v>
          </cell>
        </row>
        <row r="732">
          <cell r="A732" t="str">
            <v>EQU043</v>
          </cell>
          <cell r="B732" t="str">
            <v>Tablero formaleta 70 x 140</v>
          </cell>
          <cell r="C732" t="str">
            <v>Día</v>
          </cell>
          <cell r="D732">
            <v>1</v>
          </cell>
          <cell r="E732">
            <v>530.88</v>
          </cell>
        </row>
        <row r="733">
          <cell r="A733" t="str">
            <v>EQU044</v>
          </cell>
          <cell r="B733" t="str">
            <v>Tablero formaleta 90 x 135</v>
          </cell>
          <cell r="C733" t="str">
            <v>Día</v>
          </cell>
          <cell r="D733">
            <v>1</v>
          </cell>
          <cell r="E733">
            <v>907.2</v>
          </cell>
        </row>
        <row r="734">
          <cell r="A734" t="str">
            <v>EQU045</v>
          </cell>
          <cell r="B734" t="str">
            <v>Taladro percutor</v>
          </cell>
          <cell r="C734" t="str">
            <v>Día</v>
          </cell>
          <cell r="D734">
            <v>1</v>
          </cell>
          <cell r="E734">
            <v>145600</v>
          </cell>
        </row>
        <row r="735">
          <cell r="A735" t="str">
            <v>EQU047</v>
          </cell>
          <cell r="B735" t="str">
            <v>Grúa telescópica (de 50)</v>
          </cell>
          <cell r="C735" t="str">
            <v>Hr</v>
          </cell>
          <cell r="D735">
            <v>1</v>
          </cell>
          <cell r="E735">
            <v>35280</v>
          </cell>
        </row>
        <row r="736">
          <cell r="A736" t="str">
            <v>EQU048</v>
          </cell>
          <cell r="B736" t="str">
            <v>Andamio tubular certificado incluye arnes y línea de vida</v>
          </cell>
          <cell r="C736" t="str">
            <v>Día</v>
          </cell>
          <cell r="D736">
            <v>1</v>
          </cell>
          <cell r="E736">
            <v>1120</v>
          </cell>
        </row>
        <row r="737">
          <cell r="A737" t="str">
            <v>EQU049</v>
          </cell>
          <cell r="B737" t="str">
            <v>Cuña hidráulica con compresor</v>
          </cell>
          <cell r="C737" t="str">
            <v>Tiro</v>
          </cell>
          <cell r="D737">
            <v>1</v>
          </cell>
          <cell r="E737">
            <v>34586.160000000003</v>
          </cell>
        </row>
        <row r="738">
          <cell r="A738" t="str">
            <v>EQU050</v>
          </cell>
          <cell r="B738" t="str">
            <v>Cilindro compactador 2 toneladas</v>
          </cell>
          <cell r="C738" t="str">
            <v>Hr</v>
          </cell>
          <cell r="D738">
            <v>1</v>
          </cell>
          <cell r="E738">
            <v>53760</v>
          </cell>
        </row>
        <row r="739">
          <cell r="A739" t="str">
            <v>EQU051</v>
          </cell>
          <cell r="B739" t="str">
            <v>Fresadora</v>
          </cell>
          <cell r="C739" t="str">
            <v>Hr</v>
          </cell>
          <cell r="D739">
            <v>1</v>
          </cell>
          <cell r="E739">
            <v>373109.68128000002</v>
          </cell>
        </row>
        <row r="740">
          <cell r="A740" t="str">
            <v>EQU052</v>
          </cell>
          <cell r="B740" t="str">
            <v>Recicladora de pavimento</v>
          </cell>
          <cell r="C740" t="str">
            <v>Hr</v>
          </cell>
          <cell r="D740">
            <v>1</v>
          </cell>
          <cell r="E740">
            <v>355866.59135999996</v>
          </cell>
        </row>
        <row r="741">
          <cell r="A741" t="str">
            <v>EQU053</v>
          </cell>
          <cell r="B741" t="str">
            <v>Transporte de materiales</v>
          </cell>
          <cell r="C741" t="str">
            <v>%Mat</v>
          </cell>
          <cell r="E741">
            <v>0</v>
          </cell>
        </row>
        <row r="742">
          <cell r="A742" t="str">
            <v>EQU054</v>
          </cell>
          <cell r="B742" t="str">
            <v>Telera de 3,5 x 24 cm x 2,9 m de sajo</v>
          </cell>
          <cell r="C742" t="str">
            <v>Día</v>
          </cell>
          <cell r="D742">
            <v>1</v>
          </cell>
          <cell r="E742">
            <v>506.24</v>
          </cell>
        </row>
        <row r="743">
          <cell r="A743" t="str">
            <v>EQU055</v>
          </cell>
          <cell r="B743" t="str">
            <v>Taladro</v>
          </cell>
          <cell r="C743" t="str">
            <v>Día</v>
          </cell>
          <cell r="D743">
            <v>1</v>
          </cell>
          <cell r="E743">
            <v>75969.600000000006</v>
          </cell>
        </row>
        <row r="744">
          <cell r="A744" t="str">
            <v>EQU056</v>
          </cell>
          <cell r="B744" t="str">
            <v>Formaleta cónica para caissons</v>
          </cell>
          <cell r="C744" t="str">
            <v>Día</v>
          </cell>
          <cell r="D744">
            <v>1</v>
          </cell>
          <cell r="E744">
            <v>17326.400000000001</v>
          </cell>
        </row>
        <row r="745">
          <cell r="A745" t="str">
            <v>EQU057</v>
          </cell>
          <cell r="B745" t="str">
            <v>Camisa metálica recuperable para pilotes</v>
          </cell>
          <cell r="C745" t="str">
            <v>Día</v>
          </cell>
          <cell r="D745">
            <v>1</v>
          </cell>
          <cell r="E745">
            <v>44177.279999999999</v>
          </cell>
        </row>
        <row r="746">
          <cell r="A746" t="str">
            <v>EQU058</v>
          </cell>
          <cell r="B746" t="str">
            <v xml:space="preserve">Equipo de Oxicorte </v>
          </cell>
          <cell r="C746" t="str">
            <v>Día</v>
          </cell>
          <cell r="D746">
            <v>1</v>
          </cell>
          <cell r="E746">
            <v>82746.37056000001</v>
          </cell>
        </row>
        <row r="747">
          <cell r="A747" t="str">
            <v>EQU059</v>
          </cell>
          <cell r="B747" t="str">
            <v>Motosierra 93.6 cm3 - 7.1 HP, 45-90 cm - 7.9 Kg</v>
          </cell>
          <cell r="C747" t="str">
            <v>Día</v>
          </cell>
          <cell r="D747">
            <v>1</v>
          </cell>
          <cell r="E747">
            <v>30240</v>
          </cell>
        </row>
        <row r="748">
          <cell r="A748" t="str">
            <v>EQU060</v>
          </cell>
          <cell r="B748" t="str">
            <v>Compresor (barrido y soplado)</v>
          </cell>
          <cell r="C748" t="str">
            <v>Día</v>
          </cell>
          <cell r="D748">
            <v>1</v>
          </cell>
          <cell r="E748">
            <v>66080</v>
          </cell>
        </row>
        <row r="749">
          <cell r="A749" t="str">
            <v>EQU061</v>
          </cell>
          <cell r="B749" t="str">
            <v>Aspersor manual</v>
          </cell>
          <cell r="C749" t="str">
            <v>Día</v>
          </cell>
          <cell r="D749">
            <v>1</v>
          </cell>
          <cell r="E749">
            <v>23251.200000000001</v>
          </cell>
        </row>
        <row r="750">
          <cell r="A750" t="str">
            <v>EQU062</v>
          </cell>
          <cell r="B750" t="str">
            <v>Motobomba de concreto</v>
          </cell>
          <cell r="C750" t="str">
            <v>M3</v>
          </cell>
          <cell r="D750">
            <v>1</v>
          </cell>
          <cell r="E750">
            <v>46502.400000000001</v>
          </cell>
        </row>
        <row r="751">
          <cell r="A751" t="str">
            <v>EQU063</v>
          </cell>
          <cell r="B751" t="str">
            <v>Pala auxiliar de piloteadora</v>
          </cell>
          <cell r="C751" t="str">
            <v>Hr</v>
          </cell>
          <cell r="D751">
            <v>1</v>
          </cell>
          <cell r="E751">
            <v>308078.40000000002</v>
          </cell>
        </row>
        <row r="752">
          <cell r="A752" t="str">
            <v>EQU064</v>
          </cell>
          <cell r="B752" t="str">
            <v>Retroexcavadora A25C</v>
          </cell>
          <cell r="C752" t="str">
            <v>Hr</v>
          </cell>
          <cell r="D752">
            <v>1</v>
          </cell>
          <cell r="E752">
            <v>293216</v>
          </cell>
        </row>
        <row r="753">
          <cell r="A753" t="str">
            <v>EQU065</v>
          </cell>
          <cell r="B753" t="str">
            <v>Cercha metálica 3 m</v>
          </cell>
          <cell r="C753" t="str">
            <v>Día</v>
          </cell>
          <cell r="D753">
            <v>1</v>
          </cell>
          <cell r="E753">
            <v>131.04</v>
          </cell>
        </row>
        <row r="754">
          <cell r="A754" t="str">
            <v>EQU066</v>
          </cell>
          <cell r="B754" t="str">
            <v>Camión dobletroque</v>
          </cell>
          <cell r="C754" t="str">
            <v>Tn</v>
          </cell>
          <cell r="D754">
            <v>1</v>
          </cell>
          <cell r="E754">
            <v>67200</v>
          </cell>
        </row>
        <row r="755">
          <cell r="A755" t="str">
            <v>EQU067</v>
          </cell>
          <cell r="B755" t="str">
            <v>Diferencial 2 Tn</v>
          </cell>
          <cell r="C755" t="str">
            <v>Un</v>
          </cell>
          <cell r="D755">
            <v>1</v>
          </cell>
          <cell r="E755">
            <v>33320</v>
          </cell>
        </row>
        <row r="756">
          <cell r="A756" t="str">
            <v>EQU068</v>
          </cell>
          <cell r="B756" t="str">
            <v>Gancho de ojo 1500 Kg</v>
          </cell>
          <cell r="C756" t="str">
            <v>Un</v>
          </cell>
          <cell r="D756">
            <v>1</v>
          </cell>
          <cell r="E756">
            <v>33600</v>
          </cell>
        </row>
        <row r="757">
          <cell r="A757" t="str">
            <v>EQU069</v>
          </cell>
          <cell r="B757" t="str">
            <v>Pluma grúa</v>
          </cell>
          <cell r="C757" t="str">
            <v>Día</v>
          </cell>
          <cell r="D757">
            <v>1</v>
          </cell>
          <cell r="E757">
            <v>47980.800000000003</v>
          </cell>
        </row>
        <row r="758">
          <cell r="A758" t="str">
            <v>ESY001</v>
          </cell>
          <cell r="B758" t="str">
            <v>Ensayo resistencia concretos</v>
          </cell>
          <cell r="C758" t="str">
            <v>Un</v>
          </cell>
          <cell r="D758">
            <v>1</v>
          </cell>
          <cell r="E758">
            <v>21646.867200000001</v>
          </cell>
        </row>
        <row r="759">
          <cell r="A759" t="str">
            <v>ESY002</v>
          </cell>
          <cell r="B759" t="str">
            <v>Toma de densidades</v>
          </cell>
          <cell r="C759" t="str">
            <v>Un</v>
          </cell>
          <cell r="D759">
            <v>1</v>
          </cell>
          <cell r="E759">
            <v>138657.36864</v>
          </cell>
        </row>
        <row r="760">
          <cell r="A760" t="str">
            <v>ÍTEMS GENERALES</v>
          </cell>
        </row>
        <row r="761">
          <cell r="A761" t="str">
            <v>G-01 CONCRETOS Y MORTEROS</v>
          </cell>
        </row>
        <row r="762">
          <cell r="A762" t="str">
            <v>CÓDIGO</v>
          </cell>
          <cell r="B762" t="str">
            <v>DESCRIPCIÓN</v>
          </cell>
          <cell r="C762" t="str">
            <v>UNIDAD</v>
          </cell>
        </row>
        <row r="763">
          <cell r="A763" t="str">
            <v>G- ÍTEMS GENERALES</v>
          </cell>
        </row>
        <row r="764">
          <cell r="A764" t="str">
            <v>G - 01  CONCRETOS Y MORTEROS</v>
          </cell>
        </row>
        <row r="765">
          <cell r="A765" t="str">
            <v>G-01-01</v>
          </cell>
          <cell r="B765" t="str">
            <v xml:space="preserve">Concreto de 10,3 Mpa (1500 PSI) (Producción) </v>
          </cell>
          <cell r="C765" t="str">
            <v>M3</v>
          </cell>
          <cell r="D765">
            <v>1</v>
          </cell>
          <cell r="E765">
            <v>356774.88</v>
          </cell>
        </row>
        <row r="766">
          <cell r="A766" t="str">
            <v>G-01-02</v>
          </cell>
          <cell r="B766" t="str">
            <v xml:space="preserve">Concreto de 13,8 Mpa (2000 PSI) (Producción) </v>
          </cell>
          <cell r="C766" t="str">
            <v>M3</v>
          </cell>
          <cell r="D766">
            <v>1</v>
          </cell>
          <cell r="E766">
            <v>412216</v>
          </cell>
        </row>
        <row r="767">
          <cell r="A767" t="str">
            <v>G-01-03</v>
          </cell>
          <cell r="B767" t="str">
            <v xml:space="preserve">Concreto de 17,2 Mpa (2500 PSI) (Producción) </v>
          </cell>
          <cell r="C767" t="str">
            <v>M3</v>
          </cell>
          <cell r="D767">
            <v>1</v>
          </cell>
          <cell r="E767">
            <v>453274.08</v>
          </cell>
        </row>
        <row r="768">
          <cell r="A768" t="str">
            <v>G-01-04</v>
          </cell>
          <cell r="B768" t="str">
            <v xml:space="preserve">Concreto de 20,7 Mpa (3000 PSI) (Producción) </v>
          </cell>
          <cell r="C768" t="str">
            <v>M3</v>
          </cell>
          <cell r="D768">
            <v>1</v>
          </cell>
          <cell r="E768">
            <v>485682.4</v>
          </cell>
        </row>
        <row r="769">
          <cell r="A769" t="str">
            <v>G-01-05</v>
          </cell>
          <cell r="B769" t="str">
            <v xml:space="preserve">Concreto de 24,5 Mpa (3500 PSI) (Producción) </v>
          </cell>
          <cell r="C769" t="str">
            <v>M3</v>
          </cell>
          <cell r="D769">
            <v>1</v>
          </cell>
          <cell r="E769">
            <v>544012</v>
          </cell>
        </row>
        <row r="770">
          <cell r="A770" t="str">
            <v>G-01-06</v>
          </cell>
          <cell r="B770" t="str">
            <v xml:space="preserve">Concreto de 27,6 Mpa (4000 PSI) (Producción) </v>
          </cell>
          <cell r="C770" t="str">
            <v>M3</v>
          </cell>
          <cell r="D770">
            <v>1</v>
          </cell>
          <cell r="E770">
            <v>577858.4</v>
          </cell>
        </row>
        <row r="771">
          <cell r="A771" t="str">
            <v>G-01-07</v>
          </cell>
          <cell r="B771" t="str">
            <v xml:space="preserve">Concreto de 20,7 Mpa (3000 PSI) impermeabilizado (Producción) </v>
          </cell>
          <cell r="C771" t="str">
            <v>M3</v>
          </cell>
          <cell r="D771">
            <v>1</v>
          </cell>
          <cell r="E771">
            <v>530249.43999999994</v>
          </cell>
        </row>
        <row r="772">
          <cell r="A772" t="str">
            <v>G-01-08</v>
          </cell>
          <cell r="B772" t="str">
            <v xml:space="preserve">Concreto de 20,7 Mpa (3000 PSI) acelerado (Producción) </v>
          </cell>
          <cell r="C772" t="str">
            <v>M3</v>
          </cell>
          <cell r="D772">
            <v>1</v>
          </cell>
          <cell r="E772">
            <v>651870.24</v>
          </cell>
        </row>
        <row r="773">
          <cell r="A773" t="str">
            <v>G-01-09</v>
          </cell>
          <cell r="B773" t="str">
            <v xml:space="preserve">Concreto de 27,6 Mpa (4000 PSI) impermeabilizado (Producción) </v>
          </cell>
          <cell r="C773" t="str">
            <v>M3</v>
          </cell>
          <cell r="D773">
            <v>1</v>
          </cell>
          <cell r="E773">
            <v>530249.43999999994</v>
          </cell>
        </row>
        <row r="774">
          <cell r="A774" t="str">
            <v>G-01-10</v>
          </cell>
          <cell r="B774" t="str">
            <v xml:space="preserve">Concreto de 27,6 Mpa (4000 PSI) acelerado (Producción) </v>
          </cell>
          <cell r="C774" t="str">
            <v>M3</v>
          </cell>
          <cell r="D774">
            <v>1</v>
          </cell>
          <cell r="E774">
            <v>767786.88</v>
          </cell>
        </row>
        <row r="775">
          <cell r="A775" t="str">
            <v>G-01-11</v>
          </cell>
          <cell r="B775" t="str">
            <v xml:space="preserve">Concreto ciclópeo (Producción) </v>
          </cell>
          <cell r="C775" t="str">
            <v>M3</v>
          </cell>
          <cell r="D775">
            <v>1</v>
          </cell>
          <cell r="E775">
            <v>488381.6</v>
          </cell>
        </row>
        <row r="776">
          <cell r="A776" t="str">
            <v>G-01-12</v>
          </cell>
          <cell r="B776" t="str">
            <v>Concreto fluido 13,8 Mpa (2000 PSI) tamaño máximo 1/2"</v>
          </cell>
          <cell r="C776" t="str">
            <v>M3</v>
          </cell>
          <cell r="D776">
            <v>1</v>
          </cell>
          <cell r="E776">
            <v>501662.56</v>
          </cell>
        </row>
        <row r="777">
          <cell r="A777" t="str">
            <v>G-01-13</v>
          </cell>
          <cell r="B777" t="str">
            <v>Concreto fluido 17,2 Mpa (2500 psi) (producción)</v>
          </cell>
          <cell r="C777" t="str">
            <v>M3</v>
          </cell>
          <cell r="D777">
            <v>1</v>
          </cell>
          <cell r="E777">
            <v>532694.4</v>
          </cell>
        </row>
        <row r="778">
          <cell r="A778" t="str">
            <v>G-01-14</v>
          </cell>
          <cell r="B778" t="str">
            <v xml:space="preserve">Mortero 1:2 (Producción) </v>
          </cell>
          <cell r="C778" t="str">
            <v>M3</v>
          </cell>
          <cell r="D778">
            <v>1</v>
          </cell>
          <cell r="E778">
            <v>668418.24</v>
          </cell>
        </row>
        <row r="779">
          <cell r="A779" t="str">
            <v>G-01-15</v>
          </cell>
          <cell r="B779" t="str">
            <v xml:space="preserve">Mortero 1:3 (Producción) </v>
          </cell>
          <cell r="C779" t="str">
            <v>M3</v>
          </cell>
          <cell r="D779">
            <v>1</v>
          </cell>
          <cell r="E779">
            <v>535511.19999999995</v>
          </cell>
        </row>
        <row r="780">
          <cell r="A780" t="str">
            <v>G-01-16</v>
          </cell>
          <cell r="B780" t="str">
            <v xml:space="preserve">Mortero 1:4 (Producción) </v>
          </cell>
          <cell r="C780" t="str">
            <v>M3</v>
          </cell>
          <cell r="D780">
            <v>1</v>
          </cell>
          <cell r="E780">
            <v>467787.04</v>
          </cell>
        </row>
        <row r="781">
          <cell r="A781" t="str">
            <v>G-01-17</v>
          </cell>
          <cell r="B781" t="str">
            <v xml:space="preserve">Mortero 1:5 (Producción) </v>
          </cell>
          <cell r="C781" t="str">
            <v>M3</v>
          </cell>
          <cell r="D781">
            <v>1</v>
          </cell>
          <cell r="E781">
            <v>420297.92</v>
          </cell>
        </row>
        <row r="782">
          <cell r="A782" t="str">
            <v>G-01-18</v>
          </cell>
          <cell r="B782" t="str">
            <v xml:space="preserve">Mortero 1:3 impermeabilizado (Producción) </v>
          </cell>
          <cell r="C782" t="str">
            <v>M3</v>
          </cell>
          <cell r="D782">
            <v>1</v>
          </cell>
          <cell r="E782">
            <v>744727.2</v>
          </cell>
        </row>
        <row r="783">
          <cell r="A783" t="str">
            <v>G - 02  ACEROS</v>
          </cell>
        </row>
        <row r="784">
          <cell r="A784" t="str">
            <v>G-02-01</v>
          </cell>
          <cell r="B784" t="str">
            <v>Acero Fy = 37.000 PSI d ≤ 1/4"</v>
          </cell>
          <cell r="C784" t="str">
            <v>Kg</v>
          </cell>
          <cell r="D784">
            <v>1</v>
          </cell>
          <cell r="E784">
            <v>7342.72</v>
          </cell>
        </row>
        <row r="785">
          <cell r="A785" t="str">
            <v>G-02-02</v>
          </cell>
          <cell r="B785" t="str">
            <v>Acero Fy = 60.000 PSI d &gt; 1/4"</v>
          </cell>
          <cell r="C785" t="str">
            <v>Kg</v>
          </cell>
          <cell r="D785">
            <v>1</v>
          </cell>
          <cell r="E785">
            <v>8995.84</v>
          </cell>
        </row>
        <row r="786">
          <cell r="A786" t="str">
            <v>G-02-03</v>
          </cell>
          <cell r="B786" t="str">
            <v>Malla electrosoldada M-188  Φ 6.00 mm c/0.15 m en ambos sentidos (incluye alambre negro, colocación y traslapo)</v>
          </cell>
          <cell r="C786" t="str">
            <v>Kg</v>
          </cell>
          <cell r="D786">
            <v>1</v>
          </cell>
          <cell r="E786">
            <v>12178.88</v>
          </cell>
        </row>
        <row r="787">
          <cell r="A787" t="str">
            <v>G - 03 TRANSPORTE</v>
          </cell>
        </row>
        <row r="788">
          <cell r="A788" t="str">
            <v>G-03-01</v>
          </cell>
          <cell r="B788" t="str">
            <v>Transporte material (corte, sub-base, base, afirmado, pétreos, arenas, etc.)</v>
          </cell>
          <cell r="C788" t="str">
            <v>M3-Km</v>
          </cell>
          <cell r="D788">
            <v>1</v>
          </cell>
          <cell r="E788">
            <v>2052.96</v>
          </cell>
        </row>
        <row r="789">
          <cell r="A789" t="str">
            <v>G-03-02</v>
          </cell>
          <cell r="B789" t="str">
            <v>Transporte maquinaría pesada</v>
          </cell>
          <cell r="C789" t="str">
            <v>Km</v>
          </cell>
          <cell r="D789">
            <v>1</v>
          </cell>
          <cell r="E789">
            <v>2996</v>
          </cell>
        </row>
        <row r="790">
          <cell r="A790" t="str">
            <v>G-03-03</v>
          </cell>
          <cell r="B790" t="str">
            <v>Transporte materiales en mula (carga = 100 Kg/Km)</v>
          </cell>
          <cell r="C790" t="str">
            <v>Carga-Km</v>
          </cell>
          <cell r="D790">
            <v>1</v>
          </cell>
          <cell r="E790">
            <v>4911.2</v>
          </cell>
        </row>
        <row r="791">
          <cell r="A791" t="str">
            <v>G-03-04</v>
          </cell>
          <cell r="B791" t="str">
            <v>Transporte materiales a hombro (carga = 30 Kg/Km)</v>
          </cell>
          <cell r="C791" t="str">
            <v>Carga-Km</v>
          </cell>
          <cell r="D791">
            <v>1</v>
          </cell>
          <cell r="E791">
            <v>21939.68</v>
          </cell>
        </row>
        <row r="792">
          <cell r="A792" t="str">
            <v>G-03-05</v>
          </cell>
          <cell r="B792" t="str">
            <v>Disposición en botadero</v>
          </cell>
          <cell r="C792" t="str">
            <v>M3</v>
          </cell>
          <cell r="D792">
            <v>1</v>
          </cell>
          <cell r="E792">
            <v>6720</v>
          </cell>
        </row>
        <row r="793">
          <cell r="A793" t="str">
            <v>G-03-06</v>
          </cell>
          <cell r="B793" t="str">
            <v>Transporte materiales a obra (no incluye descargue)</v>
          </cell>
          <cell r="C793" t="str">
            <v>Tn-Km</v>
          </cell>
          <cell r="D793">
            <v>1</v>
          </cell>
          <cell r="E793">
            <v>8400</v>
          </cell>
        </row>
        <row r="794">
          <cell r="A794" t="str">
            <v>1 - CONSTRUCCIÓN, MANTENIMIENTO Y ADECUACIÓN DE EDIFICACIONES DE INFRAESTRUCTURA SOCIAL Y COMUNITARIA</v>
          </cell>
          <cell r="E794">
            <v>0</v>
          </cell>
        </row>
        <row r="795">
          <cell r="A795" t="str">
            <v>1 - 01 PRELIMINARES</v>
          </cell>
          <cell r="E795">
            <v>0</v>
          </cell>
        </row>
        <row r="796">
          <cell r="A796" t="str">
            <v>1-01-01</v>
          </cell>
          <cell r="B796" t="str">
            <v>Valla de identificación de obra área menor a 4 M2, colocada en guaduas, incluye mantenimiento durante la construcción</v>
          </cell>
          <cell r="C796" t="str">
            <v>M2</v>
          </cell>
          <cell r="D796">
            <v>1</v>
          </cell>
          <cell r="E796">
            <v>161705.60000000001</v>
          </cell>
        </row>
        <row r="797">
          <cell r="A797" t="str">
            <v>1-01-02</v>
          </cell>
          <cell r="B797" t="str">
            <v>Valla de identificación de obra área mayor a 4 m2, colocada en cerchas metálica, incluye mantenimiento durante la construcción</v>
          </cell>
          <cell r="C797" t="str">
            <v>M2</v>
          </cell>
          <cell r="D797">
            <v>1</v>
          </cell>
          <cell r="E797">
            <v>270837.28000000003</v>
          </cell>
        </row>
        <row r="798">
          <cell r="A798" t="str">
            <v>1-01-03</v>
          </cell>
          <cell r="B798" t="str">
            <v>Campamento, incluye teja de zinc, piso en concreto de 17,2 Mpa, tabla</v>
          </cell>
          <cell r="C798" t="str">
            <v>M2</v>
          </cell>
          <cell r="D798">
            <v>1</v>
          </cell>
          <cell r="E798">
            <v>185924.48000000001</v>
          </cell>
        </row>
        <row r="799">
          <cell r="A799" t="str">
            <v>1-01-04</v>
          </cell>
          <cell r="B799" t="str">
            <v>Localización y replanteo</v>
          </cell>
          <cell r="C799" t="str">
            <v>M2</v>
          </cell>
          <cell r="D799">
            <v>1</v>
          </cell>
          <cell r="E799">
            <v>1602.72</v>
          </cell>
        </row>
        <row r="800">
          <cell r="A800" t="str">
            <v>1-01-05</v>
          </cell>
          <cell r="B800" t="str">
            <v>Limpieza y nivelación</v>
          </cell>
          <cell r="C800" t="str">
            <v>M2</v>
          </cell>
          <cell r="D800">
            <v>1</v>
          </cell>
          <cell r="E800">
            <v>7888.16</v>
          </cell>
        </row>
        <row r="801">
          <cell r="A801" t="str">
            <v>1-01-06</v>
          </cell>
          <cell r="B801" t="str">
            <v>Descapote y nivelación</v>
          </cell>
          <cell r="C801" t="str">
            <v>M2</v>
          </cell>
          <cell r="D801">
            <v>1</v>
          </cell>
          <cell r="E801">
            <v>11568.48</v>
          </cell>
        </row>
        <row r="802">
          <cell r="A802" t="str">
            <v>1-01-07</v>
          </cell>
          <cell r="B802" t="str">
            <v>Descapote y limpieza</v>
          </cell>
          <cell r="C802" t="str">
            <v>M2</v>
          </cell>
          <cell r="D802">
            <v>1</v>
          </cell>
          <cell r="E802">
            <v>7253.12</v>
          </cell>
        </row>
        <row r="803">
          <cell r="A803" t="str">
            <v>1-01-08</v>
          </cell>
          <cell r="B803" t="str">
            <v>Nivelación terreno con material del sitio</v>
          </cell>
          <cell r="C803" t="str">
            <v>M2</v>
          </cell>
          <cell r="D803">
            <v>1</v>
          </cell>
          <cell r="E803">
            <v>6311.2</v>
          </cell>
        </row>
        <row r="804">
          <cell r="A804" t="str">
            <v>1-01-09</v>
          </cell>
          <cell r="B804" t="str">
            <v>Cargue mecánico de material</v>
          </cell>
          <cell r="C804" t="str">
            <v>M3</v>
          </cell>
          <cell r="D804">
            <v>1</v>
          </cell>
          <cell r="E804">
            <v>3466.4</v>
          </cell>
        </row>
        <row r="805">
          <cell r="A805" t="str">
            <v>1-01-10</v>
          </cell>
          <cell r="B805" t="str">
            <v>Cargue de material manual</v>
          </cell>
          <cell r="C805" t="str">
            <v>M3</v>
          </cell>
          <cell r="D805">
            <v>1</v>
          </cell>
          <cell r="E805">
            <v>36264.480000000003</v>
          </cell>
        </row>
        <row r="806">
          <cell r="A806" t="str">
            <v>1-01-11</v>
          </cell>
          <cell r="B806" t="str">
            <v>Retiro de material sobrante cargue manual</v>
          </cell>
          <cell r="C806" t="str">
            <v>M3</v>
          </cell>
          <cell r="D806">
            <v>1</v>
          </cell>
          <cell r="E806">
            <v>33141.919999999998</v>
          </cell>
        </row>
        <row r="807">
          <cell r="A807" t="str">
            <v>1-01-12</v>
          </cell>
          <cell r="B807" t="str">
            <v>Retiro de material con cargue mecánico</v>
          </cell>
          <cell r="C807" t="str">
            <v>M3</v>
          </cell>
          <cell r="D807">
            <v>1</v>
          </cell>
          <cell r="E807">
            <v>0</v>
          </cell>
        </row>
        <row r="808">
          <cell r="A808" t="str">
            <v>1-01-13</v>
          </cell>
          <cell r="B808" t="str">
            <v>Retiro de material sobrante cargue mecánico</v>
          </cell>
          <cell r="C808" t="str">
            <v>M3</v>
          </cell>
          <cell r="D808">
            <v>1</v>
          </cell>
          <cell r="E808">
            <v>10186.4</v>
          </cell>
        </row>
        <row r="809">
          <cell r="A809" t="str">
            <v>1-01-14</v>
          </cell>
          <cell r="B809" t="str">
            <v>Alquiler andamio tubular certificado, incluye manipulación y teleras</v>
          </cell>
          <cell r="C809" t="str">
            <v>Día</v>
          </cell>
          <cell r="D809">
            <v>1</v>
          </cell>
          <cell r="E809">
            <v>2532.3200000000002</v>
          </cell>
        </row>
        <row r="810">
          <cell r="A810" t="str">
            <v>1-01-15</v>
          </cell>
          <cell r="B810" t="str">
            <v>Tela para protección de edificios</v>
          </cell>
          <cell r="C810" t="str">
            <v>M2</v>
          </cell>
          <cell r="E810">
            <v>2289.2800000000002</v>
          </cell>
        </row>
        <row r="811">
          <cell r="A811" t="str">
            <v>1-01-16</v>
          </cell>
          <cell r="B811" t="str">
            <v>Limpieza de superficies de moho</v>
          </cell>
          <cell r="C811" t="str">
            <v>M2</v>
          </cell>
          <cell r="D811">
            <v>1</v>
          </cell>
          <cell r="E811">
            <v>2888.48</v>
          </cell>
        </row>
        <row r="812">
          <cell r="A812" t="str">
            <v>1-01-17</v>
          </cell>
          <cell r="B812" t="str">
            <v>Lavado de paredes</v>
          </cell>
          <cell r="C812" t="str">
            <v>M2</v>
          </cell>
          <cell r="D812">
            <v>1</v>
          </cell>
          <cell r="E812">
            <v>2255.6799999999998</v>
          </cell>
        </row>
        <row r="813">
          <cell r="A813" t="str">
            <v>1-01-18</v>
          </cell>
          <cell r="B813" t="str">
            <v>Cerramiento con cinta de señalización, incluye señalizador tubular, dos cintas</v>
          </cell>
          <cell r="C813" t="str">
            <v>M</v>
          </cell>
          <cell r="D813">
            <v>1</v>
          </cell>
          <cell r="E813">
            <v>2293.7600000000002</v>
          </cell>
        </row>
        <row r="814">
          <cell r="A814" t="str">
            <v>1-01-19</v>
          </cell>
          <cell r="B814" t="str">
            <v>Cerramiento provisional con señalizador y tela de cerramiento</v>
          </cell>
          <cell r="C814" t="str">
            <v>M</v>
          </cell>
          <cell r="D814">
            <v>1</v>
          </cell>
          <cell r="E814">
            <v>10352.16</v>
          </cell>
        </row>
        <row r="815">
          <cell r="A815" t="str">
            <v>1-01-20</v>
          </cell>
          <cell r="B815" t="str">
            <v>Cerramiento provisional con guadua y tela de cerramiento h = 2 m</v>
          </cell>
          <cell r="C815" t="str">
            <v>M</v>
          </cell>
          <cell r="D815">
            <v>1</v>
          </cell>
          <cell r="E815">
            <v>8988</v>
          </cell>
        </row>
        <row r="816">
          <cell r="A816" t="str">
            <v>1-01-21</v>
          </cell>
          <cell r="B816" t="str">
            <v>Cerramiento en esterilla h = 1,80 m</v>
          </cell>
          <cell r="C816" t="str">
            <v>M</v>
          </cell>
          <cell r="D816">
            <v>1</v>
          </cell>
          <cell r="E816">
            <v>65912</v>
          </cell>
        </row>
        <row r="817">
          <cell r="A817" t="str">
            <v>1-01-22</v>
          </cell>
          <cell r="B817" t="str">
            <v>Cerramiento en guadua y zinc</v>
          </cell>
          <cell r="C817" t="str">
            <v>M</v>
          </cell>
          <cell r="D817">
            <v>1</v>
          </cell>
          <cell r="E817">
            <v>74381.440000000002</v>
          </cell>
        </row>
        <row r="818">
          <cell r="A818" t="str">
            <v>1-01-23</v>
          </cell>
          <cell r="B818" t="str">
            <v>Cerramiento en poste de madera 3 hilos de alambre de púas</v>
          </cell>
          <cell r="C818" t="str">
            <v>M</v>
          </cell>
          <cell r="D818">
            <v>1</v>
          </cell>
          <cell r="E818">
            <v>29130.080000000002</v>
          </cell>
        </row>
        <row r="819">
          <cell r="A819" t="str">
            <v>1-01-24</v>
          </cell>
          <cell r="B819" t="str">
            <v>Cerramiento en tubería galvanizada h = 6 m, muro a la vista, malla eslabonada con ángulos,  incluye excavación, machones en concreto de 20,7 Mpa (3.000 PSI), columnetas reforzadas, zarpas en concreto ciclópeo, alfajía reforzada y pintura transparente protectora</v>
          </cell>
          <cell r="C819" t="str">
            <v>M</v>
          </cell>
          <cell r="D819">
            <v>1</v>
          </cell>
          <cell r="E819">
            <v>655355.67999999993</v>
          </cell>
        </row>
        <row r="820">
          <cell r="A820" t="str">
            <v>1-01-25</v>
          </cell>
          <cell r="B820" t="str">
            <v>Cerramiento en tubería galvanizada, muro a la vista, malla eslabonada, incluye excavación, machones en concreto de 20,7 Mpa (3.000 PSI), zarpas en concreto ciclópeo, alfajía reforzada y pintura transparente protectora</v>
          </cell>
          <cell r="C820" t="str">
            <v>M</v>
          </cell>
          <cell r="D820">
            <v>1</v>
          </cell>
          <cell r="E820">
            <v>506058.56</v>
          </cell>
        </row>
        <row r="821">
          <cell r="A821" t="str">
            <v>1-01-26</v>
          </cell>
          <cell r="B821" t="str">
            <v>Cerramiento en poste de concreto, malla eslabonada y muro en bloque, incluye excavación, machones de concreto de 20,7 Mpa (3.000 PSI) y zarpas en concreto ciclópeo</v>
          </cell>
          <cell r="C821" t="str">
            <v>M</v>
          </cell>
          <cell r="D821">
            <v>1</v>
          </cell>
          <cell r="E821">
            <v>381758.71999999997</v>
          </cell>
        </row>
        <row r="822">
          <cell r="A822" t="str">
            <v>1-01-27</v>
          </cell>
          <cell r="B822" t="str">
            <v>Cerramiento en poste de concreto y alambre de púas, incluye excavación y machones en concreto de 20,7 Mpa (3.000 psi), 5 hilos</v>
          </cell>
          <cell r="C822" t="str">
            <v>M</v>
          </cell>
          <cell r="D822">
            <v>1</v>
          </cell>
          <cell r="E822">
            <v>77599.199999999997</v>
          </cell>
        </row>
        <row r="823">
          <cell r="A823" t="str">
            <v>1-01-28</v>
          </cell>
          <cell r="B823" t="str">
            <v>Cerramiento en poste de concreto y malla eslabonada, incluye excavación y machones en concreto de 20,7 Mpa (3000 PSI)</v>
          </cell>
          <cell r="C823" t="str">
            <v>M</v>
          </cell>
          <cell r="D823">
            <v>1</v>
          </cell>
          <cell r="E823">
            <v>123000.64</v>
          </cell>
        </row>
        <row r="824">
          <cell r="A824" t="str">
            <v>1-01-29</v>
          </cell>
          <cell r="B824" t="str">
            <v>Formaleta placa (básico)</v>
          </cell>
          <cell r="C824" t="str">
            <v>M2</v>
          </cell>
          <cell r="D824">
            <v>1</v>
          </cell>
          <cell r="E824">
            <v>60503.519999999997</v>
          </cell>
        </row>
        <row r="825">
          <cell r="A825" t="str">
            <v>1-01-30</v>
          </cell>
          <cell r="B825" t="str">
            <v>Alzaprimada provisional en madera</v>
          </cell>
          <cell r="C825" t="str">
            <v>M2</v>
          </cell>
          <cell r="D825">
            <v>1</v>
          </cell>
          <cell r="E825">
            <v>75705.279999999999</v>
          </cell>
        </row>
        <row r="826">
          <cell r="A826" t="str">
            <v>1-01-31</v>
          </cell>
          <cell r="B826" t="str">
            <v>Mantenimiento de postes y cerramiento en alambre de púas</v>
          </cell>
          <cell r="C826" t="str">
            <v>M</v>
          </cell>
          <cell r="D826">
            <v>1</v>
          </cell>
          <cell r="E826">
            <v>8728.16</v>
          </cell>
        </row>
        <row r="827">
          <cell r="A827" t="str">
            <v>1-01-32</v>
          </cell>
          <cell r="B827" t="str">
            <v>Aseo de obra (50 m2)</v>
          </cell>
          <cell r="C827" t="str">
            <v>Día</v>
          </cell>
          <cell r="D827">
            <v>1</v>
          </cell>
          <cell r="E827">
            <v>997672.48</v>
          </cell>
        </row>
        <row r="828">
          <cell r="A828" t="str">
            <v>1 - 02 DESMONTES Y DEMOLICIONES</v>
          </cell>
          <cell r="E828">
            <v>0</v>
          </cell>
        </row>
        <row r="829">
          <cell r="A829" t="str">
            <v>1-02-01</v>
          </cell>
          <cell r="B829" t="str">
            <v>Corte de baldosa existente</v>
          </cell>
          <cell r="C829" t="str">
            <v>M</v>
          </cell>
          <cell r="D829">
            <v>1</v>
          </cell>
          <cell r="E829">
            <v>4263.84</v>
          </cell>
        </row>
        <row r="830">
          <cell r="A830" t="str">
            <v>1-02-02</v>
          </cell>
          <cell r="B830" t="str">
            <v>Corte con disco muro ambos lados</v>
          </cell>
          <cell r="C830" t="str">
            <v>M</v>
          </cell>
          <cell r="D830">
            <v>1</v>
          </cell>
          <cell r="E830">
            <v>11791.36</v>
          </cell>
        </row>
        <row r="831">
          <cell r="A831" t="str">
            <v>1-02-03</v>
          </cell>
          <cell r="B831" t="str">
            <v>Demolición muro en soga, incluye revoque y/o enchape</v>
          </cell>
          <cell r="C831" t="str">
            <v>M2</v>
          </cell>
          <cell r="D831">
            <v>1</v>
          </cell>
          <cell r="E831">
            <v>15713.6</v>
          </cell>
        </row>
        <row r="832">
          <cell r="A832" t="str">
            <v>1-02-04</v>
          </cell>
          <cell r="B832" t="str">
            <v>Demolición enchape y/o revoque</v>
          </cell>
          <cell r="C832" t="str">
            <v>M2</v>
          </cell>
          <cell r="D832">
            <v>1</v>
          </cell>
          <cell r="E832">
            <v>7857.92</v>
          </cell>
        </row>
        <row r="833">
          <cell r="A833" t="str">
            <v>1-02-05</v>
          </cell>
          <cell r="B833" t="str">
            <v>Demolición muro en pandereta, incluye revoque y/o enchape</v>
          </cell>
          <cell r="C833" t="str">
            <v>M2</v>
          </cell>
          <cell r="D833">
            <v>1</v>
          </cell>
          <cell r="E833">
            <v>11788</v>
          </cell>
        </row>
        <row r="834">
          <cell r="A834" t="str">
            <v>1-02-06</v>
          </cell>
          <cell r="B834" t="str">
            <v>Demolición manual de concreto</v>
          </cell>
          <cell r="C834" t="str">
            <v>M3</v>
          </cell>
          <cell r="D834">
            <v>1</v>
          </cell>
          <cell r="E834">
            <v>266649.59999999998</v>
          </cell>
        </row>
        <row r="835">
          <cell r="A835" t="str">
            <v>1-02-07</v>
          </cell>
          <cell r="B835" t="str">
            <v>Demolición manual de concreto ciclópeo</v>
          </cell>
          <cell r="C835" t="str">
            <v>M3</v>
          </cell>
          <cell r="D835">
            <v>1</v>
          </cell>
          <cell r="E835">
            <v>251834.23999999999</v>
          </cell>
        </row>
        <row r="836">
          <cell r="A836" t="str">
            <v>1-02-08</v>
          </cell>
          <cell r="B836" t="str">
            <v>Demolición losa sobre terreno</v>
          </cell>
          <cell r="C836" t="str">
            <v>M2</v>
          </cell>
          <cell r="D836">
            <v>1</v>
          </cell>
          <cell r="E836">
            <v>15109.92</v>
          </cell>
        </row>
        <row r="837">
          <cell r="A837" t="str">
            <v>1-02-09</v>
          </cell>
          <cell r="B837" t="str">
            <v xml:space="preserve">Demolición viga estructural en concreto </v>
          </cell>
          <cell r="C837" t="str">
            <v>M3</v>
          </cell>
          <cell r="D837">
            <v>1</v>
          </cell>
          <cell r="E837">
            <v>314291.03999999998</v>
          </cell>
        </row>
        <row r="838">
          <cell r="A838" t="str">
            <v>1-02-10</v>
          </cell>
          <cell r="B838" t="str">
            <v>Desmonte de adoquines</v>
          </cell>
          <cell r="C838" t="str">
            <v>M2</v>
          </cell>
          <cell r="D838">
            <v>1</v>
          </cell>
          <cell r="E838">
            <v>13205.92</v>
          </cell>
        </row>
        <row r="839">
          <cell r="A839" t="str">
            <v>1-02-11</v>
          </cell>
          <cell r="B839" t="str">
            <v>Desmonte aparatos sanitarios, con recuperación de ellos</v>
          </cell>
          <cell r="C839" t="str">
            <v>Un</v>
          </cell>
          <cell r="D839">
            <v>1</v>
          </cell>
          <cell r="E839">
            <v>46916.800000000003</v>
          </cell>
        </row>
        <row r="840">
          <cell r="A840" t="str">
            <v>1-02-12</v>
          </cell>
          <cell r="B840" t="str">
            <v>Desmonte techo y estructura de madera</v>
          </cell>
          <cell r="C840" t="str">
            <v>M2</v>
          </cell>
          <cell r="D840">
            <v>1</v>
          </cell>
          <cell r="E840">
            <v>16432.64</v>
          </cell>
        </row>
        <row r="841">
          <cell r="A841" t="str">
            <v>1-02-13</v>
          </cell>
          <cell r="B841" t="str">
            <v>Desmonte cielo falso</v>
          </cell>
          <cell r="C841" t="str">
            <v>M2</v>
          </cell>
          <cell r="D841">
            <v>1</v>
          </cell>
          <cell r="E841">
            <v>9013.76</v>
          </cell>
        </row>
        <row r="842">
          <cell r="A842" t="str">
            <v>1-02-14</v>
          </cell>
          <cell r="B842" t="str">
            <v>Desmonte de cerramiento en poste de madera y alambre de púas</v>
          </cell>
          <cell r="C842" t="str">
            <v>M</v>
          </cell>
          <cell r="D842">
            <v>1</v>
          </cell>
          <cell r="E842">
            <v>10516.8</v>
          </cell>
        </row>
        <row r="843">
          <cell r="A843" t="str">
            <v>1-02-15</v>
          </cell>
          <cell r="B843" t="str">
            <v>Desmonte de cerramiento de malla y postería  de concreto, no incluye demolición de muro y/o alfajía</v>
          </cell>
          <cell r="C843" t="str">
            <v>M</v>
          </cell>
          <cell r="D843">
            <v>1</v>
          </cell>
          <cell r="E843">
            <v>45572.800000000003</v>
          </cell>
        </row>
        <row r="844">
          <cell r="A844" t="str">
            <v>1-02-16</v>
          </cell>
          <cell r="B844" t="str">
            <v>Desmonte de ventana metálicas o de madera</v>
          </cell>
          <cell r="C844" t="str">
            <v>M2</v>
          </cell>
          <cell r="D844">
            <v>1</v>
          </cell>
          <cell r="E844">
            <v>10880.8</v>
          </cell>
        </row>
        <row r="845">
          <cell r="A845" t="str">
            <v>1-02-17</v>
          </cell>
          <cell r="B845" t="str">
            <v>Desmonte de puerta metálicas o de madera, incluye desmonte marco</v>
          </cell>
          <cell r="C845" t="str">
            <v>M2</v>
          </cell>
          <cell r="D845">
            <v>1</v>
          </cell>
          <cell r="E845">
            <v>18957.12</v>
          </cell>
        </row>
        <row r="846">
          <cell r="A846" t="str">
            <v>1-02-18</v>
          </cell>
          <cell r="B846" t="str">
            <v>Desmonte de división metálica</v>
          </cell>
          <cell r="C846" t="str">
            <v>M2</v>
          </cell>
          <cell r="D846">
            <v>1</v>
          </cell>
          <cell r="E846">
            <v>10427.200000000001</v>
          </cell>
        </row>
        <row r="847">
          <cell r="A847" t="str">
            <v>1-02-19</v>
          </cell>
          <cell r="B847" t="str">
            <v>Desmonte malla eslabonada</v>
          </cell>
          <cell r="C847" t="str">
            <v>M2</v>
          </cell>
          <cell r="D847">
            <v>1</v>
          </cell>
          <cell r="E847">
            <v>8422.4</v>
          </cell>
        </row>
        <row r="848">
          <cell r="A848" t="str">
            <v>1-02-20</v>
          </cell>
          <cell r="B848" t="str">
            <v>Demolición calados en concreto o gres</v>
          </cell>
          <cell r="C848" t="str">
            <v>M2</v>
          </cell>
          <cell r="D848">
            <v>1</v>
          </cell>
          <cell r="E848">
            <v>12465.6</v>
          </cell>
        </row>
        <row r="849">
          <cell r="A849" t="str">
            <v>1-02-21</v>
          </cell>
          <cell r="B849" t="str">
            <v>Demolición sardinel</v>
          </cell>
          <cell r="C849" t="str">
            <v>M</v>
          </cell>
          <cell r="D849">
            <v>1</v>
          </cell>
          <cell r="E849">
            <v>7253.12</v>
          </cell>
        </row>
        <row r="850">
          <cell r="A850" t="str">
            <v>1-02-22</v>
          </cell>
          <cell r="B850" t="str">
            <v>Desmonte canal en lámina o PVC</v>
          </cell>
          <cell r="C850" t="str">
            <v>M</v>
          </cell>
          <cell r="D850">
            <v>1</v>
          </cell>
          <cell r="E850">
            <v>5999.84</v>
          </cell>
        </row>
        <row r="851">
          <cell r="A851" t="str">
            <v>1-02-23</v>
          </cell>
          <cell r="B851" t="str">
            <v>Desmonte de tubería de alcantarillado hasta 12"</v>
          </cell>
          <cell r="C851" t="str">
            <v>M</v>
          </cell>
          <cell r="D851">
            <v>1</v>
          </cell>
          <cell r="E851">
            <v>10311.84</v>
          </cell>
        </row>
        <row r="852">
          <cell r="A852" t="str">
            <v>1-02-24</v>
          </cell>
          <cell r="B852" t="str">
            <v>Desmonte de tubería de alcantarillado de 14" a 24"</v>
          </cell>
          <cell r="C852" t="str">
            <v>M</v>
          </cell>
          <cell r="D852">
            <v>1</v>
          </cell>
          <cell r="E852">
            <v>59232.32</v>
          </cell>
        </row>
        <row r="853">
          <cell r="A853" t="str">
            <v>1-02-25</v>
          </cell>
          <cell r="B853" t="str">
            <v>Descapote y limpieza con máquina, incluye cargue manual</v>
          </cell>
          <cell r="C853" t="str">
            <v>M2</v>
          </cell>
          <cell r="D853">
            <v>1</v>
          </cell>
          <cell r="E853">
            <v>4095.84</v>
          </cell>
        </row>
        <row r="854">
          <cell r="A854" t="str">
            <v>1-02-26</v>
          </cell>
          <cell r="B854" t="str">
            <v>Desmonte reja metálica</v>
          </cell>
          <cell r="C854" t="str">
            <v>M2</v>
          </cell>
          <cell r="D854">
            <v>1</v>
          </cell>
          <cell r="E854">
            <v>12692.96</v>
          </cell>
        </row>
        <row r="855">
          <cell r="A855" t="str">
            <v>1-02-27</v>
          </cell>
          <cell r="B855" t="str">
            <v>Demolición placa aligerada</v>
          </cell>
          <cell r="C855" t="str">
            <v>M2</v>
          </cell>
          <cell r="D855">
            <v>1</v>
          </cell>
          <cell r="E855">
            <v>36263.360000000001</v>
          </cell>
        </row>
        <row r="856">
          <cell r="A856" t="str">
            <v>1-02-28</v>
          </cell>
          <cell r="B856" t="str">
            <v>Demolición anden</v>
          </cell>
          <cell r="C856" t="str">
            <v>M2</v>
          </cell>
          <cell r="D856">
            <v>1</v>
          </cell>
          <cell r="E856">
            <v>17407.04</v>
          </cell>
        </row>
        <row r="857">
          <cell r="A857" t="str">
            <v>1-02-29</v>
          </cell>
          <cell r="B857" t="str">
            <v>Demolición baldosa</v>
          </cell>
          <cell r="C857" t="str">
            <v>M2</v>
          </cell>
          <cell r="D857">
            <v>1</v>
          </cell>
          <cell r="E857">
            <v>5439.84</v>
          </cell>
        </row>
        <row r="858">
          <cell r="A858" t="str">
            <v>1-02-30</v>
          </cell>
          <cell r="B858" t="str">
            <v>Demolición escaleras sobre terreno</v>
          </cell>
          <cell r="C858" t="str">
            <v>M2</v>
          </cell>
          <cell r="D858">
            <v>1</v>
          </cell>
          <cell r="E858">
            <v>18131.68</v>
          </cell>
        </row>
        <row r="859">
          <cell r="A859" t="str">
            <v>1-02-31</v>
          </cell>
          <cell r="B859" t="str">
            <v>Demolición de mesón</v>
          </cell>
          <cell r="C859" t="str">
            <v>M2</v>
          </cell>
          <cell r="D859">
            <v>1</v>
          </cell>
          <cell r="E859">
            <v>18131.68</v>
          </cell>
        </row>
        <row r="860">
          <cell r="A860" t="str">
            <v>1-02-32</v>
          </cell>
          <cell r="B860" t="str">
            <v>Desmonte de flanshing</v>
          </cell>
          <cell r="C860" t="str">
            <v>M</v>
          </cell>
          <cell r="D860">
            <v>1</v>
          </cell>
          <cell r="E860">
            <v>4715.2</v>
          </cell>
        </row>
        <row r="861">
          <cell r="A861" t="str">
            <v>1-02-33</v>
          </cell>
          <cell r="B861" t="str">
            <v>Desmonte de canaleta 43 o 90</v>
          </cell>
          <cell r="C861" t="str">
            <v>M2</v>
          </cell>
          <cell r="D861">
            <v>1</v>
          </cell>
          <cell r="E861">
            <v>23571.52</v>
          </cell>
        </row>
        <row r="862">
          <cell r="A862" t="str">
            <v>1-02-34</v>
          </cell>
          <cell r="B862" t="str">
            <v>Desmonte techo de fibrocemento, incluye desmonte de estructura metálica</v>
          </cell>
          <cell r="C862" t="str">
            <v>M2</v>
          </cell>
          <cell r="D862">
            <v>1</v>
          </cell>
          <cell r="E862">
            <v>27343.68</v>
          </cell>
        </row>
        <row r="863">
          <cell r="A863" t="str">
            <v>1-02-35</v>
          </cell>
          <cell r="B863" t="str">
            <v>Corte de piso en Concreto con cortadora autopropulsada</v>
          </cell>
          <cell r="C863" t="str">
            <v>M</v>
          </cell>
          <cell r="D863">
            <v>1</v>
          </cell>
          <cell r="E863">
            <v>6619.2</v>
          </cell>
        </row>
        <row r="864">
          <cell r="A864" t="str">
            <v>1 - 03 EXCAVACIONES Y LLENOS</v>
          </cell>
          <cell r="E864">
            <v>0</v>
          </cell>
        </row>
        <row r="865">
          <cell r="A865" t="str">
            <v>1-03-01</v>
          </cell>
          <cell r="B865" t="str">
            <v>Excavación en material común seco de 0 - 2 m manual</v>
          </cell>
          <cell r="C865" t="str">
            <v>M3</v>
          </cell>
          <cell r="D865">
            <v>1</v>
          </cell>
          <cell r="E865">
            <v>44171.68</v>
          </cell>
        </row>
        <row r="866">
          <cell r="A866" t="str">
            <v>1-03-02</v>
          </cell>
          <cell r="B866" t="str">
            <v>Excavación en material común seco de 2 - 4 m manual</v>
          </cell>
          <cell r="C866" t="str">
            <v>M3</v>
          </cell>
          <cell r="D866">
            <v>1</v>
          </cell>
          <cell r="E866">
            <v>80189.759999999995</v>
          </cell>
        </row>
        <row r="867">
          <cell r="A867" t="str">
            <v>1-03-03</v>
          </cell>
          <cell r="B867" t="str">
            <v>Excavación en material común seco mayor a 4 m manual</v>
          </cell>
          <cell r="C867" t="str">
            <v>M3</v>
          </cell>
          <cell r="D867">
            <v>1</v>
          </cell>
          <cell r="E867">
            <v>131458.88</v>
          </cell>
        </row>
        <row r="868">
          <cell r="A868" t="str">
            <v>1-03-04</v>
          </cell>
          <cell r="B868" t="str">
            <v>Excavación en material común bajo agua de 0 - 2 m manual</v>
          </cell>
          <cell r="C868" t="str">
            <v>M3</v>
          </cell>
          <cell r="D868">
            <v>1</v>
          </cell>
          <cell r="E868">
            <v>90628.160000000003</v>
          </cell>
        </row>
        <row r="869">
          <cell r="A869" t="str">
            <v>1-03-05</v>
          </cell>
          <cell r="B869" t="str">
            <v>Excavación en material común bajo agua de 2 - 4 m manual</v>
          </cell>
          <cell r="C869" t="str">
            <v>M3</v>
          </cell>
          <cell r="D869">
            <v>1</v>
          </cell>
          <cell r="E869">
            <v>117836.32</v>
          </cell>
        </row>
        <row r="870">
          <cell r="A870" t="str">
            <v>1-03-06</v>
          </cell>
          <cell r="B870" t="str">
            <v>Excavación en material común bajo agua mayor a 4 m manual</v>
          </cell>
          <cell r="C870" t="str">
            <v>M3</v>
          </cell>
          <cell r="D870">
            <v>1</v>
          </cell>
          <cell r="E870">
            <v>174681.91999999998</v>
          </cell>
        </row>
        <row r="871">
          <cell r="A871" t="str">
            <v>1-03-07</v>
          </cell>
          <cell r="B871" t="str">
            <v>Excavación en conglomerado seco de 0 - 2 m manual</v>
          </cell>
          <cell r="C871" t="str">
            <v>M3</v>
          </cell>
          <cell r="D871">
            <v>1</v>
          </cell>
          <cell r="E871">
            <v>78876</v>
          </cell>
        </row>
        <row r="872">
          <cell r="A872" t="str">
            <v>1-03-08</v>
          </cell>
          <cell r="B872" t="str">
            <v>Excavación en conglomerado seco de 2 - 4 m manual</v>
          </cell>
          <cell r="C872" t="str">
            <v>M3</v>
          </cell>
          <cell r="D872">
            <v>1</v>
          </cell>
          <cell r="E872">
            <v>93898.559999999998</v>
          </cell>
        </row>
        <row r="873">
          <cell r="A873" t="str">
            <v>1-03-09</v>
          </cell>
          <cell r="B873" t="str">
            <v>Excavación en conglomerado seco mayor a 4 m manual</v>
          </cell>
          <cell r="C873" t="str">
            <v>M3</v>
          </cell>
          <cell r="D873">
            <v>1</v>
          </cell>
          <cell r="E873">
            <v>164321.91999999998</v>
          </cell>
        </row>
        <row r="874">
          <cell r="A874" t="str">
            <v>1-03-10</v>
          </cell>
          <cell r="B874" t="str">
            <v>Excavación en conglomerado bajo agua de 0 - 2 m manual</v>
          </cell>
          <cell r="C874" t="str">
            <v>M3</v>
          </cell>
          <cell r="D874">
            <v>1</v>
          </cell>
          <cell r="E874">
            <v>116455.36</v>
          </cell>
        </row>
        <row r="875">
          <cell r="A875" t="str">
            <v>1-03-11</v>
          </cell>
          <cell r="B875" t="str">
            <v>Excavación en conglomerado bajo agua de 2 - 4 m manual</v>
          </cell>
          <cell r="C875" t="str">
            <v>M3</v>
          </cell>
          <cell r="D875">
            <v>1</v>
          </cell>
          <cell r="E875">
            <v>139746.88</v>
          </cell>
        </row>
        <row r="876">
          <cell r="A876" t="str">
            <v>1-03-12</v>
          </cell>
          <cell r="B876" t="str">
            <v>Excavación en conglomerado bajo agua mayor a 4 m manual</v>
          </cell>
          <cell r="C876" t="str">
            <v>M3</v>
          </cell>
          <cell r="D876">
            <v>1</v>
          </cell>
          <cell r="E876">
            <v>174681.91999999998</v>
          </cell>
        </row>
        <row r="877">
          <cell r="A877" t="str">
            <v>1-03-13</v>
          </cell>
          <cell r="B877" t="str">
            <v>Excavación en roca  manual (dinamita)</v>
          </cell>
          <cell r="C877" t="str">
            <v>M3</v>
          </cell>
          <cell r="D877">
            <v>1</v>
          </cell>
          <cell r="E877">
            <v>0</v>
          </cell>
        </row>
        <row r="878">
          <cell r="A878" t="str">
            <v>1-03-14</v>
          </cell>
          <cell r="B878" t="str">
            <v>Excavación para conformación de taludes en material común manual</v>
          </cell>
          <cell r="C878" t="str">
            <v>M3</v>
          </cell>
          <cell r="D878">
            <v>1</v>
          </cell>
          <cell r="E878">
            <v>68358.080000000002</v>
          </cell>
        </row>
        <row r="879">
          <cell r="A879" t="str">
            <v>1-03-15</v>
          </cell>
          <cell r="B879" t="str">
            <v>Excavación para conformación de taludes en conglomerado manual</v>
          </cell>
          <cell r="C879" t="str">
            <v>M3</v>
          </cell>
          <cell r="D879">
            <v>1</v>
          </cell>
          <cell r="E879">
            <v>97653.92</v>
          </cell>
        </row>
        <row r="880">
          <cell r="A880" t="str">
            <v>1-03-16</v>
          </cell>
          <cell r="B880" t="str">
            <v>Excavación para conformación de taludes en roca manual (Dinamita)</v>
          </cell>
          <cell r="C880" t="str">
            <v>M3</v>
          </cell>
          <cell r="D880">
            <v>1</v>
          </cell>
          <cell r="E880">
            <v>0</v>
          </cell>
        </row>
        <row r="881">
          <cell r="A881" t="str">
            <v>1-03-17</v>
          </cell>
          <cell r="B881" t="str">
            <v>Excavación material común abierto manual</v>
          </cell>
          <cell r="C881" t="str">
            <v>M3</v>
          </cell>
          <cell r="D881">
            <v>1</v>
          </cell>
          <cell r="E881">
            <v>52581.760000000002</v>
          </cell>
        </row>
        <row r="882">
          <cell r="A882" t="str">
            <v>1-03-18</v>
          </cell>
          <cell r="B882" t="str">
            <v>Excavación en conglomerado abierto manual</v>
          </cell>
          <cell r="C882" t="str">
            <v>M3</v>
          </cell>
          <cell r="D882">
            <v>1</v>
          </cell>
          <cell r="E882">
            <v>70112</v>
          </cell>
        </row>
        <row r="883">
          <cell r="A883" t="str">
            <v>1-03-19</v>
          </cell>
          <cell r="B883" t="str">
            <v>Excavación en material común mecánica</v>
          </cell>
          <cell r="C883" t="str">
            <v>M3</v>
          </cell>
          <cell r="D883">
            <v>1</v>
          </cell>
          <cell r="E883">
            <v>10392.48</v>
          </cell>
        </row>
        <row r="884">
          <cell r="A884" t="str">
            <v>1-03-20</v>
          </cell>
          <cell r="B884" t="str">
            <v>Excavación en roca mecánica (dinamita)</v>
          </cell>
          <cell r="C884" t="str">
            <v>M3</v>
          </cell>
          <cell r="D884">
            <v>1</v>
          </cell>
          <cell r="E884">
            <v>0</v>
          </cell>
        </row>
        <row r="885">
          <cell r="A885" t="str">
            <v>1-03-21</v>
          </cell>
          <cell r="B885" t="str">
            <v>Restitución con afirmado y cemento 5 % del peso</v>
          </cell>
          <cell r="C885" t="str">
            <v>M3</v>
          </cell>
          <cell r="D885">
            <v>1</v>
          </cell>
          <cell r="E885">
            <v>245095.2</v>
          </cell>
        </row>
        <row r="886">
          <cell r="A886" t="str">
            <v>1-03-22</v>
          </cell>
          <cell r="B886" t="str">
            <v>Lleno compactado con material del sitio manual</v>
          </cell>
          <cell r="C886" t="str">
            <v>M3</v>
          </cell>
          <cell r="D886">
            <v>1</v>
          </cell>
          <cell r="E886">
            <v>34928.32</v>
          </cell>
        </row>
        <row r="887">
          <cell r="A887" t="str">
            <v>1-03-23</v>
          </cell>
          <cell r="B887" t="str">
            <v>Lleno compactado  manual con material transportado</v>
          </cell>
          <cell r="C887" t="str">
            <v>M3</v>
          </cell>
          <cell r="D887">
            <v>1</v>
          </cell>
          <cell r="E887">
            <v>80040.800000000003</v>
          </cell>
        </row>
        <row r="888">
          <cell r="A888" t="str">
            <v>1-03-24</v>
          </cell>
          <cell r="B888" t="str">
            <v>Lleno compactado con material granular</v>
          </cell>
          <cell r="C888" t="str">
            <v>M3</v>
          </cell>
          <cell r="D888">
            <v>1</v>
          </cell>
          <cell r="E888">
            <v>76468</v>
          </cell>
        </row>
        <row r="889">
          <cell r="A889" t="str">
            <v>1-03-25</v>
          </cell>
          <cell r="B889" t="str">
            <v>Lleno compactado con afirmado manual</v>
          </cell>
          <cell r="C889" t="str">
            <v>M3</v>
          </cell>
          <cell r="D889">
            <v>1</v>
          </cell>
          <cell r="E889">
            <v>73545.919999999998</v>
          </cell>
        </row>
        <row r="890">
          <cell r="A890" t="str">
            <v>1-03-26</v>
          </cell>
          <cell r="B890" t="str">
            <v>Afirmado compactado e = 0.10 m manual</v>
          </cell>
          <cell r="C890" t="str">
            <v>M2</v>
          </cell>
          <cell r="D890">
            <v>1</v>
          </cell>
          <cell r="E890">
            <v>8609.44</v>
          </cell>
        </row>
        <row r="891">
          <cell r="A891" t="str">
            <v>1-03-27</v>
          </cell>
          <cell r="B891" t="str">
            <v>Lleno material filtrante</v>
          </cell>
          <cell r="C891" t="str">
            <v>M3</v>
          </cell>
          <cell r="D891">
            <v>1</v>
          </cell>
          <cell r="E891">
            <v>155416.79999999999</v>
          </cell>
        </row>
        <row r="892">
          <cell r="A892" t="str">
            <v>1-03-28</v>
          </cell>
          <cell r="B892" t="str">
            <v>Lleno con piedra</v>
          </cell>
          <cell r="C892" t="str">
            <v>M3</v>
          </cell>
          <cell r="D892">
            <v>1</v>
          </cell>
          <cell r="E892">
            <v>164074.4</v>
          </cell>
        </row>
        <row r="893">
          <cell r="A893" t="str">
            <v>1-03-29</v>
          </cell>
          <cell r="B893" t="str">
            <v>Lleno con arena para tubería (brecha de 0,60 m de ancho e = 0,1 m)</v>
          </cell>
          <cell r="C893" t="str">
            <v>M</v>
          </cell>
          <cell r="D893">
            <v>1</v>
          </cell>
          <cell r="E893">
            <v>13120.8</v>
          </cell>
        </row>
        <row r="894">
          <cell r="A894" t="str">
            <v>1 - 04 ELEMENTOS DE CONCRETO</v>
          </cell>
          <cell r="E894">
            <v>0</v>
          </cell>
        </row>
        <row r="895">
          <cell r="A895" t="str">
            <v>1-04-01</v>
          </cell>
          <cell r="B895" t="str">
            <v>Solado en concreto de 10,3 Mpa</v>
          </cell>
          <cell r="C895" t="str">
            <v>M3</v>
          </cell>
          <cell r="D895">
            <v>1</v>
          </cell>
          <cell r="E895">
            <v>476153.44</v>
          </cell>
        </row>
        <row r="896">
          <cell r="A896" t="str">
            <v>1-04-02</v>
          </cell>
          <cell r="B896" t="str">
            <v>Caja de inspección para instalación eléctrica, de 0,30 x 0,30 x 0,50 m en concreto de 17,2 Mpa (2500 psi), tapa reforzada en concreto de 20,7 Mpa (3.000 psi), sin base</v>
          </cell>
          <cell r="C896" t="str">
            <v>Un</v>
          </cell>
          <cell r="D896">
            <v>1</v>
          </cell>
          <cell r="E896">
            <v>244404.16</v>
          </cell>
        </row>
        <row r="897">
          <cell r="A897" t="str">
            <v>1-04-03</v>
          </cell>
          <cell r="B897" t="str">
            <v>Caja de inspección de 0,50 x 0,50 x 0,50  m en concreto de 17,2 Mpa, tapa reforzada en concreto de 20,7 Mpa</v>
          </cell>
          <cell r="C897" t="str">
            <v>Un</v>
          </cell>
          <cell r="D897">
            <v>1</v>
          </cell>
          <cell r="E897">
            <v>303029.44</v>
          </cell>
        </row>
        <row r="898">
          <cell r="A898" t="str">
            <v>1-04-04</v>
          </cell>
          <cell r="B898" t="str">
            <v>Caja de inspección de 0,60 x 0,60 x 0,60 m en concreto de 17,2 Mpa, tapa reforzada en concreto de 20,7 Mpa</v>
          </cell>
          <cell r="C898" t="str">
            <v>Un</v>
          </cell>
          <cell r="D898">
            <v>1</v>
          </cell>
          <cell r="E898">
            <v>466024.16</v>
          </cell>
        </row>
        <row r="899">
          <cell r="A899" t="str">
            <v>1-04-05</v>
          </cell>
          <cell r="B899" t="str">
            <v>Caja de inspección de 0,60 x 0,60 x 0,60 m en ladrillo, concreto de 17,2 Mpa y tapa reforzada en concreto de 20,7 Mpa para instalaciones eléctricas</v>
          </cell>
          <cell r="C899" t="str">
            <v>Un</v>
          </cell>
          <cell r="D899">
            <v>1</v>
          </cell>
          <cell r="E899">
            <v>424817.12</v>
          </cell>
        </row>
        <row r="900">
          <cell r="A900" t="str">
            <v>1-04-06</v>
          </cell>
          <cell r="B900" t="str">
            <v>Caja de inspección de 0,80 x 0,80 x 0,80 m en concreto de 17,2 Mpa, tapa reforzada en concreto de 20,7 Mpa</v>
          </cell>
          <cell r="C900" t="str">
            <v>Un</v>
          </cell>
          <cell r="D900">
            <v>1</v>
          </cell>
          <cell r="E900">
            <v>729104.32</v>
          </cell>
        </row>
        <row r="901">
          <cell r="A901" t="str">
            <v>1-04-07</v>
          </cell>
          <cell r="B901" t="str">
            <v>Caja de inspección de 1,00 x 1,00 x 1,00 m en concreto de 17,2 Mpa, tapa reforzada en concreto de 20,7 Mpa</v>
          </cell>
          <cell r="C901" t="str">
            <v>Un</v>
          </cell>
          <cell r="D901">
            <v>1</v>
          </cell>
          <cell r="E901">
            <v>924437.92</v>
          </cell>
        </row>
        <row r="902">
          <cell r="A902" t="str">
            <v>1-04-08</v>
          </cell>
          <cell r="B902" t="str">
            <v>Zapatas en concreto de 20,7 Mpa, no incluye refuerzo</v>
          </cell>
          <cell r="C902" t="str">
            <v>M3</v>
          </cell>
          <cell r="D902">
            <v>1</v>
          </cell>
          <cell r="E902">
            <v>956201.12</v>
          </cell>
        </row>
        <row r="903">
          <cell r="A903" t="str">
            <v>1-04-09</v>
          </cell>
          <cell r="B903" t="str">
            <v>Zapatas en concreto de 24,5 Mpa (3500 PSI), no incluye refuerzo</v>
          </cell>
          <cell r="C903" t="str">
            <v>M3</v>
          </cell>
          <cell r="D903">
            <v>1</v>
          </cell>
          <cell r="E903">
            <v>1017639.84</v>
          </cell>
        </row>
        <row r="904">
          <cell r="A904" t="str">
            <v>1-04-10</v>
          </cell>
          <cell r="B904" t="str">
            <v>Viga de enlace de zapatas en concreto de 20,7 Mpa, no incluye refuerzo</v>
          </cell>
          <cell r="C904" t="str">
            <v>M3</v>
          </cell>
          <cell r="D904">
            <v>1</v>
          </cell>
          <cell r="E904">
            <v>990442.88</v>
          </cell>
        </row>
        <row r="905">
          <cell r="A905" t="str">
            <v>1-04-11</v>
          </cell>
          <cell r="B905" t="str">
            <v>Viga de enlace de zapatas en concreto de 24,5 Mpa, no incluye refuerzo</v>
          </cell>
          <cell r="C905" t="str">
            <v>M3</v>
          </cell>
          <cell r="D905">
            <v>1</v>
          </cell>
          <cell r="E905">
            <v>1076771.3600000001</v>
          </cell>
        </row>
        <row r="906">
          <cell r="A906" t="str">
            <v>1-04-12</v>
          </cell>
          <cell r="B906" t="str">
            <v>Viga apoyada concreto 20,7 Mpa (3000 PSI), no incluye refuerzo</v>
          </cell>
          <cell r="C906" t="str">
            <v>M3</v>
          </cell>
          <cell r="D906">
            <v>1</v>
          </cell>
          <cell r="E906">
            <v>905313.92</v>
          </cell>
        </row>
        <row r="907">
          <cell r="A907" t="str">
            <v>1-04-13</v>
          </cell>
          <cell r="B907" t="str">
            <v>Placa de contrapiso en concreto de 20,7 Mpa  e = 0,07 m</v>
          </cell>
          <cell r="C907" t="str">
            <v>M2</v>
          </cell>
          <cell r="D907">
            <v>1</v>
          </cell>
          <cell r="E907">
            <v>71584.800000000003</v>
          </cell>
        </row>
        <row r="908">
          <cell r="A908" t="str">
            <v>1-04-14</v>
          </cell>
          <cell r="B908" t="str">
            <v>Placa de contrapiso en concreto de 20,7 Mpa e = 0,10 m</v>
          </cell>
          <cell r="C908" t="str">
            <v>M2</v>
          </cell>
          <cell r="D908">
            <v>1</v>
          </cell>
          <cell r="E908">
            <v>95233.600000000006</v>
          </cell>
        </row>
        <row r="909">
          <cell r="A909" t="str">
            <v>1-04-15</v>
          </cell>
          <cell r="B909" t="str">
            <v>Placa de contrapiso en concreto de 17,2 Mpa  e = 0,07 m</v>
          </cell>
          <cell r="C909" t="str">
            <v>M2</v>
          </cell>
          <cell r="D909">
            <v>1</v>
          </cell>
          <cell r="E909">
            <v>71255.520000000004</v>
          </cell>
        </row>
        <row r="910">
          <cell r="A910" t="str">
            <v>1-04-16</v>
          </cell>
          <cell r="B910" t="str">
            <v>Columna en concreto de 20,7 Mpa sección &lt; 1600 cm2, no incluye refuerzo</v>
          </cell>
          <cell r="C910" t="str">
            <v>M3</v>
          </cell>
          <cell r="D910">
            <v>1</v>
          </cell>
          <cell r="E910">
            <v>1287964.1599999999</v>
          </cell>
        </row>
        <row r="911">
          <cell r="A911" t="str">
            <v>1-04-17</v>
          </cell>
          <cell r="B911" t="str">
            <v>Columna en concreto de 20,7 Mpa sección entre 1601 cm2 - 2500 cm2</v>
          </cell>
          <cell r="C911" t="str">
            <v>M3</v>
          </cell>
          <cell r="D911">
            <v>1</v>
          </cell>
          <cell r="E911">
            <v>1223513.76</v>
          </cell>
        </row>
        <row r="912">
          <cell r="A912" t="str">
            <v>1-04-18</v>
          </cell>
          <cell r="B912" t="str">
            <v>Columna de amarre en concreto de 20,7 Mpa de 0,10 x 0,15 m, incluye refuerzo</v>
          </cell>
          <cell r="C912" t="str">
            <v>M</v>
          </cell>
          <cell r="D912">
            <v>1</v>
          </cell>
          <cell r="E912">
            <v>99620.64</v>
          </cell>
        </row>
        <row r="913">
          <cell r="A913" t="str">
            <v>1-04-19</v>
          </cell>
          <cell r="B913" t="str">
            <v>Columna de amarre en concreto de 20,7 Mpa (3000 PSI) de 0,10 x 0,20 m, incluye refuerzo</v>
          </cell>
          <cell r="C913" t="str">
            <v>M</v>
          </cell>
          <cell r="D913">
            <v>1</v>
          </cell>
          <cell r="E913">
            <v>102170.88</v>
          </cell>
        </row>
        <row r="914">
          <cell r="A914" t="str">
            <v>1-04-20</v>
          </cell>
          <cell r="B914" t="str">
            <v>Columna de amarre en concreto de 20,7 Mpa de 0,15 x 0,15 m, incluye refuerzo</v>
          </cell>
          <cell r="C914" t="str">
            <v>M</v>
          </cell>
          <cell r="D914">
            <v>1</v>
          </cell>
          <cell r="E914">
            <v>108458.56</v>
          </cell>
        </row>
        <row r="915">
          <cell r="A915" t="str">
            <v>1-04-21</v>
          </cell>
          <cell r="B915" t="str">
            <v>Columna de amarre en concreto de 20,7 Mpa de 0,15 x 0,20 m, incluye refuerzo</v>
          </cell>
          <cell r="C915" t="str">
            <v>M</v>
          </cell>
          <cell r="D915">
            <v>1</v>
          </cell>
          <cell r="E915">
            <v>123226.88</v>
          </cell>
        </row>
        <row r="916">
          <cell r="A916" t="str">
            <v>1-04-22</v>
          </cell>
          <cell r="B916" t="str">
            <v>Columna circular en concreto visto de 20,7 Mpa (3000 PSI) d =  0,45 m, no incluye acero</v>
          </cell>
          <cell r="C916" t="str">
            <v>M3</v>
          </cell>
          <cell r="D916">
            <v>1</v>
          </cell>
          <cell r="E916">
            <v>1668443.84</v>
          </cell>
        </row>
        <row r="917">
          <cell r="A917" t="str">
            <v>1-04-23</v>
          </cell>
          <cell r="B917" t="str">
            <v>Columna circular en concreto visto de 20,7 Mpa (3000 PSI) d = 0,65 m, no incluye acero</v>
          </cell>
          <cell r="C917" t="str">
            <v>M3</v>
          </cell>
          <cell r="D917">
            <v>1</v>
          </cell>
          <cell r="E917">
            <v>1728173.44</v>
          </cell>
        </row>
        <row r="918">
          <cell r="A918" t="str">
            <v>1-04-24</v>
          </cell>
          <cell r="B918" t="str">
            <v>Escalera en concreto de 20,7 Mpa (3000 PSI) sobre terreno e = 0,12 m, no incluye refuerzo</v>
          </cell>
          <cell r="C918" t="str">
            <v>M2</v>
          </cell>
          <cell r="D918">
            <v>1</v>
          </cell>
          <cell r="E918">
            <v>214884.32</v>
          </cell>
        </row>
        <row r="919">
          <cell r="A919" t="str">
            <v>1-04-25</v>
          </cell>
          <cell r="B919" t="str">
            <v>Escalera en concreto 20,7 Mpa (3000 PSI) aéreas e = 0,15 m, no incluye refuerzo</v>
          </cell>
          <cell r="C919" t="str">
            <v>M2</v>
          </cell>
          <cell r="D919">
            <v>1</v>
          </cell>
          <cell r="E919">
            <v>340275.04</v>
          </cell>
        </row>
        <row r="920">
          <cell r="A920" t="str">
            <v>1-04-26</v>
          </cell>
          <cell r="B920" t="str">
            <v>Placa maciza en concreto de 20,7 Mpa (3000 PSI) e = 0,10 m, no incluye refuerzo</v>
          </cell>
          <cell r="C920" t="str">
            <v>M2</v>
          </cell>
          <cell r="D920">
            <v>1</v>
          </cell>
          <cell r="E920">
            <v>135431.51999999999</v>
          </cell>
        </row>
        <row r="921">
          <cell r="A921" t="str">
            <v>1-04-27</v>
          </cell>
          <cell r="B921" t="str">
            <v>Placa maciza en concreto de 20,7 Mpa (3000 PSI) e = 0,15 m, no incluye refuerzo</v>
          </cell>
          <cell r="C921" t="str">
            <v>M2</v>
          </cell>
          <cell r="D921">
            <v>1</v>
          </cell>
          <cell r="E921">
            <v>160929.44</v>
          </cell>
        </row>
        <row r="922">
          <cell r="A922" t="str">
            <v>1-04-28</v>
          </cell>
          <cell r="B922" t="str">
            <v>Placa maciza en concreto de 20,7 Mpa (3000 PSI) e = 0,20 m, no incluye refuerzo</v>
          </cell>
          <cell r="C922" t="str">
            <v>M2</v>
          </cell>
          <cell r="D922">
            <v>1</v>
          </cell>
          <cell r="E922">
            <v>166345.76</v>
          </cell>
        </row>
        <row r="923">
          <cell r="A923" t="str">
            <v>1-04-29</v>
          </cell>
          <cell r="B923" t="str">
            <v>Placa aligerada en concreto de 20,7 Mpa (3000 PSI) e = 0,30 m, no incluye refuerzo</v>
          </cell>
          <cell r="C923" t="str">
            <v>M2</v>
          </cell>
          <cell r="D923">
            <v>1</v>
          </cell>
          <cell r="E923">
            <v>143796.79999999999</v>
          </cell>
        </row>
        <row r="924">
          <cell r="A924" t="str">
            <v>1-04-30</v>
          </cell>
          <cell r="B924" t="str">
            <v>Placa aligerada en concreto de 20,7 Mpa (3000 PSI) e = 0,35 m, no incluye refuerzo</v>
          </cell>
          <cell r="C924" t="str">
            <v>M2</v>
          </cell>
          <cell r="D924">
            <v>1</v>
          </cell>
          <cell r="E924">
            <v>158911.20000000001</v>
          </cell>
        </row>
        <row r="925">
          <cell r="A925" t="str">
            <v>1-04-31</v>
          </cell>
          <cell r="B925" t="str">
            <v>Placa aligerada en concreto de 20,7 Mpa (3000 PSI) e = 0,40 m, no incluye refuerzo</v>
          </cell>
          <cell r="C925" t="str">
            <v>M2</v>
          </cell>
          <cell r="D925">
            <v>1</v>
          </cell>
          <cell r="E925">
            <v>176049.44</v>
          </cell>
        </row>
        <row r="926">
          <cell r="A926" t="str">
            <v>1-04-32</v>
          </cell>
          <cell r="B926" t="str">
            <v>Placa aligerada en concreto de 20,7 Mpa (3000 PSI) e = 0,45 m, no incluye refuerzo</v>
          </cell>
          <cell r="C926" t="str">
            <v>M2</v>
          </cell>
          <cell r="D926">
            <v>1</v>
          </cell>
          <cell r="E926">
            <v>191673.44</v>
          </cell>
        </row>
        <row r="927">
          <cell r="A927" t="str">
            <v>1-04-33</v>
          </cell>
          <cell r="B927" t="str">
            <v>Placa aligerada en concreto de 20,7 Mpa (3000 PSI) e = 0,50 m, no incluye refuerzo</v>
          </cell>
          <cell r="C927" t="str">
            <v>M2</v>
          </cell>
          <cell r="D927">
            <v>1</v>
          </cell>
          <cell r="E927">
            <v>208888.95999999999</v>
          </cell>
        </row>
        <row r="928">
          <cell r="A928" t="str">
            <v>1-04-34</v>
          </cell>
          <cell r="B928" t="str">
            <v>Placa steeldeck en concreto de 20,7 Mpa (3000 PSI) de e = 0,10 m, incluye malla electrosoldada</v>
          </cell>
          <cell r="C928" t="str">
            <v>M2</v>
          </cell>
          <cell r="D928">
            <v>1</v>
          </cell>
          <cell r="E928">
            <v>176111.04</v>
          </cell>
        </row>
        <row r="929">
          <cell r="A929" t="str">
            <v>1-04-35</v>
          </cell>
          <cell r="B929" t="str">
            <v>Viga aérea en concreto de 20,7 Mpa (3000 PSI), no incluye acero</v>
          </cell>
          <cell r="C929" t="str">
            <v>M3</v>
          </cell>
          <cell r="D929">
            <v>1</v>
          </cell>
          <cell r="E929">
            <v>1094310.56</v>
          </cell>
        </row>
        <row r="930">
          <cell r="A930" t="str">
            <v>1-04-36</v>
          </cell>
          <cell r="B930" t="str">
            <v>Viga de amarre en concreto de 20,7 Mpa (3000 PSI) de 0,10 x 0,20 m, incluye refuerzo</v>
          </cell>
          <cell r="C930" t="str">
            <v>ml</v>
          </cell>
          <cell r="D930">
            <v>1</v>
          </cell>
          <cell r="E930">
            <v>108824.8</v>
          </cell>
        </row>
        <row r="931">
          <cell r="A931" t="str">
            <v>1-04-37</v>
          </cell>
          <cell r="B931" t="str">
            <v>Viga de amarre en concreto de 20,7 Mpa de 0,15 x 0,20 m, incluye refuerzo</v>
          </cell>
          <cell r="C931" t="str">
            <v>M</v>
          </cell>
          <cell r="D931">
            <v>1</v>
          </cell>
          <cell r="E931">
            <v>134486.24</v>
          </cell>
        </row>
        <row r="932">
          <cell r="A932" t="str">
            <v>1-04-38</v>
          </cell>
          <cell r="B932" t="str">
            <v>Viga cinta en concreto de 20,7 Mpa de 0,15 x 0,10 m, incluye refuerzo</v>
          </cell>
          <cell r="C932" t="str">
            <v>M</v>
          </cell>
          <cell r="D932">
            <v>1</v>
          </cell>
          <cell r="E932">
            <v>82709.759999999995</v>
          </cell>
        </row>
        <row r="933">
          <cell r="A933" t="str">
            <v>1-04-39</v>
          </cell>
          <cell r="B933" t="str">
            <v>Viga canal en concreto impermeabilizado de 20,7 Mpa sección &lt; 2.001 cm2</v>
          </cell>
          <cell r="C933" t="str">
            <v>M</v>
          </cell>
          <cell r="D933">
            <v>1</v>
          </cell>
          <cell r="E933">
            <v>271875.52</v>
          </cell>
        </row>
        <row r="934">
          <cell r="A934" t="str">
            <v>1-04-40</v>
          </cell>
          <cell r="B934" t="str">
            <v>Dintel en concreto de 20,7 Mpa de 0,12 x 0,15 m, incluye refuerzo</v>
          </cell>
          <cell r="C934" t="str">
            <v>M</v>
          </cell>
          <cell r="D934">
            <v>1</v>
          </cell>
          <cell r="E934">
            <v>98973.28</v>
          </cell>
        </row>
        <row r="935">
          <cell r="A935" t="str">
            <v>1-04-41</v>
          </cell>
          <cell r="B935" t="str">
            <v>Alfajía en concreto de 20,7 Mpa para remate de muro, incluye refuerzo y corta gotera</v>
          </cell>
          <cell r="C935" t="str">
            <v>M</v>
          </cell>
          <cell r="D935">
            <v>1</v>
          </cell>
          <cell r="E935">
            <v>126610.4</v>
          </cell>
        </row>
        <row r="936">
          <cell r="A936" t="str">
            <v>1-04-42</v>
          </cell>
          <cell r="B936" t="str">
            <v>Alfajía en concreto de 20,7 Mpa para remate de ventana, incluye refuerzo y corta gotera</v>
          </cell>
          <cell r="C936" t="str">
            <v>M</v>
          </cell>
          <cell r="D936">
            <v>1</v>
          </cell>
          <cell r="E936">
            <v>115306.24000000001</v>
          </cell>
        </row>
        <row r="937">
          <cell r="A937" t="str">
            <v>1-04-43</v>
          </cell>
          <cell r="B937" t="str">
            <v>Anden en concreto de 20,7 Mpa (3000 PSI) e = 0,10 m</v>
          </cell>
          <cell r="C937" t="str">
            <v>M2</v>
          </cell>
          <cell r="D937">
            <v>1</v>
          </cell>
          <cell r="E937">
            <v>86952.320000000007</v>
          </cell>
        </row>
        <row r="938">
          <cell r="A938" t="str">
            <v>1-04-44</v>
          </cell>
          <cell r="B938" t="str">
            <v>Protector de raíz en concreto de 17,2 Mpa (2500 PSI), e = 0,15 m, d = 1,20 m, h = 1,00 m, incluye refuerzo</v>
          </cell>
          <cell r="C938" t="str">
            <v>Un</v>
          </cell>
          <cell r="D938">
            <v>1</v>
          </cell>
          <cell r="E938">
            <v>981957.76</v>
          </cell>
        </row>
        <row r="939">
          <cell r="A939" t="str">
            <v>1-04-45</v>
          </cell>
          <cell r="B939" t="str">
            <v>Pedestal (plataforma) en concreto de 20,7 Mpa (3000 PSI) e = 0,10 m</v>
          </cell>
          <cell r="C939" t="str">
            <v>M2</v>
          </cell>
          <cell r="D939">
            <v>1</v>
          </cell>
          <cell r="E939">
            <v>97818.559999999998</v>
          </cell>
        </row>
        <row r="940">
          <cell r="A940" t="str">
            <v>1-04-46</v>
          </cell>
          <cell r="B940" t="str">
            <v>Pedestal trapezoidal para soportar estructura metálica o de madera en concreto de 20,7 Mpa (3000 PSI) h = 0,30 m, base de 0,40 x 0,40 m, corona de 0,25 x 0,25 m, incluye refuerzo</v>
          </cell>
          <cell r="C940" t="str">
            <v>Un</v>
          </cell>
          <cell r="D940">
            <v>1</v>
          </cell>
          <cell r="E940">
            <v>148013.6</v>
          </cell>
        </row>
        <row r="941">
          <cell r="A941" t="str">
            <v>1-04-47</v>
          </cell>
          <cell r="B941" t="str">
            <v>Pedestal rectangular para soportar estructura metálica o de madera en concreto de 20,7 Mpa (3000 PSI)  h = 1,00 m, base de 0,40 x 0,40 m, incluye refuerzo</v>
          </cell>
          <cell r="C941" t="str">
            <v>Un</v>
          </cell>
          <cell r="D941">
            <v>1</v>
          </cell>
          <cell r="E941">
            <v>467549.6</v>
          </cell>
        </row>
        <row r="942">
          <cell r="A942" t="str">
            <v>1-04-48</v>
          </cell>
          <cell r="B942" t="str">
            <v>Gradería sobre terreno e = 0,10 m en concreto de 20,7 Mpa (3000 PSI), incluye malla electrosoldada h = 0,64 ch = 0,60 m</v>
          </cell>
          <cell r="C942" t="str">
            <v>M2</v>
          </cell>
          <cell r="D942">
            <v>1</v>
          </cell>
          <cell r="E942">
            <v>193847.36</v>
          </cell>
        </row>
        <row r="943">
          <cell r="A943" t="str">
            <v>1-04-49</v>
          </cell>
          <cell r="B943" t="str">
            <v>Muerto en concreto de 17,2 Mpa (2500 PSI) profundidad = 2,15 m para torre metálica de 0,80 x 0,80 m, incluye excavación circular de 0,85 m</v>
          </cell>
          <cell r="C943" t="str">
            <v>Un</v>
          </cell>
          <cell r="D943">
            <v>1</v>
          </cell>
          <cell r="E943">
            <v>819324.8</v>
          </cell>
        </row>
        <row r="944">
          <cell r="A944" t="str">
            <v>1-04-50</v>
          </cell>
          <cell r="B944" t="str">
            <v>Muerto en concreto de 17,2 Mpa (2500 PSI) profundidad = 1,25 m para torre metálica de 0,60 x 0,60 m, incluye excavación circular de 0,85 m</v>
          </cell>
          <cell r="C944" t="str">
            <v>Un</v>
          </cell>
          <cell r="D944">
            <v>1</v>
          </cell>
          <cell r="E944">
            <v>499121.28</v>
          </cell>
        </row>
        <row r="945">
          <cell r="A945" t="str">
            <v>1-04-51</v>
          </cell>
          <cell r="B945" t="str">
            <v>Tapa en concreto de 20,7 Mpa (3000 PSI) para cañuela l = 1.00 a = 0.60 e = 0.06 m</v>
          </cell>
          <cell r="C945" t="str">
            <v>M</v>
          </cell>
          <cell r="D945">
            <v>1</v>
          </cell>
          <cell r="E945">
            <v>76944</v>
          </cell>
        </row>
        <row r="946">
          <cell r="A946" t="str">
            <v>1-04-52</v>
          </cell>
          <cell r="B946" t="str">
            <v>Tapa en concreto reforzado de 20,7 Mpa (3000 PSI) para cañuela e = 0.05 m a = 0.35 m, l = 0,80 m, orificios rectangulares de 0.04 x 0.25 m</v>
          </cell>
          <cell r="C946" t="str">
            <v>Un</v>
          </cell>
          <cell r="D946">
            <v>1</v>
          </cell>
          <cell r="E946">
            <v>56786.239999999998</v>
          </cell>
        </row>
        <row r="947">
          <cell r="A947" t="str">
            <v>1-04-53</v>
          </cell>
          <cell r="B947" t="str">
            <v>Realce de cajas de inspección de 0.80 x 0.80 x 0.80 m en concreto de 20,7 Mpa (3000 PSI)</v>
          </cell>
          <cell r="C947" t="str">
            <v>Un</v>
          </cell>
          <cell r="D947">
            <v>1</v>
          </cell>
          <cell r="E947">
            <v>286446.71999999997</v>
          </cell>
        </row>
        <row r="948">
          <cell r="A948" t="str">
            <v>1-04-54</v>
          </cell>
          <cell r="B948" t="str">
            <v>Muro de contención en concreto 20,7 Mpa (3000 PSI), no incluye refuerzo</v>
          </cell>
          <cell r="C948" t="str">
            <v>M3</v>
          </cell>
          <cell r="D948">
            <v>1</v>
          </cell>
          <cell r="E948">
            <v>921340</v>
          </cell>
        </row>
        <row r="949">
          <cell r="A949" t="str">
            <v>1-05  MAMPOSTERÍA</v>
          </cell>
          <cell r="E949">
            <v>0</v>
          </cell>
        </row>
        <row r="950">
          <cell r="A950" t="str">
            <v>1-05-01</v>
          </cell>
          <cell r="B950" t="str">
            <v>Muro en ladrillo farol pandereta e = 0,10 m</v>
          </cell>
          <cell r="C950" t="str">
            <v>M2</v>
          </cell>
          <cell r="D950">
            <v>1</v>
          </cell>
          <cell r="E950">
            <v>54268.479999999996</v>
          </cell>
        </row>
        <row r="951">
          <cell r="A951" t="str">
            <v>1-05-02</v>
          </cell>
          <cell r="B951" t="str">
            <v>Muro en ladrillo farol pandereta e = 0,12 m</v>
          </cell>
          <cell r="C951" t="str">
            <v>M2</v>
          </cell>
          <cell r="D951">
            <v>1</v>
          </cell>
          <cell r="E951">
            <v>63713.440000000002</v>
          </cell>
        </row>
        <row r="952">
          <cell r="A952" t="str">
            <v>1-05-03</v>
          </cell>
          <cell r="B952" t="str">
            <v>Muro en ladrillo tolete en soga</v>
          </cell>
          <cell r="C952" t="str">
            <v>M2</v>
          </cell>
          <cell r="D952">
            <v>1</v>
          </cell>
          <cell r="E952">
            <v>113294.72</v>
          </cell>
        </row>
        <row r="953">
          <cell r="A953" t="str">
            <v>1-05-04</v>
          </cell>
          <cell r="B953" t="str">
            <v>Muro en ladrillo tolete en pandereta</v>
          </cell>
          <cell r="C953" t="str">
            <v>M2</v>
          </cell>
          <cell r="D953">
            <v>1</v>
          </cell>
          <cell r="E953">
            <v>71461.600000000006</v>
          </cell>
        </row>
        <row r="954">
          <cell r="A954" t="str">
            <v>1-05-05</v>
          </cell>
          <cell r="B954" t="str">
            <v>Muro en ladrillo tolete pandereta, impermeabilizado las 2 caras</v>
          </cell>
          <cell r="C954" t="str">
            <v>M2</v>
          </cell>
          <cell r="D954">
            <v>1</v>
          </cell>
          <cell r="E954">
            <v>135801.12</v>
          </cell>
        </row>
        <row r="955">
          <cell r="A955" t="str">
            <v>1-05-06</v>
          </cell>
          <cell r="B955" t="str">
            <v>Muro en ladrillo prensado visto en soga, dos caras</v>
          </cell>
          <cell r="C955" t="str">
            <v>M2</v>
          </cell>
          <cell r="D955">
            <v>1</v>
          </cell>
          <cell r="E955">
            <v>183404.48</v>
          </cell>
        </row>
        <row r="956">
          <cell r="A956" t="str">
            <v>1-05-07</v>
          </cell>
          <cell r="B956" t="str">
            <v>Muro en bloque de cemento de 0,14 x 0,19 x 0,39 m</v>
          </cell>
          <cell r="C956" t="str">
            <v>M2</v>
          </cell>
          <cell r="D956">
            <v>1</v>
          </cell>
          <cell r="E956">
            <v>108596.32</v>
          </cell>
        </row>
        <row r="957">
          <cell r="A957" t="str">
            <v>1-05-08</v>
          </cell>
          <cell r="B957" t="str">
            <v>Muro estructural en bloque de cemento de 0,14 x 0,19 x 0,39 m, no incluye refuerzo</v>
          </cell>
          <cell r="C957" t="str">
            <v>M2</v>
          </cell>
          <cell r="D957">
            <v>1</v>
          </cell>
          <cell r="E957">
            <v>140098.56</v>
          </cell>
        </row>
        <row r="958">
          <cell r="A958" t="str">
            <v>1-05-09</v>
          </cell>
          <cell r="B958" t="str">
            <v>Muro en panel de yeso 1/2" 2 caras incluye pintura</v>
          </cell>
          <cell r="C958" t="str">
            <v>M2</v>
          </cell>
          <cell r="D958">
            <v>1</v>
          </cell>
          <cell r="E958">
            <v>85512</v>
          </cell>
        </row>
        <row r="959">
          <cell r="A959" t="str">
            <v>1-05-10</v>
          </cell>
          <cell r="B959" t="str">
            <v>Muro en placa de fibrocemento e = 8 mm similar 1 cara incluye pintura</v>
          </cell>
          <cell r="C959" t="str">
            <v>M2</v>
          </cell>
          <cell r="D959">
            <v>1</v>
          </cell>
          <cell r="E959">
            <v>119290.08</v>
          </cell>
        </row>
        <row r="960">
          <cell r="A960" t="str">
            <v>1-05-11</v>
          </cell>
          <cell r="B960" t="str">
            <v>Muro en placa de fibrocemento e = 10 mm o similar 1 cara incluye pintura</v>
          </cell>
          <cell r="C960" t="str">
            <v>M2</v>
          </cell>
          <cell r="D960">
            <v>1</v>
          </cell>
          <cell r="E960">
            <v>137651.35999999999</v>
          </cell>
        </row>
        <row r="961">
          <cell r="A961" t="str">
            <v>1-05-12</v>
          </cell>
          <cell r="B961" t="str">
            <v>Muro en panel de yeso 1/2" 1 cara incluye pintura</v>
          </cell>
          <cell r="C961" t="str">
            <v>M2</v>
          </cell>
          <cell r="D961">
            <v>1</v>
          </cell>
          <cell r="E961">
            <v>61194.559999999998</v>
          </cell>
        </row>
        <row r="962">
          <cell r="A962" t="str">
            <v>1-05-13</v>
          </cell>
          <cell r="B962" t="str">
            <v>Muro en bloque piedra</v>
          </cell>
          <cell r="C962" t="str">
            <v>M2</v>
          </cell>
          <cell r="D962">
            <v>1</v>
          </cell>
          <cell r="E962">
            <v>99383.2</v>
          </cell>
        </row>
        <row r="963">
          <cell r="A963" t="str">
            <v>1-05-14</v>
          </cell>
          <cell r="B963" t="str">
            <v>Calados de 20 x 20 x 10 cm en gres</v>
          </cell>
          <cell r="C963" t="str">
            <v>M2</v>
          </cell>
          <cell r="D963">
            <v>1</v>
          </cell>
          <cell r="E963">
            <v>138668.32</v>
          </cell>
        </row>
        <row r="964">
          <cell r="A964" t="str">
            <v>1-05-15</v>
          </cell>
          <cell r="B964" t="str">
            <v>Calados prefabricados en concreto</v>
          </cell>
          <cell r="C964" t="str">
            <v>M2</v>
          </cell>
          <cell r="D964">
            <v>1</v>
          </cell>
          <cell r="E964">
            <v>99755.04</v>
          </cell>
        </row>
        <row r="965">
          <cell r="A965" t="str">
            <v>1-05-16</v>
          </cell>
          <cell r="B965" t="str">
            <v>Resane con malla para fijación redes a muros</v>
          </cell>
          <cell r="C965" t="str">
            <v>M</v>
          </cell>
          <cell r="D965">
            <v>1</v>
          </cell>
          <cell r="E965">
            <v>24950.239999999998</v>
          </cell>
        </row>
        <row r="966">
          <cell r="A966" t="str">
            <v>1-05-17</v>
          </cell>
          <cell r="B966" t="str">
            <v>Regata de muros</v>
          </cell>
          <cell r="C966" t="str">
            <v>M</v>
          </cell>
          <cell r="D966">
            <v>1</v>
          </cell>
          <cell r="E966">
            <v>9383.36</v>
          </cell>
        </row>
        <row r="967">
          <cell r="A967" t="str">
            <v>1-05-18</v>
          </cell>
          <cell r="B967" t="str">
            <v>Resane muro con malla</v>
          </cell>
          <cell r="C967" t="str">
            <v>M2</v>
          </cell>
          <cell r="D967">
            <v>1</v>
          </cell>
          <cell r="E967">
            <v>49230.720000000001</v>
          </cell>
        </row>
        <row r="968">
          <cell r="A968" t="str">
            <v>1-05-19</v>
          </cell>
          <cell r="B968" t="str">
            <v>Resane cielo raso con malla</v>
          </cell>
          <cell r="C968" t="str">
            <v>M2</v>
          </cell>
          <cell r="D968">
            <v>1</v>
          </cell>
          <cell r="E968">
            <v>56529.760000000002</v>
          </cell>
        </row>
        <row r="969">
          <cell r="A969" t="str">
            <v>1-05-20</v>
          </cell>
          <cell r="B969" t="str">
            <v>Resane muro cosido y malla</v>
          </cell>
          <cell r="C969" t="str">
            <v>M2</v>
          </cell>
          <cell r="D969">
            <v>1</v>
          </cell>
          <cell r="E969">
            <v>58942.239999999998</v>
          </cell>
        </row>
        <row r="970">
          <cell r="A970" t="str">
            <v>1-05-21</v>
          </cell>
          <cell r="B970" t="str">
            <v>Cinta mastic para muros en panel yeso</v>
          </cell>
          <cell r="C970" t="str">
            <v>M</v>
          </cell>
          <cell r="D970">
            <v>1</v>
          </cell>
          <cell r="E970">
            <v>965.44</v>
          </cell>
        </row>
        <row r="971">
          <cell r="A971" t="str">
            <v>1-05-22</v>
          </cell>
          <cell r="B971" t="str">
            <v>Sobrecimiento h = 0,20 m revoque impermeabilizado 2 caras</v>
          </cell>
          <cell r="C971" t="str">
            <v>M</v>
          </cell>
          <cell r="D971">
            <v>1</v>
          </cell>
          <cell r="E971">
            <v>87430.56</v>
          </cell>
        </row>
        <row r="972">
          <cell r="A972" t="str">
            <v>1-05-23</v>
          </cell>
          <cell r="B972" t="str">
            <v>Revoque muro incluye dilataciones y filos</v>
          </cell>
          <cell r="C972" t="str">
            <v>M2</v>
          </cell>
          <cell r="D972">
            <v>1</v>
          </cell>
          <cell r="E972">
            <v>36330.559999999998</v>
          </cell>
        </row>
        <row r="973">
          <cell r="A973" t="str">
            <v>1-05-24</v>
          </cell>
          <cell r="B973" t="str">
            <v>Filos y dilataciones</v>
          </cell>
          <cell r="C973" t="str">
            <v>M</v>
          </cell>
          <cell r="D973">
            <v>1</v>
          </cell>
          <cell r="E973">
            <v>11980.64</v>
          </cell>
        </row>
        <row r="974">
          <cell r="A974" t="str">
            <v>1-05-25</v>
          </cell>
          <cell r="B974" t="str">
            <v>Revoque cielo raso, incluye dilataciones y filos</v>
          </cell>
          <cell r="C974" t="str">
            <v>M2</v>
          </cell>
          <cell r="D974">
            <v>1</v>
          </cell>
          <cell r="E974">
            <v>49304.639999999999</v>
          </cell>
        </row>
        <row r="975">
          <cell r="A975" t="str">
            <v>1-05-26</v>
          </cell>
          <cell r="B975" t="str">
            <v>Revoque muro impermeabilizado, incluye dilataciones y filos</v>
          </cell>
          <cell r="C975" t="str">
            <v>M2</v>
          </cell>
          <cell r="D975">
            <v>1</v>
          </cell>
          <cell r="E975">
            <v>39011.839999999997</v>
          </cell>
        </row>
        <row r="976">
          <cell r="A976" t="str">
            <v>1-05-27</v>
          </cell>
          <cell r="B976" t="str">
            <v>Revoque de bajantes, incluye malla</v>
          </cell>
          <cell r="C976" t="str">
            <v>M</v>
          </cell>
          <cell r="D976">
            <v>1</v>
          </cell>
          <cell r="E976">
            <v>41849.919999999998</v>
          </cell>
        </row>
        <row r="977">
          <cell r="A977" t="str">
            <v>1 - 06 PISOS Y ENCHAPES</v>
          </cell>
          <cell r="E977">
            <v>0</v>
          </cell>
        </row>
        <row r="978">
          <cell r="A978" t="str">
            <v>1-06-01</v>
          </cell>
          <cell r="B978" t="str">
            <v>Mortero de nivelación e = 0,05 m para pisos</v>
          </cell>
          <cell r="C978" t="str">
            <v>M2</v>
          </cell>
          <cell r="D978">
            <v>1</v>
          </cell>
          <cell r="E978">
            <v>46729.760000000002</v>
          </cell>
        </row>
        <row r="979">
          <cell r="A979" t="str">
            <v>1-06-03</v>
          </cell>
          <cell r="B979" t="str">
            <v>Piso en tableta tipo Tradicional no incluye mortero</v>
          </cell>
          <cell r="C979" t="str">
            <v>M2</v>
          </cell>
          <cell r="D979">
            <v>1</v>
          </cell>
          <cell r="E979">
            <v>72447.199999999997</v>
          </cell>
        </row>
        <row r="980">
          <cell r="A980" t="str">
            <v>1-06-05</v>
          </cell>
          <cell r="B980" t="str">
            <v>Piso en tablón de 1ra. de 20 x 20 cm tipo Porcelagres</v>
          </cell>
          <cell r="C980" t="str">
            <v>M2</v>
          </cell>
          <cell r="D980">
            <v>1</v>
          </cell>
          <cell r="E980">
            <v>114016</v>
          </cell>
        </row>
        <row r="981">
          <cell r="A981" t="str">
            <v>1-06-06</v>
          </cell>
          <cell r="B981" t="str">
            <v>Piso en tablón rojo de 20 x 20 cm no incluye mortero</v>
          </cell>
          <cell r="C981" t="str">
            <v>M2</v>
          </cell>
          <cell r="D981">
            <v>1</v>
          </cell>
          <cell r="E981">
            <v>91220.64</v>
          </cell>
        </row>
        <row r="982">
          <cell r="A982" t="str">
            <v>1-06-07</v>
          </cell>
          <cell r="B982" t="str">
            <v>Piso en baldosa de cemento de 25 x 25 cm incluye mortero</v>
          </cell>
          <cell r="C982" t="str">
            <v>M2</v>
          </cell>
          <cell r="D982">
            <v>1</v>
          </cell>
          <cell r="E982">
            <v>83211.520000000004</v>
          </cell>
        </row>
        <row r="983">
          <cell r="A983" t="str">
            <v>1-06-08</v>
          </cell>
          <cell r="B983" t="str">
            <v>Piso en baldosa tipo Terrazzo Nº 5 P5B, pulido no incluye mortero</v>
          </cell>
          <cell r="C983" t="str">
            <v>M2</v>
          </cell>
          <cell r="D983">
            <v>1</v>
          </cell>
          <cell r="E983">
            <v>164444</v>
          </cell>
        </row>
        <row r="984">
          <cell r="A984" t="str">
            <v>1-06-09</v>
          </cell>
          <cell r="B984" t="str">
            <v>Piso en Duropiso de 33 x 33 cm</v>
          </cell>
          <cell r="C984" t="str">
            <v>M2</v>
          </cell>
          <cell r="D984">
            <v>1</v>
          </cell>
          <cell r="E984">
            <v>90089.44</v>
          </cell>
        </row>
        <row r="985">
          <cell r="A985" t="str">
            <v>1-06-10</v>
          </cell>
          <cell r="B985" t="str">
            <v>Piso en cerámica tipo Antique 30,5 x 30,5 cm, color blanco o beige</v>
          </cell>
          <cell r="C985" t="str">
            <v>M2</v>
          </cell>
          <cell r="D985">
            <v>1</v>
          </cell>
          <cell r="E985">
            <v>73162.880000000005</v>
          </cell>
        </row>
        <row r="986">
          <cell r="A986" t="str">
            <v>1-06-11</v>
          </cell>
          <cell r="B986" t="str">
            <v>Piso en cerámica tipo Terrazzo Nº 5 blanco Huila, no incluye mortero</v>
          </cell>
          <cell r="C986" t="str">
            <v>M2</v>
          </cell>
          <cell r="D986">
            <v>1</v>
          </cell>
          <cell r="E986">
            <v>130772.32</v>
          </cell>
        </row>
        <row r="987">
          <cell r="A987" t="str">
            <v>1-06-12</v>
          </cell>
          <cell r="B987" t="str">
            <v>Piso en cerámica de 1a de 20 x 20 cm tipo Duratech no incluye mortero</v>
          </cell>
          <cell r="C987" t="str">
            <v>M2</v>
          </cell>
          <cell r="D987">
            <v>1</v>
          </cell>
          <cell r="E987">
            <v>61866.559999999998</v>
          </cell>
        </row>
        <row r="988">
          <cell r="A988" t="str">
            <v>1-06-13</v>
          </cell>
          <cell r="B988" t="str">
            <v>Piso en cerámica de 1a de 32 x 32 cm tipo Terranova tráfico 4 no incluye mortero</v>
          </cell>
          <cell r="C988" t="str">
            <v>M2</v>
          </cell>
          <cell r="D988">
            <v>1</v>
          </cell>
          <cell r="E988">
            <v>78871.520000000004</v>
          </cell>
        </row>
        <row r="989">
          <cell r="A989" t="str">
            <v>1-06-14</v>
          </cell>
          <cell r="B989" t="str">
            <v>Piso en cerámica de 1a de 40 x 40 cm tipo Mangle, no incluye mortero</v>
          </cell>
          <cell r="C989" t="str">
            <v>M2</v>
          </cell>
          <cell r="D989">
            <v>1</v>
          </cell>
          <cell r="E989">
            <v>68900.160000000003</v>
          </cell>
        </row>
        <row r="990">
          <cell r="A990" t="str">
            <v>1-06-15</v>
          </cell>
          <cell r="B990" t="str">
            <v>Piso en cerámica de 1a de 30 x 30 cm tipo Pisofuerte, no incluye mortero</v>
          </cell>
          <cell r="C990" t="str">
            <v>M2</v>
          </cell>
          <cell r="D990">
            <v>1</v>
          </cell>
          <cell r="E990">
            <v>87656.8</v>
          </cell>
        </row>
        <row r="991">
          <cell r="A991" t="str">
            <v>1-06-16</v>
          </cell>
          <cell r="B991" t="str">
            <v>Piso en gravilla lavada y tablón tipo Portal, incluye dilatación de vidrio</v>
          </cell>
          <cell r="C991" t="str">
            <v>M2</v>
          </cell>
          <cell r="D991">
            <v>1</v>
          </cell>
          <cell r="E991">
            <v>83381.759999999995</v>
          </cell>
        </row>
        <row r="992">
          <cell r="A992" t="str">
            <v>1-06-17</v>
          </cell>
          <cell r="B992" t="str">
            <v>Piso en baldosa en grano de mármol vibroprensado 30 x 30 cm, grano #1. Incluye, boquilla blanca, destronque (# 36), 3 pulidas (# 60, 120, 220) y brillo al plomo. Color blanco Huila fondo blanco, no incluye mortero</v>
          </cell>
          <cell r="C992" t="str">
            <v>M2</v>
          </cell>
          <cell r="D992">
            <v>1</v>
          </cell>
          <cell r="E992">
            <v>166887.84</v>
          </cell>
        </row>
        <row r="993">
          <cell r="A993" t="str">
            <v>1-06-18</v>
          </cell>
          <cell r="B993" t="str">
            <v>Piso en granito pulido, incluye dilatación de bronce no incluye mortero</v>
          </cell>
          <cell r="C993" t="str">
            <v>M2</v>
          </cell>
          <cell r="D993">
            <v>1</v>
          </cell>
          <cell r="E993">
            <v>121927.67999999999</v>
          </cell>
        </row>
        <row r="994">
          <cell r="A994" t="str">
            <v>1-06-19</v>
          </cell>
          <cell r="B994" t="str">
            <v>Piso en gravilla lavada, incluye dilatación flexible no incluye mortero</v>
          </cell>
          <cell r="C994" t="str">
            <v>M2</v>
          </cell>
          <cell r="D994">
            <v>1</v>
          </cell>
          <cell r="E994">
            <v>75212.479999999996</v>
          </cell>
        </row>
        <row r="995">
          <cell r="A995" t="str">
            <v>1-06-21</v>
          </cell>
          <cell r="B995" t="str">
            <v>Piso en Mayólica</v>
          </cell>
          <cell r="C995" t="str">
            <v>M2</v>
          </cell>
          <cell r="D995">
            <v>1</v>
          </cell>
          <cell r="E995">
            <v>70142.240000000005</v>
          </cell>
        </row>
        <row r="996">
          <cell r="A996" t="str">
            <v>1-06-22</v>
          </cell>
          <cell r="B996" t="str">
            <v>Piso en vinilo antideslizante</v>
          </cell>
          <cell r="C996" t="str">
            <v>M2</v>
          </cell>
          <cell r="D996">
            <v>1</v>
          </cell>
          <cell r="E996">
            <v>145670.56</v>
          </cell>
        </row>
        <row r="997">
          <cell r="A997" t="str">
            <v>1-06-23</v>
          </cell>
          <cell r="B997" t="str">
            <v>Piso en lámina de vinilo de 1,6 mm</v>
          </cell>
          <cell r="C997" t="str">
            <v>M2</v>
          </cell>
          <cell r="D997">
            <v>1</v>
          </cell>
          <cell r="E997">
            <v>61937.120000000003</v>
          </cell>
        </row>
        <row r="998">
          <cell r="A998" t="str">
            <v>1-06-24</v>
          </cell>
          <cell r="B998" t="str">
            <v>Piso en tablilla machihembrada, incluye imprimante y barniz</v>
          </cell>
          <cell r="C998" t="str">
            <v>M2</v>
          </cell>
          <cell r="D998">
            <v>1</v>
          </cell>
          <cell r="E998">
            <v>137784.64000000001</v>
          </cell>
        </row>
        <row r="999">
          <cell r="A999" t="str">
            <v>1-06-25</v>
          </cell>
          <cell r="B999" t="str">
            <v>Piso en loseta prefabricada A30</v>
          </cell>
          <cell r="C999" t="str">
            <v>M2</v>
          </cell>
          <cell r="D999">
            <v>1</v>
          </cell>
          <cell r="E999">
            <v>78117.759999999995</v>
          </cell>
        </row>
        <row r="1000">
          <cell r="A1000" t="str">
            <v>1-06-26</v>
          </cell>
          <cell r="B1000" t="str">
            <v>Enchape en cerámica de 1a de 20 x 20 cm tipo Ecocerámica, incluye filos plásticos, no incluye mortero</v>
          </cell>
          <cell r="C1000" t="str">
            <v>M2</v>
          </cell>
          <cell r="D1000">
            <v>1</v>
          </cell>
          <cell r="E1000">
            <v>62163.360000000001</v>
          </cell>
        </row>
        <row r="1001">
          <cell r="A1001" t="str">
            <v>1-06-27</v>
          </cell>
          <cell r="B1001" t="str">
            <v>Enchape en cerámica de 1a de 20,5 x 20,5 cm tipo Egeo, incluye filos plásticos, no incluye mortero</v>
          </cell>
          <cell r="C1001" t="str">
            <v>M2</v>
          </cell>
          <cell r="D1001">
            <v>1</v>
          </cell>
          <cell r="E1001">
            <v>77769.440000000002</v>
          </cell>
        </row>
        <row r="1002">
          <cell r="A1002" t="str">
            <v>1-06-28</v>
          </cell>
          <cell r="B1002" t="str">
            <v>Enchape en cerámica de 1a de 20,5 x 20,5 cm tipo Macedonia Acento, incluye filos plásticos, no incluye mortero</v>
          </cell>
          <cell r="C1002" t="str">
            <v>M2</v>
          </cell>
          <cell r="D1002">
            <v>1</v>
          </cell>
          <cell r="E1002">
            <v>70264.320000000007</v>
          </cell>
        </row>
        <row r="1003">
          <cell r="A1003" t="str">
            <v>1-06-29</v>
          </cell>
          <cell r="B1003" t="str">
            <v>Guarda escobas en cerámica tipo Ecocerámica h = 0.08 m</v>
          </cell>
          <cell r="C1003" t="str">
            <v>M</v>
          </cell>
          <cell r="D1003">
            <v>1</v>
          </cell>
          <cell r="E1003">
            <v>17213.28</v>
          </cell>
        </row>
        <row r="1004">
          <cell r="A1004" t="str">
            <v>1-06-30</v>
          </cell>
          <cell r="B1004" t="str">
            <v>Guarda escoba en tablón rojo de 10 x 20 cm</v>
          </cell>
          <cell r="C1004" t="str">
            <v>M</v>
          </cell>
          <cell r="D1004">
            <v>1</v>
          </cell>
          <cell r="E1004">
            <v>20763.68</v>
          </cell>
        </row>
        <row r="1005">
          <cell r="A1005" t="str">
            <v>1-06-31</v>
          </cell>
          <cell r="B1005" t="str">
            <v>Guarda escoba en baldosa tipo Terrazzo Nº 5 P5B h = 0,10 m</v>
          </cell>
          <cell r="C1005" t="str">
            <v>M</v>
          </cell>
          <cell r="D1005">
            <v>1</v>
          </cell>
          <cell r="E1005">
            <v>39179.839999999997</v>
          </cell>
        </row>
        <row r="1006">
          <cell r="A1006" t="str">
            <v>1-06-32</v>
          </cell>
          <cell r="B1006" t="str">
            <v>Guarda escoba en mortero 1:3, incluye esmalte</v>
          </cell>
          <cell r="C1006" t="str">
            <v>M</v>
          </cell>
          <cell r="D1006">
            <v>1</v>
          </cell>
          <cell r="E1006">
            <v>27312.32</v>
          </cell>
        </row>
        <row r="1007">
          <cell r="A1007" t="str">
            <v>1-06-33</v>
          </cell>
          <cell r="B1007" t="str">
            <v>Guarda escoba en granito pulido recto, incluye dilatación flexible ancha</v>
          </cell>
          <cell r="C1007" t="str">
            <v>M</v>
          </cell>
          <cell r="D1007">
            <v>1</v>
          </cell>
          <cell r="E1007">
            <v>52805.760000000002</v>
          </cell>
        </row>
        <row r="1008">
          <cell r="A1008" t="str">
            <v>1-06-34</v>
          </cell>
          <cell r="B1008" t="str">
            <v>Guarda escoba en gravilla lavada recto, incluye dilatación de vidrio, h = 0,10 m</v>
          </cell>
          <cell r="C1008" t="str">
            <v>M</v>
          </cell>
          <cell r="D1008">
            <v>1</v>
          </cell>
          <cell r="E1008">
            <v>32353.439999999999</v>
          </cell>
        </row>
        <row r="1009">
          <cell r="A1009" t="str">
            <v>1-06-35</v>
          </cell>
          <cell r="B1009" t="str">
            <v>Guarda escoba en lámina de vinilo h = 6,8 cm, C 1,6 mm</v>
          </cell>
          <cell r="C1009" t="str">
            <v>M</v>
          </cell>
          <cell r="D1009">
            <v>1</v>
          </cell>
          <cell r="E1009">
            <v>8526.56</v>
          </cell>
        </row>
        <row r="1010">
          <cell r="A1010" t="str">
            <v>1-06-36</v>
          </cell>
          <cell r="B1010" t="str">
            <v>Granito pulido para paso de escalera h = 0,30 ch = 0,175 m, incluye pirlán de bronce</v>
          </cell>
          <cell r="C1010" t="str">
            <v>M2</v>
          </cell>
          <cell r="D1010">
            <v>1</v>
          </cell>
          <cell r="E1010">
            <v>159461.12</v>
          </cell>
        </row>
        <row r="1011">
          <cell r="A1011" t="str">
            <v>1-06-37</v>
          </cell>
          <cell r="B1011" t="str">
            <v>Gravilla lavada para paso de escalera h = 0,30 ch = 0,175 m</v>
          </cell>
          <cell r="C1011" t="str">
            <v>M2</v>
          </cell>
          <cell r="D1011">
            <v>1</v>
          </cell>
          <cell r="E1011">
            <v>97574.399999999994</v>
          </cell>
        </row>
        <row r="1012">
          <cell r="A1012" t="str">
            <v>1-06-38</v>
          </cell>
          <cell r="B1012" t="str">
            <v>Gravilla lavada y tablón para paso de escalera h = 0,30 ch = 0,175 m</v>
          </cell>
          <cell r="C1012" t="str">
            <v>M2</v>
          </cell>
          <cell r="D1012">
            <v>1</v>
          </cell>
          <cell r="E1012">
            <v>108221.12</v>
          </cell>
        </row>
        <row r="1013">
          <cell r="A1013" t="str">
            <v>1-06-39</v>
          </cell>
          <cell r="B1013" t="str">
            <v>Zócalo en gravilla lavada, incluye dilataciones de vidrio</v>
          </cell>
          <cell r="C1013" t="str">
            <v>M2</v>
          </cell>
          <cell r="D1013">
            <v>1</v>
          </cell>
          <cell r="E1013">
            <v>69627.039999999994</v>
          </cell>
        </row>
        <row r="1014">
          <cell r="A1014" t="str">
            <v>1-06-40</v>
          </cell>
          <cell r="B1014" t="str">
            <v>Adoquín vehicular de concreto, incluye cemento en seco</v>
          </cell>
          <cell r="C1014" t="str">
            <v>M2</v>
          </cell>
          <cell r="D1014">
            <v>1</v>
          </cell>
          <cell r="E1014">
            <v>117762.4</v>
          </cell>
        </row>
        <row r="1015">
          <cell r="A1015" t="str">
            <v>1-06-41</v>
          </cell>
          <cell r="B1015" t="str">
            <v>Adoquín peatonal de concreto, incluye cemento en seco</v>
          </cell>
          <cell r="C1015" t="str">
            <v>M2</v>
          </cell>
          <cell r="D1015">
            <v>1</v>
          </cell>
          <cell r="E1015">
            <v>104974.24</v>
          </cell>
        </row>
        <row r="1016">
          <cell r="A1016" t="str">
            <v>1-06-42</v>
          </cell>
          <cell r="B1016" t="str">
            <v>Adoquín peatonal de gres, incluye cemento en seco</v>
          </cell>
          <cell r="C1016" t="str">
            <v>M2</v>
          </cell>
          <cell r="D1016">
            <v>1</v>
          </cell>
          <cell r="E1016">
            <v>92557.92</v>
          </cell>
        </row>
        <row r="1017">
          <cell r="A1017" t="str">
            <v>1-06-43</v>
          </cell>
          <cell r="B1017" t="str">
            <v>Abuzardado de concreto</v>
          </cell>
          <cell r="C1017" t="str">
            <v>M2</v>
          </cell>
          <cell r="D1017">
            <v>1</v>
          </cell>
          <cell r="E1017">
            <v>36491.839999999997</v>
          </cell>
        </row>
        <row r="1018">
          <cell r="A1018" t="str">
            <v>1-06-44</v>
          </cell>
          <cell r="B1018" t="str">
            <v>Pared en bloque de vidrio</v>
          </cell>
          <cell r="C1018" t="str">
            <v>M2</v>
          </cell>
          <cell r="D1018">
            <v>1</v>
          </cell>
          <cell r="E1018">
            <v>443216.48</v>
          </cell>
        </row>
        <row r="1019">
          <cell r="A1019" t="str">
            <v>1-06-45</v>
          </cell>
          <cell r="B1019" t="str">
            <v>Cenefa en ladrillo visto en soga 2 hiladas</v>
          </cell>
          <cell r="C1019" t="str">
            <v>M</v>
          </cell>
          <cell r="D1019">
            <v>1</v>
          </cell>
          <cell r="E1019">
            <v>73785.600000000006</v>
          </cell>
        </row>
        <row r="1020">
          <cell r="A1020" t="str">
            <v>1-06-46</v>
          </cell>
          <cell r="B1020" t="str">
            <v>Boca puerta en granito pulido, incluye dilataciones de bronce, a = 0,15 m</v>
          </cell>
          <cell r="C1020" t="str">
            <v>M</v>
          </cell>
          <cell r="D1020">
            <v>1</v>
          </cell>
          <cell r="E1020">
            <v>49104.160000000003</v>
          </cell>
        </row>
        <row r="1021">
          <cell r="A1021" t="str">
            <v>1-06-47</v>
          </cell>
          <cell r="B1021" t="str">
            <v>Pirlán de bronce en gravilla o grano</v>
          </cell>
          <cell r="C1021" t="str">
            <v>M</v>
          </cell>
          <cell r="D1021">
            <v>1</v>
          </cell>
          <cell r="E1021">
            <v>34428.800000000003</v>
          </cell>
        </row>
        <row r="1022">
          <cell r="A1022" t="str">
            <v>1-06-48</v>
          </cell>
          <cell r="B1022" t="str">
            <v>Pirlán de bronce en cerámica</v>
          </cell>
          <cell r="C1022" t="str">
            <v>M</v>
          </cell>
          <cell r="D1022">
            <v>1</v>
          </cell>
          <cell r="E1022">
            <v>33202.400000000001</v>
          </cell>
        </row>
        <row r="1023">
          <cell r="A1023" t="str">
            <v>1 - 07 PINTURAS</v>
          </cell>
          <cell r="E1023">
            <v>0</v>
          </cell>
        </row>
        <row r="1024">
          <cell r="A1024" t="str">
            <v>1-07-01</v>
          </cell>
          <cell r="B1024" t="str">
            <v>Estuco y pintura muros 3 manos</v>
          </cell>
          <cell r="C1024" t="str">
            <v>M2</v>
          </cell>
          <cell r="D1024">
            <v>1</v>
          </cell>
          <cell r="E1024">
            <v>31093.439999999999</v>
          </cell>
        </row>
        <row r="1025">
          <cell r="A1025" t="str">
            <v>1-07-02</v>
          </cell>
          <cell r="B1025" t="str">
            <v>Estuco y pintura cielo raso 3 manos</v>
          </cell>
          <cell r="C1025" t="str">
            <v>M2</v>
          </cell>
          <cell r="D1025">
            <v>1</v>
          </cell>
          <cell r="E1025">
            <v>37685.760000000002</v>
          </cell>
        </row>
        <row r="1026">
          <cell r="A1026" t="str">
            <v>1-07-03</v>
          </cell>
          <cell r="B1026" t="str">
            <v>Pintura exteriores (koraza o similar)</v>
          </cell>
          <cell r="C1026" t="str">
            <v>M2</v>
          </cell>
          <cell r="D1026">
            <v>1</v>
          </cell>
          <cell r="E1026">
            <v>35420</v>
          </cell>
        </row>
        <row r="1027">
          <cell r="A1027" t="str">
            <v>1-07-04</v>
          </cell>
          <cell r="B1027" t="str">
            <v>Pintura y resane vinilo</v>
          </cell>
          <cell r="C1027" t="str">
            <v>M2</v>
          </cell>
          <cell r="D1027">
            <v>1</v>
          </cell>
          <cell r="E1027">
            <v>22426.880000000001</v>
          </cell>
        </row>
        <row r="1028">
          <cell r="A1028" t="str">
            <v>1-07-05</v>
          </cell>
          <cell r="B1028" t="str">
            <v>Pintura con esmalte</v>
          </cell>
          <cell r="C1028" t="str">
            <v>M2</v>
          </cell>
          <cell r="D1028">
            <v>1</v>
          </cell>
          <cell r="E1028">
            <v>29858.080000000002</v>
          </cell>
        </row>
        <row r="1029">
          <cell r="A1029" t="str">
            <v>1-07-06</v>
          </cell>
          <cell r="B1029" t="str">
            <v>Pintura con barniz</v>
          </cell>
          <cell r="C1029" t="str">
            <v>M2</v>
          </cell>
          <cell r="D1029">
            <v>1</v>
          </cell>
          <cell r="E1029">
            <v>31728.48</v>
          </cell>
        </row>
        <row r="1030">
          <cell r="A1030" t="str">
            <v>1-07-07</v>
          </cell>
          <cell r="B1030" t="str">
            <v>Pintura y resane con vinilo cielo raso, incluye dilataciones y filos</v>
          </cell>
          <cell r="C1030" t="str">
            <v>M2</v>
          </cell>
          <cell r="D1030">
            <v>1</v>
          </cell>
          <cell r="E1030">
            <v>33294.239999999998</v>
          </cell>
        </row>
        <row r="1031">
          <cell r="A1031" t="str">
            <v>1-07-08</v>
          </cell>
          <cell r="B1031" t="str">
            <v xml:space="preserve">Pintura con vinilo, incluye dilataciones y filos </v>
          </cell>
          <cell r="C1031" t="str">
            <v>M2</v>
          </cell>
          <cell r="D1031">
            <v>1</v>
          </cell>
          <cell r="E1031">
            <v>23873.919999999998</v>
          </cell>
        </row>
        <row r="1032">
          <cell r="A1032" t="str">
            <v>1-07-09</v>
          </cell>
          <cell r="B1032" t="str">
            <v>Pintura cielo raso con vinilo</v>
          </cell>
          <cell r="C1032" t="str">
            <v>M2</v>
          </cell>
          <cell r="D1032">
            <v>1</v>
          </cell>
          <cell r="E1032">
            <v>27081.599999999999</v>
          </cell>
        </row>
        <row r="1033">
          <cell r="A1033" t="str">
            <v>1-07-10</v>
          </cell>
          <cell r="B1033" t="str">
            <v>Pintura con esmalte estructura metálica</v>
          </cell>
          <cell r="C1033" t="str">
            <v>M2</v>
          </cell>
          <cell r="D1033">
            <v>1</v>
          </cell>
          <cell r="E1033">
            <v>38721.760000000002</v>
          </cell>
        </row>
        <row r="1034">
          <cell r="A1034" t="str">
            <v>1-07-11</v>
          </cell>
          <cell r="B1034" t="str">
            <v>Pintura transparente protectora de fachadas para muro en bloques o ladrillo, incluye filos y dilataciones</v>
          </cell>
          <cell r="C1034" t="str">
            <v>M2</v>
          </cell>
          <cell r="D1034">
            <v>1</v>
          </cell>
          <cell r="E1034">
            <v>47150.879999999997</v>
          </cell>
        </row>
        <row r="1035">
          <cell r="A1035" t="str">
            <v>1-07-12</v>
          </cell>
          <cell r="B1035" t="str">
            <v>Pintura texturizada hidrorepelente</v>
          </cell>
          <cell r="C1035" t="str">
            <v>M2</v>
          </cell>
          <cell r="D1035">
            <v>1</v>
          </cell>
          <cell r="E1035">
            <v>37384.480000000003</v>
          </cell>
        </row>
        <row r="1036">
          <cell r="A1036" t="str">
            <v>1-07-13</v>
          </cell>
          <cell r="B1036" t="str">
            <v>Graniplast</v>
          </cell>
          <cell r="C1036" t="str">
            <v>M2</v>
          </cell>
          <cell r="D1036">
            <v>1</v>
          </cell>
          <cell r="E1036">
            <v>37718.239999999998</v>
          </cell>
        </row>
        <row r="1037">
          <cell r="A1037" t="str">
            <v>1-07-14</v>
          </cell>
          <cell r="B1037" t="str">
            <v>Pintura con esmalte guarda escobas, h = 0,10 m, incluye resane</v>
          </cell>
          <cell r="C1037" t="str">
            <v>M</v>
          </cell>
          <cell r="D1037">
            <v>1</v>
          </cell>
          <cell r="E1037">
            <v>8267.84</v>
          </cell>
        </row>
        <row r="1038">
          <cell r="A1038" t="str">
            <v>1-07-15</v>
          </cell>
          <cell r="B1038" t="str">
            <v>Blanqueamiento con carburo (cal)</v>
          </cell>
          <cell r="C1038" t="str">
            <v>M2</v>
          </cell>
          <cell r="D1038">
            <v>1</v>
          </cell>
          <cell r="E1038">
            <v>47150.879999999997</v>
          </cell>
        </row>
        <row r="1039">
          <cell r="A1039" t="str">
            <v>1-07-16</v>
          </cell>
          <cell r="B1039" t="str">
            <v>Carburo para teja ondulada (cal)</v>
          </cell>
          <cell r="C1039" t="str">
            <v>M2</v>
          </cell>
          <cell r="D1039">
            <v>1</v>
          </cell>
          <cell r="E1039">
            <v>33249.440000000002</v>
          </cell>
        </row>
        <row r="1040">
          <cell r="A1040" t="str">
            <v>1-07-17</v>
          </cell>
          <cell r="B1040" t="str">
            <v>Carburo para canaleta (cal)</v>
          </cell>
          <cell r="C1040" t="str">
            <v>M2</v>
          </cell>
          <cell r="D1040">
            <v>1</v>
          </cell>
          <cell r="E1040">
            <v>35062.720000000001</v>
          </cell>
        </row>
        <row r="1041">
          <cell r="A1041" t="str">
            <v>1-07-18</v>
          </cell>
          <cell r="B1041" t="str">
            <v>Pintura reflectiva de aluminio, incluye filos y dilataciones mínimo 2 manos</v>
          </cell>
          <cell r="C1041" t="str">
            <v>M2</v>
          </cell>
          <cell r="D1041">
            <v>1</v>
          </cell>
          <cell r="E1041">
            <v>37283.68</v>
          </cell>
        </row>
        <row r="1042">
          <cell r="A1042" t="str">
            <v>1 - 08 CUBIERTAS</v>
          </cell>
          <cell r="E1042">
            <v>0</v>
          </cell>
        </row>
        <row r="1043">
          <cell r="A1043" t="str">
            <v>1-08-01</v>
          </cell>
          <cell r="B1043" t="str">
            <v>Recorrido de techos en teja de barro</v>
          </cell>
          <cell r="C1043" t="str">
            <v>M2</v>
          </cell>
          <cell r="D1043">
            <v>1</v>
          </cell>
          <cell r="E1043">
            <v>11677.119999999999</v>
          </cell>
        </row>
        <row r="1044">
          <cell r="A1044" t="str">
            <v>1-08-02</v>
          </cell>
          <cell r="B1044" t="str">
            <v>Recorrido de techos de fibrocemento, incluye reacomodación de tejas, limpieza, reparación de amarras y/o ganchos</v>
          </cell>
          <cell r="C1044" t="str">
            <v>M2</v>
          </cell>
          <cell r="D1044">
            <v>1</v>
          </cell>
          <cell r="E1044">
            <v>9815.68</v>
          </cell>
        </row>
        <row r="1045">
          <cell r="A1045" t="str">
            <v>1-08-03</v>
          </cell>
          <cell r="B1045" t="str">
            <v>Recorrido de canales, incluye reacomodación de la canal, reacomodación de soportes y limpieza</v>
          </cell>
          <cell r="C1045" t="str">
            <v>M</v>
          </cell>
          <cell r="D1045">
            <v>1</v>
          </cell>
          <cell r="E1045">
            <v>9560.32</v>
          </cell>
        </row>
        <row r="1046">
          <cell r="A1046" t="str">
            <v>1-08-04</v>
          </cell>
          <cell r="B1046" t="str">
            <v>Techo en teja ondulada de fibrocemento</v>
          </cell>
          <cell r="C1046" t="str">
            <v>M2</v>
          </cell>
          <cell r="D1046">
            <v>1</v>
          </cell>
          <cell r="E1046">
            <v>36389.919999999998</v>
          </cell>
        </row>
        <row r="1047">
          <cell r="A1047" t="str">
            <v>1-08-05</v>
          </cell>
          <cell r="B1047" t="str">
            <v>Techo en teja ondulada transparente</v>
          </cell>
          <cell r="C1047" t="str">
            <v>M2</v>
          </cell>
          <cell r="D1047">
            <v>1</v>
          </cell>
          <cell r="E1047">
            <v>101514.56</v>
          </cell>
        </row>
        <row r="1048">
          <cell r="A1048" t="str">
            <v>1-08-06</v>
          </cell>
          <cell r="B1048" t="str">
            <v>Techo en teja ondulada de fibrocemento tipo  española</v>
          </cell>
          <cell r="C1048" t="str">
            <v>M2</v>
          </cell>
          <cell r="D1048">
            <v>1</v>
          </cell>
          <cell r="E1048">
            <v>137613.28</v>
          </cell>
        </row>
        <row r="1049">
          <cell r="A1049" t="str">
            <v>1-08-07</v>
          </cell>
          <cell r="B1049" t="str">
            <v>Techo en teja de barro, incluye manto impermeabilizante, esterilla y mortero 1:3 impermeabilizado</v>
          </cell>
          <cell r="C1049" t="str">
            <v>M2</v>
          </cell>
          <cell r="D1049">
            <v>1</v>
          </cell>
          <cell r="E1049">
            <v>159559.67999999999</v>
          </cell>
        </row>
        <row r="1050">
          <cell r="A1050" t="str">
            <v>1-08-08</v>
          </cell>
          <cell r="B1050" t="str">
            <v>Techo en teja de zinc, incluye entramado de madera</v>
          </cell>
          <cell r="C1050" t="str">
            <v>M2</v>
          </cell>
          <cell r="D1050">
            <v>1</v>
          </cell>
          <cell r="E1050">
            <v>47061.279999999999</v>
          </cell>
        </row>
        <row r="1051">
          <cell r="A1051" t="str">
            <v>1-08-09</v>
          </cell>
          <cell r="B1051" t="str">
            <v>Techo en teja thermoacustic</v>
          </cell>
          <cell r="C1051" t="str">
            <v>M2</v>
          </cell>
          <cell r="D1051">
            <v>1</v>
          </cell>
          <cell r="E1051">
            <v>115351.03999999999</v>
          </cell>
        </row>
        <row r="1052">
          <cell r="A1052" t="str">
            <v>1-08-10</v>
          </cell>
          <cell r="B1052" t="str">
            <v>Caballete fijo para teja ondulada de fibrocemento</v>
          </cell>
          <cell r="C1052" t="str">
            <v>M</v>
          </cell>
          <cell r="D1052">
            <v>1</v>
          </cell>
          <cell r="E1052">
            <v>64097.599999999999</v>
          </cell>
        </row>
        <row r="1053">
          <cell r="A1053" t="str">
            <v>1-08-11</v>
          </cell>
          <cell r="B1053" t="str">
            <v>Caballete articulado para teja ondulada de fibrocemento tipo española</v>
          </cell>
          <cell r="C1053" t="str">
            <v>M</v>
          </cell>
          <cell r="D1053">
            <v>1</v>
          </cell>
          <cell r="E1053">
            <v>93570.4</v>
          </cell>
        </row>
        <row r="1054">
          <cell r="A1054" t="str">
            <v>1-08-12</v>
          </cell>
          <cell r="B1054" t="str">
            <v>Caballete fijo para teja thermoacustic</v>
          </cell>
          <cell r="C1054" t="str">
            <v>M</v>
          </cell>
          <cell r="D1054">
            <v>1</v>
          </cell>
          <cell r="E1054">
            <v>96587.68</v>
          </cell>
        </row>
        <row r="1055">
          <cell r="A1055" t="str">
            <v>1-08-13</v>
          </cell>
          <cell r="B1055" t="str">
            <v>Claraboya de A. C. Nº 6, incluye vidrio de 4 mm</v>
          </cell>
          <cell r="C1055" t="str">
            <v>Un</v>
          </cell>
          <cell r="D1055">
            <v>1</v>
          </cell>
          <cell r="E1055">
            <v>131453.28</v>
          </cell>
        </row>
        <row r="1056">
          <cell r="A1056" t="str">
            <v>1-08-14</v>
          </cell>
          <cell r="B1056" t="str">
            <v>Limatesa o limahoya de fibrocemento</v>
          </cell>
          <cell r="C1056" t="str">
            <v>M</v>
          </cell>
          <cell r="D1056">
            <v>1</v>
          </cell>
          <cell r="E1056">
            <v>36925.279999999999</v>
          </cell>
        </row>
        <row r="1057">
          <cell r="A1057" t="str">
            <v>1-08-15</v>
          </cell>
          <cell r="B1057" t="str">
            <v>Cielo falso en laminas de PVC</v>
          </cell>
          <cell r="C1057" t="str">
            <v>M2</v>
          </cell>
          <cell r="D1057">
            <v>1</v>
          </cell>
          <cell r="E1057">
            <v>74758.880000000005</v>
          </cell>
        </row>
        <row r="1058">
          <cell r="A1058" t="str">
            <v>1-08-16</v>
          </cell>
          <cell r="B1058" t="str">
            <v>Cielo falso en aluminio natural e icopor perlita lisa</v>
          </cell>
          <cell r="C1058" t="str">
            <v>M2</v>
          </cell>
          <cell r="D1058">
            <v>1</v>
          </cell>
          <cell r="E1058">
            <v>34861.120000000003</v>
          </cell>
        </row>
        <row r="1059">
          <cell r="A1059" t="str">
            <v>1-08-17</v>
          </cell>
          <cell r="B1059" t="str">
            <v>Cielo falso en aluminio anoloc e icopor perlita lisa</v>
          </cell>
          <cell r="C1059" t="str">
            <v>M2</v>
          </cell>
          <cell r="D1059">
            <v>1</v>
          </cell>
          <cell r="E1059">
            <v>35248.639999999999</v>
          </cell>
        </row>
        <row r="1060">
          <cell r="A1060" t="str">
            <v>1-08-18</v>
          </cell>
          <cell r="B1060" t="str">
            <v>Cielo falso en panel de yeso, incluye pintura</v>
          </cell>
          <cell r="C1060" t="str">
            <v>M2</v>
          </cell>
          <cell r="D1060">
            <v>1</v>
          </cell>
          <cell r="E1060">
            <v>95186.559999999998</v>
          </cell>
        </row>
        <row r="1061">
          <cell r="A1061" t="str">
            <v>1-08-19</v>
          </cell>
          <cell r="B1061" t="str">
            <v>Cielo falso duracustic en aluminio blanco</v>
          </cell>
          <cell r="C1061" t="str">
            <v>M2</v>
          </cell>
          <cell r="D1061">
            <v>1</v>
          </cell>
          <cell r="E1061">
            <v>67849.600000000006</v>
          </cell>
        </row>
        <row r="1062">
          <cell r="A1062" t="str">
            <v>1-08-20</v>
          </cell>
          <cell r="B1062" t="str">
            <v>Cielo falso duracustic en aluminio anoloc</v>
          </cell>
          <cell r="C1062" t="str">
            <v>M2</v>
          </cell>
          <cell r="D1062">
            <v>1</v>
          </cell>
          <cell r="E1062">
            <v>67849.600000000006</v>
          </cell>
        </row>
        <row r="1063">
          <cell r="A1063" t="str">
            <v>1-08-21</v>
          </cell>
          <cell r="B1063" t="str">
            <v>Cielo falso duracustic en aluminio natural</v>
          </cell>
          <cell r="C1063" t="str">
            <v>M2</v>
          </cell>
          <cell r="D1063">
            <v>1</v>
          </cell>
          <cell r="E1063">
            <v>67462.080000000002</v>
          </cell>
        </row>
        <row r="1064">
          <cell r="A1064" t="str">
            <v>1-08-22</v>
          </cell>
          <cell r="B1064" t="str">
            <v>Cielo falso en luxalón todo costo (instalado)</v>
          </cell>
          <cell r="C1064" t="str">
            <v>M2</v>
          </cell>
          <cell r="D1064">
            <v>1</v>
          </cell>
          <cell r="E1064">
            <v>314007.67999999999</v>
          </cell>
        </row>
        <row r="1065">
          <cell r="A1065" t="str">
            <v>1-08-23</v>
          </cell>
          <cell r="B1065" t="str">
            <v>Canal en lámina galvanizada C 22, longitud de desarrollo 0,7 m</v>
          </cell>
          <cell r="C1065" t="str">
            <v>M</v>
          </cell>
          <cell r="D1065">
            <v>1</v>
          </cell>
          <cell r="E1065">
            <v>97090.559999999998</v>
          </cell>
        </row>
        <row r="1066">
          <cell r="A1066" t="str">
            <v>1-08-24</v>
          </cell>
          <cell r="B1066" t="str">
            <v>Flanshing (flanche) en lámina galvanizada C 26, incluye mortero 1:3 impermeabilizado</v>
          </cell>
          <cell r="C1066" t="str">
            <v>M</v>
          </cell>
          <cell r="D1066">
            <v>1</v>
          </cell>
          <cell r="E1066">
            <v>33502.559999999998</v>
          </cell>
        </row>
        <row r="1067">
          <cell r="A1067" t="str">
            <v>1-08-25</v>
          </cell>
          <cell r="B1067" t="str">
            <v>Reinstalación cielo falso en icopor, duracustic o similar, con junta, incluye estructura de aluminio, reposiciones y pintura</v>
          </cell>
          <cell r="C1067" t="str">
            <v>M2</v>
          </cell>
          <cell r="D1067">
            <v>1</v>
          </cell>
          <cell r="E1067">
            <v>36729.279999999999</v>
          </cell>
        </row>
        <row r="1068">
          <cell r="A1068" t="str">
            <v>1-08-26</v>
          </cell>
          <cell r="B1068" t="str">
            <v>Suministro y colocación de Frescasa</v>
          </cell>
          <cell r="C1068" t="str">
            <v>M2</v>
          </cell>
          <cell r="D1068">
            <v>1</v>
          </cell>
          <cell r="E1068">
            <v>38360</v>
          </cell>
        </row>
        <row r="1069">
          <cell r="A1069" t="str">
            <v>1-08-27</v>
          </cell>
          <cell r="B1069" t="str">
            <v>Suministro y colocación de perlín metálico para cubierta, incluye anticorrosivo y pintura</v>
          </cell>
          <cell r="C1069" t="str">
            <v>M</v>
          </cell>
          <cell r="D1069">
            <v>1</v>
          </cell>
          <cell r="E1069">
            <v>46532.639999999999</v>
          </cell>
        </row>
        <row r="1070">
          <cell r="A1070" t="str">
            <v>1-08-28</v>
          </cell>
          <cell r="B1070" t="str">
            <v>Techo en teja thermoacustic</v>
          </cell>
          <cell r="C1070" t="str">
            <v>M2</v>
          </cell>
          <cell r="D1070">
            <v>1</v>
          </cell>
          <cell r="E1070">
            <v>56203.839999999997</v>
          </cell>
        </row>
        <row r="1071">
          <cell r="A1071" t="str">
            <v>1 - 09 CARPINTERÍA METÁLICA</v>
          </cell>
          <cell r="E1071">
            <v>0</v>
          </cell>
        </row>
        <row r="1072">
          <cell r="A1072" t="str">
            <v>1-09-01</v>
          </cell>
          <cell r="B1072" t="str">
            <v>Puerta en tubería galvanizada de 1 1/2" para cerramiento, incluye excavación, columnas de 20,7 Mpa (3000 PSI), refuerzo, pasador h = 2 m, a = 0,9 m</v>
          </cell>
          <cell r="C1072" t="str">
            <v>Un</v>
          </cell>
          <cell r="D1072">
            <v>1</v>
          </cell>
          <cell r="E1072">
            <v>1061235.8400000001</v>
          </cell>
        </row>
        <row r="1073">
          <cell r="A1073" t="str">
            <v>1-09-02</v>
          </cell>
          <cell r="B1073" t="str">
            <v>Puerta en ángulo y malla eslabonada para cerramiento, incluye manija, pasador, anticorrosivo y pintura</v>
          </cell>
          <cell r="C1073" t="str">
            <v>M2</v>
          </cell>
          <cell r="D1073">
            <v>1</v>
          </cell>
          <cell r="E1073">
            <v>470910.71999999997</v>
          </cell>
        </row>
        <row r="1074">
          <cell r="A1074" t="str">
            <v>1-09-03</v>
          </cell>
          <cell r="B1074" t="str">
            <v>Puerta en lámina C 20 0,60 x 2,05 m, incluye anticorrosivo, pintura, chapa, manija y tope</v>
          </cell>
          <cell r="C1074" t="str">
            <v>Un</v>
          </cell>
          <cell r="D1074">
            <v>1</v>
          </cell>
          <cell r="E1074">
            <v>575872.64</v>
          </cell>
        </row>
        <row r="1075">
          <cell r="A1075" t="str">
            <v>1-09-04</v>
          </cell>
          <cell r="B1075" t="str">
            <v>Puerta en lámina C 20 0,80 x 2,05 m, incluye anticorrosivo, pintura, chapa portón, manija y tope</v>
          </cell>
          <cell r="C1075" t="str">
            <v>Un</v>
          </cell>
          <cell r="D1075">
            <v>1</v>
          </cell>
          <cell r="E1075">
            <v>599157.43999999994</v>
          </cell>
        </row>
        <row r="1076">
          <cell r="A1076" t="str">
            <v>1-09-05</v>
          </cell>
          <cell r="B1076" t="str">
            <v>Puerta en lámina C 20 0,90 x 2,05 m, incluye anticorrosivo, pintura, chapa portón, manija y tope</v>
          </cell>
          <cell r="C1076" t="str">
            <v>Un</v>
          </cell>
          <cell r="D1076">
            <v>1</v>
          </cell>
          <cell r="E1076">
            <v>640320.80000000005</v>
          </cell>
        </row>
        <row r="1077">
          <cell r="A1077" t="str">
            <v>1-09-06</v>
          </cell>
          <cell r="B1077" t="str">
            <v>Puerta en lámina C 20 1,00 x 2,05 m, incluye anticorrosivo, pintura, chapa portón, manija y tope</v>
          </cell>
          <cell r="C1077" t="str">
            <v>Un</v>
          </cell>
          <cell r="D1077">
            <v>1</v>
          </cell>
          <cell r="E1077">
            <v>692790.56</v>
          </cell>
        </row>
        <row r="1078">
          <cell r="A1078" t="str">
            <v>1-09-07</v>
          </cell>
          <cell r="B1078" t="str">
            <v>Puerta en lámina C 20 1,20 x 2,05 m (2 naves), incluye anticorrosivo, pintura, chapa tipo portón, manija y tope</v>
          </cell>
          <cell r="C1078" t="str">
            <v>Un</v>
          </cell>
          <cell r="D1078">
            <v>1</v>
          </cell>
          <cell r="E1078">
            <v>1129696.96</v>
          </cell>
        </row>
        <row r="1079">
          <cell r="A1079" t="str">
            <v>1-09-08</v>
          </cell>
          <cell r="B1079" t="str">
            <v>Ventana metálica en lámina C 20, incluye anticorrosivo, pintura y vidrio de 4 mm</v>
          </cell>
          <cell r="C1079" t="str">
            <v>M2</v>
          </cell>
          <cell r="D1079">
            <v>1</v>
          </cell>
          <cell r="E1079">
            <v>341826.24</v>
          </cell>
        </row>
        <row r="1080">
          <cell r="A1080" t="str">
            <v>1-09-09</v>
          </cell>
          <cell r="B1080" t="str">
            <v>Ventana metálica en lámina C 20 de seguridad, incluye anticorrosivo, pintura y vidrio de 4 mm</v>
          </cell>
          <cell r="C1080" t="str">
            <v>M2</v>
          </cell>
          <cell r="D1080">
            <v>1</v>
          </cell>
          <cell r="E1080">
            <v>278318.88</v>
          </cell>
        </row>
        <row r="1081">
          <cell r="A1081" t="str">
            <v>1-09-10</v>
          </cell>
          <cell r="B1081" t="str">
            <v>Ventana metálica en ángulo 1" x 1/8", incluye anticorrosivo, pintura y vidrio de 4 mm</v>
          </cell>
          <cell r="C1081" t="str">
            <v>M2</v>
          </cell>
          <cell r="D1081">
            <v>1</v>
          </cell>
          <cell r="E1081">
            <v>248296.16</v>
          </cell>
        </row>
        <row r="1082">
          <cell r="A1082" t="str">
            <v>1-09-11</v>
          </cell>
          <cell r="B1082" t="str">
            <v>Ventana en aluminio int negro corrediza, incluye vidrio de 6 mm</v>
          </cell>
          <cell r="C1082" t="str">
            <v>M2</v>
          </cell>
          <cell r="D1082">
            <v>1</v>
          </cell>
          <cell r="E1082">
            <v>405437.76</v>
          </cell>
        </row>
        <row r="1083">
          <cell r="A1083" t="str">
            <v>1-09-12</v>
          </cell>
          <cell r="B1083" t="str">
            <v>División metálica en lámina doble C 20 h = 1,60 m, incluye anticorrosivo, pintura y anclajes</v>
          </cell>
          <cell r="C1083" t="str">
            <v>M2</v>
          </cell>
          <cell r="D1083">
            <v>1</v>
          </cell>
          <cell r="E1083">
            <v>495131.83999999997</v>
          </cell>
        </row>
        <row r="1084">
          <cell r="A1084" t="str">
            <v>1-09-13</v>
          </cell>
          <cell r="B1084" t="str">
            <v>Reja metálica de seguridad de 1/2" en varilla cuadrada, incluye anticorrosivo y pintura</v>
          </cell>
          <cell r="C1084" t="str">
            <v>M2</v>
          </cell>
          <cell r="D1084">
            <v>1</v>
          </cell>
          <cell r="E1084">
            <v>244575.52</v>
          </cell>
        </row>
        <row r="1085">
          <cell r="A1085" t="str">
            <v>1-09-14</v>
          </cell>
          <cell r="B1085" t="str">
            <v>Reja metálica de seguridad en varilla redonda 1/2 " de alta, incluye anticorrosivo y pintura</v>
          </cell>
          <cell r="C1085" t="str">
            <v>M2</v>
          </cell>
          <cell r="D1085">
            <v>1</v>
          </cell>
          <cell r="E1085">
            <v>225537.76</v>
          </cell>
        </row>
        <row r="1086">
          <cell r="A1086" t="str">
            <v>1-09-15</v>
          </cell>
          <cell r="B1086" t="str">
            <v>Rejilla metálica para cañuela, incluye bisagras, anticorrosivo y pintura, a = 0,3 m</v>
          </cell>
          <cell r="C1086" t="str">
            <v>M</v>
          </cell>
          <cell r="D1086">
            <v>1</v>
          </cell>
          <cell r="E1086">
            <v>181456.8</v>
          </cell>
        </row>
        <row r="1087">
          <cell r="A1087" t="str">
            <v>1-09-16</v>
          </cell>
          <cell r="B1087" t="str">
            <v>Cercha metálica triangular de 5 - 12 m, incluye templetes, anticorrosivo y pintura</v>
          </cell>
          <cell r="C1087" t="str">
            <v>M</v>
          </cell>
          <cell r="D1087">
            <v>1</v>
          </cell>
          <cell r="E1087">
            <v>193048.8</v>
          </cell>
        </row>
        <row r="1088">
          <cell r="A1088" t="str">
            <v>1-09-17</v>
          </cell>
          <cell r="B1088" t="str">
            <v>Correa metálica de 1 - 4  m, incluye templetes, anticorrosivo y pintura</v>
          </cell>
          <cell r="C1088" t="str">
            <v>M</v>
          </cell>
          <cell r="D1088">
            <v>1</v>
          </cell>
          <cell r="E1088">
            <v>80320.800000000003</v>
          </cell>
        </row>
        <row r="1089">
          <cell r="A1089" t="str">
            <v>1-09-18</v>
          </cell>
          <cell r="B1089" t="str">
            <v>Correa metálica de 4 - 8  m, incluye templetes, anticorrosivo y pintura</v>
          </cell>
          <cell r="C1089" t="str">
            <v>M</v>
          </cell>
          <cell r="D1089">
            <v>1</v>
          </cell>
          <cell r="E1089">
            <v>119196</v>
          </cell>
        </row>
        <row r="1090">
          <cell r="A1090" t="str">
            <v>1-09-19</v>
          </cell>
          <cell r="B1090" t="str">
            <v>Puerta para división en lámina doble C 20 h = 1,60 m, incluye anticorrosivo</v>
          </cell>
          <cell r="C1090" t="str">
            <v>Un</v>
          </cell>
          <cell r="D1090">
            <v>1</v>
          </cell>
          <cell r="E1090">
            <v>798125.44</v>
          </cell>
        </row>
        <row r="1091">
          <cell r="A1091" t="str">
            <v>1-09-20</v>
          </cell>
          <cell r="B1091" t="str">
            <v>Reinstalación puerta en lámina, suministro de marco en lámina, incluye resane, anticorrosivo y pintura</v>
          </cell>
          <cell r="C1091" t="str">
            <v>Un</v>
          </cell>
          <cell r="D1091">
            <v>1</v>
          </cell>
          <cell r="E1091">
            <v>295443.68</v>
          </cell>
        </row>
        <row r="1092">
          <cell r="A1092" t="str">
            <v>1-09-21</v>
          </cell>
          <cell r="B1092" t="str">
            <v>Reinstalación puerta, suministro de marco en lámina 2 naves, incluye resane, anticorrosivo y pintura</v>
          </cell>
          <cell r="C1092" t="str">
            <v>Un</v>
          </cell>
          <cell r="D1092">
            <v>1</v>
          </cell>
          <cell r="E1092">
            <v>434944.16</v>
          </cell>
        </row>
        <row r="1093">
          <cell r="A1093" t="str">
            <v>1-09-22</v>
          </cell>
          <cell r="B1093" t="str">
            <v>Columpio metálico de 3 puestos, pintado e instalado</v>
          </cell>
          <cell r="C1093" t="str">
            <v>Un</v>
          </cell>
          <cell r="D1093">
            <v>1</v>
          </cell>
          <cell r="E1093">
            <v>2684535.84</v>
          </cell>
        </row>
        <row r="1094">
          <cell r="A1094" t="str">
            <v>1-09-23</v>
          </cell>
          <cell r="B1094" t="str">
            <v>Columpio metálico de 2 puestos, pintado e instalado</v>
          </cell>
          <cell r="C1094" t="str">
            <v>Un</v>
          </cell>
          <cell r="D1094">
            <v>1</v>
          </cell>
          <cell r="E1094">
            <v>2101333.92</v>
          </cell>
        </row>
        <row r="1095">
          <cell r="A1095" t="str">
            <v>1-09-24</v>
          </cell>
          <cell r="B1095" t="str">
            <v>Pasamanos con casita metálico, pintado e instalado</v>
          </cell>
          <cell r="C1095" t="str">
            <v>Un</v>
          </cell>
          <cell r="D1095">
            <v>1</v>
          </cell>
          <cell r="E1095">
            <v>8520771.8399999999</v>
          </cell>
        </row>
        <row r="1096">
          <cell r="A1096" t="str">
            <v>1-09-25</v>
          </cell>
          <cell r="B1096" t="str">
            <v>Balancín doble metálico, pintado e instalado</v>
          </cell>
          <cell r="C1096" t="str">
            <v>Un</v>
          </cell>
          <cell r="D1096">
            <v>1</v>
          </cell>
          <cell r="E1096">
            <v>1370355.84</v>
          </cell>
        </row>
        <row r="1097">
          <cell r="A1097" t="str">
            <v>1-09-26</v>
          </cell>
          <cell r="B1097" t="str">
            <v>Pasamanos sencillo metálico, pintado e instalado</v>
          </cell>
          <cell r="C1097" t="str">
            <v>Un</v>
          </cell>
          <cell r="D1097">
            <v>1</v>
          </cell>
          <cell r="E1097">
            <v>1955173.92</v>
          </cell>
        </row>
        <row r="1098">
          <cell r="A1098" t="str">
            <v>1-09-27</v>
          </cell>
          <cell r="B1098" t="str">
            <v>División para baño en aluminio anoloc y acrílico, incluye instalación todo costo</v>
          </cell>
          <cell r="C1098" t="str">
            <v>M2</v>
          </cell>
          <cell r="D1098">
            <v>1</v>
          </cell>
          <cell r="E1098">
            <v>442400</v>
          </cell>
        </row>
        <row r="1099">
          <cell r="A1099" t="str">
            <v>1-09-28</v>
          </cell>
          <cell r="B1099" t="str">
            <v>Reinstalación ventana de aluminio</v>
          </cell>
          <cell r="C1099" t="str">
            <v>M2</v>
          </cell>
          <cell r="D1099">
            <v>1</v>
          </cell>
          <cell r="E1099">
            <v>42308</v>
          </cell>
        </row>
        <row r="1100">
          <cell r="A1100" t="str">
            <v>1-09-29</v>
          </cell>
          <cell r="B1100" t="str">
            <v>Reinstalación puerta y marco en lámina, incluye resane y pintura</v>
          </cell>
          <cell r="C1100" t="str">
            <v>Un</v>
          </cell>
          <cell r="D1100">
            <v>1</v>
          </cell>
          <cell r="E1100">
            <v>178193.12</v>
          </cell>
        </row>
        <row r="1101">
          <cell r="A1101" t="str">
            <v>1-09-30</v>
          </cell>
          <cell r="B1101" t="str">
            <v>Reinstalación puerta y marco en lámina 2 naves, incluye resane y pintura</v>
          </cell>
          <cell r="C1101" t="str">
            <v>Un</v>
          </cell>
          <cell r="D1101">
            <v>1</v>
          </cell>
          <cell r="E1101">
            <v>204057.28</v>
          </cell>
        </row>
        <row r="1102">
          <cell r="A1102" t="str">
            <v>1-09-31</v>
          </cell>
          <cell r="B1102" t="str">
            <v>Reinstalación ventana metálica en lámina, incluye pintura</v>
          </cell>
          <cell r="C1102" t="str">
            <v>M2</v>
          </cell>
          <cell r="D1102">
            <v>1</v>
          </cell>
          <cell r="E1102">
            <v>79680.160000000003</v>
          </cell>
        </row>
        <row r="1103">
          <cell r="A1103" t="str">
            <v>1-09-32</v>
          </cell>
          <cell r="B1103" t="str">
            <v>Cerramiento en tubería galvanizada, malla eslabonada y zócalo en sardinel en concreto reforzado de 20,7 Mpa (3000 PSI)</v>
          </cell>
          <cell r="C1103" t="str">
            <v>M</v>
          </cell>
          <cell r="D1103">
            <v>1</v>
          </cell>
          <cell r="E1103">
            <v>238561.12</v>
          </cell>
        </row>
        <row r="1104">
          <cell r="A1104" t="str">
            <v>1-09-33</v>
          </cell>
          <cell r="B1104" t="str">
            <v>Estructura metálica (perlines, platinas y pernos), incluye anticorrosivo y pintura, para la estructura de la cubierta, trabajos en alturas, andamios certificados</v>
          </cell>
          <cell r="C1104" t="str">
            <v>Kg</v>
          </cell>
          <cell r="D1104">
            <v>1</v>
          </cell>
          <cell r="E1104">
            <v>14088.48</v>
          </cell>
        </row>
        <row r="1105">
          <cell r="A1105" t="str">
            <v>1 - 10  CARPINTERÍA EN MADERA</v>
          </cell>
          <cell r="E1105">
            <v>0</v>
          </cell>
        </row>
        <row r="1106">
          <cell r="A1106" t="str">
            <v>1-10-01</v>
          </cell>
          <cell r="B1106" t="str">
            <v>Puerta de madera, marco en lámina C 20 de 0,90 x 2,05 m, incluye anticorrosivo, pintura, barniz, chapa de bola de madera, manija y tope</v>
          </cell>
          <cell r="C1106" t="str">
            <v>Un</v>
          </cell>
          <cell r="D1106">
            <v>1</v>
          </cell>
          <cell r="E1106">
            <v>535153.92000000004</v>
          </cell>
        </row>
        <row r="1107">
          <cell r="A1107" t="str">
            <v>1-10-02</v>
          </cell>
          <cell r="B1107" t="str">
            <v>Reinstalación puerta en madera y marco en lámina, incluye resane, pintura y barniz</v>
          </cell>
          <cell r="C1107" t="str">
            <v>Un</v>
          </cell>
          <cell r="D1107">
            <v>1</v>
          </cell>
          <cell r="E1107">
            <v>175125.44</v>
          </cell>
        </row>
        <row r="1108">
          <cell r="A1108" t="str">
            <v>1-10-03</v>
          </cell>
          <cell r="B1108" t="str">
            <v>Guarda escobas en madera, incluye barniz</v>
          </cell>
          <cell r="C1108" t="str">
            <v>M</v>
          </cell>
          <cell r="D1108">
            <v>1</v>
          </cell>
          <cell r="E1108">
            <v>23354.239999999998</v>
          </cell>
        </row>
        <row r="1109">
          <cell r="A1109" t="str">
            <v>1-10-04</v>
          </cell>
          <cell r="B1109" t="str">
            <v>Reinstalación puerta en madera, suministro de marco en lámina, incluye resane, anticorrosivo, pintura y barniz</v>
          </cell>
          <cell r="C1109" t="str">
            <v>Un</v>
          </cell>
          <cell r="D1109">
            <v>1</v>
          </cell>
          <cell r="E1109">
            <v>292938.23999999999</v>
          </cell>
        </row>
        <row r="1110">
          <cell r="A1110" t="str">
            <v>1-10-05</v>
          </cell>
          <cell r="B1110" t="str">
            <v>Juego infantil en pino básico</v>
          </cell>
          <cell r="C1110" t="str">
            <v>Un</v>
          </cell>
          <cell r="D1110">
            <v>1</v>
          </cell>
          <cell r="E1110">
            <v>3895366.7199999997</v>
          </cell>
        </row>
        <row r="1111">
          <cell r="A1111" t="str">
            <v>1-10-06</v>
          </cell>
          <cell r="B1111" t="str">
            <v>Juego infantil en pino completo</v>
          </cell>
          <cell r="C1111" t="str">
            <v>Un</v>
          </cell>
          <cell r="D1111">
            <v>1</v>
          </cell>
          <cell r="E1111">
            <v>7097084.96</v>
          </cell>
        </row>
        <row r="1112">
          <cell r="A1112" t="str">
            <v>1 - 11 INSTALACIONES HIDRO-SANITARIAS</v>
          </cell>
          <cell r="E1112">
            <v>0</v>
          </cell>
        </row>
        <row r="1113">
          <cell r="A1113" t="str">
            <v>1-11-01</v>
          </cell>
          <cell r="B1113" t="str">
            <v>Lavadero prefabricado en fibra de vidrio, incluye mampostería y conjunto desagüe flexible</v>
          </cell>
          <cell r="C1113" t="str">
            <v>Un</v>
          </cell>
          <cell r="D1113">
            <v>1</v>
          </cell>
          <cell r="E1113">
            <v>543173.12</v>
          </cell>
        </row>
        <row r="1114">
          <cell r="A1114" t="str">
            <v>1-11-02</v>
          </cell>
          <cell r="B1114" t="str">
            <v xml:space="preserve">Lavadero prefabricado en granito pulido. </v>
          </cell>
          <cell r="C1114" t="str">
            <v>Un</v>
          </cell>
          <cell r="D1114">
            <v>1</v>
          </cell>
          <cell r="E1114">
            <v>340102.56</v>
          </cell>
        </row>
        <row r="1115">
          <cell r="A1115" t="str">
            <v>1-11-03</v>
          </cell>
          <cell r="B1115" t="str">
            <v>Sanitario tipo Acua Plus blanco con grifería anti vandálica</v>
          </cell>
          <cell r="C1115" t="str">
            <v>Un</v>
          </cell>
          <cell r="D1115">
            <v>1</v>
          </cell>
          <cell r="E1115">
            <v>716514.4</v>
          </cell>
        </row>
        <row r="1116">
          <cell r="A1116" t="str">
            <v>1-11-04</v>
          </cell>
          <cell r="B1116" t="str">
            <v>Sanitario infantil blanco con grifería</v>
          </cell>
          <cell r="C1116" t="str">
            <v>Un</v>
          </cell>
          <cell r="D1116">
            <v>1</v>
          </cell>
          <cell r="E1116">
            <v>646263.52</v>
          </cell>
        </row>
        <row r="1117">
          <cell r="A1117" t="str">
            <v>1-11-05</v>
          </cell>
          <cell r="B1117" t="str">
            <v>Sanitario One Piece Solare blanco tipo Corona con fluxómetro</v>
          </cell>
          <cell r="C1117" t="str">
            <v>Un</v>
          </cell>
          <cell r="D1117">
            <v>1</v>
          </cell>
          <cell r="E1117">
            <v>1985482.24</v>
          </cell>
        </row>
        <row r="1118">
          <cell r="A1118" t="str">
            <v>1-11-06</v>
          </cell>
          <cell r="B1118" t="str">
            <v>Sanitario tipo Acua Plus blanco de bajo consumo</v>
          </cell>
          <cell r="C1118" t="str">
            <v>Un</v>
          </cell>
          <cell r="D1118">
            <v>1</v>
          </cell>
          <cell r="E1118">
            <v>313847.52</v>
          </cell>
        </row>
        <row r="1119">
          <cell r="A1119" t="str">
            <v>1-11-07</v>
          </cell>
          <cell r="B1119" t="str">
            <v>Sanitario tipo Avanti Plus de bajo consumo</v>
          </cell>
          <cell r="C1119" t="str">
            <v>Un</v>
          </cell>
          <cell r="D1119">
            <v>1</v>
          </cell>
          <cell r="E1119">
            <v>423383.52</v>
          </cell>
        </row>
        <row r="1120">
          <cell r="A1120" t="str">
            <v>1-11-08</v>
          </cell>
          <cell r="B1120" t="str">
            <v>Lavamanos tipo Avanti de pedestal con grifería</v>
          </cell>
          <cell r="C1120" t="str">
            <v>Un</v>
          </cell>
          <cell r="D1120">
            <v>1</v>
          </cell>
          <cell r="E1120">
            <v>381740.79999999999</v>
          </cell>
        </row>
        <row r="1121">
          <cell r="A1121" t="str">
            <v>1-11-09</v>
          </cell>
          <cell r="B1121" t="str">
            <v>Lavamanos tipo Happy de colgar con grifería</v>
          </cell>
          <cell r="C1121" t="str">
            <v>Un</v>
          </cell>
          <cell r="D1121">
            <v>1</v>
          </cell>
          <cell r="E1121">
            <v>324773.12</v>
          </cell>
        </row>
        <row r="1122">
          <cell r="A1122" t="str">
            <v>1-11-10</v>
          </cell>
          <cell r="B1122" t="str">
            <v>Lavamanos tipo Acuacer de pedestal</v>
          </cell>
          <cell r="C1122" t="str">
            <v>Un</v>
          </cell>
          <cell r="D1122">
            <v>1</v>
          </cell>
          <cell r="E1122">
            <v>341084.8</v>
          </cell>
        </row>
        <row r="1123">
          <cell r="A1123" t="str">
            <v>1-11-11</v>
          </cell>
          <cell r="B1123" t="str">
            <v>Lavamanos tipo Marsella de sobreponer con grifería</v>
          </cell>
          <cell r="C1123" t="str">
            <v>Un</v>
          </cell>
          <cell r="D1123">
            <v>1</v>
          </cell>
          <cell r="E1123">
            <v>435877.12</v>
          </cell>
        </row>
        <row r="1124">
          <cell r="A1124" t="str">
            <v>1-11-12</v>
          </cell>
          <cell r="B1124" t="str">
            <v>Lavamanos tipo Acuacer de colgar con grifería</v>
          </cell>
          <cell r="C1124" t="str">
            <v>Un</v>
          </cell>
          <cell r="D1124">
            <v>1</v>
          </cell>
          <cell r="E1124">
            <v>296816.8</v>
          </cell>
        </row>
        <row r="1125">
          <cell r="A1125" t="str">
            <v>1-11-13</v>
          </cell>
          <cell r="B1125" t="str">
            <v>Lavamanos de pared tipo push</v>
          </cell>
          <cell r="C1125" t="str">
            <v>Un</v>
          </cell>
          <cell r="D1125">
            <v>1</v>
          </cell>
          <cell r="E1125">
            <v>469924</v>
          </cell>
        </row>
        <row r="1126">
          <cell r="A1126" t="str">
            <v>1-11-01</v>
          </cell>
          <cell r="B1126" t="str">
            <v>Lavadero prefabricado en fibra de vidrio, incluye mampostería y conjunto desagüe flexible</v>
          </cell>
          <cell r="C1126" t="str">
            <v>Un</v>
          </cell>
          <cell r="D1126">
            <v>1</v>
          </cell>
          <cell r="E1126">
            <v>543173.12</v>
          </cell>
        </row>
        <row r="1127">
          <cell r="A1127" t="str">
            <v>1-11-02</v>
          </cell>
          <cell r="B1127" t="str">
            <v xml:space="preserve">Lavadero prefabricado en granito pulido. </v>
          </cell>
          <cell r="C1127" t="str">
            <v>Un</v>
          </cell>
          <cell r="D1127">
            <v>1</v>
          </cell>
          <cell r="E1127">
            <v>340102.56</v>
          </cell>
        </row>
        <row r="1128">
          <cell r="A1128" t="str">
            <v>1-11-03</v>
          </cell>
          <cell r="B1128" t="str">
            <v>Sanitario tipo Acua Plus blanco con grifería anti vandálica</v>
          </cell>
          <cell r="C1128" t="str">
            <v>Un</v>
          </cell>
          <cell r="D1128">
            <v>1</v>
          </cell>
          <cell r="E1128">
            <v>716514.4</v>
          </cell>
        </row>
        <row r="1129">
          <cell r="A1129" t="str">
            <v>1-11-04</v>
          </cell>
          <cell r="B1129" t="str">
            <v>Sanitario infantil blanco con grifería</v>
          </cell>
          <cell r="C1129" t="str">
            <v>Un</v>
          </cell>
          <cell r="D1129">
            <v>1</v>
          </cell>
          <cell r="E1129">
            <v>646263.52</v>
          </cell>
        </row>
        <row r="1130">
          <cell r="A1130" t="str">
            <v>1-11-05</v>
          </cell>
          <cell r="B1130" t="str">
            <v>Sanitario One Piece Solare blanco tipo Corona con fluxómetro</v>
          </cell>
          <cell r="C1130" t="str">
            <v>Un</v>
          </cell>
          <cell r="D1130">
            <v>1</v>
          </cell>
          <cell r="E1130">
            <v>1985482.24</v>
          </cell>
        </row>
        <row r="1131">
          <cell r="A1131" t="str">
            <v>1-11-06</v>
          </cell>
          <cell r="B1131" t="str">
            <v>Sanitario tipo Acua Plus blanco de bajo consumo</v>
          </cell>
          <cell r="C1131" t="str">
            <v>Un</v>
          </cell>
          <cell r="D1131">
            <v>1</v>
          </cell>
          <cell r="E1131">
            <v>313847.52</v>
          </cell>
        </row>
        <row r="1132">
          <cell r="A1132" t="str">
            <v>1-11-07</v>
          </cell>
          <cell r="B1132" t="str">
            <v>Sanitario tipo Avanti Plus de bajo consumo</v>
          </cell>
          <cell r="C1132" t="str">
            <v>Un</v>
          </cell>
          <cell r="D1132">
            <v>1</v>
          </cell>
          <cell r="E1132">
            <v>423383.52</v>
          </cell>
        </row>
        <row r="1133">
          <cell r="A1133" t="str">
            <v>1-11-08</v>
          </cell>
          <cell r="B1133" t="str">
            <v>Lavamanos tipo Avanti de pedestal con grifería</v>
          </cell>
          <cell r="C1133" t="str">
            <v>Un</v>
          </cell>
          <cell r="D1133">
            <v>1</v>
          </cell>
          <cell r="E1133">
            <v>381740.79999999999</v>
          </cell>
        </row>
        <row r="1134">
          <cell r="A1134" t="str">
            <v>1-11-09</v>
          </cell>
          <cell r="B1134" t="str">
            <v>Lavamanos tipo Happy de colgar con grifería</v>
          </cell>
          <cell r="C1134" t="str">
            <v>Un</v>
          </cell>
          <cell r="D1134">
            <v>1</v>
          </cell>
          <cell r="E1134">
            <v>324773.12</v>
          </cell>
        </row>
        <row r="1135">
          <cell r="A1135" t="str">
            <v>1-11-10</v>
          </cell>
          <cell r="B1135" t="str">
            <v>Lavamanos tipo Acuacer de pedestal</v>
          </cell>
          <cell r="C1135" t="str">
            <v>Un</v>
          </cell>
          <cell r="D1135">
            <v>1</v>
          </cell>
          <cell r="E1135">
            <v>341084.8</v>
          </cell>
        </row>
        <row r="1136">
          <cell r="A1136" t="str">
            <v>1-11-11</v>
          </cell>
          <cell r="B1136" t="str">
            <v>Lavamanos tipo Marsella de sobreponer con grifería</v>
          </cell>
          <cell r="C1136" t="str">
            <v>Un</v>
          </cell>
          <cell r="D1136">
            <v>1</v>
          </cell>
          <cell r="E1136">
            <v>435877.12</v>
          </cell>
        </row>
        <row r="1137">
          <cell r="A1137" t="str">
            <v>1-11-12</v>
          </cell>
          <cell r="B1137" t="str">
            <v>Lavamanos tipo Acuacer de colgar con grifería</v>
          </cell>
          <cell r="C1137" t="str">
            <v>Un</v>
          </cell>
          <cell r="D1137">
            <v>1</v>
          </cell>
          <cell r="E1137">
            <v>296816.8</v>
          </cell>
        </row>
        <row r="1138">
          <cell r="A1138" t="str">
            <v>1-11-13</v>
          </cell>
          <cell r="B1138" t="str">
            <v>Lavamanos de pared tipo push</v>
          </cell>
          <cell r="C1138" t="str">
            <v>Un</v>
          </cell>
          <cell r="D1138">
            <v>1</v>
          </cell>
          <cell r="E1138">
            <v>469924</v>
          </cell>
        </row>
        <row r="1139">
          <cell r="A1139" t="str">
            <v>1-11-14</v>
          </cell>
          <cell r="B1139" t="str">
            <v>Lavamanos corrido en concreto de 20,7 Mpa (3000 PSI), incluye refuerzo, mampostería y enchape, longitud de desarrollo = 0,65 m</v>
          </cell>
          <cell r="C1139" t="str">
            <v>M</v>
          </cell>
          <cell r="D1139">
            <v>1</v>
          </cell>
          <cell r="E1139">
            <v>591828.16</v>
          </cell>
        </row>
        <row r="1140">
          <cell r="A1140" t="str">
            <v>1-11-15</v>
          </cell>
          <cell r="B1140" t="str">
            <v>Lavamanos tipo Avanti de colgar con grifería</v>
          </cell>
          <cell r="C1140" t="str">
            <v>Un</v>
          </cell>
          <cell r="D1140">
            <v>1</v>
          </cell>
          <cell r="E1140">
            <v>293077.12</v>
          </cell>
        </row>
        <row r="1141">
          <cell r="A1141" t="str">
            <v>1-11-16</v>
          </cell>
          <cell r="B1141" t="str">
            <v>Orinal blanco tipo Residencial con grifería</v>
          </cell>
          <cell r="C1141" t="str">
            <v>Un</v>
          </cell>
          <cell r="D1141">
            <v>1</v>
          </cell>
          <cell r="E1141">
            <v>823188.8</v>
          </cell>
        </row>
        <row r="1142">
          <cell r="A1142" t="str">
            <v>1-11-17</v>
          </cell>
          <cell r="B1142" t="str">
            <v>Orinal tipo Institucional, línea antibacterial</v>
          </cell>
          <cell r="C1142" t="str">
            <v>Un</v>
          </cell>
          <cell r="D1142">
            <v>1</v>
          </cell>
          <cell r="E1142">
            <v>1236284</v>
          </cell>
        </row>
        <row r="1143">
          <cell r="A1143" t="str">
            <v>1-11-18</v>
          </cell>
          <cell r="B1143" t="str">
            <v>Orinal tipo Institucional con fluxómetro tipo Arrecife</v>
          </cell>
          <cell r="C1143" t="str">
            <v>Un</v>
          </cell>
          <cell r="D1143">
            <v>1</v>
          </cell>
          <cell r="E1143">
            <v>1402746.24</v>
          </cell>
        </row>
        <row r="1144">
          <cell r="A1144" t="str">
            <v>1-11-19</v>
          </cell>
          <cell r="B1144" t="str">
            <v>Orinal corrido en concreto de 20,7 Mpa (3000 PSI), incluye mampostería y enchape, longitud de desarrollo 0,65 m</v>
          </cell>
          <cell r="C1144" t="str">
            <v>M</v>
          </cell>
          <cell r="D1144">
            <v>1</v>
          </cell>
          <cell r="E1144">
            <v>408998.24</v>
          </cell>
        </row>
        <row r="1145">
          <cell r="A1145" t="str">
            <v>1-11-20</v>
          </cell>
          <cell r="B1145" t="str">
            <v>Mesón en concreto de 20,7 Mpa (3000 PSI), incluye mampostería, enchape en mármol y cerámica para muros</v>
          </cell>
          <cell r="C1145" t="str">
            <v>M2</v>
          </cell>
          <cell r="D1145">
            <v>1</v>
          </cell>
          <cell r="E1145">
            <v>671502.72</v>
          </cell>
        </row>
        <row r="1146">
          <cell r="A1146" t="str">
            <v>1-11-021</v>
          </cell>
          <cell r="B1146" t="str">
            <v>Mesón en concreto de 20,7 Mpa (3000 PSI) incluye granito pulido, mampostería, refuerzo y enchape</v>
          </cell>
          <cell r="C1146" t="str">
            <v>M2</v>
          </cell>
          <cell r="D1146">
            <v>1</v>
          </cell>
          <cell r="E1146">
            <v>480875.36</v>
          </cell>
        </row>
        <row r="1147">
          <cell r="A1147" t="str">
            <v>1-11-22</v>
          </cell>
          <cell r="B1147" t="str">
            <v>Poceta corrida de aseo en concreto de 20,7 Mpa (3000 PSI), incluye granito pulido, longitud de desarrollo = 1 m</v>
          </cell>
          <cell r="C1147" t="str">
            <v>M</v>
          </cell>
          <cell r="D1147">
            <v>1</v>
          </cell>
          <cell r="E1147">
            <v>356790.56</v>
          </cell>
        </row>
        <row r="1148">
          <cell r="A1148" t="str">
            <v>1-11-23</v>
          </cell>
          <cell r="B1148" t="str">
            <v>Poceta de acero inoxidable de 0,60 x 0,40 m, incluye grifería, sifón de 2" y canastilla</v>
          </cell>
          <cell r="C1148" t="str">
            <v>Un</v>
          </cell>
          <cell r="D1148">
            <v>1</v>
          </cell>
          <cell r="E1148">
            <v>253768.48</v>
          </cell>
        </row>
        <row r="1149">
          <cell r="A1149" t="str">
            <v>1-11-24</v>
          </cell>
          <cell r="B1149" t="str">
            <v>Poceta de aluminio, incluye grifería, sifón y canastilla</v>
          </cell>
          <cell r="C1149" t="str">
            <v>Un</v>
          </cell>
          <cell r="D1149">
            <v>1</v>
          </cell>
          <cell r="E1149">
            <v>253768.48</v>
          </cell>
        </row>
        <row r="1150">
          <cell r="A1150" t="str">
            <v>1-11-25</v>
          </cell>
          <cell r="B1150" t="str">
            <v>Charquero en concreto de 20,7 Mpa (3000 PSI), 0,1 m x 0,04 m, incluye enchape y refuerzo</v>
          </cell>
          <cell r="C1150" t="str">
            <v>M</v>
          </cell>
          <cell r="D1150">
            <v>1</v>
          </cell>
          <cell r="E1150">
            <v>105207.2</v>
          </cell>
        </row>
        <row r="1151">
          <cell r="A1151" t="str">
            <v>1-11-26</v>
          </cell>
          <cell r="B1151" t="str">
            <v>Cubierta en acero inoxidable para mesón cocineta, incluye poceta y grifería completa a = 0.60 m, 3 puestos gas y 1 eléctrico</v>
          </cell>
          <cell r="C1151" t="str">
            <v>M</v>
          </cell>
          <cell r="D1151">
            <v>1</v>
          </cell>
          <cell r="E1151">
            <v>809110.4</v>
          </cell>
        </row>
        <row r="1152">
          <cell r="A1152" t="str">
            <v>1-11-28</v>
          </cell>
          <cell r="B1152" t="str">
            <v>Ducha cromada de 1/2" con mezclador</v>
          </cell>
          <cell r="C1152" t="str">
            <v>Un</v>
          </cell>
          <cell r="D1152">
            <v>1</v>
          </cell>
          <cell r="E1152">
            <v>141996.96</v>
          </cell>
        </row>
        <row r="1153">
          <cell r="A1153" t="str">
            <v>1-11-29</v>
          </cell>
          <cell r="B1153" t="str">
            <v>Ducha anti vandálica regadera tubular corta</v>
          </cell>
          <cell r="C1153" t="str">
            <v>Un</v>
          </cell>
          <cell r="D1153">
            <v>1</v>
          </cell>
          <cell r="E1153">
            <v>651084</v>
          </cell>
        </row>
        <row r="1154">
          <cell r="A1154" t="str">
            <v>1-11-30</v>
          </cell>
          <cell r="B1154" t="str">
            <v>Ducha niquelada de 1/2" sencilla</v>
          </cell>
          <cell r="C1154" t="str">
            <v>Un</v>
          </cell>
          <cell r="D1154">
            <v>1</v>
          </cell>
          <cell r="E1154">
            <v>79551.360000000001</v>
          </cell>
        </row>
        <row r="1155">
          <cell r="A1155" t="str">
            <v>1-11-31</v>
          </cell>
          <cell r="B1155" t="str">
            <v>Rejilla de bronce de 3" x 2" con sosco</v>
          </cell>
          <cell r="C1155" t="str">
            <v>Un</v>
          </cell>
          <cell r="D1155">
            <v>1</v>
          </cell>
          <cell r="E1155">
            <v>49113.120000000003</v>
          </cell>
        </row>
        <row r="1156">
          <cell r="A1156" t="str">
            <v>1-11-32</v>
          </cell>
          <cell r="B1156" t="str">
            <v>Incrustaciones tipo Avanti (viene por 6 unidades)</v>
          </cell>
          <cell r="C1156" t="str">
            <v>Un</v>
          </cell>
          <cell r="D1156">
            <v>1</v>
          </cell>
          <cell r="E1156">
            <v>117811.68</v>
          </cell>
        </row>
        <row r="1157">
          <cell r="A1157" t="str">
            <v>1-11-33</v>
          </cell>
          <cell r="B1157" t="str">
            <v>Incrustaciones tipo Allegro (viene por  5 unidades)</v>
          </cell>
          <cell r="C1157" t="str">
            <v>Un</v>
          </cell>
          <cell r="D1157">
            <v>1</v>
          </cell>
          <cell r="E1157">
            <v>118267.52</v>
          </cell>
        </row>
        <row r="1158">
          <cell r="A1158" t="str">
            <v>1-11-34</v>
          </cell>
          <cell r="B1158" t="str">
            <v>Incrustaciones tipo Tempo (viene por 6 unidades)</v>
          </cell>
          <cell r="C1158" t="str">
            <v>Un</v>
          </cell>
          <cell r="D1158">
            <v>1</v>
          </cell>
          <cell r="E1158">
            <v>114707.04</v>
          </cell>
        </row>
        <row r="1159">
          <cell r="A1159" t="str">
            <v>1-11-35</v>
          </cell>
          <cell r="B1159" t="str">
            <v>Mezclador para lavaplatos</v>
          </cell>
          <cell r="C1159" t="str">
            <v>Un</v>
          </cell>
          <cell r="D1159">
            <v>1</v>
          </cell>
          <cell r="E1159">
            <v>104957.44</v>
          </cell>
        </row>
        <row r="1160">
          <cell r="A1160" t="str">
            <v>1-11-36</v>
          </cell>
          <cell r="B1160" t="str">
            <v>Grifería lavamanos de mesa tipo push</v>
          </cell>
          <cell r="C1160" t="str">
            <v>Un</v>
          </cell>
          <cell r="D1160">
            <v>1</v>
          </cell>
          <cell r="E1160">
            <v>287338.23999999999</v>
          </cell>
        </row>
        <row r="1161">
          <cell r="A1161" t="str">
            <v>1-11-37</v>
          </cell>
          <cell r="B1161" t="str">
            <v>Grifería pico empotrado línea anti vandálica, incluye válvula tipo push</v>
          </cell>
          <cell r="C1161" t="str">
            <v>Un</v>
          </cell>
          <cell r="D1161">
            <v>1</v>
          </cell>
          <cell r="E1161">
            <v>606333.28</v>
          </cell>
        </row>
        <row r="1162">
          <cell r="A1162" t="str">
            <v>1-11-38</v>
          </cell>
          <cell r="B1162" t="str">
            <v>Grifería de empotrar corta línea anti vandálica, incluye push</v>
          </cell>
          <cell r="C1162" t="str">
            <v>Un</v>
          </cell>
          <cell r="D1162">
            <v>1</v>
          </cell>
          <cell r="E1162">
            <v>611261.28</v>
          </cell>
        </row>
        <row r="1163">
          <cell r="A1163" t="str">
            <v>1-11-39</v>
          </cell>
          <cell r="B1163" t="str">
            <v>Fluxómetro de palanca para orinal</v>
          </cell>
          <cell r="C1163" t="str">
            <v>Un</v>
          </cell>
          <cell r="D1163">
            <v>1</v>
          </cell>
          <cell r="E1163">
            <v>1030442.56</v>
          </cell>
        </row>
        <row r="1164">
          <cell r="A1164" t="str">
            <v>1-11-40</v>
          </cell>
          <cell r="B1164" t="str">
            <v>Tanque para agua, plástico de 250 lt, completo (flotador)</v>
          </cell>
          <cell r="C1164" t="str">
            <v>Un</v>
          </cell>
          <cell r="D1164">
            <v>1</v>
          </cell>
          <cell r="E1164">
            <v>326710.71999999997</v>
          </cell>
        </row>
        <row r="1165">
          <cell r="A1165" t="str">
            <v>1-11-01</v>
          </cell>
          <cell r="B1165" t="str">
            <v>Lavadero prefabricado en fibra de vidrio, incluye mampostería y conjunto desagüe flexible</v>
          </cell>
          <cell r="C1165" t="str">
            <v>Un</v>
          </cell>
          <cell r="D1165">
            <v>1</v>
          </cell>
          <cell r="E1165">
            <v>543173.12</v>
          </cell>
        </row>
        <row r="1166">
          <cell r="A1166" t="str">
            <v>1-11-02</v>
          </cell>
          <cell r="B1166" t="str">
            <v xml:space="preserve">Lavadero prefabricado en granito pulido. </v>
          </cell>
          <cell r="C1166" t="str">
            <v>Un</v>
          </cell>
          <cell r="D1166">
            <v>1</v>
          </cell>
          <cell r="E1166">
            <v>340102.56</v>
          </cell>
        </row>
        <row r="1167">
          <cell r="A1167" t="str">
            <v>1-11-03</v>
          </cell>
          <cell r="B1167" t="str">
            <v>Sanitario tipo Acua Plus blanco con grifería anti vandálica</v>
          </cell>
          <cell r="C1167" t="str">
            <v>Un</v>
          </cell>
          <cell r="D1167">
            <v>1</v>
          </cell>
          <cell r="E1167">
            <v>716514.4</v>
          </cell>
        </row>
        <row r="1168">
          <cell r="A1168" t="str">
            <v>1-11-04</v>
          </cell>
          <cell r="B1168" t="str">
            <v>Sanitario infantil blanco con grifería</v>
          </cell>
          <cell r="C1168" t="str">
            <v>Un</v>
          </cell>
          <cell r="D1168">
            <v>1</v>
          </cell>
          <cell r="E1168">
            <v>646263.52</v>
          </cell>
        </row>
        <row r="1169">
          <cell r="A1169" t="str">
            <v>1-11-05</v>
          </cell>
          <cell r="B1169" t="str">
            <v>Sanitario One Piece Solare blanco tipo Corona con fluxómetro</v>
          </cell>
          <cell r="C1169" t="str">
            <v>Un</v>
          </cell>
          <cell r="D1169">
            <v>1</v>
          </cell>
          <cell r="E1169">
            <v>1985482.24</v>
          </cell>
        </row>
        <row r="1170">
          <cell r="A1170" t="str">
            <v>1-11-06</v>
          </cell>
          <cell r="B1170" t="str">
            <v>Sanitario tipo Acua Plus blanco de bajo consumo</v>
          </cell>
          <cell r="C1170" t="str">
            <v>Un</v>
          </cell>
          <cell r="D1170">
            <v>1</v>
          </cell>
          <cell r="E1170">
            <v>313847.52</v>
          </cell>
        </row>
        <row r="1171">
          <cell r="A1171" t="str">
            <v>1-11-07</v>
          </cell>
          <cell r="B1171" t="str">
            <v>Sanitario tipo Avanti Plus de bajo consumo</v>
          </cell>
          <cell r="C1171" t="str">
            <v>Un</v>
          </cell>
          <cell r="D1171">
            <v>1</v>
          </cell>
          <cell r="E1171">
            <v>423383.52</v>
          </cell>
        </row>
        <row r="1172">
          <cell r="A1172" t="str">
            <v>1-11-08</v>
          </cell>
          <cell r="B1172" t="str">
            <v>Lavamanos tipo Avanti de pedestal con grifería</v>
          </cell>
          <cell r="C1172" t="str">
            <v>Un</v>
          </cell>
          <cell r="D1172">
            <v>1</v>
          </cell>
          <cell r="E1172">
            <v>381740.79999999999</v>
          </cell>
        </row>
        <row r="1173">
          <cell r="A1173" t="str">
            <v>1-11-09</v>
          </cell>
          <cell r="B1173" t="str">
            <v>Lavamanos tipo Happy de colgar con grifería</v>
          </cell>
          <cell r="C1173" t="str">
            <v>Un</v>
          </cell>
          <cell r="D1173">
            <v>1</v>
          </cell>
          <cell r="E1173">
            <v>324773.12</v>
          </cell>
        </row>
        <row r="1174">
          <cell r="A1174" t="str">
            <v>1-11-10</v>
          </cell>
          <cell r="B1174" t="str">
            <v>Lavamanos tipo Acuacer de pedestal</v>
          </cell>
          <cell r="C1174" t="str">
            <v>Un</v>
          </cell>
          <cell r="D1174">
            <v>1</v>
          </cell>
          <cell r="E1174">
            <v>341084.8</v>
          </cell>
        </row>
        <row r="1175">
          <cell r="A1175" t="str">
            <v>1-11-11</v>
          </cell>
          <cell r="B1175" t="str">
            <v>Lavamanos tipo Marsella de sobreponer con grifería</v>
          </cell>
          <cell r="C1175" t="str">
            <v>Un</v>
          </cell>
          <cell r="D1175">
            <v>1</v>
          </cell>
          <cell r="E1175">
            <v>435877.12</v>
          </cell>
        </row>
        <row r="1176">
          <cell r="A1176" t="str">
            <v>1-11-12</v>
          </cell>
          <cell r="B1176" t="str">
            <v>Lavamanos tipo Acuacer de colgar con grifería</v>
          </cell>
          <cell r="C1176" t="str">
            <v>Un</v>
          </cell>
          <cell r="D1176">
            <v>1</v>
          </cell>
          <cell r="E1176">
            <v>296816.8</v>
          </cell>
        </row>
        <row r="1177">
          <cell r="A1177" t="str">
            <v>1-11-13</v>
          </cell>
          <cell r="B1177" t="str">
            <v>Lavamanos de pared tipo push</v>
          </cell>
          <cell r="C1177" t="str">
            <v>Un</v>
          </cell>
          <cell r="D1177">
            <v>1</v>
          </cell>
          <cell r="E1177">
            <v>469924</v>
          </cell>
        </row>
        <row r="1178">
          <cell r="A1178" t="str">
            <v>1-11-14</v>
          </cell>
          <cell r="B1178" t="str">
            <v>Lavamanos corrido en concreto de 20,7 Mpa (3000 PSI), incluye refuerzo, mampostería y enchape, longitud de desarrollo = 0,65 m</v>
          </cell>
          <cell r="C1178" t="str">
            <v>M</v>
          </cell>
          <cell r="D1178">
            <v>1</v>
          </cell>
          <cell r="E1178">
            <v>591828.16</v>
          </cell>
        </row>
        <row r="1179">
          <cell r="A1179" t="str">
            <v>1-11-15</v>
          </cell>
          <cell r="B1179" t="str">
            <v>Lavamanos tipo Avanti de colgar con grifería</v>
          </cell>
          <cell r="C1179" t="str">
            <v>Un</v>
          </cell>
          <cell r="D1179">
            <v>1</v>
          </cell>
          <cell r="E1179">
            <v>293077.12</v>
          </cell>
        </row>
        <row r="1180">
          <cell r="A1180" t="str">
            <v>1-11-16</v>
          </cell>
          <cell r="B1180" t="str">
            <v>Orinal blanco tipo Residencial con grifería</v>
          </cell>
          <cell r="C1180" t="str">
            <v>Un</v>
          </cell>
          <cell r="D1180">
            <v>1</v>
          </cell>
          <cell r="E1180">
            <v>823188.8</v>
          </cell>
        </row>
        <row r="1181">
          <cell r="A1181" t="str">
            <v>1-11-17</v>
          </cell>
          <cell r="B1181" t="str">
            <v>Orinal tipo Institucional, línea antibacterial</v>
          </cell>
          <cell r="C1181" t="str">
            <v>Un</v>
          </cell>
          <cell r="D1181">
            <v>1</v>
          </cell>
          <cell r="E1181">
            <v>1236284</v>
          </cell>
        </row>
        <row r="1182">
          <cell r="A1182" t="str">
            <v>1-11-18</v>
          </cell>
          <cell r="B1182" t="str">
            <v>Orinal tipo Institucional con fluxómetro tipo Arrecife</v>
          </cell>
          <cell r="C1182" t="str">
            <v>Un</v>
          </cell>
          <cell r="D1182">
            <v>1</v>
          </cell>
          <cell r="E1182">
            <v>1402746.24</v>
          </cell>
        </row>
        <row r="1183">
          <cell r="A1183" t="str">
            <v>1-11-19</v>
          </cell>
          <cell r="B1183" t="str">
            <v>Orinal corrido en concreto de 20,7 Mpa (3000 PSI), incluye mampostería y enchape, longitud de desarrollo 0,65 m</v>
          </cell>
          <cell r="C1183" t="str">
            <v>M</v>
          </cell>
          <cell r="D1183">
            <v>1</v>
          </cell>
          <cell r="E1183">
            <v>408998.24</v>
          </cell>
        </row>
        <row r="1184">
          <cell r="A1184" t="str">
            <v>1-11-20</v>
          </cell>
          <cell r="B1184" t="str">
            <v>Mesón en concreto de 20,7 Mpa (3000 PSI), incluye mampostería, enchape en mármol y cerámica para muros</v>
          </cell>
          <cell r="C1184" t="str">
            <v>M2</v>
          </cell>
          <cell r="D1184">
            <v>1</v>
          </cell>
          <cell r="E1184">
            <v>671502.72</v>
          </cell>
        </row>
        <row r="1185">
          <cell r="A1185" t="str">
            <v>1-11-021</v>
          </cell>
          <cell r="B1185" t="str">
            <v>Mesón en concreto de 20,7 Mpa (3000 PSI) incluye granito pulido, mampostería, refuerzo y enchape</v>
          </cell>
          <cell r="C1185" t="str">
            <v>M2</v>
          </cell>
          <cell r="D1185">
            <v>1</v>
          </cell>
          <cell r="E1185">
            <v>480875.36</v>
          </cell>
        </row>
        <row r="1186">
          <cell r="A1186" t="str">
            <v>1-11-22</v>
          </cell>
          <cell r="B1186" t="str">
            <v>Poceta corrida de aseo en concreto de 20,7 Mpa (3000 PSI), incluye granito pulido, longitud de desarrollo = 1 m</v>
          </cell>
          <cell r="C1186" t="str">
            <v>M</v>
          </cell>
          <cell r="D1186">
            <v>1</v>
          </cell>
          <cell r="E1186">
            <v>356790.56</v>
          </cell>
        </row>
        <row r="1187">
          <cell r="A1187" t="str">
            <v>1-11-23</v>
          </cell>
          <cell r="B1187" t="str">
            <v>Poceta de acero inoxidable de 0,60 x 0,40 m, incluye grifería, sifón de 2" y canastilla</v>
          </cell>
          <cell r="C1187" t="str">
            <v>Un</v>
          </cell>
          <cell r="D1187">
            <v>1</v>
          </cell>
          <cell r="E1187">
            <v>253768.48</v>
          </cell>
        </row>
        <row r="1188">
          <cell r="A1188" t="str">
            <v>1-11-24</v>
          </cell>
          <cell r="B1188" t="str">
            <v>Poceta de aluminio, incluye grifería, sifón y canastilla</v>
          </cell>
          <cell r="C1188" t="str">
            <v>Un</v>
          </cell>
          <cell r="D1188">
            <v>1</v>
          </cell>
          <cell r="E1188">
            <v>253768.48</v>
          </cell>
        </row>
        <row r="1189">
          <cell r="A1189" t="str">
            <v>1-11-25</v>
          </cell>
          <cell r="B1189" t="str">
            <v>Charquero en concreto de 20,7 Mpa (3000 PSI), 0,1 m x 0,04 m, incluye enchape y refuerzo</v>
          </cell>
          <cell r="C1189" t="str">
            <v>M</v>
          </cell>
          <cell r="D1189">
            <v>1</v>
          </cell>
          <cell r="E1189">
            <v>105207.2</v>
          </cell>
        </row>
        <row r="1190">
          <cell r="A1190" t="str">
            <v>1-11-26</v>
          </cell>
          <cell r="B1190" t="str">
            <v>Cubierta en acero inoxidable para mesón cocineta, incluye poceta y grifería completa a = 0.60 m, 3 puestos gas y 1 eléctrico</v>
          </cell>
          <cell r="C1190" t="str">
            <v>M</v>
          </cell>
          <cell r="D1190">
            <v>1</v>
          </cell>
          <cell r="E1190">
            <v>809110.4</v>
          </cell>
        </row>
        <row r="1191">
          <cell r="A1191" t="str">
            <v>1-11-28</v>
          </cell>
          <cell r="B1191" t="str">
            <v>Ducha cromada de 1/2" con mezclador</v>
          </cell>
          <cell r="C1191" t="str">
            <v>Un</v>
          </cell>
          <cell r="D1191">
            <v>1</v>
          </cell>
          <cell r="E1191">
            <v>141996.96</v>
          </cell>
        </row>
        <row r="1192">
          <cell r="A1192" t="str">
            <v>1-11-29</v>
          </cell>
          <cell r="B1192" t="str">
            <v>Ducha anti vandálica regadera tubular corta</v>
          </cell>
          <cell r="C1192" t="str">
            <v>Un</v>
          </cell>
          <cell r="D1192">
            <v>1</v>
          </cell>
          <cell r="E1192">
            <v>651084</v>
          </cell>
        </row>
        <row r="1193">
          <cell r="A1193" t="str">
            <v>1-11-30</v>
          </cell>
          <cell r="B1193" t="str">
            <v>Ducha niquelada de 1/2" sencilla</v>
          </cell>
          <cell r="C1193" t="str">
            <v>Un</v>
          </cell>
          <cell r="D1193">
            <v>1</v>
          </cell>
          <cell r="E1193">
            <v>79551.360000000001</v>
          </cell>
        </row>
        <row r="1194">
          <cell r="A1194" t="str">
            <v>1-11-31</v>
          </cell>
          <cell r="B1194" t="str">
            <v>Rejilla de bronce de 3" x 2" con sosco</v>
          </cell>
          <cell r="C1194" t="str">
            <v>Un</v>
          </cell>
          <cell r="D1194">
            <v>1</v>
          </cell>
          <cell r="E1194">
            <v>49113.120000000003</v>
          </cell>
        </row>
        <row r="1195">
          <cell r="A1195" t="str">
            <v>1-11-32</v>
          </cell>
          <cell r="B1195" t="str">
            <v>Incrustaciones tipo Avanti (viene por 6 unidades)</v>
          </cell>
          <cell r="C1195" t="str">
            <v>Un</v>
          </cell>
          <cell r="D1195">
            <v>1</v>
          </cell>
          <cell r="E1195">
            <v>117811.68</v>
          </cell>
        </row>
        <row r="1196">
          <cell r="A1196" t="str">
            <v>1-11-33</v>
          </cell>
          <cell r="B1196" t="str">
            <v>Incrustaciones tipo Allegro (viene por  5 unidades)</v>
          </cell>
          <cell r="C1196" t="str">
            <v>Un</v>
          </cell>
          <cell r="D1196">
            <v>1</v>
          </cell>
          <cell r="E1196">
            <v>118267.52</v>
          </cell>
        </row>
        <row r="1197">
          <cell r="A1197" t="str">
            <v>1-11-34</v>
          </cell>
          <cell r="B1197" t="str">
            <v>Incrustaciones tipo Tempo (viene por 6 unidades)</v>
          </cell>
          <cell r="C1197" t="str">
            <v>Un</v>
          </cell>
          <cell r="D1197">
            <v>1</v>
          </cell>
          <cell r="E1197">
            <v>114707.04</v>
          </cell>
        </row>
        <row r="1198">
          <cell r="A1198" t="str">
            <v>1-11-35</v>
          </cell>
          <cell r="B1198" t="str">
            <v>Mezclador para lavaplatos</v>
          </cell>
          <cell r="C1198" t="str">
            <v>Un</v>
          </cell>
          <cell r="D1198">
            <v>1</v>
          </cell>
          <cell r="E1198">
            <v>104957.44</v>
          </cell>
        </row>
        <row r="1199">
          <cell r="A1199" t="str">
            <v>1-11-36</v>
          </cell>
          <cell r="B1199" t="str">
            <v>Grifería lavamanos de mesa tipo push</v>
          </cell>
          <cell r="C1199" t="str">
            <v>Un</v>
          </cell>
          <cell r="D1199">
            <v>1</v>
          </cell>
          <cell r="E1199">
            <v>287338.23999999999</v>
          </cell>
        </row>
        <row r="1200">
          <cell r="A1200" t="str">
            <v>1-11-37</v>
          </cell>
          <cell r="B1200" t="str">
            <v>Grifería pico empotrado línea anti vandálica, incluye válvula tipo push</v>
          </cell>
          <cell r="C1200" t="str">
            <v>Un</v>
          </cell>
          <cell r="D1200">
            <v>1</v>
          </cell>
          <cell r="E1200">
            <v>606333.28</v>
          </cell>
        </row>
        <row r="1201">
          <cell r="A1201" t="str">
            <v>1-11-38</v>
          </cell>
          <cell r="B1201" t="str">
            <v>Grifería de empotrar corta línea anti vandálica, incluye push</v>
          </cell>
          <cell r="C1201" t="str">
            <v>Un</v>
          </cell>
          <cell r="D1201">
            <v>1</v>
          </cell>
          <cell r="E1201">
            <v>611261.28</v>
          </cell>
        </row>
        <row r="1202">
          <cell r="A1202" t="str">
            <v>1-11-39</v>
          </cell>
          <cell r="B1202" t="str">
            <v>Fluxómetro de palanca para orinal</v>
          </cell>
          <cell r="C1202" t="str">
            <v>Un</v>
          </cell>
          <cell r="D1202">
            <v>1</v>
          </cell>
          <cell r="E1202">
            <v>1030442.56</v>
          </cell>
        </row>
        <row r="1203">
          <cell r="A1203" t="str">
            <v>1-11-40</v>
          </cell>
          <cell r="B1203" t="str">
            <v>Tanque para agua, plástico de 250 lt, completo (flotador)</v>
          </cell>
          <cell r="C1203" t="str">
            <v>Un</v>
          </cell>
          <cell r="D1203">
            <v>1</v>
          </cell>
          <cell r="E1203">
            <v>326710.71999999997</v>
          </cell>
        </row>
        <row r="1204">
          <cell r="A1204" t="str">
            <v>1-11-41</v>
          </cell>
          <cell r="B1204" t="str">
            <v>Tanque para agua, plástico de 500 lt, completo (flotador)</v>
          </cell>
          <cell r="C1204" t="str">
            <v>Un</v>
          </cell>
          <cell r="D1204">
            <v>1</v>
          </cell>
          <cell r="E1204">
            <v>441346.08</v>
          </cell>
        </row>
        <row r="1205">
          <cell r="A1205" t="str">
            <v>1-11-42</v>
          </cell>
          <cell r="B1205" t="str">
            <v>Tanque para agua, plástico de 1,000 lt, completo (flotador)</v>
          </cell>
          <cell r="C1205" t="str">
            <v>Un</v>
          </cell>
          <cell r="D1205">
            <v>1</v>
          </cell>
          <cell r="E1205">
            <v>567346.07999999996</v>
          </cell>
        </row>
        <row r="1206">
          <cell r="A1206" t="str">
            <v>1-11-43</v>
          </cell>
          <cell r="B1206" t="str">
            <v>Pomos de porcelana</v>
          </cell>
          <cell r="C1206" t="str">
            <v>Par</v>
          </cell>
          <cell r="D1206">
            <v>1</v>
          </cell>
          <cell r="E1206">
            <v>31999.52</v>
          </cell>
        </row>
        <row r="1207">
          <cell r="A1207" t="str">
            <v xml:space="preserve"> 1- 12 PUNTOS HIDRÁULICOS</v>
          </cell>
          <cell r="E1207">
            <v>0</v>
          </cell>
        </row>
        <row r="1208">
          <cell r="A1208" t="str">
            <v>1-12-01</v>
          </cell>
          <cell r="B1208" t="str">
            <v>Acometida Domiciliaria de 1/2" tubería PF + UAD, L = 2 m</v>
          </cell>
          <cell r="C1208" t="str">
            <v>Un</v>
          </cell>
          <cell r="D1208">
            <v>1</v>
          </cell>
          <cell r="E1208">
            <v>108617.60000000001</v>
          </cell>
        </row>
        <row r="1209">
          <cell r="A1209" t="str">
            <v>1-12-02</v>
          </cell>
          <cell r="B1209" t="str">
            <v>Acometida hidráulica en tubería PVC de 1/2"</v>
          </cell>
          <cell r="C1209" t="str">
            <v>M</v>
          </cell>
          <cell r="D1209">
            <v>1</v>
          </cell>
          <cell r="E1209">
            <v>11334.4</v>
          </cell>
        </row>
        <row r="1210">
          <cell r="A1210" t="str">
            <v>1-12-03</v>
          </cell>
          <cell r="B1210" t="str">
            <v>Acometida hidráulica en tubería PVC de 3/4"</v>
          </cell>
          <cell r="C1210" t="str">
            <v>M</v>
          </cell>
          <cell r="D1210">
            <v>1</v>
          </cell>
          <cell r="E1210">
            <v>11775.68</v>
          </cell>
        </row>
        <row r="1211">
          <cell r="A1211" t="str">
            <v>1-12-04</v>
          </cell>
          <cell r="B1211" t="str">
            <v>Acometida hidráulica en tubería PVC de 1"</v>
          </cell>
          <cell r="C1211" t="str">
            <v>M</v>
          </cell>
          <cell r="D1211">
            <v>1</v>
          </cell>
          <cell r="E1211">
            <v>12116.16</v>
          </cell>
        </row>
        <row r="1212">
          <cell r="A1212" t="str">
            <v>1-12-05</v>
          </cell>
          <cell r="B1212" t="str">
            <v>Punto hidráulico PVC de 1/2"  L prom = 3 m</v>
          </cell>
          <cell r="C1212" t="str">
            <v>Un</v>
          </cell>
          <cell r="D1212">
            <v>1</v>
          </cell>
          <cell r="E1212">
            <v>74662.559999999998</v>
          </cell>
        </row>
        <row r="1213">
          <cell r="A1213" t="str">
            <v>1-12-06</v>
          </cell>
          <cell r="B1213" t="str">
            <v>Punto hidráulico CPVC 1/2" 100 PSI  L prom = 3 m</v>
          </cell>
          <cell r="C1213" t="str">
            <v>Un</v>
          </cell>
          <cell r="D1213">
            <v>1</v>
          </cell>
          <cell r="E1213">
            <v>93569.279999999999</v>
          </cell>
        </row>
        <row r="1214">
          <cell r="A1214" t="str">
            <v>1-12-07</v>
          </cell>
          <cell r="B1214" t="str">
            <v>Punto hidráulico PVC de 3/4" L prom = 3 m</v>
          </cell>
          <cell r="C1214" t="str">
            <v>Un</v>
          </cell>
          <cell r="D1214">
            <v>1</v>
          </cell>
          <cell r="E1214">
            <v>73956.960000000006</v>
          </cell>
        </row>
        <row r="1215">
          <cell r="A1215" t="str">
            <v>1-12-08</v>
          </cell>
          <cell r="B1215" t="str">
            <v>Punto hidráulico PVC de 1"  L prom = 3 m</v>
          </cell>
          <cell r="C1215" t="str">
            <v>Un</v>
          </cell>
          <cell r="D1215">
            <v>1</v>
          </cell>
          <cell r="E1215">
            <v>97044.64</v>
          </cell>
        </row>
        <row r="1216">
          <cell r="A1216" t="str">
            <v>1-12-09</v>
          </cell>
          <cell r="B1216" t="str">
            <v>Punto hidráulico PVC de 1 1/4"  L prom = 3 m</v>
          </cell>
          <cell r="C1216" t="str">
            <v>Un</v>
          </cell>
          <cell r="D1216">
            <v>1</v>
          </cell>
          <cell r="E1216">
            <v>97638.24</v>
          </cell>
        </row>
        <row r="1217">
          <cell r="A1217" t="str">
            <v>1-12-10</v>
          </cell>
          <cell r="B1217" t="str">
            <v xml:space="preserve">Punto hidráulico PVC de 1 1/2" L prom = 3 m </v>
          </cell>
          <cell r="C1217" t="str">
            <v>Pto</v>
          </cell>
          <cell r="D1217">
            <v>1</v>
          </cell>
          <cell r="E1217">
            <v>125474.72</v>
          </cell>
        </row>
        <row r="1218">
          <cell r="A1218" t="str">
            <v>1-12-11</v>
          </cell>
          <cell r="B1218" t="str">
            <v>Punto hidráulico PVC de 2" L prom = 3 m</v>
          </cell>
          <cell r="C1218" t="str">
            <v>Pto</v>
          </cell>
          <cell r="D1218">
            <v>1</v>
          </cell>
          <cell r="E1218">
            <v>184568.16</v>
          </cell>
        </row>
        <row r="1219">
          <cell r="A1219" t="str">
            <v>1-12-12</v>
          </cell>
          <cell r="B1219" t="str">
            <v>Punto hidráulico PVC de 3" L prom = 3 m</v>
          </cell>
          <cell r="C1219" t="str">
            <v>Pto</v>
          </cell>
          <cell r="D1219">
            <v>1</v>
          </cell>
          <cell r="E1219">
            <v>285794.88</v>
          </cell>
        </row>
        <row r="1220">
          <cell r="A1220" t="str">
            <v>1-12-13</v>
          </cell>
          <cell r="B1220" t="str">
            <v>Tubería PVC presión de 2" RDE 21</v>
          </cell>
          <cell r="C1220" t="str">
            <v>M</v>
          </cell>
          <cell r="D1220">
            <v>1</v>
          </cell>
          <cell r="E1220">
            <v>38963.68</v>
          </cell>
        </row>
        <row r="1221">
          <cell r="A1221" t="str">
            <v>1-12-14</v>
          </cell>
          <cell r="B1221" t="str">
            <v>Tubería PVC presión de 1 1/2" RDE 21</v>
          </cell>
          <cell r="C1221" t="str">
            <v>M</v>
          </cell>
          <cell r="D1221">
            <v>1</v>
          </cell>
          <cell r="E1221">
            <v>24470.880000000001</v>
          </cell>
        </row>
        <row r="1222">
          <cell r="A1222" t="str">
            <v>1-12-15</v>
          </cell>
          <cell r="B1222" t="str">
            <v>Tubería PVC presión de 1 1/4" RDE 21</v>
          </cell>
          <cell r="C1222" t="str">
            <v>M</v>
          </cell>
          <cell r="D1222">
            <v>1</v>
          </cell>
          <cell r="E1222">
            <v>20852.16</v>
          </cell>
        </row>
        <row r="1223">
          <cell r="A1223" t="str">
            <v>1-12-16</v>
          </cell>
          <cell r="B1223" t="str">
            <v>Tubería PVC presión de 1" RDE 21</v>
          </cell>
          <cell r="C1223" t="str">
            <v>M</v>
          </cell>
          <cell r="D1223">
            <v>1</v>
          </cell>
          <cell r="E1223">
            <v>15861.44</v>
          </cell>
        </row>
        <row r="1224">
          <cell r="A1224" t="str">
            <v>1-12-17</v>
          </cell>
          <cell r="B1224" t="str">
            <v>Tubería PVC presión de 3/4" RDE 21</v>
          </cell>
          <cell r="C1224" t="str">
            <v>M</v>
          </cell>
          <cell r="D1224">
            <v>1</v>
          </cell>
          <cell r="E1224">
            <v>14880.32</v>
          </cell>
        </row>
        <row r="1225">
          <cell r="A1225" t="str">
            <v>1-12-18</v>
          </cell>
          <cell r="B1225" t="str">
            <v>Tubería PVC presión de 1/2" RDE 9</v>
          </cell>
          <cell r="C1225" t="str">
            <v>M</v>
          </cell>
          <cell r="D1225">
            <v>1</v>
          </cell>
          <cell r="E1225">
            <v>15079.68</v>
          </cell>
        </row>
        <row r="1226">
          <cell r="A1226" t="str">
            <v>1-12-19</v>
          </cell>
          <cell r="B1226" t="str">
            <v>Tubería CPVC presión de 1/2" 100 PSI</v>
          </cell>
          <cell r="C1226" t="str">
            <v>M</v>
          </cell>
          <cell r="D1226">
            <v>1</v>
          </cell>
          <cell r="E1226">
            <v>16699.2</v>
          </cell>
        </row>
        <row r="1227">
          <cell r="A1227" t="str">
            <v>1-12-20</v>
          </cell>
          <cell r="B1227" t="str">
            <v>Tubería PF + UAD de 1/2"</v>
          </cell>
          <cell r="C1227" t="str">
            <v>M</v>
          </cell>
          <cell r="D1227">
            <v>1</v>
          </cell>
          <cell r="E1227">
            <v>7999.04</v>
          </cell>
        </row>
        <row r="1228">
          <cell r="A1228" t="str">
            <v>1-12-21</v>
          </cell>
          <cell r="B1228" t="str">
            <v>Tubería PVC unión platino de 8"</v>
          </cell>
          <cell r="C1228" t="str">
            <v>M</v>
          </cell>
          <cell r="D1228">
            <v>1</v>
          </cell>
          <cell r="E1228">
            <v>260823.36</v>
          </cell>
        </row>
        <row r="1229">
          <cell r="A1229" t="str">
            <v>1-12-22</v>
          </cell>
          <cell r="B1229" t="str">
            <v>Tubería PVC unión platino de 6"</v>
          </cell>
          <cell r="C1229" t="str">
            <v>M</v>
          </cell>
          <cell r="D1229">
            <v>1</v>
          </cell>
          <cell r="E1229">
            <v>160021.12</v>
          </cell>
        </row>
        <row r="1230">
          <cell r="A1230" t="str">
            <v>1-12-23</v>
          </cell>
          <cell r="B1230" t="str">
            <v>Tubería PVC unión platino de 4"</v>
          </cell>
          <cell r="C1230" t="str">
            <v>M</v>
          </cell>
          <cell r="D1230">
            <v>1</v>
          </cell>
          <cell r="E1230">
            <v>81316.479999999996</v>
          </cell>
        </row>
        <row r="1231">
          <cell r="A1231" t="str">
            <v>1-12-24</v>
          </cell>
          <cell r="B1231" t="str">
            <v>Tubería PVC unión platino de 3"</v>
          </cell>
          <cell r="C1231" t="str">
            <v>M</v>
          </cell>
          <cell r="D1231">
            <v>1</v>
          </cell>
          <cell r="E1231">
            <v>59715.040000000001</v>
          </cell>
        </row>
        <row r="1232">
          <cell r="A1232" t="str">
            <v>1-12-25</v>
          </cell>
          <cell r="B1232" t="str">
            <v>Tubería PVC unión platino de 2 1/2"</v>
          </cell>
          <cell r="C1232" t="str">
            <v>M</v>
          </cell>
          <cell r="D1232">
            <v>1</v>
          </cell>
          <cell r="E1232">
            <v>42509.599999999999</v>
          </cell>
        </row>
        <row r="1233">
          <cell r="A1233" t="str">
            <v>1-12-26</v>
          </cell>
          <cell r="B1233" t="str">
            <v>Tubería PVC unión platino de 2"</v>
          </cell>
          <cell r="C1233" t="str">
            <v>M</v>
          </cell>
          <cell r="D1233">
            <v>1</v>
          </cell>
          <cell r="E1233">
            <v>27815.200000000001</v>
          </cell>
        </row>
        <row r="1234">
          <cell r="A1234" t="str">
            <v>1-12-27</v>
          </cell>
          <cell r="B1234" t="str">
            <v>Unión de reparación de 8"</v>
          </cell>
          <cell r="C1234" t="str">
            <v>Un</v>
          </cell>
          <cell r="D1234">
            <v>1</v>
          </cell>
          <cell r="E1234">
            <v>480480</v>
          </cell>
        </row>
        <row r="1235">
          <cell r="A1235" t="str">
            <v>1-12-28</v>
          </cell>
          <cell r="B1235" t="str">
            <v>Unión de reparación de 6"</v>
          </cell>
          <cell r="C1235" t="str">
            <v>Un</v>
          </cell>
          <cell r="D1235">
            <v>1</v>
          </cell>
          <cell r="E1235">
            <v>268664.48</v>
          </cell>
        </row>
        <row r="1236">
          <cell r="A1236" t="str">
            <v>1-12-29</v>
          </cell>
          <cell r="B1236" t="str">
            <v>Unión de reparación de 4"</v>
          </cell>
          <cell r="C1236" t="str">
            <v>Un</v>
          </cell>
          <cell r="D1236">
            <v>1</v>
          </cell>
          <cell r="E1236">
            <v>122750.88</v>
          </cell>
        </row>
        <row r="1237">
          <cell r="A1237" t="str">
            <v>1-12-30</v>
          </cell>
          <cell r="B1237" t="str">
            <v>Unión de reparación de 3"</v>
          </cell>
          <cell r="C1237" t="str">
            <v>Un</v>
          </cell>
          <cell r="D1237">
            <v>1</v>
          </cell>
          <cell r="E1237">
            <v>82260.639999999999</v>
          </cell>
        </row>
        <row r="1238">
          <cell r="A1238" t="str">
            <v>1-12-31</v>
          </cell>
          <cell r="B1238" t="str">
            <v>Unión de reparación de 2 1/2"</v>
          </cell>
          <cell r="C1238" t="str">
            <v>Un</v>
          </cell>
          <cell r="D1238">
            <v>1</v>
          </cell>
          <cell r="E1238">
            <v>54132.959999999999</v>
          </cell>
        </row>
        <row r="1239">
          <cell r="A1239" t="str">
            <v>1-12-32</v>
          </cell>
          <cell r="B1239" t="str">
            <v>Unión de reparación de 2"</v>
          </cell>
          <cell r="C1239" t="str">
            <v>Un</v>
          </cell>
          <cell r="D1239">
            <v>1</v>
          </cell>
          <cell r="E1239">
            <v>43492.959999999999</v>
          </cell>
        </row>
        <row r="1240">
          <cell r="A1240" t="str">
            <v>1-12-33</v>
          </cell>
          <cell r="B1240" t="str">
            <v>Collar de derivación de 4" x 1/2"</v>
          </cell>
          <cell r="C1240" t="str">
            <v>Un</v>
          </cell>
          <cell r="D1240">
            <v>1</v>
          </cell>
          <cell r="E1240">
            <v>89999.84</v>
          </cell>
        </row>
        <row r="1241">
          <cell r="A1241" t="str">
            <v>1-12-34</v>
          </cell>
          <cell r="B1241" t="str">
            <v>Collar de derivación de 3" x 1/2"</v>
          </cell>
          <cell r="C1241" t="str">
            <v>Un</v>
          </cell>
          <cell r="D1241">
            <v>1</v>
          </cell>
          <cell r="E1241">
            <v>37332.959999999999</v>
          </cell>
        </row>
        <row r="1242">
          <cell r="A1242" t="str">
            <v>1-12-35</v>
          </cell>
          <cell r="B1242" t="str">
            <v>Collar de derivación de 2 1/2" x 1/2"</v>
          </cell>
          <cell r="C1242" t="str">
            <v>Un</v>
          </cell>
          <cell r="D1242">
            <v>1</v>
          </cell>
          <cell r="E1242">
            <v>22996.959999999999</v>
          </cell>
        </row>
        <row r="1243">
          <cell r="A1243" t="str">
            <v>1-12-36</v>
          </cell>
          <cell r="B1243" t="str">
            <v>Collar de derivación de 2" x 1/2"</v>
          </cell>
          <cell r="C1243" t="str">
            <v>Un</v>
          </cell>
          <cell r="D1243">
            <v>1</v>
          </cell>
          <cell r="E1243">
            <v>33860.959999999999</v>
          </cell>
        </row>
        <row r="1244">
          <cell r="A1244" t="str">
            <v>1-12-37</v>
          </cell>
          <cell r="B1244" t="str">
            <v>Cheque de 1 1/2" 200 PSI en bronce</v>
          </cell>
          <cell r="C1244" t="str">
            <v>Un</v>
          </cell>
          <cell r="D1244">
            <v>1</v>
          </cell>
          <cell r="E1244">
            <v>445932.48</v>
          </cell>
        </row>
        <row r="1245">
          <cell r="A1245" t="str">
            <v>1-12-38</v>
          </cell>
          <cell r="B1245" t="str">
            <v>Cheque de 1" en bronce</v>
          </cell>
          <cell r="C1245" t="str">
            <v>Un</v>
          </cell>
          <cell r="D1245">
            <v>1</v>
          </cell>
          <cell r="E1245">
            <v>163430.39999999999</v>
          </cell>
        </row>
        <row r="1246">
          <cell r="A1246" t="str">
            <v>1-12-39</v>
          </cell>
          <cell r="B1246" t="str">
            <v>Cheque de 1/2" en bronce</v>
          </cell>
          <cell r="C1246" t="str">
            <v>Un</v>
          </cell>
          <cell r="D1246">
            <v>1</v>
          </cell>
          <cell r="E1246">
            <v>83767.039999999994</v>
          </cell>
        </row>
        <row r="1247">
          <cell r="A1247" t="str">
            <v>1-12-40</v>
          </cell>
          <cell r="B1247" t="str">
            <v>Cheque de 3/4" 200 PSI</v>
          </cell>
          <cell r="C1247" t="str">
            <v>Un</v>
          </cell>
          <cell r="D1247">
            <v>1</v>
          </cell>
          <cell r="E1247">
            <v>90989.92</v>
          </cell>
        </row>
        <row r="1248">
          <cell r="A1248" t="str">
            <v>1-12-41</v>
          </cell>
          <cell r="B1248" t="str">
            <v>Registro de corte de 1/2"</v>
          </cell>
          <cell r="C1248" t="str">
            <v>Un</v>
          </cell>
          <cell r="D1248">
            <v>1</v>
          </cell>
          <cell r="E1248">
            <v>44293.760000000002</v>
          </cell>
        </row>
        <row r="1249">
          <cell r="A1249" t="str">
            <v>1-12-42</v>
          </cell>
          <cell r="B1249" t="str">
            <v>Llave de paso de 2" tipo Red White</v>
          </cell>
          <cell r="C1249" t="str">
            <v>Un</v>
          </cell>
          <cell r="D1249">
            <v>1</v>
          </cell>
          <cell r="E1249">
            <v>467168.8</v>
          </cell>
        </row>
        <row r="1250">
          <cell r="A1250" t="str">
            <v>1-12-43</v>
          </cell>
          <cell r="B1250" t="str">
            <v>Llave de paso de 1 1/2" tipo Red White</v>
          </cell>
          <cell r="C1250" t="str">
            <v>Un</v>
          </cell>
          <cell r="D1250">
            <v>1</v>
          </cell>
          <cell r="E1250">
            <v>375140.64</v>
          </cell>
        </row>
        <row r="1251">
          <cell r="A1251" t="str">
            <v>1-12-44</v>
          </cell>
          <cell r="B1251" t="str">
            <v>Llave de paso de 1" tipo Red White</v>
          </cell>
          <cell r="C1251" t="str">
            <v>Un</v>
          </cell>
          <cell r="D1251">
            <v>1</v>
          </cell>
          <cell r="E1251">
            <v>67282.880000000005</v>
          </cell>
        </row>
        <row r="1252">
          <cell r="A1252" t="str">
            <v>1-12-45</v>
          </cell>
          <cell r="B1252" t="str">
            <v>Llave de paso de 3/4" tipo Red White</v>
          </cell>
          <cell r="C1252" t="str">
            <v>Un</v>
          </cell>
          <cell r="D1252">
            <v>1</v>
          </cell>
          <cell r="E1252">
            <v>184060.79999999999</v>
          </cell>
        </row>
        <row r="1253">
          <cell r="A1253" t="str">
            <v>1-12-46</v>
          </cell>
          <cell r="B1253" t="str">
            <v>Llave de paso de 1/2" tipo Red White</v>
          </cell>
          <cell r="C1253" t="str">
            <v>Un</v>
          </cell>
          <cell r="D1253">
            <v>1</v>
          </cell>
          <cell r="E1253">
            <v>111721.12</v>
          </cell>
        </row>
        <row r="1254">
          <cell r="A1254" t="str">
            <v>1-12-47</v>
          </cell>
          <cell r="B1254" t="str">
            <v>Llave terminal cromada de 1/2"</v>
          </cell>
          <cell r="C1254" t="str">
            <v>Un</v>
          </cell>
          <cell r="D1254">
            <v>1</v>
          </cell>
          <cell r="E1254">
            <v>49338.239999999998</v>
          </cell>
        </row>
        <row r="1255">
          <cell r="A1255" t="str">
            <v>1-12-48</v>
          </cell>
          <cell r="B1255" t="str">
            <v>Llave terminal de cobre roscada de 1/2"</v>
          </cell>
          <cell r="C1255" t="str">
            <v>Un</v>
          </cell>
          <cell r="D1255">
            <v>1</v>
          </cell>
          <cell r="E1255">
            <v>45978.239999999998</v>
          </cell>
        </row>
        <row r="1256">
          <cell r="A1256" t="str">
            <v>1-12-49</v>
          </cell>
          <cell r="B1256" t="str">
            <v>Medidor de 1/2" volumétrico tipo "C"</v>
          </cell>
          <cell r="C1256" t="str">
            <v>Un</v>
          </cell>
          <cell r="D1256">
            <v>1</v>
          </cell>
          <cell r="E1256">
            <v>198320.64000000001</v>
          </cell>
        </row>
        <row r="1257">
          <cell r="A1257" t="str">
            <v>1-12-50</v>
          </cell>
          <cell r="B1257" t="str">
            <v>Medidor de 3/4" volumétrico tipo "B"</v>
          </cell>
          <cell r="C1257" t="str">
            <v>Un</v>
          </cell>
          <cell r="D1257">
            <v>1</v>
          </cell>
          <cell r="E1257">
            <v>260720.32</v>
          </cell>
        </row>
        <row r="1258">
          <cell r="A1258" t="str">
            <v>1-12-51</v>
          </cell>
          <cell r="B1258" t="str">
            <v>Medidor de 1" volumétrico tipo "B"</v>
          </cell>
          <cell r="C1258" t="str">
            <v>Un</v>
          </cell>
          <cell r="D1258">
            <v>1</v>
          </cell>
          <cell r="E1258">
            <v>647970.4</v>
          </cell>
        </row>
        <row r="1259">
          <cell r="A1259" t="str">
            <v>1-12-52</v>
          </cell>
          <cell r="B1259" t="str">
            <v>Cinta PVC V - 10</v>
          </cell>
          <cell r="C1259" t="str">
            <v>M</v>
          </cell>
          <cell r="D1259">
            <v>1</v>
          </cell>
          <cell r="E1259">
            <v>36348.480000000003</v>
          </cell>
        </row>
        <row r="1260">
          <cell r="A1260" t="str">
            <v>1-12-53</v>
          </cell>
          <cell r="B1260" t="str">
            <v>Cinta PVC V - 15</v>
          </cell>
          <cell r="C1260" t="str">
            <v>M</v>
          </cell>
          <cell r="D1260">
            <v>1</v>
          </cell>
          <cell r="E1260">
            <v>51402.400000000001</v>
          </cell>
        </row>
        <row r="1261">
          <cell r="A1261" t="str">
            <v>1-12-54</v>
          </cell>
          <cell r="B1261" t="str">
            <v>Hidrante tipo Milán de 3" extremo brida, incluye válvula sello de bronce y kit de nivelación</v>
          </cell>
          <cell r="C1261" t="str">
            <v>Un</v>
          </cell>
          <cell r="D1261">
            <v>1</v>
          </cell>
          <cell r="E1261">
            <v>3622784.48</v>
          </cell>
        </row>
        <row r="1262">
          <cell r="A1262" t="str">
            <v>1-12-55</v>
          </cell>
          <cell r="B1262" t="str">
            <v>Hidrante tipo Milán de 3" extremo liso, incluye válvula sello elástico y kit de  nivelación</v>
          </cell>
          <cell r="C1262" t="str">
            <v>Un</v>
          </cell>
          <cell r="D1262">
            <v>1</v>
          </cell>
          <cell r="E1262">
            <v>3244409.28</v>
          </cell>
        </row>
        <row r="1263">
          <cell r="A1263" t="str">
            <v>1-12-56</v>
          </cell>
          <cell r="B1263" t="str">
            <v>Gabinete contra incendios completo tipo 3, incluye válvula</v>
          </cell>
          <cell r="C1263" t="str">
            <v>Un</v>
          </cell>
          <cell r="D1263">
            <v>1</v>
          </cell>
          <cell r="E1263">
            <v>1194952.6399999999</v>
          </cell>
        </row>
        <row r="1264">
          <cell r="A1264" t="str">
            <v>1-12-57</v>
          </cell>
          <cell r="B1264" t="str">
            <v>Tapa plástica de registro de 0,20 x 0,20 m</v>
          </cell>
          <cell r="C1264" t="str">
            <v>Un</v>
          </cell>
          <cell r="D1264">
            <v>1</v>
          </cell>
          <cell r="E1264">
            <v>236321.12</v>
          </cell>
        </row>
        <row r="1265">
          <cell r="A1265" t="str">
            <v>1- 13 PUNTOS SANITARIOS</v>
          </cell>
          <cell r="E1265">
            <v>0</v>
          </cell>
        </row>
        <row r="1266">
          <cell r="A1266" t="str">
            <v>1-13-01</v>
          </cell>
          <cell r="B1266" t="str">
            <v>Tubería PVC agua lluvia de 2"</v>
          </cell>
          <cell r="C1266" t="str">
            <v>M</v>
          </cell>
          <cell r="D1266">
            <v>1</v>
          </cell>
          <cell r="E1266">
            <v>22951.040000000001</v>
          </cell>
        </row>
        <row r="1267">
          <cell r="A1267" t="str">
            <v>1-13-02</v>
          </cell>
          <cell r="B1267" t="str">
            <v>Tubería PVC agua lluvia de 3"</v>
          </cell>
          <cell r="C1267" t="str">
            <v>M</v>
          </cell>
          <cell r="D1267">
            <v>1</v>
          </cell>
          <cell r="E1267">
            <v>30928.799999999999</v>
          </cell>
        </row>
        <row r="1268">
          <cell r="A1268" t="str">
            <v>1-13-03</v>
          </cell>
          <cell r="B1268" t="str">
            <v>Tubería PVC agua lluvia de 4"</v>
          </cell>
          <cell r="C1268" t="str">
            <v>M</v>
          </cell>
          <cell r="D1268">
            <v>1</v>
          </cell>
          <cell r="E1268">
            <v>45585.120000000003</v>
          </cell>
        </row>
        <row r="1269">
          <cell r="A1269" t="str">
            <v>1-13-04</v>
          </cell>
          <cell r="B1269" t="str">
            <v>Bajante PVC agua lluvia de 3"</v>
          </cell>
          <cell r="C1269" t="str">
            <v>M</v>
          </cell>
          <cell r="D1269">
            <v>1</v>
          </cell>
          <cell r="E1269">
            <v>44173.919999999998</v>
          </cell>
        </row>
        <row r="1270">
          <cell r="A1270" t="str">
            <v>1-13-05</v>
          </cell>
          <cell r="B1270" t="str">
            <v>Bajante PVC agua lluvia de 4"</v>
          </cell>
          <cell r="C1270" t="str">
            <v>M</v>
          </cell>
          <cell r="D1270">
            <v>1</v>
          </cell>
          <cell r="E1270">
            <v>58830.239999999998</v>
          </cell>
        </row>
        <row r="1271">
          <cell r="A1271" t="str">
            <v>1-13-06</v>
          </cell>
          <cell r="B1271" t="str">
            <v>Bajante PVC agua lluvia cuadrado</v>
          </cell>
          <cell r="C1271" t="str">
            <v>M</v>
          </cell>
          <cell r="D1271">
            <v>1</v>
          </cell>
          <cell r="E1271">
            <v>62009.919999999998</v>
          </cell>
        </row>
        <row r="1272">
          <cell r="A1272" t="str">
            <v>1-13-07</v>
          </cell>
          <cell r="B1272" t="str">
            <v>Canal PVC tipo Amazonas o similar</v>
          </cell>
          <cell r="C1272" t="str">
            <v>M</v>
          </cell>
          <cell r="D1272">
            <v>1</v>
          </cell>
          <cell r="E1272">
            <v>61025.440000000002</v>
          </cell>
        </row>
        <row r="1273">
          <cell r="A1273" t="str">
            <v>1-13-08</v>
          </cell>
          <cell r="B1273" t="str">
            <v>Tubería PVC de ventilación de 2", incluye accesorios</v>
          </cell>
          <cell r="C1273" t="str">
            <v>M</v>
          </cell>
          <cell r="D1273">
            <v>1</v>
          </cell>
          <cell r="E1273">
            <v>31195.360000000001</v>
          </cell>
        </row>
        <row r="1274">
          <cell r="A1274" t="str">
            <v>1-13-09</v>
          </cell>
          <cell r="B1274" t="str">
            <v>Tubería PVC de ventilación de 3", incluye accesorios</v>
          </cell>
          <cell r="C1274" t="str">
            <v>M</v>
          </cell>
          <cell r="D1274">
            <v>1</v>
          </cell>
          <cell r="E1274">
            <v>36692.32</v>
          </cell>
        </row>
        <row r="1275">
          <cell r="A1275" t="str">
            <v>1-13-10</v>
          </cell>
          <cell r="B1275" t="str">
            <v>Tubería PVC sanitaria de 2", incluye accesorios</v>
          </cell>
          <cell r="C1275" t="str">
            <v>M</v>
          </cell>
          <cell r="D1275">
            <v>1</v>
          </cell>
          <cell r="E1275">
            <v>33837.440000000002</v>
          </cell>
        </row>
        <row r="1276">
          <cell r="A1276" t="str">
            <v>1-13-11</v>
          </cell>
          <cell r="B1276" t="str">
            <v>Tubería PVC sanitaria de 3", incluye accesorios</v>
          </cell>
          <cell r="C1276" t="str">
            <v>M</v>
          </cell>
          <cell r="D1276">
            <v>1</v>
          </cell>
          <cell r="E1276">
            <v>45969.279999999999</v>
          </cell>
        </row>
        <row r="1277">
          <cell r="A1277" t="str">
            <v>1-13-12</v>
          </cell>
          <cell r="B1277" t="str">
            <v>Tubería PVC sanitaria de 4", incluye accesorios</v>
          </cell>
          <cell r="C1277" t="str">
            <v>M</v>
          </cell>
          <cell r="D1277">
            <v>1</v>
          </cell>
          <cell r="E1277">
            <v>60459.839999999997</v>
          </cell>
        </row>
        <row r="1278">
          <cell r="A1278" t="str">
            <v>1-13-13</v>
          </cell>
          <cell r="B1278" t="str">
            <v>Tubería PVC sanitaria de 6", incluye accesorios</v>
          </cell>
          <cell r="C1278" t="str">
            <v>M</v>
          </cell>
          <cell r="D1278">
            <v>1</v>
          </cell>
          <cell r="E1278">
            <v>107821.28</v>
          </cell>
        </row>
        <row r="1279">
          <cell r="A1279" t="str">
            <v>1-13-14</v>
          </cell>
          <cell r="B1279" t="str">
            <v>Punto sanitario PVC de 2" l prom = 3 m</v>
          </cell>
          <cell r="C1279" t="str">
            <v>Pto</v>
          </cell>
          <cell r="D1279">
            <v>1</v>
          </cell>
          <cell r="E1279">
            <v>149138.07999999999</v>
          </cell>
        </row>
        <row r="1280">
          <cell r="A1280" t="str">
            <v>1-13-15</v>
          </cell>
          <cell r="B1280" t="str">
            <v>Punto sanitario PVC de 3" l prom = 3 m</v>
          </cell>
          <cell r="C1280" t="str">
            <v>Pto</v>
          </cell>
          <cell r="D1280">
            <v>1</v>
          </cell>
          <cell r="E1280">
            <v>253911.84</v>
          </cell>
        </row>
        <row r="1281">
          <cell r="A1281" t="str">
            <v>1-13-16</v>
          </cell>
          <cell r="B1281" t="str">
            <v>Punto sanitario PVC de 4" l prom = 3 m</v>
          </cell>
          <cell r="C1281" t="str">
            <v>Pto</v>
          </cell>
          <cell r="D1281">
            <v>1</v>
          </cell>
          <cell r="E1281">
            <v>402523.52</v>
          </cell>
        </row>
        <row r="1282">
          <cell r="A1282" t="str">
            <v>1-13-17</v>
          </cell>
          <cell r="B1282" t="str">
            <v>Tubería PVC perforada de 2 1/2" (65 mm)</v>
          </cell>
          <cell r="C1282" t="str">
            <v>M</v>
          </cell>
          <cell r="D1282">
            <v>1</v>
          </cell>
          <cell r="E1282">
            <v>31889.759999999998</v>
          </cell>
        </row>
        <row r="1283">
          <cell r="A1283" t="str">
            <v>1-13-18</v>
          </cell>
          <cell r="B1283" t="str">
            <v>Tubería PVC perforada de 4" (100 mm)</v>
          </cell>
          <cell r="C1283" t="str">
            <v>M</v>
          </cell>
          <cell r="D1283">
            <v>1</v>
          </cell>
          <cell r="E1283">
            <v>37347.519999999997</v>
          </cell>
        </row>
        <row r="1284">
          <cell r="A1284" t="str">
            <v>1-13-19</v>
          </cell>
          <cell r="B1284" t="str">
            <v>Tubería PVC perforada de 6" (160 mm)</v>
          </cell>
          <cell r="C1284" t="str">
            <v>M</v>
          </cell>
          <cell r="D1284">
            <v>1</v>
          </cell>
          <cell r="E1284">
            <v>73312.960000000006</v>
          </cell>
        </row>
        <row r="1285">
          <cell r="A1285" t="str">
            <v>1-13-20</v>
          </cell>
          <cell r="B1285" t="str">
            <v>Tubería PVC perforada de 8" (200 mm)</v>
          </cell>
          <cell r="C1285" t="str">
            <v>M</v>
          </cell>
          <cell r="D1285">
            <v>1</v>
          </cell>
          <cell r="E1285">
            <v>160558.72</v>
          </cell>
        </row>
        <row r="1286">
          <cell r="A1286" t="str">
            <v>1-13-21</v>
          </cell>
          <cell r="B1286" t="str">
            <v>Tubería PVC de alcantarillado de pared estructural d = 45", exterior liso</v>
          </cell>
          <cell r="C1286" t="str">
            <v>M</v>
          </cell>
          <cell r="D1286">
            <v>1</v>
          </cell>
          <cell r="E1286">
            <v>2555750.3999999999</v>
          </cell>
        </row>
        <row r="1287">
          <cell r="A1287" t="str">
            <v>1-13-22</v>
          </cell>
          <cell r="B1287" t="str">
            <v>Tubería PVC de alcantarillado de pared estructural d = 48", exterior liso</v>
          </cell>
          <cell r="C1287" t="str">
            <v>M</v>
          </cell>
          <cell r="D1287">
            <v>1</v>
          </cell>
          <cell r="E1287">
            <v>3145199.68</v>
          </cell>
        </row>
        <row r="1288">
          <cell r="A1288" t="str">
            <v>1-13-23</v>
          </cell>
          <cell r="B1288" t="str">
            <v>Tubería PVC de alcantarillado de pared estructural d = 51", exterior liso</v>
          </cell>
          <cell r="C1288" t="str">
            <v>M</v>
          </cell>
          <cell r="D1288">
            <v>1</v>
          </cell>
          <cell r="E1288">
            <v>2999934.56</v>
          </cell>
        </row>
        <row r="1289">
          <cell r="A1289" t="str">
            <v>1-13-24</v>
          </cell>
          <cell r="B1289" t="str">
            <v>Tubería PVC de alcantarillado de pared estructural d = 54", exterior liso</v>
          </cell>
          <cell r="C1289" t="str">
            <v>M</v>
          </cell>
          <cell r="D1289">
            <v>1</v>
          </cell>
          <cell r="E1289">
            <v>3173190.7199999997</v>
          </cell>
        </row>
        <row r="1290">
          <cell r="A1290" t="str">
            <v>1-13-25</v>
          </cell>
          <cell r="B1290" t="str">
            <v>Tubería PVC de alcantarillado de pared estructural d = 57", exterior liso. No tomar en cuenta</v>
          </cell>
          <cell r="C1290" t="str">
            <v>M</v>
          </cell>
          <cell r="D1290">
            <v>1</v>
          </cell>
          <cell r="E1290">
            <v>0</v>
          </cell>
        </row>
        <row r="1291">
          <cell r="A1291" t="str">
            <v>1-13-26</v>
          </cell>
          <cell r="B1291" t="str">
            <v>Tubería PVC de alcantarillado de pared estructural d = 60", exterior liso. No tomar en cuenta</v>
          </cell>
          <cell r="C1291" t="str">
            <v>M</v>
          </cell>
          <cell r="D1291">
            <v>1</v>
          </cell>
          <cell r="E1291">
            <v>0</v>
          </cell>
        </row>
        <row r="1292">
          <cell r="A1292" t="str">
            <v>1-13-27</v>
          </cell>
          <cell r="B1292" t="str">
            <v>Tubería en concreto vibrada unión caucho de 10" C 2</v>
          </cell>
          <cell r="C1292" t="str">
            <v>M</v>
          </cell>
          <cell r="D1292">
            <v>1</v>
          </cell>
          <cell r="E1292">
            <v>65259.040000000001</v>
          </cell>
        </row>
        <row r="1293">
          <cell r="A1293" t="str">
            <v>1-13-28</v>
          </cell>
          <cell r="B1293" t="str">
            <v>Tubería en concreto vibrada unión caucho de 12" C 2</v>
          </cell>
          <cell r="C1293" t="str">
            <v>M</v>
          </cell>
          <cell r="D1293">
            <v>1</v>
          </cell>
          <cell r="E1293">
            <v>86086.56</v>
          </cell>
        </row>
        <row r="1294">
          <cell r="A1294" t="str">
            <v>1-13-29</v>
          </cell>
          <cell r="B1294" t="str">
            <v>Tubería en concreto vibrada unión caucho de 15" C 2</v>
          </cell>
          <cell r="C1294" t="str">
            <v>M</v>
          </cell>
          <cell r="D1294">
            <v>1</v>
          </cell>
          <cell r="E1294">
            <v>130234.72</v>
          </cell>
        </row>
        <row r="1295">
          <cell r="A1295" t="str">
            <v>1-13-30</v>
          </cell>
          <cell r="B1295" t="str">
            <v>Tubería en concreto vibrada unión caucho de 16" C 2</v>
          </cell>
          <cell r="C1295" t="str">
            <v>M</v>
          </cell>
          <cell r="D1295">
            <v>1</v>
          </cell>
          <cell r="E1295">
            <v>133255.35999999999</v>
          </cell>
        </row>
        <row r="1296">
          <cell r="A1296" t="str">
            <v>1-13-31</v>
          </cell>
          <cell r="B1296" t="str">
            <v>Tubería en concreto vibrada unión caucho de 18" C 2</v>
          </cell>
          <cell r="C1296" t="str">
            <v>M</v>
          </cell>
          <cell r="D1296">
            <v>1</v>
          </cell>
          <cell r="E1296">
            <v>179674.88</v>
          </cell>
        </row>
        <row r="1297">
          <cell r="A1297" t="str">
            <v>1-13-32</v>
          </cell>
          <cell r="B1297" t="str">
            <v>Tubería en concreto vibrada unión caucho de 21" C 2</v>
          </cell>
          <cell r="C1297" t="str">
            <v>M</v>
          </cell>
          <cell r="D1297">
            <v>1</v>
          </cell>
          <cell r="E1297">
            <v>217558.88</v>
          </cell>
        </row>
        <row r="1298">
          <cell r="A1298" t="str">
            <v>1-13-33</v>
          </cell>
          <cell r="B1298" t="str">
            <v>Tubería en concreto vibrada unión caucho de 24" C 2</v>
          </cell>
          <cell r="C1298" t="str">
            <v>M</v>
          </cell>
          <cell r="D1298">
            <v>1</v>
          </cell>
          <cell r="E1298">
            <v>324056.32000000001</v>
          </cell>
        </row>
        <row r="1299">
          <cell r="A1299" t="str">
            <v>1-13-34</v>
          </cell>
          <cell r="B1299" t="str">
            <v>Tubería en concreto vibrada reforzada unión caucho de 24" C 2</v>
          </cell>
          <cell r="C1299" t="str">
            <v>M</v>
          </cell>
          <cell r="D1299">
            <v>1</v>
          </cell>
          <cell r="E1299">
            <v>399321.44</v>
          </cell>
        </row>
        <row r="1300">
          <cell r="A1300" t="str">
            <v>1-13-35</v>
          </cell>
          <cell r="B1300" t="str">
            <v>Tubería en concreto vibrada reforzada unión caucho de 30" C 2</v>
          </cell>
          <cell r="C1300" t="str">
            <v>M</v>
          </cell>
          <cell r="D1300">
            <v>1</v>
          </cell>
          <cell r="E1300">
            <v>629744.64000000001</v>
          </cell>
        </row>
        <row r="1301">
          <cell r="A1301" t="str">
            <v>1-13-36</v>
          </cell>
          <cell r="B1301" t="str">
            <v>Tubería en concreto vibrada reforzada unión caucho de 36" C 2</v>
          </cell>
          <cell r="C1301" t="str">
            <v>M</v>
          </cell>
          <cell r="D1301">
            <v>1</v>
          </cell>
          <cell r="E1301">
            <v>806156.96</v>
          </cell>
        </row>
        <row r="1302">
          <cell r="A1302" t="str">
            <v>1-13-37</v>
          </cell>
          <cell r="B1302" t="str">
            <v>Tubería en concreto vibrada reforzada unión caucho de 40" C 2</v>
          </cell>
          <cell r="C1302" t="str">
            <v>M</v>
          </cell>
          <cell r="D1302">
            <v>1</v>
          </cell>
          <cell r="E1302">
            <v>959907.2</v>
          </cell>
        </row>
        <row r="1303">
          <cell r="A1303" t="str">
            <v>1-13-38</v>
          </cell>
          <cell r="B1303" t="str">
            <v>Tubería en concreto vibrada reforzada unión caucho de 48" C 2</v>
          </cell>
          <cell r="C1303" t="str">
            <v>M</v>
          </cell>
          <cell r="D1303">
            <v>1</v>
          </cell>
          <cell r="E1303">
            <v>1221176.3200000001</v>
          </cell>
        </row>
        <row r="1304">
          <cell r="A1304" t="str">
            <v>1-13-39</v>
          </cell>
          <cell r="B1304" t="str">
            <v>Tubería en concreto vibrada reforzada unión caucho de 52" C 2</v>
          </cell>
          <cell r="C1304" t="str">
            <v>M</v>
          </cell>
          <cell r="D1304">
            <v>1</v>
          </cell>
          <cell r="E1304">
            <v>1470901.6</v>
          </cell>
        </row>
        <row r="1305">
          <cell r="A1305" t="str">
            <v>1-13-40</v>
          </cell>
          <cell r="B1305" t="str">
            <v>Tubería en concreto vibrada reforzada unión caucho de 60" C 2</v>
          </cell>
          <cell r="C1305" t="str">
            <v>M</v>
          </cell>
          <cell r="D1305">
            <v>1</v>
          </cell>
          <cell r="E1305">
            <v>1740583.04</v>
          </cell>
        </row>
        <row r="1306">
          <cell r="A1306" t="str">
            <v>1-13-41</v>
          </cell>
          <cell r="B1306" t="str">
            <v>Tubería PVC de alcantarillado de pared estructural d =  4", exterior corrugado</v>
          </cell>
          <cell r="C1306" t="str">
            <v>M</v>
          </cell>
          <cell r="D1306">
            <v>1</v>
          </cell>
          <cell r="E1306">
            <v>35846.720000000001</v>
          </cell>
        </row>
        <row r="1307">
          <cell r="A1307" t="str">
            <v>1-13-42</v>
          </cell>
          <cell r="B1307" t="str">
            <v>Tubería PVC de alcantarillado de pared estructural d =  6", exterior corrugado</v>
          </cell>
          <cell r="C1307" t="str">
            <v>M</v>
          </cell>
          <cell r="D1307">
            <v>1</v>
          </cell>
          <cell r="E1307">
            <v>62317.919999999998</v>
          </cell>
        </row>
        <row r="1308">
          <cell r="A1308" t="str">
            <v>1-13-43</v>
          </cell>
          <cell r="B1308" t="str">
            <v>Tubería PVC de alcantarillado de pared estructural d =  8", exterior corrugado</v>
          </cell>
          <cell r="C1308" t="str">
            <v>M</v>
          </cell>
          <cell r="D1308">
            <v>1</v>
          </cell>
          <cell r="E1308">
            <v>89100.479999999996</v>
          </cell>
        </row>
        <row r="1309">
          <cell r="A1309" t="str">
            <v>1-13-44</v>
          </cell>
          <cell r="B1309" t="str">
            <v>Tubería PVC de alcantarillado de pared estructural d =  10", exterior corrugado</v>
          </cell>
          <cell r="C1309" t="str">
            <v>M</v>
          </cell>
          <cell r="D1309">
            <v>1</v>
          </cell>
          <cell r="E1309">
            <v>125998.88</v>
          </cell>
        </row>
        <row r="1310">
          <cell r="A1310" t="str">
            <v>1-13-45</v>
          </cell>
          <cell r="B1310" t="str">
            <v>Tubería PVC de alcantarillado de pared estructural d =  12", exterior corrugado</v>
          </cell>
          <cell r="C1310" t="str">
            <v>M</v>
          </cell>
          <cell r="D1310">
            <v>1</v>
          </cell>
          <cell r="E1310">
            <v>176230.88</v>
          </cell>
        </row>
        <row r="1311">
          <cell r="A1311" t="str">
            <v>1-13-46</v>
          </cell>
          <cell r="B1311" t="str">
            <v>Tubería PVC de alcantarillado de pared estructural d =  16", exterior corrugado</v>
          </cell>
          <cell r="C1311" t="str">
            <v>M</v>
          </cell>
          <cell r="D1311">
            <v>1</v>
          </cell>
          <cell r="E1311">
            <v>314483.68</v>
          </cell>
        </row>
        <row r="1312">
          <cell r="A1312" t="str">
            <v>1-13-47</v>
          </cell>
          <cell r="B1312" t="str">
            <v>Tubería PVC de alcantarillado de pared estructural d = 24", exterior corrugado</v>
          </cell>
          <cell r="C1312" t="str">
            <v>M</v>
          </cell>
          <cell r="D1312">
            <v>1</v>
          </cell>
          <cell r="E1312">
            <v>690887.67999999993</v>
          </cell>
        </row>
        <row r="1313">
          <cell r="A1313" t="str">
            <v>1-13-48</v>
          </cell>
          <cell r="B1313" t="str">
            <v>Tubería PVC de alcantarillado de pared estructural d = 27", exterior corrugado</v>
          </cell>
          <cell r="C1313" t="str">
            <v>M</v>
          </cell>
          <cell r="D1313">
            <v>1</v>
          </cell>
          <cell r="E1313">
            <v>815477.6</v>
          </cell>
        </row>
        <row r="1314">
          <cell r="A1314" t="str">
            <v>1-13-49</v>
          </cell>
          <cell r="B1314" t="str">
            <v>Tubería PVC de alcantarillado de pared estructural d = 30", exterior corrugado</v>
          </cell>
          <cell r="C1314" t="str">
            <v>M</v>
          </cell>
          <cell r="D1314">
            <v>1</v>
          </cell>
          <cell r="E1314">
            <v>1000460.16</v>
          </cell>
        </row>
        <row r="1315">
          <cell r="A1315" t="str">
            <v>1-13-50</v>
          </cell>
          <cell r="B1315" t="str">
            <v>Tubería PVC de alcantarillado de pared estructural d = 36", exterior corrugado</v>
          </cell>
          <cell r="C1315" t="str">
            <v>M</v>
          </cell>
          <cell r="D1315">
            <v>1</v>
          </cell>
          <cell r="E1315">
            <v>1816127.04</v>
          </cell>
        </row>
        <row r="1316">
          <cell r="A1316" t="str">
            <v>1-13-51</v>
          </cell>
          <cell r="B1316" t="str">
            <v>Tubería PVC de alcantarillado de pared estructural d = 42", exterior corrugado</v>
          </cell>
          <cell r="C1316" t="str">
            <v>M</v>
          </cell>
          <cell r="D1316">
            <v>1</v>
          </cell>
          <cell r="E1316">
            <v>2825419.52</v>
          </cell>
        </row>
        <row r="1317">
          <cell r="A1317" t="str">
            <v>1-13-52</v>
          </cell>
          <cell r="B1317" t="str">
            <v>Silla Yee PVC de pared estructural 400 X 160</v>
          </cell>
          <cell r="C1317" t="str">
            <v>Un</v>
          </cell>
          <cell r="D1317">
            <v>1</v>
          </cell>
          <cell r="E1317">
            <v>449096.48</v>
          </cell>
        </row>
        <row r="1318">
          <cell r="A1318" t="str">
            <v>1-13-53</v>
          </cell>
          <cell r="B1318" t="str">
            <v>Silla Yee PVC de pared estructural 450 x 160</v>
          </cell>
          <cell r="C1318" t="str">
            <v>Un</v>
          </cell>
          <cell r="D1318">
            <v>1</v>
          </cell>
          <cell r="E1318">
            <v>481414.08</v>
          </cell>
        </row>
        <row r="1319">
          <cell r="A1319" t="str">
            <v>1-13-54</v>
          </cell>
          <cell r="B1319" t="str">
            <v>Silla Yee PVC de pared estructural 500 x 160</v>
          </cell>
          <cell r="C1319" t="str">
            <v>Un</v>
          </cell>
          <cell r="D1319">
            <v>1</v>
          </cell>
          <cell r="E1319">
            <v>712888.96</v>
          </cell>
        </row>
        <row r="1320">
          <cell r="A1320" t="str">
            <v>1-13-55</v>
          </cell>
          <cell r="B1320" t="str">
            <v>Geodrén circular de 4" l = 1,00 m</v>
          </cell>
          <cell r="C1320" t="str">
            <v>M2</v>
          </cell>
          <cell r="D1320">
            <v>1</v>
          </cell>
          <cell r="E1320">
            <v>101096.8</v>
          </cell>
        </row>
        <row r="1321">
          <cell r="A1321" t="str">
            <v>1-13-56</v>
          </cell>
          <cell r="B1321" t="str">
            <v>Geodrén circular de 2 1/2" l = 1,00 m</v>
          </cell>
          <cell r="C1321" t="str">
            <v>M2</v>
          </cell>
          <cell r="D1321">
            <v>1</v>
          </cell>
          <cell r="E1321">
            <v>121867.2</v>
          </cell>
        </row>
        <row r="1322">
          <cell r="A1322" t="str">
            <v>1-13-57</v>
          </cell>
          <cell r="B1322" t="str">
            <v>Geodrén circular de 6" l = 1,00 m</v>
          </cell>
          <cell r="C1322" t="str">
            <v>M2</v>
          </cell>
          <cell r="D1322">
            <v>1</v>
          </cell>
          <cell r="E1322">
            <v>134423.51999999999</v>
          </cell>
        </row>
        <row r="1323">
          <cell r="A1323" t="str">
            <v>1-13-58</v>
          </cell>
          <cell r="B1323" t="str">
            <v>Geodrén circular de 8" l = 1,00 m</v>
          </cell>
          <cell r="C1323" t="str">
            <v>M2</v>
          </cell>
          <cell r="D1323">
            <v>1</v>
          </cell>
          <cell r="E1323">
            <v>200998.56</v>
          </cell>
        </row>
        <row r="1324">
          <cell r="A1324" t="str">
            <v>1-13-59</v>
          </cell>
          <cell r="B1324" t="str">
            <v>Geodrén planar l = 1,00 m</v>
          </cell>
          <cell r="C1324" t="str">
            <v>M2</v>
          </cell>
          <cell r="D1324">
            <v>1</v>
          </cell>
          <cell r="E1324">
            <v>39475.519999999997</v>
          </cell>
        </row>
        <row r="1325">
          <cell r="A1325" t="str">
            <v>1-13-60</v>
          </cell>
          <cell r="B1325" t="str">
            <v>Adaptador bajante PVC agua lluvia cuadrado 3 x 3</v>
          </cell>
          <cell r="C1325" t="str">
            <v>Un</v>
          </cell>
          <cell r="D1325">
            <v>1</v>
          </cell>
          <cell r="E1325">
            <v>14146.72</v>
          </cell>
        </row>
        <row r="1326">
          <cell r="A1326" t="str">
            <v>1-13-61</v>
          </cell>
          <cell r="B1326" t="str">
            <v>Sistema séptico domiciliario 2000 lt</v>
          </cell>
          <cell r="C1326" t="str">
            <v>Un</v>
          </cell>
          <cell r="D1326">
            <v>1</v>
          </cell>
          <cell r="E1326">
            <v>7228300.7999999998</v>
          </cell>
        </row>
        <row r="1327">
          <cell r="A1327" t="str">
            <v>1-13-62</v>
          </cell>
          <cell r="B1327" t="str">
            <v>Sistema séptico domiciliario prefabricado 4000 lt</v>
          </cell>
          <cell r="C1327" t="str">
            <v>Un</v>
          </cell>
          <cell r="D1327">
            <v>1</v>
          </cell>
          <cell r="E1327">
            <v>15423472.960000001</v>
          </cell>
        </row>
        <row r="1328">
          <cell r="A1328" t="str">
            <v>1-13-63</v>
          </cell>
          <cell r="B1328" t="str">
            <v>Trampa de grasa 250 lt</v>
          </cell>
          <cell r="C1328" t="str">
            <v>Un</v>
          </cell>
          <cell r="D1328">
            <v>1</v>
          </cell>
          <cell r="E1328">
            <v>624854.72</v>
          </cell>
        </row>
        <row r="1329">
          <cell r="A1329" t="str">
            <v>1-13-64</v>
          </cell>
          <cell r="B1329" t="str">
            <v>Mantenimiento de pozos sépticos para baterías de 3 unidades</v>
          </cell>
          <cell r="C1329" t="str">
            <v>Un</v>
          </cell>
          <cell r="D1329">
            <v>1</v>
          </cell>
          <cell r="E1329">
            <v>378962.08</v>
          </cell>
        </row>
        <row r="1330">
          <cell r="A1330" t="str">
            <v>1 - 14 ELEMENTOS ELÉCTRICOS</v>
          </cell>
          <cell r="E1330">
            <v>0</v>
          </cell>
        </row>
        <row r="1331">
          <cell r="A1331" t="str">
            <v>1-14-01</v>
          </cell>
          <cell r="B1331" t="str">
            <v>Tablero monofásico 6 circuitos con barraje de 75 A, barrajes de neutro y tierra. Incluye una protección de 1 x 20 A 10 KA. Empotrado</v>
          </cell>
          <cell r="C1331" t="str">
            <v>Un</v>
          </cell>
          <cell r="D1331">
            <v>1</v>
          </cell>
          <cell r="E1331">
            <v>168773.91999999998</v>
          </cell>
        </row>
        <row r="1332">
          <cell r="A1332" t="str">
            <v>1-14-02</v>
          </cell>
          <cell r="B1332" t="str">
            <v>Tablero bifásico 4 circuitos con barraje de 75 A, barrajes de neutro y tierra. Incluye una protección de 1 x 20 A 10 KA. Empotrado</v>
          </cell>
          <cell r="C1332" t="str">
            <v>Un</v>
          </cell>
          <cell r="D1332">
            <v>1</v>
          </cell>
          <cell r="E1332">
            <v>267940.96000000002</v>
          </cell>
        </row>
        <row r="1333">
          <cell r="A1333" t="str">
            <v>1-14-03</v>
          </cell>
          <cell r="B1333" t="str">
            <v>Tablero bifásico 8 circuitos con barrajes de 125 A, barrajes de neutro y tierra, chapa. Incluye una protección de 2 x 20 A 10 KA y una protección de 1 x 20 A 10 KA. Empotrado</v>
          </cell>
          <cell r="C1333" t="str">
            <v>Un</v>
          </cell>
          <cell r="D1333">
            <v>1</v>
          </cell>
          <cell r="E1333">
            <v>287262.08000000002</v>
          </cell>
        </row>
        <row r="1334">
          <cell r="A1334" t="str">
            <v>1-14-04</v>
          </cell>
          <cell r="B1334" t="str">
            <v>Tablero trifásico 12  circuitos con barraje de 200 A, barrajes de neutro y tierra, puerta y chapa. Incluye una protección de 3 x 20 A 10 KA, una protección de 2 x 20 A 10 KA y una protección de 1 x 20 A 10 KA. Empotrado</v>
          </cell>
          <cell r="C1334" t="str">
            <v>Un</v>
          </cell>
          <cell r="D1334">
            <v>1</v>
          </cell>
          <cell r="E1334">
            <v>508123.83999999997</v>
          </cell>
        </row>
        <row r="1335">
          <cell r="A1335" t="str">
            <v>1-14-05</v>
          </cell>
          <cell r="B1335" t="str">
            <v>Tablero trifásico 18 circuitos con barraje de 200 A, barrajes de neutro y tierra, puerta y chapa. Incluye una protección de 3 x 20 A 10 KA, una protección de 2 x 20 A 10 KA y una protección de 1 x 20 A 10 KA. Empotrado</v>
          </cell>
          <cell r="C1335" t="str">
            <v>Un</v>
          </cell>
          <cell r="D1335">
            <v>1</v>
          </cell>
          <cell r="E1335">
            <v>584811.36</v>
          </cell>
        </row>
        <row r="1336">
          <cell r="A1336" t="str">
            <v>1-14-06</v>
          </cell>
          <cell r="B1336" t="str">
            <v>Tablero trifásico 24 circuitos con barraje de 200 A,  barrajes de neutro y tierra, puerta y chapa. Incluye una protección de 3 x 30 A 10 KA, una de 3 x 20 A 10 KA, una protección de 2 x 20 A 10 KA y una protección de 1 x 20 A 10 KA. Empotrado</v>
          </cell>
          <cell r="C1336" t="str">
            <v>Un</v>
          </cell>
          <cell r="D1336">
            <v>1</v>
          </cell>
          <cell r="E1336">
            <v>761419.67999999993</v>
          </cell>
        </row>
        <row r="1337">
          <cell r="A1337" t="str">
            <v>1-14-07</v>
          </cell>
          <cell r="B1337" t="str">
            <v>Salida interruptor sencillo cable Cu # 12 THHN AWG, tubería PVC 1/2" longitud promedio 4,5 m</v>
          </cell>
          <cell r="C1337" t="str">
            <v>Un</v>
          </cell>
          <cell r="D1337">
            <v>1</v>
          </cell>
          <cell r="E1337">
            <v>298415.03999999998</v>
          </cell>
        </row>
        <row r="1338">
          <cell r="A1338" t="str">
            <v>1-14-08</v>
          </cell>
          <cell r="B1338" t="str">
            <v>Salida interruptor sencillo cable Cu # 12 HFFR LS, tubería PVC 1/2" longitud promedio 4,5 m</v>
          </cell>
          <cell r="C1338" t="str">
            <v>Un</v>
          </cell>
          <cell r="D1338">
            <v>1</v>
          </cell>
          <cell r="E1338">
            <v>289873.91999999998</v>
          </cell>
        </row>
        <row r="1339">
          <cell r="A1339" t="str">
            <v>1-14-09</v>
          </cell>
          <cell r="B1339" t="str">
            <v>Salida interruptor doble cable Cu # 12 THHN AWG, tubería PVC 1/2"  longitud promedio 4,5 m</v>
          </cell>
          <cell r="C1339" t="str">
            <v>Un</v>
          </cell>
          <cell r="D1339">
            <v>1</v>
          </cell>
          <cell r="E1339">
            <v>381670.24</v>
          </cell>
        </row>
        <row r="1340">
          <cell r="A1340" t="str">
            <v>1-14-10</v>
          </cell>
          <cell r="B1340" t="str">
            <v>Salida interruptor doble cable Cu # 12 HFFR LS, tubería PVC 1/2"  longitud promedio 4,5 m</v>
          </cell>
          <cell r="C1340" t="str">
            <v>Un</v>
          </cell>
          <cell r="D1340">
            <v>1</v>
          </cell>
          <cell r="E1340">
            <v>308235.2</v>
          </cell>
        </row>
        <row r="1341">
          <cell r="A1341" t="str">
            <v>1-14-11</v>
          </cell>
          <cell r="B1341" t="str">
            <v>Salida interruptor triple cable Cu # 12 THHN AWG, tubería PVC 1/2"  longitud promedio 4,5 m</v>
          </cell>
          <cell r="C1341" t="str">
            <v>Un</v>
          </cell>
          <cell r="D1341">
            <v>1</v>
          </cell>
          <cell r="E1341">
            <v>336683.2</v>
          </cell>
        </row>
        <row r="1342">
          <cell r="A1342" t="str">
            <v>1-14-12</v>
          </cell>
          <cell r="B1342" t="str">
            <v>Salida interruptor triple cable Cu # 12 HFFR LS, tubería PVC 1/2"  longitud promedio 4,5 m</v>
          </cell>
          <cell r="C1342" t="str">
            <v>Un</v>
          </cell>
          <cell r="D1342">
            <v>1</v>
          </cell>
          <cell r="E1342">
            <v>324029.44</v>
          </cell>
        </row>
        <row r="1343">
          <cell r="A1343" t="str">
            <v>1-14-13</v>
          </cell>
          <cell r="B1343" t="str">
            <v>Salida interruptor conmutable sencillo cable Cu # 12 THHN AWG, tubería PVC 1/2"  longitud promedio 4,5 m</v>
          </cell>
          <cell r="C1343" t="str">
            <v>Un</v>
          </cell>
          <cell r="D1343">
            <v>1</v>
          </cell>
          <cell r="E1343">
            <v>335723.36</v>
          </cell>
        </row>
        <row r="1344">
          <cell r="A1344" t="str">
            <v>1-14-14</v>
          </cell>
          <cell r="B1344" t="str">
            <v>Salida toma doble polo a tierra cable Cu # 12 THHN AWG, tubería PVC 1/2" longitud promedio 6 m</v>
          </cell>
          <cell r="C1344" t="str">
            <v>Un</v>
          </cell>
          <cell r="D1344">
            <v>1</v>
          </cell>
          <cell r="E1344">
            <v>350025.76</v>
          </cell>
        </row>
        <row r="1345">
          <cell r="A1345" t="str">
            <v>1-14-15</v>
          </cell>
          <cell r="B1345" t="str">
            <v>Salida toma doble polo a tierra cable Cu # 12 THHN AWG,  tubería conduit EMT 3/4" longitud promedio 6 m</v>
          </cell>
          <cell r="C1345" t="str">
            <v>Un</v>
          </cell>
          <cell r="D1345">
            <v>1</v>
          </cell>
          <cell r="E1345">
            <v>415049.6</v>
          </cell>
        </row>
        <row r="1346">
          <cell r="A1346" t="str">
            <v>1-14-16</v>
          </cell>
          <cell r="B1346" t="str">
            <v>Salida toma doble tipo GFCI cable Cu # 12 THHN AWG, tubería PVC 1/2" longitud promedio 6 m</v>
          </cell>
          <cell r="C1346" t="str">
            <v>Un</v>
          </cell>
          <cell r="D1346">
            <v>1</v>
          </cell>
          <cell r="E1346">
            <v>398015.52</v>
          </cell>
        </row>
        <row r="1347">
          <cell r="A1347" t="str">
            <v>1-14-17</v>
          </cell>
          <cell r="B1347" t="str">
            <v>Salida para A.A. toma 208 V, 4 hilos, cable Cu # 12 THHN AWG, Tubería conduit PVC 3/4" longitud promedio 6 m</v>
          </cell>
          <cell r="C1347" t="str">
            <v>Un</v>
          </cell>
          <cell r="D1347">
            <v>1</v>
          </cell>
          <cell r="E1347">
            <v>215423.04</v>
          </cell>
        </row>
        <row r="1348">
          <cell r="A1348" t="str">
            <v>1-14-18</v>
          </cell>
          <cell r="B1348" t="str">
            <v>Salida lámpara hermética 2 x 32 W, cable Cu # 12 THHN AWG, tubería PVC 1/2" longitud promedio 6 m. Incluye toma doble polo a tierra, clavija y cable encauchetado 3 x 12 AWG</v>
          </cell>
          <cell r="C1348" t="str">
            <v>Un</v>
          </cell>
          <cell r="D1348">
            <v>1</v>
          </cell>
          <cell r="E1348">
            <v>1758473.92</v>
          </cell>
        </row>
        <row r="1349">
          <cell r="A1349" t="str">
            <v>1-14-19</v>
          </cell>
          <cell r="B1349" t="str">
            <v>Alambrón de Al 8 mm para apantallamiento, incluye accesorios de soporte y fijación</v>
          </cell>
          <cell r="C1349" t="str">
            <v>M</v>
          </cell>
          <cell r="D1349">
            <v>1</v>
          </cell>
          <cell r="E1349">
            <v>49161.279999999999</v>
          </cell>
        </row>
        <row r="1350">
          <cell r="A1350" t="str">
            <v>1-14-20</v>
          </cell>
          <cell r="B1350" t="str">
            <v>Bajante con tubo galvanizado, cable Cu 1/0, tubería conduit IMC 3/4" soportada en perfil chanel 4 x 2"</v>
          </cell>
          <cell r="C1350" t="str">
            <v>M</v>
          </cell>
          <cell r="D1350">
            <v>1</v>
          </cell>
          <cell r="E1350">
            <v>0</v>
          </cell>
        </row>
        <row r="1351">
          <cell r="A1351" t="str">
            <v>1-14-21</v>
          </cell>
          <cell r="B1351" t="str">
            <v>Caja de transición sistema de apantallamiento</v>
          </cell>
          <cell r="C1351" t="str">
            <v>Un</v>
          </cell>
          <cell r="D1351">
            <v>1</v>
          </cell>
          <cell r="E1351">
            <v>95870.88</v>
          </cell>
        </row>
        <row r="1352">
          <cell r="A1352" t="str">
            <v>1-14-22</v>
          </cell>
          <cell r="B1352" t="str">
            <v>Cable Cu desnudo 1/0 anillo inferior sistema de apantallamiento, brecha 0,3 m ancho por 0,7 m profundidad</v>
          </cell>
          <cell r="C1352" t="str">
            <v>M</v>
          </cell>
          <cell r="D1352">
            <v>1</v>
          </cell>
          <cell r="E1352">
            <v>55787.199999999997</v>
          </cell>
        </row>
        <row r="1353">
          <cell r="A1353" t="str">
            <v>1-14-23</v>
          </cell>
          <cell r="B1353" t="str">
            <v>Puesta a tierra con varilla de cobre 5/8 x 2,4 m, tubería IMC 1/2 x 3 m, incluye soldadura exotérmica 115 gr</v>
          </cell>
          <cell r="C1353" t="str">
            <v>Un</v>
          </cell>
          <cell r="D1353">
            <v>1</v>
          </cell>
          <cell r="E1353">
            <v>0</v>
          </cell>
        </row>
        <row r="1354">
          <cell r="A1354" t="str">
            <v>1-14-24</v>
          </cell>
          <cell r="B1354" t="str">
            <v>Soldadura exotérmicas 115gr, suministro y aplicación</v>
          </cell>
          <cell r="C1354" t="str">
            <v>Un</v>
          </cell>
          <cell r="D1354">
            <v>1</v>
          </cell>
          <cell r="E1354">
            <v>0</v>
          </cell>
        </row>
        <row r="1355">
          <cell r="A1355" t="str">
            <v>1-14-25</v>
          </cell>
          <cell r="B1355" t="str">
            <v>Proyector RRA 400 W MH, incluye bombillo y Accesorios de fijación</v>
          </cell>
          <cell r="C1355" t="str">
            <v>Un</v>
          </cell>
          <cell r="D1355">
            <v>1</v>
          </cell>
          <cell r="E1355">
            <v>0</v>
          </cell>
        </row>
        <row r="1356">
          <cell r="A1356" t="str">
            <v>1-14-26</v>
          </cell>
          <cell r="B1356" t="str">
            <v>Proyector 2500 W MH, incluye bombillo y Accesorios de fijación</v>
          </cell>
          <cell r="C1356" t="str">
            <v>Un</v>
          </cell>
          <cell r="D1356">
            <v>1</v>
          </cell>
          <cell r="E1356">
            <v>0</v>
          </cell>
        </row>
        <row r="1357">
          <cell r="A1357" t="str">
            <v>1-14-27</v>
          </cell>
          <cell r="B1357" t="str">
            <v xml:space="preserve">Percha pesada de un puesto incluye aislador tipo carrete </v>
          </cell>
          <cell r="C1357" t="str">
            <v>Un</v>
          </cell>
          <cell r="D1357">
            <v>1</v>
          </cell>
          <cell r="E1357">
            <v>53633.440000000002</v>
          </cell>
        </row>
        <row r="1358">
          <cell r="A1358" t="str">
            <v>1-14-28</v>
          </cell>
          <cell r="B1358" t="str">
            <v>Conector de perforación de aislamiento JZ2- 95 para cable Nº 4</v>
          </cell>
          <cell r="C1358" t="str">
            <v>Un</v>
          </cell>
          <cell r="D1358">
            <v>1</v>
          </cell>
          <cell r="E1358">
            <v>52545.919999999998</v>
          </cell>
        </row>
        <row r="1359">
          <cell r="A1359" t="str">
            <v>1-14-29</v>
          </cell>
          <cell r="B1359" t="str">
            <v>Cable cobre trenzado o concéntrico 2 x 8 + 8</v>
          </cell>
          <cell r="C1359" t="str">
            <v>M</v>
          </cell>
          <cell r="D1359">
            <v>1</v>
          </cell>
          <cell r="E1359">
            <v>56309.120000000003</v>
          </cell>
        </row>
        <row r="1360">
          <cell r="A1360" t="str">
            <v>1-14-30</v>
          </cell>
          <cell r="B1360" t="str">
            <v xml:space="preserve">Medidor trifilar de 15/60 A neutro incorporado, demanda sencilla,  electrónico. Incluye canalización y caja metálica tipo intemperie </v>
          </cell>
          <cell r="C1360" t="str">
            <v>Un</v>
          </cell>
          <cell r="D1360">
            <v>1</v>
          </cell>
          <cell r="E1360">
            <v>101098579.68000001</v>
          </cell>
        </row>
        <row r="1361">
          <cell r="A1361" t="str">
            <v>1-14-31</v>
          </cell>
          <cell r="B1361" t="str">
            <v>Canalización en tubería PVC 1"</v>
          </cell>
          <cell r="C1361" t="str">
            <v>M</v>
          </cell>
          <cell r="D1361">
            <v>1</v>
          </cell>
          <cell r="E1361">
            <v>440091.68</v>
          </cell>
        </row>
        <row r="1362">
          <cell r="A1362" t="str">
            <v>1-14-32</v>
          </cell>
          <cell r="B1362" t="str">
            <v>Circuito en cable 3x8 HFFR LS</v>
          </cell>
          <cell r="C1362" t="str">
            <v>M</v>
          </cell>
          <cell r="D1362">
            <v>1</v>
          </cell>
          <cell r="E1362">
            <v>28169.119999999999</v>
          </cell>
        </row>
        <row r="1363">
          <cell r="A1363" t="str">
            <v>1-14-33</v>
          </cell>
          <cell r="B1363" t="str">
            <v>Canalización en tubería PVC 1/2"</v>
          </cell>
          <cell r="C1363" t="str">
            <v>M</v>
          </cell>
          <cell r="D1363">
            <v>1</v>
          </cell>
          <cell r="E1363">
            <v>15158.08</v>
          </cell>
        </row>
        <row r="1364">
          <cell r="A1364" t="str">
            <v>1-14-34</v>
          </cell>
          <cell r="B1364" t="str">
            <v>Circuito en cable 3 x 12 HFFR LS</v>
          </cell>
          <cell r="C1364" t="str">
            <v>M</v>
          </cell>
          <cell r="D1364">
            <v>1</v>
          </cell>
          <cell r="E1364">
            <v>13018.88</v>
          </cell>
        </row>
        <row r="1365">
          <cell r="A1365" t="str">
            <v>1-14-35</v>
          </cell>
          <cell r="B1365" t="str">
            <v xml:space="preserve">Canalización en cielo tubería PVC 1/2"SCH 40 </v>
          </cell>
          <cell r="C1365" t="str">
            <v>M</v>
          </cell>
          <cell r="D1365">
            <v>1</v>
          </cell>
          <cell r="E1365">
            <v>12755.68</v>
          </cell>
        </row>
        <row r="1366">
          <cell r="A1366" t="str">
            <v>1-14-36</v>
          </cell>
          <cell r="B1366" t="str">
            <v>Salida toma doble polo a tierra cable Cu # 12 HFFR LS, tubería PVC 1/2" longitud promedio 6 m</v>
          </cell>
          <cell r="C1366" t="str">
            <v>Un</v>
          </cell>
          <cell r="D1366">
            <v>1</v>
          </cell>
          <cell r="E1366">
            <v>327015.36</v>
          </cell>
        </row>
        <row r="1367">
          <cell r="A1367" t="str">
            <v>1-14-37</v>
          </cell>
          <cell r="B1367" t="str">
            <v>Salida toma doble tipo GFCI cable Cu # 12 HFFR LS, tubería PVC 1/2" longitud promedio 6 m</v>
          </cell>
          <cell r="C1367" t="str">
            <v>Un</v>
          </cell>
          <cell r="D1367">
            <v>1</v>
          </cell>
          <cell r="E1367">
            <v>373842.56</v>
          </cell>
        </row>
        <row r="1368">
          <cell r="A1368" t="str">
            <v>1-14-38</v>
          </cell>
          <cell r="B1368" t="str">
            <v>Salida interruptor sencillo cable Cu # 12 HFFR LS, tubería PVC 1/2" longitud promedio 4,5 m</v>
          </cell>
          <cell r="C1368" t="str">
            <v>Un</v>
          </cell>
          <cell r="D1368">
            <v>1</v>
          </cell>
          <cell r="E1368">
            <v>281158.08</v>
          </cell>
        </row>
        <row r="1369">
          <cell r="A1369" t="str">
            <v>1-14-39</v>
          </cell>
          <cell r="B1369" t="str">
            <v>Salida lámpara Panel Led Sobreponer 60x60 48 W, Cable Cu aislado # 12 HFFR LS, tubería PVC 1/2" longitud promedio 6 m. Incluye toma doble polo a tierra, clavija y cable encauchetado 3 x 12 AWG</v>
          </cell>
          <cell r="C1369" t="str">
            <v>Un</v>
          </cell>
          <cell r="D1369">
            <v>1</v>
          </cell>
          <cell r="E1369">
            <v>4010399.68</v>
          </cell>
        </row>
        <row r="1370">
          <cell r="A1370" t="str">
            <v xml:space="preserve"> 1 - 15 MANEJO AMBIENTAL Y REFORESTACIÓN</v>
          </cell>
          <cell r="E1370">
            <v>0</v>
          </cell>
        </row>
        <row r="1371">
          <cell r="A1371" t="str">
            <v>1-15-01</v>
          </cell>
          <cell r="B1371" t="str">
            <v>Trinchos en guadua h libre = 1,00 m</v>
          </cell>
          <cell r="C1371" t="str">
            <v>M</v>
          </cell>
          <cell r="D1371">
            <v>1</v>
          </cell>
          <cell r="E1371">
            <v>120458.24000000001</v>
          </cell>
        </row>
        <row r="1372">
          <cell r="A1372" t="str">
            <v>1-15-02</v>
          </cell>
          <cell r="B1372" t="str">
            <v>Trinchos doble en guadua h libre = 1,00 m</v>
          </cell>
          <cell r="C1372" t="str">
            <v>M</v>
          </cell>
          <cell r="D1372">
            <v>1</v>
          </cell>
          <cell r="E1372">
            <v>184224.32</v>
          </cell>
        </row>
        <row r="1373">
          <cell r="A1373" t="str">
            <v>1-15-03</v>
          </cell>
          <cell r="B1373" t="str">
            <v>Trinchos en esterilla h libre = 0,60 m</v>
          </cell>
          <cell r="C1373" t="str">
            <v>M</v>
          </cell>
          <cell r="D1373">
            <v>1</v>
          </cell>
          <cell r="E1373">
            <v>60063.360000000001</v>
          </cell>
        </row>
        <row r="1374">
          <cell r="A1374" t="str">
            <v>1-15-04</v>
          </cell>
          <cell r="B1374" t="str">
            <v>Trinchos en cañabrava</v>
          </cell>
          <cell r="C1374" t="str">
            <v>M</v>
          </cell>
          <cell r="D1374">
            <v>1</v>
          </cell>
          <cell r="E1374">
            <v>121791.03999999999</v>
          </cell>
        </row>
        <row r="1375">
          <cell r="A1375" t="str">
            <v>1-15-05</v>
          </cell>
          <cell r="B1375" t="str">
            <v>Cerramiento en poste de madera 4 hilos de alambre de púas</v>
          </cell>
          <cell r="C1375" t="str">
            <v>M</v>
          </cell>
          <cell r="D1375">
            <v>1</v>
          </cell>
          <cell r="E1375">
            <v>55493.760000000002</v>
          </cell>
        </row>
        <row r="1376">
          <cell r="A1376" t="str">
            <v>1-15-06</v>
          </cell>
          <cell r="B1376" t="str">
            <v>Barrera viva</v>
          </cell>
          <cell r="C1376" t="str">
            <v>M</v>
          </cell>
          <cell r="D1376">
            <v>1</v>
          </cell>
          <cell r="E1376">
            <v>64541.120000000003</v>
          </cell>
        </row>
        <row r="1377">
          <cell r="A1377" t="str">
            <v>1-15-07</v>
          </cell>
          <cell r="B1377" t="str">
            <v>Cerca viva (planta cada 2.5 m) nacedero, carey, leucaena, matarratón</v>
          </cell>
          <cell r="C1377" t="str">
            <v>M</v>
          </cell>
          <cell r="D1377">
            <v>1</v>
          </cell>
          <cell r="E1377">
            <v>10076.64</v>
          </cell>
        </row>
        <row r="1378">
          <cell r="A1378" t="str">
            <v>1-15-08</v>
          </cell>
          <cell r="B1378" t="str">
            <v>Cerca viva (planta cada 3 m) especies diferentes</v>
          </cell>
          <cell r="C1378" t="str">
            <v>M</v>
          </cell>
          <cell r="D1378">
            <v>1</v>
          </cell>
          <cell r="E1378">
            <v>7059.36</v>
          </cell>
        </row>
        <row r="1379">
          <cell r="A1379" t="str">
            <v>1-15-09</v>
          </cell>
          <cell r="B1379" t="str">
            <v>Cerca viva (planta cada 4 m) especies diferentes</v>
          </cell>
          <cell r="C1379" t="str">
            <v>M</v>
          </cell>
          <cell r="D1379">
            <v>1</v>
          </cell>
          <cell r="E1379">
            <v>6531.84</v>
          </cell>
        </row>
        <row r="1380">
          <cell r="A1380" t="str">
            <v>1-15-10</v>
          </cell>
          <cell r="B1380" t="str">
            <v>Cerca viva (planta cada 5 m) especies diferentes</v>
          </cell>
          <cell r="C1380" t="str">
            <v>M</v>
          </cell>
          <cell r="D1380">
            <v>1</v>
          </cell>
          <cell r="E1380">
            <v>5885.6</v>
          </cell>
        </row>
        <row r="1381">
          <cell r="A1381" t="str">
            <v>1-15-11</v>
          </cell>
          <cell r="B1381" t="str">
            <v>Cerca viva (planta cada 5 m) vainillo, guayacán, acacia, eucalipto</v>
          </cell>
          <cell r="C1381" t="str">
            <v>M</v>
          </cell>
          <cell r="D1381">
            <v>1</v>
          </cell>
          <cell r="E1381">
            <v>5130.72</v>
          </cell>
        </row>
        <row r="1382">
          <cell r="A1382" t="str">
            <v>1-15-12</v>
          </cell>
          <cell r="B1382" t="str">
            <v>Barrera viva doble con vetiver, limoncillo, lirio y afines</v>
          </cell>
          <cell r="C1382" t="str">
            <v>M</v>
          </cell>
          <cell r="D1382">
            <v>1</v>
          </cell>
          <cell r="E1382">
            <v>96398.399999999994</v>
          </cell>
        </row>
        <row r="1383">
          <cell r="A1383" t="str">
            <v>1-15-13</v>
          </cell>
          <cell r="B1383" t="str">
            <v>Barrera viva triple con vetiver, limoncillo, lirio y afines</v>
          </cell>
          <cell r="C1383" t="str">
            <v>M</v>
          </cell>
          <cell r="D1383">
            <v>1</v>
          </cell>
          <cell r="E1383">
            <v>141198.39999999999</v>
          </cell>
        </row>
        <row r="1384">
          <cell r="A1384" t="str">
            <v>1-15-14</v>
          </cell>
          <cell r="B1384" t="str">
            <v>Mateado</v>
          </cell>
          <cell r="C1384" t="str">
            <v>M2</v>
          </cell>
          <cell r="D1384">
            <v>1</v>
          </cell>
          <cell r="E1384">
            <v>21911.68</v>
          </cell>
        </row>
        <row r="1385">
          <cell r="A1385" t="str">
            <v xml:space="preserve"> 1 - 16 VARIOS</v>
          </cell>
          <cell r="E1385">
            <v>0</v>
          </cell>
        </row>
        <row r="1386">
          <cell r="A1386" t="str">
            <v>1-16-01</v>
          </cell>
          <cell r="B1386" t="str">
            <v>Polietileno negro C 4 a = 3 m</v>
          </cell>
          <cell r="C1386" t="str">
            <v>M2</v>
          </cell>
          <cell r="D1386">
            <v>1</v>
          </cell>
          <cell r="E1386">
            <v>4848.4799999999996</v>
          </cell>
        </row>
        <row r="1387">
          <cell r="A1387" t="str">
            <v>1-16-02</v>
          </cell>
          <cell r="B1387" t="str">
            <v>Cinta antideslizante de 25 mm</v>
          </cell>
          <cell r="C1387" t="str">
            <v>M</v>
          </cell>
          <cell r="D1387">
            <v>1</v>
          </cell>
          <cell r="E1387">
            <v>13412</v>
          </cell>
        </row>
        <row r="1388">
          <cell r="A1388" t="str">
            <v>1-16-03</v>
          </cell>
          <cell r="B1388" t="str">
            <v>Suministro y colocación de papel de colgadura</v>
          </cell>
          <cell r="C1388" t="str">
            <v>M2</v>
          </cell>
          <cell r="D1388">
            <v>1</v>
          </cell>
          <cell r="E1388">
            <v>77338.240000000005</v>
          </cell>
        </row>
        <row r="1389">
          <cell r="A1389" t="str">
            <v>1-16-04</v>
          </cell>
          <cell r="B1389" t="str">
            <v>Concertina d = 18" 33 espirales por rollo con e = 100 mm</v>
          </cell>
          <cell r="C1389" t="str">
            <v>M</v>
          </cell>
          <cell r="D1389">
            <v>1</v>
          </cell>
          <cell r="E1389">
            <v>10799.04</v>
          </cell>
        </row>
        <row r="1390">
          <cell r="A1390" t="str">
            <v>1-16-05</v>
          </cell>
          <cell r="B1390" t="str">
            <v>Tablero de mortero 1:3, incluye estuco y pintura verde óptico</v>
          </cell>
          <cell r="C1390" t="str">
            <v>M2</v>
          </cell>
          <cell r="D1390">
            <v>1</v>
          </cell>
          <cell r="E1390">
            <v>109924.64</v>
          </cell>
        </row>
        <row r="1391">
          <cell r="A1391" t="str">
            <v>1-16-06</v>
          </cell>
          <cell r="B1391" t="str">
            <v>Tablero melamínico de 2,40 x 1,20 m base en tablex de 2 cm para marcador seco, incluye marco en cedro y ticero en madera, instalado</v>
          </cell>
          <cell r="C1391" t="str">
            <v>Un</v>
          </cell>
          <cell r="D1391">
            <v>1</v>
          </cell>
          <cell r="E1391">
            <v>492688</v>
          </cell>
        </row>
        <row r="1392">
          <cell r="A1392" t="str">
            <v>1-16-07</v>
          </cell>
          <cell r="B1392" t="str">
            <v>Ticero de concreto de 20,7 Mpa, incluye refuerzo</v>
          </cell>
          <cell r="C1392" t="str">
            <v>M</v>
          </cell>
          <cell r="D1392">
            <v>1</v>
          </cell>
          <cell r="E1392">
            <v>82492.479999999996</v>
          </cell>
        </row>
        <row r="1393">
          <cell r="A1393" t="str">
            <v>1-16-08</v>
          </cell>
          <cell r="B1393" t="str">
            <v>Anclaje epóxico para 1/2" profundidad 0,15 m</v>
          </cell>
          <cell r="C1393" t="str">
            <v>Un</v>
          </cell>
          <cell r="D1393">
            <v>1</v>
          </cell>
          <cell r="E1393">
            <v>17083.36</v>
          </cell>
        </row>
        <row r="1394">
          <cell r="A1394" t="str">
            <v>1-16-09</v>
          </cell>
          <cell r="B1394" t="str">
            <v>Anclaje epóxico para 3/4" profundidad 0,15 m</v>
          </cell>
          <cell r="C1394" t="str">
            <v>Un</v>
          </cell>
          <cell r="D1394">
            <v>1</v>
          </cell>
          <cell r="E1394">
            <v>22330.560000000001</v>
          </cell>
        </row>
        <row r="1395">
          <cell r="A1395" t="str">
            <v>1-16-10</v>
          </cell>
          <cell r="B1395" t="str">
            <v>Anclaje epóxico para 1" profundidad 0,15 m</v>
          </cell>
          <cell r="C1395" t="str">
            <v>Un</v>
          </cell>
          <cell r="D1395">
            <v>1</v>
          </cell>
          <cell r="E1395">
            <v>39805.919999999998</v>
          </cell>
        </row>
        <row r="1396">
          <cell r="A1396" t="str">
            <v>1-16-11</v>
          </cell>
          <cell r="B1396" t="str">
            <v>Tablero de baloncesto y arquería de microfútbol, incluye armazón metálico, tablero, aro, mallas e instalación (norte y sur)</v>
          </cell>
          <cell r="C1396" t="str">
            <v>Un</v>
          </cell>
          <cell r="D1396">
            <v>1</v>
          </cell>
          <cell r="E1396">
            <v>13631037.279999999</v>
          </cell>
        </row>
        <row r="1397">
          <cell r="A1397" t="str">
            <v>1-16-12</v>
          </cell>
          <cell r="B1397" t="str">
            <v>Tablero de baloncesto acrílico, incluye armazón metálico, aro, malla e instalación</v>
          </cell>
          <cell r="C1397" t="str">
            <v>Un</v>
          </cell>
          <cell r="D1397">
            <v>1</v>
          </cell>
          <cell r="E1397">
            <v>2295092.7999999998</v>
          </cell>
        </row>
        <row r="1398">
          <cell r="A1398" t="str">
            <v>1-16-13</v>
          </cell>
          <cell r="B1398" t="str">
            <v>Aro para baloncesto, incluye malla e instalación</v>
          </cell>
          <cell r="C1398" t="str">
            <v>Un</v>
          </cell>
          <cell r="D1398">
            <v>1</v>
          </cell>
          <cell r="E1398">
            <v>246764</v>
          </cell>
        </row>
        <row r="1399">
          <cell r="A1399" t="str">
            <v>1-16-14</v>
          </cell>
          <cell r="B1399" t="str">
            <v>Acrílico para lámpara slin line de 0,60 x 1,20 m</v>
          </cell>
          <cell r="C1399" t="str">
            <v>Un</v>
          </cell>
          <cell r="D1399">
            <v>1</v>
          </cell>
          <cell r="E1399">
            <v>102440.8</v>
          </cell>
        </row>
        <row r="1400">
          <cell r="A1400" t="str">
            <v>1-16-15</v>
          </cell>
          <cell r="B1400" t="str">
            <v>Reja panal de abeja de 0,60 x 1,20 m</v>
          </cell>
          <cell r="C1400" t="str">
            <v>M2</v>
          </cell>
          <cell r="D1400">
            <v>1</v>
          </cell>
          <cell r="E1400">
            <v>146232.79999999999</v>
          </cell>
        </row>
        <row r="1401">
          <cell r="A1401" t="str">
            <v>1-16-16</v>
          </cell>
          <cell r="B1401" t="str">
            <v>Programa salud ocupacional</v>
          </cell>
          <cell r="C1401" t="str">
            <v>Un</v>
          </cell>
          <cell r="D1401">
            <v>1</v>
          </cell>
          <cell r="E1401">
            <v>56207656.960000001</v>
          </cell>
        </row>
        <row r="1402">
          <cell r="A1402" t="str">
            <v>1-16-17</v>
          </cell>
          <cell r="B1402" t="str">
            <v>Profesional en salud ocupacional</v>
          </cell>
          <cell r="C1402" t="str">
            <v>Mes</v>
          </cell>
          <cell r="D1402">
            <v>1</v>
          </cell>
          <cell r="E1402">
            <v>7025957.1200000001</v>
          </cell>
        </row>
        <row r="1403">
          <cell r="A1403" t="str">
            <v>1-16-18</v>
          </cell>
          <cell r="B1403" t="str">
            <v>Espejo de 4 mm biselado</v>
          </cell>
          <cell r="C1403" t="str">
            <v>M2</v>
          </cell>
          <cell r="D1403">
            <v>1</v>
          </cell>
          <cell r="E1403">
            <v>158962.72</v>
          </cell>
        </row>
        <row r="1404">
          <cell r="A1404" t="str">
            <v>1-16-19</v>
          </cell>
          <cell r="B1404" t="str">
            <v>Vidrio de 4 mm transparente</v>
          </cell>
          <cell r="C1404" t="str">
            <v>M2</v>
          </cell>
          <cell r="D1404">
            <v>1</v>
          </cell>
          <cell r="E1404">
            <v>47816.160000000003</v>
          </cell>
        </row>
        <row r="1405">
          <cell r="A1405" t="str">
            <v>1-16-20</v>
          </cell>
          <cell r="B1405" t="str">
            <v>Vidrio de 4 mm esmerilado</v>
          </cell>
          <cell r="C1405" t="str">
            <v>M2</v>
          </cell>
          <cell r="D1405">
            <v>1</v>
          </cell>
          <cell r="E1405">
            <v>63871.360000000001</v>
          </cell>
        </row>
        <row r="1406">
          <cell r="A1406" t="str">
            <v>2. VÍAS</v>
          </cell>
          <cell r="E1406">
            <v>0</v>
          </cell>
        </row>
        <row r="1407">
          <cell r="A1407" t="str">
            <v>2.- CONSTRUCCIÓN, MANTENIMIENTO Y MEJORAMIENTO DE VÍAS</v>
          </cell>
          <cell r="E1407">
            <v>0</v>
          </cell>
        </row>
        <row r="1408">
          <cell r="A1408" t="str">
            <v>2 - 01 PRELIMINARES</v>
          </cell>
          <cell r="E1408">
            <v>0</v>
          </cell>
        </row>
        <row r="1409">
          <cell r="A1409" t="str">
            <v>2-01-01</v>
          </cell>
          <cell r="B1409" t="str">
            <v>Localización y replanteo para pavimentación de vías (3 líneas, 3 instancias)</v>
          </cell>
          <cell r="C1409" t="str">
            <v>M</v>
          </cell>
          <cell r="D1409">
            <v>1</v>
          </cell>
          <cell r="E1409">
            <v>5854.24</v>
          </cell>
        </row>
        <row r="1410">
          <cell r="A1410" t="str">
            <v>2-01-03</v>
          </cell>
          <cell r="B1410" t="str">
            <v>Remoción de derrumbes</v>
          </cell>
          <cell r="C1410" t="str">
            <v>M3</v>
          </cell>
          <cell r="D1410">
            <v>1</v>
          </cell>
          <cell r="E1410">
            <v>11646.88</v>
          </cell>
        </row>
        <row r="1411">
          <cell r="A1411" t="str">
            <v>2-01-04</v>
          </cell>
          <cell r="B1411" t="str">
            <v>Rocería manual para cooperativas, incluye limpieza de obras de arte, retiro de sobrantes</v>
          </cell>
          <cell r="C1411" t="str">
            <v>Km</v>
          </cell>
          <cell r="D1411">
            <v>1</v>
          </cell>
          <cell r="E1411">
            <v>1896503.84</v>
          </cell>
        </row>
        <row r="1412">
          <cell r="A1412" t="str">
            <v>2-01-05</v>
          </cell>
          <cell r="B1412" t="str">
            <v>Rocería de taludes a = 3 m, incluye conformación de cunetas en tierra o limpieza de cunetas en contrato  y retiro manual de sobrantes</v>
          </cell>
          <cell r="C1412" t="str">
            <v>Km</v>
          </cell>
          <cell r="D1412">
            <v>1</v>
          </cell>
          <cell r="E1412">
            <v>1251760.1599999999</v>
          </cell>
        </row>
        <row r="1413">
          <cell r="A1413" t="str">
            <v>2-01-06</v>
          </cell>
          <cell r="B1413" t="str">
            <v>Desmonte y limpieza en bosque</v>
          </cell>
          <cell r="C1413" t="str">
            <v>Ha</v>
          </cell>
          <cell r="D1413">
            <v>1</v>
          </cell>
          <cell r="E1413">
            <v>3124601.76</v>
          </cell>
        </row>
        <row r="1414">
          <cell r="A1414" t="str">
            <v>2-01-07</v>
          </cell>
          <cell r="B1414" t="str">
            <v>Desmonte y limpieza en zonas no boscosas</v>
          </cell>
          <cell r="C1414" t="str">
            <v>Ha</v>
          </cell>
          <cell r="D1414">
            <v>1</v>
          </cell>
          <cell r="E1414">
            <v>133182.56</v>
          </cell>
        </row>
        <row r="1415">
          <cell r="A1415" t="str">
            <v>2-01-08</v>
          </cell>
          <cell r="B1415" t="str">
            <v>Corte de pavimento rígido con cortadora autopropulsada</v>
          </cell>
          <cell r="C1415" t="str">
            <v>M</v>
          </cell>
          <cell r="D1415">
            <v>1</v>
          </cell>
          <cell r="E1415">
            <v>7132.16</v>
          </cell>
        </row>
        <row r="1416">
          <cell r="A1416" t="str">
            <v>2-01-09</v>
          </cell>
          <cell r="B1416" t="str">
            <v>Corte de pavimento flexible con cortadora autopropulsada</v>
          </cell>
          <cell r="C1416" t="str">
            <v>M</v>
          </cell>
          <cell r="D1416">
            <v>1</v>
          </cell>
          <cell r="E1416">
            <v>4968.32</v>
          </cell>
        </row>
        <row r="1417">
          <cell r="A1417" t="str">
            <v>2-01-10</v>
          </cell>
          <cell r="B1417" t="str">
            <v>Demolición cono cámara</v>
          </cell>
          <cell r="C1417" t="str">
            <v>Un</v>
          </cell>
          <cell r="D1417">
            <v>1</v>
          </cell>
          <cell r="E1417">
            <v>165002.88</v>
          </cell>
        </row>
        <row r="1418">
          <cell r="A1418" t="str">
            <v>2-01-11</v>
          </cell>
          <cell r="B1418" t="str">
            <v>Demolición cuerpo cámara</v>
          </cell>
          <cell r="C1418" t="str">
            <v>M</v>
          </cell>
          <cell r="D1418">
            <v>1</v>
          </cell>
          <cell r="E1418">
            <v>196431.2</v>
          </cell>
        </row>
        <row r="1419">
          <cell r="A1419" t="str">
            <v>2-01-12</v>
          </cell>
          <cell r="B1419" t="str">
            <v>Demolición sardinel</v>
          </cell>
          <cell r="C1419" t="str">
            <v>M</v>
          </cell>
          <cell r="D1419">
            <v>1</v>
          </cell>
          <cell r="E1419">
            <v>7357.28</v>
          </cell>
        </row>
        <row r="1420">
          <cell r="A1420" t="str">
            <v>2-01-13</v>
          </cell>
          <cell r="B1420" t="str">
            <v>Demolición sumidero</v>
          </cell>
          <cell r="C1420" t="str">
            <v>Un</v>
          </cell>
          <cell r="D1420">
            <v>1</v>
          </cell>
          <cell r="E1420">
            <v>145964</v>
          </cell>
        </row>
        <row r="1421">
          <cell r="A1421" t="str">
            <v>2-01-14</v>
          </cell>
          <cell r="B1421" t="str">
            <v>Demolición de pavimento rígido</v>
          </cell>
          <cell r="C1421" t="str">
            <v>M2</v>
          </cell>
          <cell r="D1421">
            <v>1</v>
          </cell>
          <cell r="E1421">
            <v>15912.96</v>
          </cell>
        </row>
        <row r="1422">
          <cell r="A1422" t="str">
            <v>2-01-15</v>
          </cell>
          <cell r="B1422" t="str">
            <v>Demolición pavimento flexible manual e &gt; 0,07 m</v>
          </cell>
          <cell r="C1422" t="str">
            <v>M2</v>
          </cell>
          <cell r="D1422">
            <v>1</v>
          </cell>
          <cell r="E1422">
            <v>15109.92</v>
          </cell>
        </row>
        <row r="1423">
          <cell r="A1423" t="str">
            <v>2-01-16</v>
          </cell>
          <cell r="B1423" t="str">
            <v>Desarme de gaviones</v>
          </cell>
          <cell r="C1423" t="str">
            <v>M3</v>
          </cell>
          <cell r="D1423">
            <v>1</v>
          </cell>
          <cell r="E1423">
            <v>44786.559999999998</v>
          </cell>
        </row>
        <row r="1424">
          <cell r="A1424" t="str">
            <v>2-01-17</v>
          </cell>
          <cell r="B1424" t="str">
            <v>Limpieza de alcantarillas (circular y de cajón),  incluye descole y retiro manual</v>
          </cell>
          <cell r="C1424" t="str">
            <v>Un</v>
          </cell>
          <cell r="D1424">
            <v>1</v>
          </cell>
          <cell r="E1424">
            <v>52584</v>
          </cell>
        </row>
        <row r="1425">
          <cell r="A1425" t="str">
            <v>2-01-18</v>
          </cell>
          <cell r="B1425" t="str">
            <v>Limpieza manual de cunetas revestidas  y canales en concreto (disipador, zanjas de coronación),  incluye retiro manual</v>
          </cell>
          <cell r="C1425" t="str">
            <v>M</v>
          </cell>
          <cell r="D1425">
            <v>1</v>
          </cell>
          <cell r="E1425">
            <v>4352.32</v>
          </cell>
        </row>
        <row r="1426">
          <cell r="A1426" t="str">
            <v>2-01-19</v>
          </cell>
          <cell r="B1426" t="str">
            <v>Desmonte de tubería de alcantarillado hasta 12"</v>
          </cell>
          <cell r="C1426" t="str">
            <v>M</v>
          </cell>
          <cell r="D1426">
            <v>1</v>
          </cell>
          <cell r="E1426">
            <v>10311.84</v>
          </cell>
        </row>
        <row r="1427">
          <cell r="A1427" t="str">
            <v>2-01-20</v>
          </cell>
          <cell r="B1427" t="str">
            <v>Remoción de alcantarillas</v>
          </cell>
          <cell r="C1427" t="str">
            <v>M</v>
          </cell>
          <cell r="D1427">
            <v>1</v>
          </cell>
          <cell r="E1427">
            <v>79494.240000000005</v>
          </cell>
        </row>
        <row r="1428">
          <cell r="A1428" t="str">
            <v>2-01-21</v>
          </cell>
          <cell r="B1428" t="str">
            <v>Descapote y limpieza con máquina, incluye cargue manual</v>
          </cell>
          <cell r="C1428" t="str">
            <v>M2</v>
          </cell>
          <cell r="D1428">
            <v>1</v>
          </cell>
          <cell r="E1428">
            <v>4823.84</v>
          </cell>
        </row>
        <row r="1429">
          <cell r="A1429" t="str">
            <v>2-01-22</v>
          </cell>
          <cell r="B1429" t="str">
            <v>Remoción manual de derrumbes, no incluye retiro</v>
          </cell>
          <cell r="C1429" t="str">
            <v>M3</v>
          </cell>
          <cell r="D1429">
            <v>1</v>
          </cell>
          <cell r="E1429">
            <v>29012.48</v>
          </cell>
        </row>
        <row r="1430">
          <cell r="A1430" t="str">
            <v>2 -  02 EXPLANACIONES</v>
          </cell>
          <cell r="E1430">
            <v>0</v>
          </cell>
        </row>
        <row r="1431">
          <cell r="A1431" t="str">
            <v>2-02-01</v>
          </cell>
          <cell r="B1431" t="str">
            <v>Excavación sin clasificar de la explanación (mecánica)</v>
          </cell>
          <cell r="C1431" t="str">
            <v>M3</v>
          </cell>
          <cell r="D1431">
            <v>1</v>
          </cell>
          <cell r="E1431">
            <v>17204.32</v>
          </cell>
        </row>
        <row r="1432">
          <cell r="A1432" t="str">
            <v>2-02-02</v>
          </cell>
          <cell r="B1432" t="str">
            <v>Remoción mecánica de derrumbes, no incluye retiro</v>
          </cell>
          <cell r="C1432" t="str">
            <v>M3</v>
          </cell>
          <cell r="D1432">
            <v>1</v>
          </cell>
          <cell r="E1432">
            <v>14757.119999999999</v>
          </cell>
        </row>
        <row r="1433">
          <cell r="A1433" t="str">
            <v>2-02-03</v>
          </cell>
          <cell r="B1433" t="str">
            <v>Corte en material común con máquina</v>
          </cell>
          <cell r="C1433" t="str">
            <v>M3</v>
          </cell>
          <cell r="D1433">
            <v>1</v>
          </cell>
          <cell r="E1433">
            <v>25245.919999999998</v>
          </cell>
        </row>
        <row r="1434">
          <cell r="A1434" t="str">
            <v>2-02-04</v>
          </cell>
          <cell r="B1434" t="str">
            <v>Corte en conglomerado con máquina</v>
          </cell>
          <cell r="C1434" t="str">
            <v>M3</v>
          </cell>
          <cell r="D1434">
            <v>1</v>
          </cell>
          <cell r="E1434">
            <v>45694.879999999997</v>
          </cell>
        </row>
        <row r="1435">
          <cell r="A1435" t="str">
            <v>2-02-05</v>
          </cell>
          <cell r="B1435" t="str">
            <v>Terraplén con material del sitio</v>
          </cell>
          <cell r="C1435" t="str">
            <v>M3</v>
          </cell>
          <cell r="D1435">
            <v>1</v>
          </cell>
          <cell r="E1435">
            <v>21741.439999999999</v>
          </cell>
        </row>
        <row r="1436">
          <cell r="A1436" t="str">
            <v>2-02-06</v>
          </cell>
          <cell r="B1436" t="str">
            <v>Terraplén con material transportado (15 Km)</v>
          </cell>
          <cell r="C1436" t="str">
            <v>M3</v>
          </cell>
          <cell r="D1436">
            <v>1</v>
          </cell>
          <cell r="E1436">
            <v>62544.160000000003</v>
          </cell>
        </row>
        <row r="1437">
          <cell r="A1437" t="str">
            <v>2-02-07</v>
          </cell>
          <cell r="B1437" t="str">
            <v>Muro en afirmado reforzado con geotextil</v>
          </cell>
          <cell r="C1437" t="str">
            <v>M3</v>
          </cell>
          <cell r="D1437">
            <v>1</v>
          </cell>
          <cell r="E1437">
            <v>147034.72</v>
          </cell>
        </row>
        <row r="1438">
          <cell r="A1438" t="str">
            <v>2-02-08</v>
          </cell>
          <cell r="B1438" t="str">
            <v>Muro en tierra reforzado con geotextil</v>
          </cell>
          <cell r="C1438" t="str">
            <v>M3</v>
          </cell>
          <cell r="D1438">
            <v>1</v>
          </cell>
          <cell r="E1438">
            <v>149205.28</v>
          </cell>
        </row>
        <row r="1439">
          <cell r="A1439" t="str">
            <v>2-02-09</v>
          </cell>
          <cell r="B1439" t="str">
            <v>Muro en tierra reforzado con geomalla</v>
          </cell>
          <cell r="C1439" t="str">
            <v>M3</v>
          </cell>
          <cell r="D1439">
            <v>1</v>
          </cell>
          <cell r="E1439">
            <v>80930.080000000002</v>
          </cell>
        </row>
        <row r="1440">
          <cell r="A1440" t="str">
            <v>2-02-10</v>
          </cell>
          <cell r="B1440" t="str">
            <v>Protección de taludes con tierra orgánica</v>
          </cell>
          <cell r="C1440" t="str">
            <v>M2</v>
          </cell>
          <cell r="D1440">
            <v>1</v>
          </cell>
          <cell r="E1440">
            <v>24680.32</v>
          </cell>
        </row>
        <row r="1441">
          <cell r="A1441" t="str">
            <v>2-02-11</v>
          </cell>
          <cell r="B1441" t="str">
            <v>Recubrimiento de taludes con malla y mortero 1:4 de e = 10 cm</v>
          </cell>
          <cell r="C1441" t="str">
            <v>M2</v>
          </cell>
          <cell r="D1441">
            <v>1</v>
          </cell>
          <cell r="E1441">
            <v>92925.28</v>
          </cell>
        </row>
        <row r="1442">
          <cell r="A1442" t="str">
            <v>2-01-12</v>
          </cell>
          <cell r="B1442" t="str">
            <v>Geotextil no tejido 1,600</v>
          </cell>
          <cell r="C1442" t="str">
            <v>M2</v>
          </cell>
          <cell r="D1442">
            <v>1</v>
          </cell>
          <cell r="E1442">
            <v>7357.28</v>
          </cell>
        </row>
        <row r="1443">
          <cell r="A1443" t="str">
            <v>2 - 03 BASES, SUB BASES Y AFIRMADO</v>
          </cell>
          <cell r="E1443">
            <v>0</v>
          </cell>
        </row>
        <row r="1444">
          <cell r="A1444" t="str">
            <v>2-03-01</v>
          </cell>
          <cell r="B1444" t="str">
            <v>Base granular</v>
          </cell>
          <cell r="C1444" t="str">
            <v>M3</v>
          </cell>
          <cell r="D1444">
            <v>1</v>
          </cell>
          <cell r="E1444">
            <v>87715.04</v>
          </cell>
        </row>
        <row r="1445">
          <cell r="A1445" t="str">
            <v>2-03-02</v>
          </cell>
          <cell r="B1445" t="str">
            <v>Sub-base granular</v>
          </cell>
          <cell r="C1445" t="str">
            <v>M3</v>
          </cell>
          <cell r="D1445">
            <v>1</v>
          </cell>
          <cell r="E1445">
            <v>75978.559999999998</v>
          </cell>
        </row>
        <row r="1446">
          <cell r="A1446" t="str">
            <v>2-03-03</v>
          </cell>
          <cell r="B1446" t="str">
            <v>Sub-base para conformación de vía, incluye transporte</v>
          </cell>
          <cell r="C1446" t="str">
            <v>M3</v>
          </cell>
          <cell r="D1446">
            <v>1</v>
          </cell>
          <cell r="E1446">
            <v>83596.800000000003</v>
          </cell>
        </row>
        <row r="1447">
          <cell r="A1447" t="str">
            <v>2-03-04</v>
          </cell>
          <cell r="B1447" t="str">
            <v>Afirmado compactado mecánico</v>
          </cell>
          <cell r="C1447" t="str">
            <v>M3</v>
          </cell>
          <cell r="D1447">
            <v>1</v>
          </cell>
          <cell r="E1447">
            <v>45234.559999999998</v>
          </cell>
        </row>
        <row r="1448">
          <cell r="A1448" t="str">
            <v>2-03-05</v>
          </cell>
          <cell r="B1448" t="str">
            <v>Afirmado compactado para mantenimiento vial con transporte</v>
          </cell>
          <cell r="C1448" t="str">
            <v>M3</v>
          </cell>
          <cell r="D1448">
            <v>1</v>
          </cell>
          <cell r="E1448">
            <v>60371.360000000001</v>
          </cell>
        </row>
        <row r="1449">
          <cell r="A1449" t="str">
            <v>2-03-06</v>
          </cell>
          <cell r="B1449" t="str">
            <v>Escarificado + restitución de base manual</v>
          </cell>
          <cell r="C1449" t="str">
            <v>M2</v>
          </cell>
          <cell r="D1449">
            <v>1</v>
          </cell>
          <cell r="E1449">
            <v>17816.96</v>
          </cell>
        </row>
        <row r="1450">
          <cell r="A1450" t="str">
            <v>2-03-07</v>
          </cell>
          <cell r="B1450" t="str">
            <v>Renivelación banca incluye escarificación y conformación</v>
          </cell>
          <cell r="C1450" t="str">
            <v>Km</v>
          </cell>
          <cell r="D1450">
            <v>1</v>
          </cell>
          <cell r="E1450">
            <v>2966873.28</v>
          </cell>
        </row>
        <row r="1451">
          <cell r="A1451" t="str">
            <v>2 - 04 PAVIMENTOS ASFÁLTICOS</v>
          </cell>
          <cell r="E1451">
            <v>0</v>
          </cell>
        </row>
        <row r="1452">
          <cell r="A1452" t="str">
            <v>2-04-01</v>
          </cell>
          <cell r="B1452" t="str">
            <v>Repavimentación  en concreto asfáltico e = 0,07 m, incluye 40 Km de transporte</v>
          </cell>
          <cell r="C1452" t="str">
            <v>M2</v>
          </cell>
          <cell r="D1452">
            <v>1</v>
          </cell>
          <cell r="E1452">
            <v>78442.559999999998</v>
          </cell>
        </row>
        <row r="1453">
          <cell r="A1453" t="str">
            <v>2-04-02</v>
          </cell>
          <cell r="B1453" t="str">
            <v>Pavimento en concreto asfáltico, incluye 40 Km de transporte</v>
          </cell>
          <cell r="C1453" t="str">
            <v>M3</v>
          </cell>
          <cell r="D1453">
            <v>1</v>
          </cell>
          <cell r="E1453">
            <v>1012093.6</v>
          </cell>
        </row>
        <row r="1454">
          <cell r="A1454" t="str">
            <v>2-04-03</v>
          </cell>
          <cell r="B1454" t="str">
            <v>Mezcla abierta en caliente, incluye 40 Km de transporte</v>
          </cell>
          <cell r="C1454" t="str">
            <v>M3</v>
          </cell>
          <cell r="D1454">
            <v>1</v>
          </cell>
          <cell r="E1454">
            <v>1033338.88</v>
          </cell>
        </row>
        <row r="1455">
          <cell r="A1455" t="str">
            <v>2-04-04</v>
          </cell>
          <cell r="B1455" t="str">
            <v>Concreto asfáltico para bacheo, incluye 40 Km de transporte</v>
          </cell>
          <cell r="C1455" t="str">
            <v>M3</v>
          </cell>
          <cell r="D1455">
            <v>1</v>
          </cell>
          <cell r="E1455">
            <v>1073169.44</v>
          </cell>
        </row>
        <row r="1456">
          <cell r="A1456" t="str">
            <v>2-04-05</v>
          </cell>
          <cell r="B1456" t="str">
            <v>Parcheo en pavimento flexible e = 0,1 m, incluye 40 Km de transporte</v>
          </cell>
          <cell r="C1456" t="str">
            <v>M2</v>
          </cell>
          <cell r="D1456">
            <v>1</v>
          </cell>
          <cell r="E1456">
            <v>108760.95999999999</v>
          </cell>
        </row>
        <row r="1457">
          <cell r="A1457" t="str">
            <v>2-04-06</v>
          </cell>
          <cell r="B1457" t="str">
            <v>Imprimación con asfalto líquido</v>
          </cell>
          <cell r="C1457" t="str">
            <v>M2</v>
          </cell>
          <cell r="D1457">
            <v>1</v>
          </cell>
          <cell r="E1457">
            <v>3040.8</v>
          </cell>
        </row>
        <row r="1458">
          <cell r="A1458" t="str">
            <v>2-04-07</v>
          </cell>
          <cell r="B1458" t="str">
            <v>Riego de liga con emulsión asfáltica CRR-1 o CCR-2</v>
          </cell>
          <cell r="C1458" t="str">
            <v>M2</v>
          </cell>
          <cell r="D1458">
            <v>1</v>
          </cell>
          <cell r="E1458">
            <v>3837.12</v>
          </cell>
        </row>
        <row r="1459">
          <cell r="A1459" t="str">
            <v>2-04-08</v>
          </cell>
          <cell r="B1459" t="str">
            <v>Emulsión para pavimento asfáltico</v>
          </cell>
          <cell r="C1459" t="str">
            <v>M2</v>
          </cell>
          <cell r="D1459">
            <v>1</v>
          </cell>
          <cell r="E1459">
            <v>1703.52</v>
          </cell>
        </row>
        <row r="1460">
          <cell r="A1460" t="str">
            <v>2 - 05 PAVIMENTOS DE CONCRETO HIDRÁULICO</v>
          </cell>
          <cell r="E1460">
            <v>0</v>
          </cell>
        </row>
        <row r="1461">
          <cell r="A1461" t="str">
            <v>2-05-01</v>
          </cell>
          <cell r="B1461" t="str">
            <v>Pavimento en concreto 20,7 Mpa en obra, e = 0.15 m, incluye refuerzo, corte con disco y sello de juntas</v>
          </cell>
          <cell r="C1461" t="str">
            <v>M2</v>
          </cell>
          <cell r="D1461">
            <v>1</v>
          </cell>
          <cell r="E1461">
            <v>144640.16</v>
          </cell>
        </row>
        <row r="1462">
          <cell r="A1462" t="str">
            <v>2-05-02</v>
          </cell>
          <cell r="B1462" t="str">
            <v>Pavimento en concreto 20,7 Mpa en obra, e = 0.175 m, incluye refuerzo, corte con disco y sello de juntas</v>
          </cell>
          <cell r="C1462" t="str">
            <v>M2</v>
          </cell>
          <cell r="D1462">
            <v>1</v>
          </cell>
          <cell r="E1462">
            <v>159401.76</v>
          </cell>
        </row>
        <row r="1463">
          <cell r="A1463" t="str">
            <v>2-05-03</v>
          </cell>
          <cell r="B1463" t="str">
            <v>Pavimento en concreto 27,6 Mpa (4000 PSI) en obra, e = 0.175 m, incluye refuerzo, corte con disco y sello de juntas</v>
          </cell>
          <cell r="C1463" t="str">
            <v>M2</v>
          </cell>
          <cell r="D1463">
            <v>1</v>
          </cell>
          <cell r="E1463">
            <v>179350.08</v>
          </cell>
        </row>
        <row r="1464">
          <cell r="A1464" t="str">
            <v>2-05-04</v>
          </cell>
          <cell r="B1464" t="str">
            <v>Pavimento en concreto 27,6 Mpa (4000 PSI) en obra, e = 0.2 m, incluye refuerzo, corte con disco y sello de juntas</v>
          </cell>
          <cell r="C1464" t="str">
            <v>M2</v>
          </cell>
          <cell r="D1464">
            <v>1</v>
          </cell>
          <cell r="E1464">
            <v>188199.2</v>
          </cell>
        </row>
        <row r="1465">
          <cell r="A1465" t="str">
            <v>2-05-05</v>
          </cell>
          <cell r="B1465" t="str">
            <v>Pavimento en concreto 20,7 Mpa (3000 PSI) premezclado, e = 0.175 m, incluye refuerzo, corte con disco y sello de juntas</v>
          </cell>
          <cell r="C1465" t="str">
            <v>M2</v>
          </cell>
          <cell r="D1465">
            <v>1</v>
          </cell>
          <cell r="E1465">
            <v>133736.95999999999</v>
          </cell>
        </row>
        <row r="1466">
          <cell r="A1466" t="str">
            <v>2-05-06</v>
          </cell>
          <cell r="B1466" t="str">
            <v>Pavimento en concreto 27,6 Mpa (4000 PSI) premezclado, e = 0.175 m, incluye refuerzo, corte con disco y sello de juntas</v>
          </cell>
          <cell r="C1466" t="str">
            <v>M2</v>
          </cell>
          <cell r="D1466">
            <v>1</v>
          </cell>
          <cell r="E1466">
            <v>128598.39999999999</v>
          </cell>
        </row>
        <row r="1467">
          <cell r="A1467" t="str">
            <v>2-05-07</v>
          </cell>
          <cell r="B1467" t="str">
            <v>Pavimento en concreto MR = 4,1 Mpa premezclado, e = 0.15 m, incluye refuerzo, corte con disco y sello de juntas</v>
          </cell>
          <cell r="C1467" t="str">
            <v>M2</v>
          </cell>
          <cell r="D1467">
            <v>1</v>
          </cell>
          <cell r="E1467">
            <v>128256.8</v>
          </cell>
        </row>
        <row r="1468">
          <cell r="A1468" t="str">
            <v>2-05-08</v>
          </cell>
          <cell r="B1468" t="str">
            <v>Pavimento en concreto MR = 4,1 Mpa premezclado, e = 0.175 m, incluye refuerzo, corte con disco y sello de juntas</v>
          </cell>
          <cell r="C1468" t="str">
            <v>M2</v>
          </cell>
          <cell r="D1468">
            <v>1</v>
          </cell>
          <cell r="E1468">
            <v>135993.76</v>
          </cell>
        </row>
        <row r="1469">
          <cell r="A1469" t="str">
            <v>2-05-09</v>
          </cell>
          <cell r="B1469" t="str">
            <v>Pavimento en concreto MR = 4,1 Mpa premezclado, e = 0.2 m, incluye refuerzo, corte con disco y sello de juntas</v>
          </cell>
          <cell r="C1469" t="str">
            <v>M2</v>
          </cell>
          <cell r="D1469">
            <v>1</v>
          </cell>
          <cell r="E1469">
            <v>149452.79999999999</v>
          </cell>
        </row>
        <row r="1470">
          <cell r="A1470" t="str">
            <v>2-05-10</v>
          </cell>
          <cell r="B1470" t="str">
            <v>Sello de junta para pavimento</v>
          </cell>
          <cell r="C1470" t="str">
            <v>M</v>
          </cell>
          <cell r="D1470">
            <v>1</v>
          </cell>
          <cell r="E1470">
            <v>5239.3599999999997</v>
          </cell>
        </row>
        <row r="1471">
          <cell r="A1471" t="str">
            <v>2-05-11</v>
          </cell>
          <cell r="B1471" t="str">
            <v>Huellas (par) en concreto de 20,7 Mpa (3000 PSI) e = 0,15 m a c/u = 0,70 m, incluye conectores cada 20 m</v>
          </cell>
          <cell r="C1471" t="str">
            <v>M</v>
          </cell>
          <cell r="D1471">
            <v>1</v>
          </cell>
          <cell r="E1471">
            <v>193152.96</v>
          </cell>
        </row>
        <row r="1472">
          <cell r="A1472" t="str">
            <v>2-05-12</v>
          </cell>
          <cell r="B1472" t="str">
            <v>Placa Huella (par) en concreto de 20,7 Mpa (3000 PSI) e = 0,15 m a c/u = 0,90 m (tipo INVIAS), incluye sub-base y conectores mínimo c/20 m</v>
          </cell>
          <cell r="C1472" t="str">
            <v>M</v>
          </cell>
          <cell r="D1472">
            <v>1</v>
          </cell>
          <cell r="E1472">
            <v>0</v>
          </cell>
        </row>
        <row r="1473">
          <cell r="A1473" t="str">
            <v>2-05-13</v>
          </cell>
          <cell r="B1473" t="str">
            <v>Adoquín vehicular de concreto, incluye cemento en seco</v>
          </cell>
          <cell r="C1473" t="str">
            <v>M2</v>
          </cell>
          <cell r="D1473">
            <v>1</v>
          </cell>
          <cell r="E1473">
            <v>117762.4</v>
          </cell>
        </row>
        <row r="1474">
          <cell r="A1474" t="str">
            <v>2-05-14</v>
          </cell>
          <cell r="B1474" t="str">
            <v>Adoquín peatonal de concreto, incluye cemento en seco</v>
          </cell>
          <cell r="C1474" t="str">
            <v>M2</v>
          </cell>
          <cell r="D1474">
            <v>1</v>
          </cell>
          <cell r="E1474">
            <v>104974.24</v>
          </cell>
        </row>
        <row r="1475">
          <cell r="A1475" t="str">
            <v>2-05-15</v>
          </cell>
          <cell r="B1475" t="str">
            <v>Anden en concreto de 20,7 Mpa e = 0,07 m</v>
          </cell>
          <cell r="C1475" t="str">
            <v>M2</v>
          </cell>
          <cell r="D1475">
            <v>1</v>
          </cell>
          <cell r="E1475">
            <v>73148.320000000007</v>
          </cell>
        </row>
        <row r="1476">
          <cell r="A1476" t="str">
            <v>2-05-16</v>
          </cell>
          <cell r="B1476" t="str">
            <v>Anden en concreto de 20,7 Mpa (3000 PSI) e = 0,10 m</v>
          </cell>
          <cell r="C1476" t="str">
            <v>M2</v>
          </cell>
          <cell r="D1476">
            <v>1</v>
          </cell>
          <cell r="E1476">
            <v>86952.320000000007</v>
          </cell>
        </row>
        <row r="1477">
          <cell r="A1477" t="str">
            <v>2-05-17</v>
          </cell>
          <cell r="B1477" t="str">
            <v>Bordillo de concreto vaciado in situ, incluye la preparación de la superficie de apoyo</v>
          </cell>
          <cell r="C1477" t="str">
            <v>M</v>
          </cell>
          <cell r="D1477">
            <v>1</v>
          </cell>
          <cell r="E1477">
            <v>58154.879999999997</v>
          </cell>
        </row>
        <row r="1478">
          <cell r="A1478" t="str">
            <v>2-05-18</v>
          </cell>
          <cell r="B1478" t="str">
            <v>Bordillo de piezas prefabricadas de concreto, incluye la preparación de la superficie de apoyo</v>
          </cell>
          <cell r="C1478" t="str">
            <v>M</v>
          </cell>
          <cell r="D1478">
            <v>1</v>
          </cell>
          <cell r="E1478">
            <v>48400.800000000003</v>
          </cell>
        </row>
        <row r="1479">
          <cell r="A1479" t="str">
            <v>2-05-19</v>
          </cell>
          <cell r="B1479" t="str">
            <v>Sardinel en concreto de 20,7 Mpa 0,03 m3/ml, incluye refuerzo, sobre placa</v>
          </cell>
          <cell r="C1479" t="str">
            <v>M</v>
          </cell>
          <cell r="D1479">
            <v>1</v>
          </cell>
          <cell r="E1479">
            <v>80110.240000000005</v>
          </cell>
        </row>
        <row r="1480">
          <cell r="A1480" t="str">
            <v>2-05-20</v>
          </cell>
          <cell r="B1480" t="str">
            <v>Sardinel de gravedad en concreto de 20,7 Mpa (3000 PSI) de b = 0,20 m, corona 0,15 m, h = 0,38 m, v = 0,07 m3/ml, incluye afirmado e = 0,10 m</v>
          </cell>
          <cell r="C1480" t="str">
            <v>M</v>
          </cell>
          <cell r="D1480">
            <v>1</v>
          </cell>
          <cell r="E1480">
            <v>104338.08</v>
          </cell>
        </row>
        <row r="1481">
          <cell r="A1481" t="str">
            <v>2-05-21</v>
          </cell>
          <cell r="B1481" t="str">
            <v>Sardinel prefabricado A10</v>
          </cell>
          <cell r="C1481" t="str">
            <v>M</v>
          </cell>
          <cell r="D1481">
            <v>1</v>
          </cell>
          <cell r="E1481">
            <v>50412.32</v>
          </cell>
        </row>
        <row r="1482">
          <cell r="A1482" t="str">
            <v>2 - 06 OBRAS DE DRENAJE, CONTENCIÓN Y CIMENTACIÓN</v>
          </cell>
          <cell r="E1482">
            <v>0</v>
          </cell>
        </row>
        <row r="1483">
          <cell r="A1483" t="str">
            <v>2-06-01</v>
          </cell>
          <cell r="B1483" t="str">
            <v>Muro de contención en concreto 20,7 Mpa (3000 PSI), no incluye refuerzo</v>
          </cell>
          <cell r="C1483" t="str">
            <v>M3</v>
          </cell>
          <cell r="D1483">
            <v>1</v>
          </cell>
          <cell r="E1483">
            <v>949474.4</v>
          </cell>
        </row>
        <row r="1484">
          <cell r="A1484" t="str">
            <v>2-06-02</v>
          </cell>
          <cell r="B1484" t="str">
            <v>Concreto fluido 13,8 Mpa (2000 PSI) tamaño máximo 1/2"</v>
          </cell>
          <cell r="C1484" t="str">
            <v>M3</v>
          </cell>
          <cell r="D1484">
            <v>1</v>
          </cell>
          <cell r="E1484">
            <v>507248</v>
          </cell>
        </row>
        <row r="1485">
          <cell r="A1485" t="str">
            <v>2-06-03</v>
          </cell>
          <cell r="B1485" t="str">
            <v>Solado en concreto de 10,3 Mpa</v>
          </cell>
          <cell r="C1485" t="str">
            <v>M3</v>
          </cell>
          <cell r="D1485">
            <v>1</v>
          </cell>
          <cell r="E1485">
            <v>476153.44</v>
          </cell>
        </row>
        <row r="1486">
          <cell r="A1486" t="str">
            <v>2-06-04</v>
          </cell>
          <cell r="B1486" t="str">
            <v xml:space="preserve">Gaviones de malla de alambre de acero entrelazado clase 1, recubrimiento de zinc (galvanizado) </v>
          </cell>
          <cell r="C1486" t="str">
            <v>M3</v>
          </cell>
          <cell r="D1486">
            <v>1</v>
          </cell>
          <cell r="E1486">
            <v>242340</v>
          </cell>
        </row>
        <row r="1487">
          <cell r="A1487" t="str">
            <v>2-06-05</v>
          </cell>
          <cell r="B1487" t="str">
            <v>Filtro francés (0,60 x 0,90 m), sin tubería, incluye piedra y geotextil NT 1.600</v>
          </cell>
          <cell r="C1487" t="str">
            <v>M3</v>
          </cell>
          <cell r="D1487">
            <v>1</v>
          </cell>
          <cell r="E1487">
            <v>187148.64</v>
          </cell>
        </row>
        <row r="1488">
          <cell r="A1488" t="str">
            <v>2-06-06</v>
          </cell>
          <cell r="B1488" t="str">
            <v>Filtro francés (0,60 x 0,90 m), incluye tubería, piedra y geotextil NT 1.600</v>
          </cell>
          <cell r="C1488" t="str">
            <v>M3</v>
          </cell>
          <cell r="D1488">
            <v>1</v>
          </cell>
          <cell r="E1488">
            <v>243365.91999999998</v>
          </cell>
        </row>
        <row r="1489">
          <cell r="A1489" t="str">
            <v>2-06-07</v>
          </cell>
          <cell r="B1489" t="str">
            <v>Base y cañuela para cámara de inspección d = 1,20 m en concreto de 20,7 Mpa</v>
          </cell>
          <cell r="C1489" t="str">
            <v>Un</v>
          </cell>
          <cell r="D1489">
            <v>1</v>
          </cell>
          <cell r="E1489">
            <v>528065.43999999994</v>
          </cell>
        </row>
        <row r="1490">
          <cell r="A1490" t="str">
            <v>2-06-08</v>
          </cell>
          <cell r="B1490" t="str">
            <v>Cuerpo para cámara de inspección d = 1,20 m, en concreto de 20,7 Mpa, no incluye refuerzo</v>
          </cell>
          <cell r="C1490" t="str">
            <v>M</v>
          </cell>
          <cell r="D1490">
            <v>1</v>
          </cell>
          <cell r="E1490">
            <v>698774.72</v>
          </cell>
        </row>
        <row r="1491">
          <cell r="A1491" t="str">
            <v>2-06-09</v>
          </cell>
          <cell r="B1491" t="str">
            <v>Cono para cámara de inspección d = 1,20 m, en concreto de 20,7 Mpa, incluye refuerzo</v>
          </cell>
          <cell r="C1491" t="str">
            <v>Un</v>
          </cell>
          <cell r="D1491">
            <v>1</v>
          </cell>
          <cell r="E1491">
            <v>544871.04</v>
          </cell>
        </row>
        <row r="1492">
          <cell r="A1492" t="str">
            <v>2-06-10</v>
          </cell>
          <cell r="B1492" t="str">
            <v>Tapa en concreto reforzado de 20,7 Mpa para cámara de inspección d = 0,60 m, incluye aro base y aro tapa</v>
          </cell>
          <cell r="C1492" t="str">
            <v>Un</v>
          </cell>
          <cell r="D1492">
            <v>1</v>
          </cell>
          <cell r="E1492">
            <v>647468.64</v>
          </cell>
        </row>
        <row r="1493">
          <cell r="A1493" t="str">
            <v>2-06-11</v>
          </cell>
          <cell r="B1493" t="str">
            <v xml:space="preserve">Tapa en H. F. de 90 kg con cuello en concreto de 20,7 Mpa d = 0,60 m           </v>
          </cell>
          <cell r="C1493" t="str">
            <v>Un</v>
          </cell>
          <cell r="D1493">
            <v>1</v>
          </cell>
          <cell r="E1493">
            <v>979265.28</v>
          </cell>
        </row>
        <row r="1494">
          <cell r="A1494" t="str">
            <v>2-06-12</v>
          </cell>
          <cell r="B1494" t="str">
            <v>Sumidero en concreto de 20,7 Mpa, incluye reja con anticorrosivo</v>
          </cell>
          <cell r="C1494" t="str">
            <v>Un</v>
          </cell>
          <cell r="D1494">
            <v>1</v>
          </cell>
          <cell r="E1494">
            <v>1616741.28</v>
          </cell>
        </row>
        <row r="1495">
          <cell r="A1495" t="str">
            <v>2-06-13</v>
          </cell>
          <cell r="B1495" t="str">
            <v>Cañuela en concreto de 20,7 Mpa e = 0,10, h = 0,40, a = 0,30 m sin tapa</v>
          </cell>
          <cell r="C1495" t="str">
            <v>M</v>
          </cell>
          <cell r="D1495">
            <v>1</v>
          </cell>
          <cell r="E1495">
            <v>148518.72</v>
          </cell>
        </row>
        <row r="1496">
          <cell r="A1496" t="str">
            <v>2-06-14</v>
          </cell>
          <cell r="B1496" t="str">
            <v>Cuneta revestida en concreto 20,7 Mpa, incluye excavación y afirmado, a = 1 m</v>
          </cell>
          <cell r="C1496" t="str">
            <v>M</v>
          </cell>
          <cell r="D1496">
            <v>1</v>
          </cell>
          <cell r="E1496">
            <v>124589.92</v>
          </cell>
        </row>
        <row r="1497">
          <cell r="A1497" t="str">
            <v>2-06-15</v>
          </cell>
          <cell r="B1497" t="str">
            <v>Cuneta en concreto reforzado 20,7 Mpa, incluye excavación, afirmado y refuerzo, a = 0,72 m. Longitud de desarrollo = 1,0 m</v>
          </cell>
          <cell r="C1497" t="str">
            <v>M</v>
          </cell>
          <cell r="D1497">
            <v>1</v>
          </cell>
          <cell r="E1497">
            <v>195312.32</v>
          </cell>
        </row>
        <row r="1498">
          <cell r="A1498" t="str">
            <v>2-06-16</v>
          </cell>
          <cell r="B1498" t="str">
            <v>Cuneta - bordillo en concreto reforzado, tipo INVÍAS de 20,7 Mpa, incluye refuerzo, excavación y sub-base, a = 0,70 m</v>
          </cell>
          <cell r="C1498" t="str">
            <v>M</v>
          </cell>
          <cell r="D1498">
            <v>1</v>
          </cell>
          <cell r="E1498">
            <v>266560</v>
          </cell>
        </row>
        <row r="1499">
          <cell r="A1499" t="str">
            <v>2-06-17</v>
          </cell>
          <cell r="B1499" t="str">
            <v>Zanja colectora en concreto de 20,7 Mpa a = 0,60 e = 0,10 h = 0,30 m</v>
          </cell>
          <cell r="C1499" t="str">
            <v>M</v>
          </cell>
          <cell r="D1499">
            <v>1</v>
          </cell>
          <cell r="E1499">
            <v>153881.28</v>
          </cell>
        </row>
        <row r="1500">
          <cell r="A1500" t="str">
            <v>2-06-18</v>
          </cell>
          <cell r="B1500" t="str">
            <v>Canal disipador en concreto de 20,7 Mpa</v>
          </cell>
          <cell r="C1500" t="str">
            <v>M3</v>
          </cell>
          <cell r="D1500">
            <v>1</v>
          </cell>
          <cell r="E1500">
            <v>1520786.4</v>
          </cell>
        </row>
        <row r="1501">
          <cell r="A1501" t="str">
            <v>2-06-19</v>
          </cell>
          <cell r="B1501" t="str">
            <v>Base para box coulvert en concreto impermeabilizado de 20,7 Mpa, no incluye refuerzo</v>
          </cell>
          <cell r="C1501" t="str">
            <v>M3</v>
          </cell>
          <cell r="D1501">
            <v>1</v>
          </cell>
          <cell r="E1501">
            <v>922872.16</v>
          </cell>
        </row>
        <row r="1502">
          <cell r="A1502" t="str">
            <v>2-06-20</v>
          </cell>
          <cell r="B1502" t="str">
            <v>Lateral y tapa para box-coulvert en concreto impermeabilizado de 20,7 Mpa, no incluye refuerzo</v>
          </cell>
          <cell r="C1502" t="str">
            <v>M3</v>
          </cell>
          <cell r="D1502">
            <v>1</v>
          </cell>
          <cell r="E1502">
            <v>1186528</v>
          </cell>
        </row>
        <row r="1503">
          <cell r="A1503" t="str">
            <v>2-06-21</v>
          </cell>
          <cell r="B1503" t="str">
            <v>Cortina, estribos y/o aletas en concreto de 20,7 Mpa</v>
          </cell>
          <cell r="C1503" t="str">
            <v>M3</v>
          </cell>
          <cell r="D1503">
            <v>1</v>
          </cell>
          <cell r="E1503">
            <v>1086211.8400000001</v>
          </cell>
        </row>
        <row r="1504">
          <cell r="A1504" t="str">
            <v>2-06-22</v>
          </cell>
          <cell r="B1504" t="str">
            <v>Zarpa para estribos y/o aletas en concreto de 20,7 Mpa</v>
          </cell>
          <cell r="C1504" t="str">
            <v>M3</v>
          </cell>
          <cell r="D1504">
            <v>1</v>
          </cell>
          <cell r="E1504">
            <v>850060.96</v>
          </cell>
        </row>
        <row r="1505">
          <cell r="A1505" t="str">
            <v>2-06-23</v>
          </cell>
          <cell r="B1505" t="str">
            <v>Estribos y/o aletas en concreto ciclópeo</v>
          </cell>
          <cell r="C1505" t="str">
            <v>M3</v>
          </cell>
          <cell r="D1505">
            <v>1</v>
          </cell>
          <cell r="E1505">
            <v>843532.48</v>
          </cell>
        </row>
        <row r="1506">
          <cell r="A1506" t="str">
            <v>2-06-24</v>
          </cell>
          <cell r="B1506" t="str">
            <v>Cortina, muro y/o aletas en concreto ciclópeo</v>
          </cell>
          <cell r="C1506" t="str">
            <v>M3</v>
          </cell>
          <cell r="D1506">
            <v>1</v>
          </cell>
          <cell r="E1506">
            <v>975050.72</v>
          </cell>
        </row>
        <row r="1507">
          <cell r="A1507" t="str">
            <v>2-06-25</v>
          </cell>
          <cell r="B1507" t="str">
            <v>Pocetas y cabezotes en concreto ciclópeo</v>
          </cell>
          <cell r="C1507" t="str">
            <v>M3</v>
          </cell>
          <cell r="D1507">
            <v>1</v>
          </cell>
          <cell r="E1507">
            <v>912760.8</v>
          </cell>
        </row>
        <row r="1508">
          <cell r="A1508" t="str">
            <v>2-06-26</v>
          </cell>
          <cell r="B1508" t="str">
            <v>Zarpa en concreto ciclópeo</v>
          </cell>
          <cell r="C1508" t="str">
            <v>M3</v>
          </cell>
          <cell r="D1508">
            <v>1</v>
          </cell>
          <cell r="E1508">
            <v>744167.2</v>
          </cell>
        </row>
        <row r="1509">
          <cell r="A1509" t="str">
            <v>2-06-27</v>
          </cell>
          <cell r="B1509" t="str">
            <v>Viga y riostra para puente en concreto de 20,7 Mpa</v>
          </cell>
          <cell r="C1509" t="str">
            <v>M3</v>
          </cell>
          <cell r="D1509">
            <v>1</v>
          </cell>
          <cell r="E1509">
            <v>1571187.52</v>
          </cell>
        </row>
        <row r="1510">
          <cell r="A1510" t="str">
            <v>2-06-28</v>
          </cell>
          <cell r="B1510" t="str">
            <v>Placa maciza para puente en concreto de 20,7 Mpa e = 0,30 m</v>
          </cell>
          <cell r="C1510" t="str">
            <v>M2</v>
          </cell>
          <cell r="D1510">
            <v>1</v>
          </cell>
          <cell r="E1510">
            <v>300549.76000000001</v>
          </cell>
        </row>
        <row r="1511">
          <cell r="A1511" t="str">
            <v>2-06-29</v>
          </cell>
          <cell r="B1511" t="str">
            <v>Enrocados de fondo</v>
          </cell>
          <cell r="C1511" t="str">
            <v>M2</v>
          </cell>
          <cell r="D1511">
            <v>1</v>
          </cell>
          <cell r="E1511">
            <v>128101.12</v>
          </cell>
        </row>
        <row r="1512">
          <cell r="A1512" t="str">
            <v>2-06-30</v>
          </cell>
          <cell r="B1512" t="str">
            <v>Recubrimiento de gaviones en concreto de 17,2 Mpa e = 0,10 m</v>
          </cell>
          <cell r="C1512" t="str">
            <v>M2</v>
          </cell>
          <cell r="D1512">
            <v>1</v>
          </cell>
          <cell r="E1512">
            <v>98032.48</v>
          </cell>
        </row>
        <row r="1513">
          <cell r="A1513" t="str">
            <v>2-06-31</v>
          </cell>
          <cell r="B1513" t="str">
            <v>Cañuela labrada en suelo, recubierta en concreto 20,7 Mpa, semicircular d interno = 0,20 m, a = 0,40 m, e = 0,05 m</v>
          </cell>
          <cell r="C1513" t="str">
            <v>M</v>
          </cell>
          <cell r="D1513">
            <v>1</v>
          </cell>
          <cell r="E1513">
            <v>38971.519999999997</v>
          </cell>
        </row>
        <row r="1514">
          <cell r="A1514" t="str">
            <v>2-06-32</v>
          </cell>
          <cell r="B1514" t="str">
            <v>Empotramiento de tubería de alcantarillado de 0,5 x 0,5 x 0,3 m</v>
          </cell>
          <cell r="C1514" t="str">
            <v>Un</v>
          </cell>
          <cell r="D1514">
            <v>1</v>
          </cell>
          <cell r="E1514">
            <v>117709.75999999999</v>
          </cell>
        </row>
        <row r="1515">
          <cell r="A1515" t="str">
            <v>2-06-33</v>
          </cell>
          <cell r="B1515" t="str">
            <v>Acequia de corona, a = 0.30, h = 0.25 e = 0.08 m, en concreto de 10,3 Mpa (1500 PSI)</v>
          </cell>
          <cell r="C1515" t="str">
            <v>M</v>
          </cell>
          <cell r="D1515">
            <v>1</v>
          </cell>
          <cell r="E1515">
            <v>122792.32000000001</v>
          </cell>
        </row>
        <row r="1516">
          <cell r="A1516" t="str">
            <v>2-06-34</v>
          </cell>
          <cell r="B1516" t="str">
            <v>Suministro e instalación de flexocreto con bomba</v>
          </cell>
          <cell r="C1516" t="str">
            <v>M2</v>
          </cell>
          <cell r="D1516">
            <v>1</v>
          </cell>
          <cell r="E1516">
            <v>69675.199999999997</v>
          </cell>
        </row>
        <row r="1517">
          <cell r="A1517" t="str">
            <v>2-06-35</v>
          </cell>
          <cell r="B1517" t="str">
            <v>Suministro e instalación de flexocreto manual</v>
          </cell>
          <cell r="C1517" t="str">
            <v>M2</v>
          </cell>
          <cell r="D1517">
            <v>1</v>
          </cell>
          <cell r="E1517">
            <v>85533.28</v>
          </cell>
        </row>
        <row r="1518">
          <cell r="A1518" t="str">
            <v>2-06-36</v>
          </cell>
          <cell r="B1518" t="str">
            <v>Suministro e instalación de bolsacreto 1101 o similar</v>
          </cell>
          <cell r="C1518" t="str">
            <v>Un</v>
          </cell>
          <cell r="D1518">
            <v>1</v>
          </cell>
          <cell r="E1518">
            <v>599935.84</v>
          </cell>
        </row>
        <row r="1519">
          <cell r="A1519" t="str">
            <v>2-06-37</v>
          </cell>
          <cell r="B1519" t="str">
            <v>Suministro e instalación de bolsacreto 1401 o similar</v>
          </cell>
          <cell r="C1519" t="str">
            <v>Un</v>
          </cell>
          <cell r="D1519">
            <v>1</v>
          </cell>
          <cell r="E1519">
            <v>709934.4</v>
          </cell>
        </row>
        <row r="1520">
          <cell r="A1520" t="str">
            <v>2-06-38</v>
          </cell>
          <cell r="B1520" t="str">
            <v>Ángulo para puente de 2" x 3/16"</v>
          </cell>
          <cell r="C1520" t="str">
            <v>M</v>
          </cell>
          <cell r="D1520">
            <v>1</v>
          </cell>
          <cell r="E1520">
            <v>33223.68</v>
          </cell>
        </row>
        <row r="1521">
          <cell r="A1521" t="str">
            <v>2-06-39</v>
          </cell>
          <cell r="B1521" t="str">
            <v>Pasamanos en tubería de H. G. de 2" C 14, incluye accesorios</v>
          </cell>
          <cell r="C1521" t="str">
            <v>M</v>
          </cell>
          <cell r="D1521">
            <v>1</v>
          </cell>
          <cell r="E1521">
            <v>421905.12</v>
          </cell>
        </row>
        <row r="1522">
          <cell r="A1522" t="str">
            <v>2-06-40</v>
          </cell>
          <cell r="B1522" t="str">
            <v>Pasamanos en tubería de H. G. de 3", incluye accesorios</v>
          </cell>
          <cell r="C1522" t="str">
            <v>M</v>
          </cell>
          <cell r="D1522">
            <v>1</v>
          </cell>
          <cell r="E1522">
            <v>436742.88</v>
          </cell>
        </row>
        <row r="1523">
          <cell r="A1523" t="str">
            <v>2-06-41</v>
          </cell>
          <cell r="B1523" t="str">
            <v>Tapa de H. F. para cámara de inspección sin cuello</v>
          </cell>
          <cell r="C1523" t="str">
            <v>Un</v>
          </cell>
          <cell r="D1523">
            <v>1</v>
          </cell>
          <cell r="E1523">
            <v>843672.48</v>
          </cell>
        </row>
        <row r="1524">
          <cell r="A1524" t="str">
            <v>2-06-42</v>
          </cell>
          <cell r="B1524" t="str">
            <v>Lagrimales en tubería PVC de 3" para puente o muro</v>
          </cell>
          <cell r="C1524" t="str">
            <v>M</v>
          </cell>
          <cell r="D1524">
            <v>1</v>
          </cell>
          <cell r="E1524">
            <v>34604.639999999999</v>
          </cell>
        </row>
        <row r="1525">
          <cell r="A1525" t="str">
            <v>2-06-43</v>
          </cell>
          <cell r="B1525" t="str">
            <v>Caisson d = 1 m, incluye excavación manual</v>
          </cell>
          <cell r="C1525" t="str">
            <v>M</v>
          </cell>
          <cell r="D1525">
            <v>1</v>
          </cell>
          <cell r="E1525">
            <v>0</v>
          </cell>
        </row>
        <row r="1526">
          <cell r="A1526" t="str">
            <v>2-06-44</v>
          </cell>
          <cell r="B1526" t="str">
            <v>Caisson d = 1 ,2 m de concreto vaciado in situ, incluye excavación en roca, bajo agua</v>
          </cell>
          <cell r="C1526" t="str">
            <v>M</v>
          </cell>
          <cell r="D1526">
            <v>1</v>
          </cell>
          <cell r="E1526">
            <v>0</v>
          </cell>
        </row>
        <row r="1527">
          <cell r="A1527" t="str">
            <v>2-06-45</v>
          </cell>
          <cell r="B1527" t="str">
            <v>Micro pilote d = 0,4 m, incluye excavación mecánica y acero</v>
          </cell>
          <cell r="C1527" t="str">
            <v>M</v>
          </cell>
          <cell r="D1527">
            <v>1</v>
          </cell>
          <cell r="E1527">
            <v>390206.88</v>
          </cell>
        </row>
        <row r="1528">
          <cell r="A1528" t="str">
            <v>2-06-46</v>
          </cell>
          <cell r="B1528" t="str">
            <v>Apoyo de neopreno 400 x 800 x 85 mm para puente, reforzado con 5 platinas de 3 mm</v>
          </cell>
          <cell r="C1528" t="str">
            <v>Un</v>
          </cell>
          <cell r="D1528">
            <v>1</v>
          </cell>
          <cell r="E1528">
            <v>693400.96</v>
          </cell>
        </row>
        <row r="1529">
          <cell r="A1529" t="str">
            <v>2-06-47</v>
          </cell>
          <cell r="B1529" t="str">
            <v>Apoyo de neopreno 400 x 400 x 30 mm para puente, reforzado con 1 platina de 12 mm</v>
          </cell>
          <cell r="C1529" t="str">
            <v>Un</v>
          </cell>
          <cell r="D1529">
            <v>1</v>
          </cell>
          <cell r="E1529">
            <v>462266.56</v>
          </cell>
        </row>
        <row r="1530">
          <cell r="A1530" t="str">
            <v>02 - 07SEÑALIZACIÓN Y SEGURIDAD</v>
          </cell>
          <cell r="E1530">
            <v>0</v>
          </cell>
        </row>
        <row r="1531">
          <cell r="A1531" t="str">
            <v>2-07-01</v>
          </cell>
          <cell r="B1531" t="str">
            <v>Defensa vial, incluye terminales y capta faros</v>
          </cell>
          <cell r="C1531" t="str">
            <v>M</v>
          </cell>
          <cell r="D1531">
            <v>1</v>
          </cell>
          <cell r="E1531">
            <v>258689.76</v>
          </cell>
        </row>
        <row r="1532">
          <cell r="A1532" t="str">
            <v>2-07-02</v>
          </cell>
          <cell r="B1532" t="str">
            <v>Señal vertical de 0,60 m (con cinta reflectiva)</v>
          </cell>
          <cell r="C1532" t="str">
            <v>Un</v>
          </cell>
          <cell r="D1532">
            <v>1</v>
          </cell>
          <cell r="E1532">
            <v>548800</v>
          </cell>
        </row>
        <row r="1533">
          <cell r="A1533" t="str">
            <v>2-07-03</v>
          </cell>
          <cell r="B1533" t="str">
            <v>Señal vertical de transito tipo SP, SR de 75 x 75 con lámina retroreflectiva tipo diamante</v>
          </cell>
          <cell r="C1533" t="str">
            <v>Un</v>
          </cell>
          <cell r="D1533">
            <v>1</v>
          </cell>
          <cell r="E1533">
            <v>529984</v>
          </cell>
        </row>
        <row r="1534">
          <cell r="A1534" t="str">
            <v>2-07-04</v>
          </cell>
          <cell r="B1534" t="str">
            <v>Señal vertical de 0,90 m (con cinta reflectiva)</v>
          </cell>
          <cell r="C1534" t="str">
            <v>Un</v>
          </cell>
          <cell r="D1534">
            <v>1</v>
          </cell>
          <cell r="E1534">
            <v>508319.83999999997</v>
          </cell>
        </row>
        <row r="1535">
          <cell r="A1535" t="str">
            <v>2-07-05</v>
          </cell>
          <cell r="B1535" t="str">
            <v>Líneas de demarcación vial pintura en frío</v>
          </cell>
          <cell r="C1535" t="str">
            <v>M</v>
          </cell>
          <cell r="D1535">
            <v>1</v>
          </cell>
          <cell r="E1535">
            <v>2839.2</v>
          </cell>
        </row>
        <row r="1536">
          <cell r="A1536" t="str">
            <v>2-07-06</v>
          </cell>
          <cell r="B1536" t="str">
            <v>Marcas viales</v>
          </cell>
          <cell r="C1536" t="str">
            <v>M2</v>
          </cell>
          <cell r="D1536">
            <v>1</v>
          </cell>
          <cell r="E1536">
            <v>37052.959999999999</v>
          </cell>
        </row>
        <row r="1537">
          <cell r="A1537" t="str">
            <v>2-07-07</v>
          </cell>
          <cell r="B1537" t="str">
            <v>Paleteros</v>
          </cell>
          <cell r="C1537" t="str">
            <v>Jr</v>
          </cell>
          <cell r="D1537">
            <v>1</v>
          </cell>
          <cell r="E1537">
            <v>92174.88</v>
          </cell>
        </row>
        <row r="1538">
          <cell r="A1538" t="str">
            <v>2-07-08</v>
          </cell>
          <cell r="B1538" t="str">
            <v>Tacha reflectiva unidireccional incluye suministro e instalación</v>
          </cell>
          <cell r="C1538" t="str">
            <v>Un</v>
          </cell>
          <cell r="D1538">
            <v>1</v>
          </cell>
          <cell r="E1538">
            <v>15882.72</v>
          </cell>
        </row>
        <row r="1539">
          <cell r="A1539" t="str">
            <v>2-07-09</v>
          </cell>
          <cell r="B1539" t="str">
            <v>Tachón en resina l = 0,4 m, a = 0,15 m, h = 0,08 m incluye instalación</v>
          </cell>
          <cell r="C1539" t="str">
            <v>Un</v>
          </cell>
          <cell r="D1539">
            <v>1</v>
          </cell>
          <cell r="E1539">
            <v>42346.080000000002</v>
          </cell>
        </row>
        <row r="1540">
          <cell r="A1540" t="str">
            <v>2-07-10</v>
          </cell>
          <cell r="B1540" t="str">
            <v>Poste en guadua pintado, base en concreto de 2500 PSI para cinta seguridad</v>
          </cell>
          <cell r="C1540" t="str">
            <v>Un</v>
          </cell>
          <cell r="D1540">
            <v>1</v>
          </cell>
          <cell r="E1540">
            <v>20233.919999999998</v>
          </cell>
        </row>
        <row r="1541">
          <cell r="A1541" t="str">
            <v>2-07-11</v>
          </cell>
          <cell r="B1541" t="str">
            <v>Cerramiento con cinta de señalización, incluye poste en guadua</v>
          </cell>
          <cell r="C1541" t="str">
            <v>M</v>
          </cell>
          <cell r="D1541">
            <v>1</v>
          </cell>
          <cell r="E1541">
            <v>12859.84</v>
          </cell>
        </row>
        <row r="1542">
          <cell r="A1542" t="str">
            <v>02 - 08 OBRAS VARIAS</v>
          </cell>
          <cell r="E1542">
            <v>0</v>
          </cell>
        </row>
        <row r="1543">
          <cell r="A1543" t="str">
            <v>2-08-01</v>
          </cell>
          <cell r="B1543" t="str">
            <v>Empradización de taludes con trenza</v>
          </cell>
          <cell r="C1543" t="str">
            <v>M2</v>
          </cell>
          <cell r="D1543">
            <v>1</v>
          </cell>
          <cell r="E1543">
            <v>27035.68</v>
          </cell>
        </row>
        <row r="1544">
          <cell r="A1544" t="str">
            <v>2-08-02</v>
          </cell>
          <cell r="B1544" t="str">
            <v>Empradización con prado trenza</v>
          </cell>
          <cell r="C1544" t="str">
            <v>M2</v>
          </cell>
          <cell r="D1544">
            <v>1</v>
          </cell>
          <cell r="E1544">
            <v>15215.2</v>
          </cell>
        </row>
        <row r="1545">
          <cell r="A1545" t="str">
            <v>2-08-03</v>
          </cell>
          <cell r="B1545" t="str">
            <v>Empradización con prado kikuyo</v>
          </cell>
          <cell r="C1545" t="str">
            <v>M2</v>
          </cell>
          <cell r="D1545">
            <v>1</v>
          </cell>
          <cell r="E1545">
            <v>29099.84</v>
          </cell>
        </row>
        <row r="1546">
          <cell r="A1546" t="str">
            <v>2-08-04</v>
          </cell>
          <cell r="B1546" t="str">
            <v>Protector de raíz en concreto de 17,2 Mpa (2500 PSI), e = 0,15 m, d Int. = 1,20 m, h = 1,00 m, incluye refuerzo</v>
          </cell>
          <cell r="C1546" t="str">
            <v>Un</v>
          </cell>
          <cell r="D1546">
            <v>1</v>
          </cell>
          <cell r="E1546">
            <v>981957.76</v>
          </cell>
        </row>
        <row r="1547">
          <cell r="A1547" t="str">
            <v>2-08-05</v>
          </cell>
          <cell r="B1547" t="str">
            <v>Pedestal (plataforma) en concreto de 20,7 Mpa (3000 PSI) e = 0,10 m</v>
          </cell>
          <cell r="C1547" t="str">
            <v>M2</v>
          </cell>
          <cell r="D1547">
            <v>1</v>
          </cell>
          <cell r="E1547">
            <v>97818.559999999998</v>
          </cell>
        </row>
        <row r="1548">
          <cell r="A1548" t="str">
            <v>2-08-06</v>
          </cell>
          <cell r="B1548" t="str">
            <v>Pedestal trapezoidal para soportar estructura metálica o de madera en concreto de 20,7 Mpa (3000 PSI) h = 0,30 m, base de 0,40 x 0,40 m, corona de 0,25 x 0,25 m, incluye refuerzo</v>
          </cell>
          <cell r="C1548" t="str">
            <v>Un</v>
          </cell>
          <cell r="D1548">
            <v>1</v>
          </cell>
          <cell r="E1548">
            <v>148013.6</v>
          </cell>
        </row>
        <row r="1549">
          <cell r="A1549" t="str">
            <v>2-08-07</v>
          </cell>
          <cell r="B1549" t="str">
            <v>Junta de icopor e = 1"</v>
          </cell>
          <cell r="C1549" t="str">
            <v>M2</v>
          </cell>
          <cell r="D1549">
            <v>1</v>
          </cell>
          <cell r="E1549">
            <v>59262.559999999998</v>
          </cell>
        </row>
        <row r="1550">
          <cell r="A1550" t="str">
            <v>02 - 09 TRANSPORTE</v>
          </cell>
        </row>
        <row r="1551">
          <cell r="A1551" t="str">
            <v>CÓDIGO</v>
          </cell>
          <cell r="B1551" t="str">
            <v>DESCRIPCIÓN</v>
          </cell>
          <cell r="C1551" t="str">
            <v>UNIDAD</v>
          </cell>
          <cell r="D1551">
            <v>1</v>
          </cell>
        </row>
        <row r="1552">
          <cell r="A1552" t="str">
            <v>2-09-01</v>
          </cell>
          <cell r="B1552" t="str">
            <v>Transporte material asfáltico</v>
          </cell>
          <cell r="C1552" t="str">
            <v>M3-Km</v>
          </cell>
          <cell r="D1552">
            <v>1</v>
          </cell>
          <cell r="E1552">
            <v>0</v>
          </cell>
        </row>
      </sheetData>
      <sheetData sheetId="1"/>
      <sheetData sheetId="2"/>
      <sheetData sheetId="3">
        <row r="33">
          <cell r="F33">
            <v>80947</v>
          </cell>
        </row>
        <row r="35">
          <cell r="F35">
            <v>145705</v>
          </cell>
        </row>
        <row r="46">
          <cell r="F46">
            <v>261382</v>
          </cell>
        </row>
        <row r="49">
          <cell r="F49">
            <v>226652</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DENA DE VALOR"/>
      <sheetName val="PRESUPUESTO GENERAL E. FIJAS"/>
      <sheetName val="PRESUPUESTO ESTUFA FIJA"/>
      <sheetName val="APU ESTUFA FIJA!"/>
      <sheetName val="ESPECIFICACIONES ESTUFA FIJA"/>
      <sheetName val="PRESUPUESTO GENERAL E. MÓVIL"/>
      <sheetName val="PRESUPUESTO ESTUFA MÓVIL"/>
      <sheetName val="APU ESTUFA MÓVIL!"/>
      <sheetName val="ESPECIFICACIONES ESTUFA MOVIL"/>
      <sheetName val="APUS BASICOS"/>
      <sheetName val="CUADRILLAS"/>
      <sheetName val="FACTOR PRESTACIONAL"/>
    </sheetNames>
    <sheetDataSet>
      <sheetData sheetId="0"/>
      <sheetData sheetId="1"/>
      <sheetData sheetId="2">
        <row r="10">
          <cell r="B10" t="str">
            <v>Mampostería ladrillo tipo bocadillo, macizo liviano de  6x12x24 cm</v>
          </cell>
        </row>
        <row r="11">
          <cell r="B11" t="str">
            <v>Mampostería ladrillo adobe macizo de 5x10x20 cm</v>
          </cell>
        </row>
        <row r="12">
          <cell r="B12" t="str">
            <v>Mampostería ladrillo tipo farol de 10x20x40 cm</v>
          </cell>
        </row>
      </sheetData>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DE DATOS"/>
      <sheetName val="CONSTRUCCION"/>
      <sheetName val="ANÁLISIS MANO DE OBRA"/>
      <sheetName val="MATERIALES EE"/>
      <sheetName val="EEco Unidad"/>
      <sheetName val="PRESUPUESTO "/>
      <sheetName val="FACTOR PRESTACIONAL"/>
      <sheetName val="ANALISIS MANO DE OBRA"/>
      <sheetName val="Analisis de AU"/>
      <sheetName val="APU ECO ESTUFAS"/>
      <sheetName val="INSUMOS"/>
      <sheetName val="FACTOR MULTIPLICADOR"/>
      <sheetName val="CRONOGRAMA"/>
      <sheetName val="PRESUPUESTO 1"/>
    </sheetNames>
    <sheetDataSet>
      <sheetData sheetId="0"/>
      <sheetData sheetId="1"/>
      <sheetData sheetId="2"/>
      <sheetData sheetId="3"/>
      <sheetData sheetId="4"/>
      <sheetData sheetId="5"/>
      <sheetData sheetId="6"/>
      <sheetData sheetId="7">
        <row r="30">
          <cell r="E30">
            <v>75547</v>
          </cell>
        </row>
      </sheetData>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puesto Resumen"/>
      <sheetName val="Unitarios items nuevos "/>
      <sheetName val="Cubierta pte la Esperanza "/>
      <sheetName val="Hoja1"/>
      <sheetName val="DATOS DEL CONTRATO"/>
      <sheetName val="APUs Jard Marse_sede"/>
      <sheetName val="APUs Humb_Jardin"/>
      <sheetName val="ACTA PARCIAL 1"/>
      <sheetName val="5_EXTERIOR SALON CONFERENCIA"/>
      <sheetName val="7_QUIOSCO "/>
      <sheetName val="1_PUENTE LA ESPERANZA"/>
      <sheetName val="8_PUENTE ESCONDIDO "/>
      <sheetName val="2_CAPILLA SAN FRANCISCO "/>
      <sheetName val="3_PUENTE GUSANO "/>
      <sheetName val="4_TORRE HIDROMECANICA "/>
      <sheetName val="6_SENDERO EN PIEDRA"/>
      <sheetName val="SENDERO EN GRAVA"/>
      <sheetName val="9_SEDE PRINCIPAL"/>
      <sheetName val="AU"/>
      <sheetName val="Ofer Econ Jard Marse"/>
      <sheetName val="APU NP"/>
      <sheetName val="CUADRO REND"/>
      <sheetName val="GANTT PERSONAL."/>
      <sheetName val="GANTT CUADRILLAS"/>
      <sheetName val="FLUJO DE INV MES1"/>
      <sheetName val="Pintura muros "/>
      <sheetName val="Pedestal "/>
      <sheetName val="Zapatas "/>
      <sheetName val="Estr guadua "/>
      <sheetName val="Acero "/>
      <sheetName val="Transporte mater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
          <cell r="H9" t="str">
            <v>MUNICIPIO DE MARSELLA RISARALDA</v>
          </cell>
        </row>
        <row r="43">
          <cell r="E43" t="str">
            <v>M3</v>
          </cell>
        </row>
      </sheetData>
      <sheetData sheetId="8" refreshError="1"/>
      <sheetData sheetId="9" refreshError="1"/>
      <sheetData sheetId="10" refreshError="1">
        <row r="5">
          <cell r="L5">
            <v>1</v>
          </cell>
        </row>
        <row r="57">
          <cell r="E57"/>
          <cell r="G57" t="str">
            <v xml:space="preserve">Limpieza y protección con aceite de linaza mas  trementina proporción 2:1 elementos estructurales (guaduas y Mangles), inc cambio de piezas averidadas. Guadua sumistrada por el Jardin botanico  </v>
          </cell>
          <cell r="I57"/>
          <cell r="L57"/>
        </row>
        <row r="103">
          <cell r="E103"/>
          <cell r="I103"/>
          <cell r="L103"/>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DENA DE VALOR"/>
      <sheetName val="PRESUPUESTO ESTUFA"/>
      <sheetName val="ESTUDIO DE MERCADO"/>
      <sheetName val="APUS"/>
      <sheetName val="AU"/>
      <sheetName val="INTERVENTORIA"/>
      <sheetName val="Anexo FM"/>
    </sheetNames>
    <sheetDataSet>
      <sheetData sheetId="0"/>
      <sheetData sheetId="1"/>
      <sheetData sheetId="2"/>
      <sheetData sheetId="3">
        <row r="51">
          <cell r="A51" t="str">
            <v xml:space="preserve">Inseticida control hormiga </v>
          </cell>
        </row>
      </sheetData>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6"/>
  <sheetViews>
    <sheetView workbookViewId="0">
      <selection activeCell="B13" sqref="B13"/>
    </sheetView>
  </sheetViews>
  <sheetFormatPr baseColWidth="10" defaultRowHeight="14.5"/>
  <cols>
    <col min="1" max="1" width="32.1796875" customWidth="1"/>
    <col min="2" max="2" width="21.81640625" customWidth="1"/>
    <col min="3" max="3" width="22.81640625" hidden="1" customWidth="1"/>
    <col min="4" max="4" width="17" bestFit="1" customWidth="1"/>
    <col min="5" max="5" width="17" hidden="1" customWidth="1"/>
    <col min="6" max="6" width="18.453125" hidden="1" customWidth="1"/>
    <col min="7" max="8" width="16.26953125" bestFit="1" customWidth="1"/>
    <col min="9" max="9" width="14.81640625" bestFit="1" customWidth="1"/>
    <col min="10" max="10" width="15.1796875" bestFit="1" customWidth="1"/>
    <col min="11" max="11" width="14.81640625" bestFit="1" customWidth="1"/>
  </cols>
  <sheetData>
    <row r="1" spans="1:11" ht="29">
      <c r="A1" s="766" t="s">
        <v>157</v>
      </c>
      <c r="B1" s="766"/>
      <c r="C1" s="119"/>
      <c r="D1" s="120" t="s">
        <v>95</v>
      </c>
      <c r="E1" s="119"/>
      <c r="F1" s="119" t="s">
        <v>0</v>
      </c>
      <c r="G1" s="121" t="s">
        <v>158</v>
      </c>
    </row>
    <row r="2" spans="1:11">
      <c r="A2" s="11" t="s">
        <v>12</v>
      </c>
      <c r="B2" s="112">
        <f>+'PRESUPUESTO ESTUFA'!G14</f>
        <v>1675550</v>
      </c>
      <c r="C2" s="113">
        <f>B2*G2</f>
        <v>3228587972875</v>
      </c>
      <c r="D2" s="112">
        <f>B2*15%</f>
        <v>251332.5</v>
      </c>
      <c r="E2" s="112">
        <f>B2+D2</f>
        <v>1926882.5</v>
      </c>
      <c r="F2" s="114">
        <f>C2+D2</f>
        <v>3228588224207.5</v>
      </c>
      <c r="G2" s="112">
        <f>B2+D2</f>
        <v>1926882.5</v>
      </c>
      <c r="J2" s="88"/>
    </row>
    <row r="3" spans="1:11">
      <c r="A3" s="115" t="s">
        <v>149</v>
      </c>
      <c r="B3" s="112">
        <f>+'PRESUPUESTO ESTUFA'!G23</f>
        <v>165927371</v>
      </c>
      <c r="C3" s="112">
        <f>B3*G2</f>
        <v>319722547450907.5</v>
      </c>
      <c r="D3" s="112">
        <f t="shared" ref="D3:D5" si="0">B3*15%</f>
        <v>24889105.649999999</v>
      </c>
      <c r="E3" s="112">
        <f>B3+D3</f>
        <v>190816476.65000001</v>
      </c>
      <c r="F3" s="112">
        <f>C3+D3</f>
        <v>319722572340013.13</v>
      </c>
      <c r="G3" s="112">
        <f t="shared" ref="G3:G6" si="1">B3+D3</f>
        <v>190816476.65000001</v>
      </c>
    </row>
    <row r="4" spans="1:11">
      <c r="A4" s="111" t="s">
        <v>148</v>
      </c>
      <c r="B4" s="112">
        <f>+'PRESUPUESTO ESTUFA'!G29</f>
        <v>17578250</v>
      </c>
      <c r="C4" s="112">
        <f>B4*G2</f>
        <v>33871222305625</v>
      </c>
      <c r="D4" s="112">
        <f t="shared" si="0"/>
        <v>2636737.5</v>
      </c>
      <c r="E4" s="112">
        <f>B4+D4</f>
        <v>20214987.5</v>
      </c>
      <c r="F4" s="112">
        <f>C4+D4</f>
        <v>33871224942362.5</v>
      </c>
      <c r="G4" s="112">
        <f t="shared" si="1"/>
        <v>20214987.5</v>
      </c>
    </row>
    <row r="5" spans="1:11">
      <c r="A5" s="111" t="s">
        <v>156</v>
      </c>
      <c r="B5" s="112">
        <f>+'PRESUPUESTO ESTUFA'!G33</f>
        <v>16548000</v>
      </c>
      <c r="C5" s="112">
        <f>B5*G2</f>
        <v>31886051610000</v>
      </c>
      <c r="D5" s="112">
        <f t="shared" si="0"/>
        <v>2482200</v>
      </c>
      <c r="E5" s="112">
        <f>B5+D5</f>
        <v>19030200</v>
      </c>
      <c r="F5" s="112">
        <f>C5+D5</f>
        <v>31886054092200</v>
      </c>
      <c r="G5" s="112">
        <f t="shared" si="1"/>
        <v>19030200</v>
      </c>
    </row>
    <row r="6" spans="1:11">
      <c r="A6" s="111" t="s">
        <v>173</v>
      </c>
      <c r="B6" s="112">
        <f>+'PRESUPUESTO ESTUFA'!G42</f>
        <v>61892107.600000001</v>
      </c>
      <c r="C6" s="112"/>
      <c r="D6" s="112">
        <v>29290725</v>
      </c>
      <c r="E6" s="112"/>
      <c r="F6" s="112"/>
      <c r="G6" s="112">
        <f t="shared" si="1"/>
        <v>91182832.599999994</v>
      </c>
    </row>
    <row r="7" spans="1:11">
      <c r="A7" s="111"/>
      <c r="B7" s="116">
        <f>SUM(B2:B6)</f>
        <v>263621278.59999999</v>
      </c>
      <c r="C7" s="117">
        <f>SUM(C1:C5)</f>
        <v>388708409339407.5</v>
      </c>
      <c r="D7" s="116">
        <f>SUM(D2:D6)</f>
        <v>59550100.649999999</v>
      </c>
      <c r="E7" s="116">
        <f>SUM(E2:E5)</f>
        <v>231988546.65000001</v>
      </c>
      <c r="F7" s="112">
        <f>SUM(F2:F5)</f>
        <v>388708439598783.13</v>
      </c>
      <c r="G7" s="116">
        <f>SUM(G2:G6)</f>
        <v>323171379.25</v>
      </c>
      <c r="H7" s="89"/>
      <c r="I7" s="84"/>
      <c r="J7" s="84"/>
      <c r="K7" s="85"/>
    </row>
    <row r="8" spans="1:11">
      <c r="A8" s="765" t="s">
        <v>171</v>
      </c>
      <c r="B8" s="767">
        <f>B7*8%</f>
        <v>21089702.287999999</v>
      </c>
      <c r="C8" s="112"/>
      <c r="D8" s="111"/>
      <c r="E8" s="116">
        <f>E7+B8</f>
        <v>253078248.93799999</v>
      </c>
      <c r="F8" s="112"/>
      <c r="G8" s="126">
        <f>G7+B8</f>
        <v>344261081.53799999</v>
      </c>
      <c r="I8" s="84"/>
      <c r="J8" s="84"/>
      <c r="K8" s="85"/>
    </row>
    <row r="9" spans="1:11">
      <c r="A9" s="765"/>
      <c r="B9" s="768"/>
      <c r="C9" s="112"/>
      <c r="D9" s="111"/>
      <c r="E9" s="125"/>
      <c r="F9" s="118">
        <f>F7+B8</f>
        <v>388708460688485.44</v>
      </c>
      <c r="G9" s="135">
        <v>471953878</v>
      </c>
      <c r="I9" s="84"/>
      <c r="J9" s="84"/>
      <c r="K9" s="85"/>
    </row>
    <row r="10" spans="1:11">
      <c r="C10" s="85"/>
      <c r="I10" s="84"/>
      <c r="J10" s="84"/>
      <c r="K10" s="85"/>
    </row>
    <row r="11" spans="1:11">
      <c r="E11" s="84"/>
      <c r="I11" s="84"/>
      <c r="J11" s="84"/>
      <c r="K11" s="85"/>
    </row>
    <row r="12" spans="1:11">
      <c r="H12" s="125"/>
      <c r="J12" s="134"/>
      <c r="K12" s="84"/>
    </row>
    <row r="13" spans="1:11">
      <c r="J13" s="84"/>
      <c r="K13" s="84"/>
    </row>
    <row r="14" spans="1:11">
      <c r="I14" s="84"/>
    </row>
    <row r="15" spans="1:11">
      <c r="D15" s="89"/>
      <c r="E15" s="89"/>
    </row>
    <row r="16" spans="1:11">
      <c r="D16" s="84"/>
      <c r="E16" s="84"/>
      <c r="F16" s="84"/>
    </row>
  </sheetData>
  <mergeCells count="3">
    <mergeCell ref="A8:A9"/>
    <mergeCell ref="A1:B1"/>
    <mergeCell ref="B8:B9"/>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tabSelected="1" topLeftCell="D48" zoomScale="90" zoomScaleNormal="90" workbookViewId="0">
      <selection activeCell="C44" sqref="C44"/>
    </sheetView>
  </sheetViews>
  <sheetFormatPr baseColWidth="10" defaultColWidth="10.81640625" defaultRowHeight="13" outlineLevelRow="1"/>
  <cols>
    <col min="1" max="1" width="10.81640625" style="7"/>
    <col min="2" max="2" width="11.81640625" style="16" customWidth="1"/>
    <col min="3" max="3" width="68.453125" style="7" customWidth="1"/>
    <col min="4" max="4" width="9.54296875" style="21" customWidth="1"/>
    <col min="5" max="5" width="13.7265625" style="21" customWidth="1"/>
    <col min="6" max="6" width="15.453125" style="18" customWidth="1"/>
    <col min="7" max="7" width="19.1796875" style="7" customWidth="1"/>
    <col min="8" max="8" width="11.1796875" style="7" bestFit="1" customWidth="1"/>
    <col min="9" max="9" width="18" style="7" customWidth="1"/>
    <col min="10" max="10" width="13.1796875" style="7" customWidth="1"/>
    <col min="11" max="16384" width="10.81640625" style="7"/>
  </cols>
  <sheetData>
    <row r="1" spans="2:10" ht="13.5" thickBot="1"/>
    <row r="2" spans="2:10" s="1" customFormat="1" ht="15.5">
      <c r="B2" s="775" t="s">
        <v>4</v>
      </c>
      <c r="C2" s="776"/>
      <c r="D2" s="776"/>
      <c r="E2" s="776"/>
      <c r="F2" s="776"/>
      <c r="G2" s="777"/>
      <c r="H2" s="3"/>
      <c r="I2" s="3"/>
      <c r="J2" s="3"/>
    </row>
    <row r="3" spans="2:10" s="1" customFormat="1" ht="14.5" hidden="1">
      <c r="B3" s="778"/>
      <c r="C3" s="779"/>
      <c r="D3" s="779"/>
      <c r="E3" s="779"/>
      <c r="F3" s="779"/>
      <c r="G3" s="780"/>
      <c r="H3" s="3"/>
      <c r="I3" s="3"/>
      <c r="J3" s="3"/>
    </row>
    <row r="4" spans="2:10" s="1" customFormat="1" ht="19" customHeight="1" thickBot="1">
      <c r="B4" s="781"/>
      <c r="C4" s="782"/>
      <c r="D4" s="782"/>
      <c r="E4" s="782"/>
      <c r="F4" s="782"/>
      <c r="G4" s="783"/>
      <c r="H4" s="3"/>
      <c r="I4" s="3"/>
      <c r="J4" s="3"/>
    </row>
    <row r="5" spans="2:10" s="1" customFormat="1" ht="16.5" customHeight="1" thickBot="1">
      <c r="B5" s="784" t="s">
        <v>172</v>
      </c>
      <c r="C5" s="785"/>
      <c r="D5" s="785"/>
      <c r="E5" s="785"/>
      <c r="F5" s="785"/>
      <c r="G5" s="786"/>
      <c r="H5" s="3"/>
      <c r="I5" s="3"/>
      <c r="J5" s="3"/>
    </row>
    <row r="6" spans="2:10" s="1" customFormat="1" ht="118" customHeight="1" thickBot="1">
      <c r="B6" s="787" t="s">
        <v>187</v>
      </c>
      <c r="C6" s="788"/>
      <c r="D6" s="788"/>
      <c r="E6" s="788"/>
      <c r="F6" s="788"/>
      <c r="G6" s="789"/>
      <c r="H6" s="3"/>
      <c r="I6" s="3"/>
      <c r="J6" s="3"/>
    </row>
    <row r="7" spans="2:10" s="1" customFormat="1" ht="29.15" hidden="1" customHeight="1" thickBot="1">
      <c r="B7" s="2"/>
      <c r="F7" s="131"/>
      <c r="G7" s="133" t="e">
        <f>#REF!/#REF!</f>
        <v>#REF!</v>
      </c>
      <c r="H7" s="3"/>
      <c r="I7" s="3"/>
      <c r="J7" s="3"/>
    </row>
    <row r="8" spans="2:10" s="1" customFormat="1" ht="17.25" hidden="1" customHeight="1">
      <c r="B8" s="4"/>
      <c r="C8" s="4"/>
      <c r="D8" s="4"/>
      <c r="E8" s="4"/>
      <c r="F8" s="132" t="s">
        <v>68</v>
      </c>
      <c r="G8" s="137"/>
      <c r="H8" s="3"/>
      <c r="I8" s="3"/>
      <c r="J8" s="3"/>
    </row>
    <row r="9" spans="2:10" ht="21" customHeight="1">
      <c r="B9" s="5"/>
      <c r="C9" s="6"/>
      <c r="D9" s="771"/>
      <c r="E9" s="772"/>
      <c r="F9" s="773"/>
      <c r="G9" s="136"/>
      <c r="I9" s="7" t="s">
        <v>181</v>
      </c>
    </row>
    <row r="10" spans="2:10" s="21" customFormat="1">
      <c r="B10" s="8" t="s">
        <v>5</v>
      </c>
      <c r="C10" s="8" t="s">
        <v>6</v>
      </c>
      <c r="D10" s="8" t="s">
        <v>7</v>
      </c>
      <c r="E10" s="19" t="s">
        <v>9</v>
      </c>
      <c r="F10" s="9" t="s">
        <v>8</v>
      </c>
      <c r="G10" s="10" t="s">
        <v>10</v>
      </c>
      <c r="I10" s="774"/>
      <c r="J10" s="774"/>
    </row>
    <row r="11" spans="2:10" ht="21.75" customHeight="1" thickBot="1">
      <c r="B11" s="515" t="s">
        <v>11</v>
      </c>
      <c r="C11" s="472" t="s">
        <v>12</v>
      </c>
      <c r="D11" s="472"/>
      <c r="E11" s="472"/>
      <c r="F11" s="472"/>
      <c r="G11" s="472"/>
    </row>
    <row r="12" spans="2:10" ht="27.75" customHeight="1">
      <c r="B12" s="516" t="s">
        <v>13</v>
      </c>
      <c r="C12" s="517" t="str">
        <f>+'UNITARIOS PROYECTO OK'!B7</f>
        <v>Localización y Replanteo</v>
      </c>
      <c r="D12" s="473" t="s">
        <v>3</v>
      </c>
      <c r="E12" s="473">
        <v>50</v>
      </c>
      <c r="F12" s="474">
        <f>+'UNITARIOS PROYECTO OK'!H29</f>
        <v>12466</v>
      </c>
      <c r="G12" s="518">
        <f>+F12*E12</f>
        <v>623300</v>
      </c>
    </row>
    <row r="13" spans="2:10" ht="19.5" customHeight="1" outlineLevel="1" thickBot="1">
      <c r="B13" s="519" t="s">
        <v>352</v>
      </c>
      <c r="C13" s="520" t="s">
        <v>188</v>
      </c>
      <c r="D13" s="475" t="s">
        <v>1</v>
      </c>
      <c r="E13" s="476">
        <v>50</v>
      </c>
      <c r="F13" s="477">
        <f>+'UNITARIOS PROYECTO OK'!H61</f>
        <v>21045</v>
      </c>
      <c r="G13" s="478">
        <f>+F13*E13</f>
        <v>1052250</v>
      </c>
      <c r="I13" s="12"/>
      <c r="J13" s="13"/>
    </row>
    <row r="14" spans="2:10" ht="18.75" customHeight="1">
      <c r="B14" s="521" t="s">
        <v>14</v>
      </c>
      <c r="C14" s="522"/>
      <c r="D14" s="522"/>
      <c r="E14" s="523"/>
      <c r="F14" s="524"/>
      <c r="G14" s="525">
        <f>+SUM(G12:G13)</f>
        <v>1675550</v>
      </c>
      <c r="I14" s="14"/>
      <c r="J14" s="13"/>
    </row>
    <row r="15" spans="2:10" ht="21.75" customHeight="1" thickBot="1">
      <c r="B15" s="526" t="s">
        <v>15</v>
      </c>
      <c r="C15" s="527" t="s">
        <v>184</v>
      </c>
      <c r="D15" s="527"/>
      <c r="E15" s="528"/>
      <c r="F15" s="529"/>
      <c r="G15" s="530"/>
      <c r="J15" s="13"/>
    </row>
    <row r="16" spans="2:10" ht="30.75" customHeight="1" outlineLevel="1">
      <c r="B16" s="516" t="s">
        <v>22</v>
      </c>
      <c r="C16" s="517" t="s">
        <v>327</v>
      </c>
      <c r="D16" s="531" t="s">
        <v>3</v>
      </c>
      <c r="E16" s="532">
        <v>50</v>
      </c>
      <c r="F16" s="533">
        <f>+'ANALISIS PRECIOS UNITARIOS '!F16</f>
        <v>136039</v>
      </c>
      <c r="G16" s="518">
        <f t="shared" ref="G16:G22" si="0">+F16*E16</f>
        <v>6801950</v>
      </c>
      <c r="I16" s="12"/>
      <c r="J16" s="13"/>
    </row>
    <row r="17" spans="2:10" ht="21" customHeight="1" outlineLevel="1">
      <c r="B17" s="534" t="s">
        <v>16</v>
      </c>
      <c r="C17" s="468" t="s">
        <v>185</v>
      </c>
      <c r="D17" s="535" t="s">
        <v>3</v>
      </c>
      <c r="E17" s="470">
        <v>50</v>
      </c>
      <c r="F17" s="471">
        <f>+'ANALISIS PRECIOS UNITARIOS '!F5</f>
        <v>95875</v>
      </c>
      <c r="G17" s="536">
        <f t="shared" si="0"/>
        <v>4793750</v>
      </c>
      <c r="I17" s="12"/>
      <c r="J17" s="13"/>
    </row>
    <row r="18" spans="2:10" ht="31.5" customHeight="1" outlineLevel="1">
      <c r="B18" s="534" t="s">
        <v>17</v>
      </c>
      <c r="C18" s="468" t="s">
        <v>398</v>
      </c>
      <c r="D18" s="535" t="s">
        <v>3</v>
      </c>
      <c r="E18" s="470">
        <v>75.5</v>
      </c>
      <c r="F18" s="471">
        <f>+'UNITARIOS PROYECTO OK'!H92</f>
        <v>234172</v>
      </c>
      <c r="G18" s="536">
        <f t="shared" si="0"/>
        <v>17679986</v>
      </c>
      <c r="I18" s="12"/>
      <c r="J18" s="13"/>
    </row>
    <row r="19" spans="2:10" ht="22.5" customHeight="1" outlineLevel="1">
      <c r="B19" s="534" t="s">
        <v>18</v>
      </c>
      <c r="C19" s="468" t="s">
        <v>56</v>
      </c>
      <c r="D19" s="535" t="s">
        <v>3</v>
      </c>
      <c r="E19" s="470">
        <v>40</v>
      </c>
      <c r="F19" s="471">
        <f>+'UNITARIOS PROYECTO OK'!H124</f>
        <v>144825</v>
      </c>
      <c r="G19" s="536">
        <f t="shared" si="0"/>
        <v>5793000</v>
      </c>
      <c r="I19" s="12"/>
      <c r="J19" s="13"/>
    </row>
    <row r="20" spans="2:10" ht="22.5" customHeight="1" outlineLevel="1">
      <c r="B20" s="534" t="s">
        <v>23</v>
      </c>
      <c r="C20" s="468" t="s">
        <v>58</v>
      </c>
      <c r="D20" s="535" t="s">
        <v>3</v>
      </c>
      <c r="E20" s="470">
        <v>79</v>
      </c>
      <c r="F20" s="471">
        <f>+'UNITARIOS PROYECTO OK'!H158</f>
        <v>70290</v>
      </c>
      <c r="G20" s="536">
        <f t="shared" si="0"/>
        <v>5552910</v>
      </c>
      <c r="I20" s="12"/>
      <c r="J20" s="13"/>
    </row>
    <row r="21" spans="2:10" ht="25.5" customHeight="1" outlineLevel="1">
      <c r="B21" s="534" t="s">
        <v>182</v>
      </c>
      <c r="C21" s="468" t="s">
        <v>57</v>
      </c>
      <c r="D21" s="535" t="s">
        <v>3</v>
      </c>
      <c r="E21" s="470">
        <v>25</v>
      </c>
      <c r="F21" s="471">
        <f>+'UNITARIOS PROYECTO OK'!H192</f>
        <v>98563</v>
      </c>
      <c r="G21" s="536">
        <f t="shared" si="0"/>
        <v>2464075</v>
      </c>
      <c r="I21" s="12"/>
      <c r="J21" s="13"/>
    </row>
    <row r="22" spans="2:10" ht="21" customHeight="1" outlineLevel="1" thickBot="1">
      <c r="B22" s="519" t="s">
        <v>183</v>
      </c>
      <c r="C22" s="520" t="s">
        <v>55</v>
      </c>
      <c r="D22" s="475" t="s">
        <v>1</v>
      </c>
      <c r="E22" s="476">
        <v>50</v>
      </c>
      <c r="F22" s="477">
        <f>+'UNITARIOS PROYECTO OK'!H233</f>
        <v>2456834</v>
      </c>
      <c r="G22" s="478">
        <f t="shared" si="0"/>
        <v>122841700</v>
      </c>
      <c r="I22" s="12"/>
      <c r="J22" s="13"/>
    </row>
    <row r="23" spans="2:10" ht="19.5" customHeight="1">
      <c r="B23" s="537" t="s">
        <v>14</v>
      </c>
      <c r="C23" s="522"/>
      <c r="D23" s="522"/>
      <c r="E23" s="523"/>
      <c r="F23" s="524"/>
      <c r="G23" s="525">
        <f>SUM(G16:G22)</f>
        <v>165927371</v>
      </c>
      <c r="I23" s="14"/>
      <c r="J23" s="13"/>
    </row>
    <row r="24" spans="2:10" ht="27" customHeight="1" thickBot="1">
      <c r="B24" s="526" t="s">
        <v>20</v>
      </c>
      <c r="C24" s="527" t="s">
        <v>148</v>
      </c>
      <c r="D24" s="527"/>
      <c r="E24" s="528"/>
      <c r="F24" s="529"/>
      <c r="G24" s="530"/>
      <c r="I24" s="14"/>
      <c r="J24" s="13"/>
    </row>
    <row r="25" spans="2:10" s="15" customFormat="1" ht="18" customHeight="1" outlineLevel="1">
      <c r="B25" s="538" t="s">
        <v>60</v>
      </c>
      <c r="C25" s="539" t="s">
        <v>159</v>
      </c>
      <c r="D25" s="540" t="s">
        <v>1</v>
      </c>
      <c r="E25" s="532">
        <v>1000</v>
      </c>
      <c r="F25" s="533">
        <f>+'ANALISIS PRECIOS UNITARIOS '!F69</f>
        <v>9401</v>
      </c>
      <c r="G25" s="518">
        <f>+F25*E25</f>
        <v>9401000</v>
      </c>
      <c r="H25" s="7"/>
      <c r="I25" s="12"/>
      <c r="J25" s="13"/>
    </row>
    <row r="26" spans="2:10" s="15" customFormat="1" ht="17.25" customHeight="1" outlineLevel="1">
      <c r="B26" s="541" t="s">
        <v>61</v>
      </c>
      <c r="C26" s="542" t="s">
        <v>160</v>
      </c>
      <c r="D26" s="543" t="s">
        <v>2</v>
      </c>
      <c r="E26" s="470">
        <v>50</v>
      </c>
      <c r="F26" s="471">
        <f>+'ESTUDIO DE MERCADO'!F5</f>
        <v>17900</v>
      </c>
      <c r="G26" s="536">
        <f>+F26*E26</f>
        <v>895000</v>
      </c>
      <c r="H26" s="7"/>
      <c r="I26" s="12"/>
      <c r="J26" s="13"/>
    </row>
    <row r="27" spans="2:10" ht="15.75" customHeight="1" outlineLevel="1">
      <c r="B27" s="541" t="s">
        <v>62</v>
      </c>
      <c r="C27" s="544" t="s">
        <v>161</v>
      </c>
      <c r="D27" s="543" t="s">
        <v>2</v>
      </c>
      <c r="E27" s="470">
        <v>50</v>
      </c>
      <c r="F27" s="471">
        <f>+'ESTUDIO DE MERCADO'!F6</f>
        <v>29900</v>
      </c>
      <c r="G27" s="536">
        <f>+F27*E27</f>
        <v>1495000</v>
      </c>
      <c r="I27" s="12"/>
      <c r="J27" s="13"/>
    </row>
    <row r="28" spans="2:10" ht="19.5" customHeight="1" outlineLevel="1" thickBot="1">
      <c r="B28" s="545" t="s">
        <v>169</v>
      </c>
      <c r="C28" s="546" t="s">
        <v>170</v>
      </c>
      <c r="D28" s="547" t="s">
        <v>2</v>
      </c>
      <c r="E28" s="476">
        <v>50</v>
      </c>
      <c r="F28" s="477">
        <f>+'ESTUDIO DE MERCADO'!F7</f>
        <v>115745</v>
      </c>
      <c r="G28" s="478">
        <f>+F28*E28</f>
        <v>5787250</v>
      </c>
      <c r="I28" s="12"/>
      <c r="J28" s="13"/>
    </row>
    <row r="29" spans="2:10" ht="17.25" customHeight="1">
      <c r="B29" s="537" t="s">
        <v>19</v>
      </c>
      <c r="C29" s="522"/>
      <c r="D29" s="522"/>
      <c r="E29" s="523"/>
      <c r="F29" s="524"/>
      <c r="G29" s="548">
        <f>+SUM(G25:G28)</f>
        <v>17578250</v>
      </c>
      <c r="I29" s="14"/>
      <c r="J29" s="13"/>
    </row>
    <row r="30" spans="2:10" ht="17.25" customHeight="1" thickBot="1">
      <c r="B30" s="526" t="s">
        <v>59</v>
      </c>
      <c r="C30" s="527" t="s">
        <v>151</v>
      </c>
      <c r="D30" s="527"/>
      <c r="E30" s="528"/>
      <c r="F30" s="529"/>
      <c r="G30" s="549"/>
      <c r="I30" s="14"/>
      <c r="J30" s="13"/>
    </row>
    <row r="31" spans="2:10" ht="27.75" customHeight="1">
      <c r="B31" s="538" t="s">
        <v>63</v>
      </c>
      <c r="C31" s="550" t="s">
        <v>150</v>
      </c>
      <c r="D31" s="760" t="s">
        <v>1</v>
      </c>
      <c r="E31" s="761">
        <v>50</v>
      </c>
      <c r="F31" s="533">
        <f>+'UNITARIOS PROYECTO OK'!H260</f>
        <v>210000</v>
      </c>
      <c r="G31" s="762">
        <f>+F31*E31</f>
        <v>10500000</v>
      </c>
      <c r="I31" s="14"/>
      <c r="J31" s="13"/>
    </row>
    <row r="32" spans="2:10" ht="23.25" customHeight="1" thickBot="1">
      <c r="B32" s="545" t="s">
        <v>65</v>
      </c>
      <c r="C32" s="551" t="s">
        <v>64</v>
      </c>
      <c r="D32" s="552" t="s">
        <v>67</v>
      </c>
      <c r="E32" s="553">
        <v>80</v>
      </c>
      <c r="F32" s="554">
        <f>+'UNITARIOS PROYECTO OK'!H287</f>
        <v>75600</v>
      </c>
      <c r="G32" s="478">
        <f>+F32*E32</f>
        <v>6048000</v>
      </c>
      <c r="I32" s="14"/>
      <c r="J32" s="13"/>
    </row>
    <row r="33" spans="2:12" ht="18.75" customHeight="1">
      <c r="B33" s="537" t="s">
        <v>19</v>
      </c>
      <c r="C33" s="522"/>
      <c r="D33" s="522"/>
      <c r="E33" s="523"/>
      <c r="F33" s="524"/>
      <c r="G33" s="548">
        <f>SUM(G31:G32)</f>
        <v>16548000</v>
      </c>
      <c r="I33" s="14"/>
      <c r="J33" s="13"/>
    </row>
    <row r="34" spans="2:12" ht="22.5" customHeight="1" thickBot="1">
      <c r="B34" s="713" t="s">
        <v>176</v>
      </c>
      <c r="C34" s="472" t="s">
        <v>173</v>
      </c>
      <c r="D34" s="472"/>
      <c r="E34" s="714"/>
      <c r="F34" s="715"/>
      <c r="G34" s="716"/>
    </row>
    <row r="35" spans="2:12" ht="21" customHeight="1">
      <c r="B35" s="516" t="s">
        <v>177</v>
      </c>
      <c r="C35" s="539" t="s">
        <v>174</v>
      </c>
      <c r="D35" s="540" t="s">
        <v>1</v>
      </c>
      <c r="E35" s="751">
        <v>25</v>
      </c>
      <c r="F35" s="752">
        <f>+'ANALISIS PRECIOS UNITARIOS '!F22</f>
        <v>69212</v>
      </c>
      <c r="G35" s="753">
        <f t="shared" ref="G35:G41" si="1">F35*E35</f>
        <v>1730300</v>
      </c>
    </row>
    <row r="36" spans="2:12" ht="27.75" customHeight="1">
      <c r="B36" s="534" t="s">
        <v>178</v>
      </c>
      <c r="C36" s="468" t="s">
        <v>175</v>
      </c>
      <c r="D36" s="469" t="s">
        <v>180</v>
      </c>
      <c r="E36" s="557">
        <v>106</v>
      </c>
      <c r="F36" s="558">
        <f>+'ANALISIS PRECIOS UNITARIOS '!F37</f>
        <v>219008</v>
      </c>
      <c r="G36" s="559">
        <f t="shared" si="1"/>
        <v>23214848</v>
      </c>
    </row>
    <row r="37" spans="2:12" ht="21" customHeight="1">
      <c r="B37" s="534" t="s">
        <v>179</v>
      </c>
      <c r="C37" s="468" t="s">
        <v>253</v>
      </c>
      <c r="D37" s="469" t="s">
        <v>180</v>
      </c>
      <c r="E37" s="557">
        <v>98</v>
      </c>
      <c r="F37" s="558">
        <f>+'ANALISIS PRECIOS UNITARIOS '!F29</f>
        <v>319792</v>
      </c>
      <c r="G37" s="559">
        <f t="shared" si="1"/>
        <v>31339616</v>
      </c>
    </row>
    <row r="38" spans="2:12" ht="22.5" customHeight="1">
      <c r="B38" s="534" t="s">
        <v>252</v>
      </c>
      <c r="C38" s="560" t="str">
        <f>+'ANALISIS PRECIOS UNITARIOS '!C45</f>
        <v>Cerramiento provisional con señalizador y tela de cerramiento</v>
      </c>
      <c r="D38" s="469" t="s">
        <v>180</v>
      </c>
      <c r="E38" s="557">
        <v>65</v>
      </c>
      <c r="F38" s="558">
        <f>+'ANALISIS PRECIOS UNITARIOS '!F45</f>
        <v>10246</v>
      </c>
      <c r="G38" s="559">
        <f t="shared" si="1"/>
        <v>665990</v>
      </c>
    </row>
    <row r="39" spans="2:12" ht="25.5" customHeight="1">
      <c r="B39" s="534" t="s">
        <v>378</v>
      </c>
      <c r="C39" s="560" t="str">
        <f>+'ANALISIS PRECIOS UNITARIOS '!C61</f>
        <v>Trinchos doble en guadua h libre = 1,00 m</v>
      </c>
      <c r="D39" s="469" t="s">
        <v>180</v>
      </c>
      <c r="E39" s="557">
        <v>12</v>
      </c>
      <c r="F39" s="558">
        <f>+'ANALISIS PRECIOS UNITARIOS '!F61</f>
        <v>172075</v>
      </c>
      <c r="G39" s="559">
        <f t="shared" si="1"/>
        <v>2064900</v>
      </c>
    </row>
    <row r="40" spans="2:12" ht="20.25" customHeight="1">
      <c r="B40" s="534" t="s">
        <v>379</v>
      </c>
      <c r="C40" s="560" t="str">
        <f>+'ANALISIS PRECIOS UNITARIOS '!C52</f>
        <v>Barrera viva triple con vetiver, limoncillo, lirio y afines</v>
      </c>
      <c r="D40" s="469" t="s">
        <v>180</v>
      </c>
      <c r="E40" s="557">
        <v>12</v>
      </c>
      <c r="F40" s="558">
        <f>+'ANALISIS PRECIOS UNITARIOS '!F52</f>
        <v>140486</v>
      </c>
      <c r="G40" s="559">
        <f t="shared" si="1"/>
        <v>1685832</v>
      </c>
    </row>
    <row r="41" spans="2:12" ht="20.25" customHeight="1" thickBot="1">
      <c r="B41" s="519" t="s">
        <v>546</v>
      </c>
      <c r="C41" s="561" t="str">
        <f>+'ANALISIS PRECIOS UNITARIOS '!C98</f>
        <v>Lleno compactado con material transportado manual</v>
      </c>
      <c r="D41" s="717" t="str">
        <f>+'ANALISIS PRECIOS UNITARIOS '!D98</f>
        <v>M3</v>
      </c>
      <c r="E41" s="562">
        <f>+'MEMORIAS SENDEROS'!N232+'MEMORIAS SENDEROS'!N233</f>
        <v>39.200000000000003</v>
      </c>
      <c r="F41" s="563">
        <f>+'ANALISIS PRECIOS UNITARIOS '!F98</f>
        <v>30373</v>
      </c>
      <c r="G41" s="564">
        <f t="shared" si="1"/>
        <v>1190621.6000000001</v>
      </c>
    </row>
    <row r="42" spans="2:12" ht="20.25" customHeight="1">
      <c r="B42" s="555" t="s">
        <v>19</v>
      </c>
      <c r="C42" s="556"/>
      <c r="D42" s="556"/>
      <c r="E42" s="556"/>
      <c r="F42" s="556"/>
      <c r="G42" s="566">
        <f>SUM(G35:G41)</f>
        <v>61892107.600000001</v>
      </c>
    </row>
    <row r="43" spans="2:12" ht="22.5" customHeight="1" thickBot="1">
      <c r="B43" s="713" t="s">
        <v>401</v>
      </c>
      <c r="C43" s="472" t="s">
        <v>400</v>
      </c>
      <c r="D43" s="472"/>
      <c r="E43" s="714"/>
      <c r="F43" s="715"/>
      <c r="G43" s="716"/>
    </row>
    <row r="44" spans="2:12" ht="30.75" customHeight="1" thickBot="1">
      <c r="B44" s="516" t="s">
        <v>402</v>
      </c>
      <c r="C44" s="749" t="str">
        <f>+'ANALISIS PRECIOS UNITARIOS '!C80</f>
        <v>Transporte materiales a la vereda el aguacate en JEEP, incluye cargue y descargue</v>
      </c>
      <c r="D44" s="750" t="str">
        <f>+'ANALISIS PRECIOS UNITARIOS '!D85</f>
        <v>Viaje/Ton</v>
      </c>
      <c r="E44" s="751">
        <f>+(('MEMORIAS SENDEROS'!P268)+('MEMORIAS DE CALCULO ESTUFAS '!P240))/1000</f>
        <v>80.140833333333333</v>
      </c>
      <c r="F44" s="752">
        <f>+'ANALISIS PRECIOS UNITARIOS '!F85</f>
        <v>155689</v>
      </c>
      <c r="G44" s="753">
        <f>F44*E44</f>
        <v>12477046.200833334</v>
      </c>
    </row>
    <row r="45" spans="2:12" ht="32.25" customHeight="1" thickBot="1">
      <c r="B45" s="534" t="s">
        <v>403</v>
      </c>
      <c r="C45" s="754" t="s">
        <v>574</v>
      </c>
      <c r="D45" s="755" t="s">
        <v>407</v>
      </c>
      <c r="E45" s="756">
        <f>+((('MEMORIAS SENDEROS'!P268+'MEMORIAS DE CALCULO ESTUFAS '!P240))/23)*'ANALISIS TRANSPORTE A HOMBRO'!F69</f>
        <v>2892.7356449275362</v>
      </c>
      <c r="F45" s="757">
        <f>+'ANALISIS PRECIOS UNITARIOS '!F91</f>
        <v>19589</v>
      </c>
      <c r="G45" s="753">
        <f t="shared" ref="G45:G46" si="2">F45*E45</f>
        <v>56665798.54848551</v>
      </c>
    </row>
    <row r="46" spans="2:12" ht="30" customHeight="1" thickBot="1">
      <c r="B46" s="534" t="s">
        <v>404</v>
      </c>
      <c r="C46" s="754" t="s">
        <v>414</v>
      </c>
      <c r="D46" s="755" t="s">
        <v>186</v>
      </c>
      <c r="E46" s="758">
        <v>30.656444</v>
      </c>
      <c r="F46" s="759">
        <f>+'ANALISIS PRECIOS UNITARIOS '!F93</f>
        <v>6000</v>
      </c>
      <c r="G46" s="753">
        <f t="shared" si="2"/>
        <v>183938.66399999999</v>
      </c>
    </row>
    <row r="47" spans="2:12" ht="20.25" customHeight="1" thickBot="1">
      <c r="B47" s="555" t="s">
        <v>19</v>
      </c>
      <c r="C47" s="556"/>
      <c r="D47" s="556"/>
      <c r="E47" s="556"/>
      <c r="F47" s="556"/>
      <c r="G47" s="566">
        <f>SUM(G44:G46)</f>
        <v>69326783.413318843</v>
      </c>
    </row>
    <row r="48" spans="2:12" ht="41.25" customHeight="1" thickBot="1">
      <c r="B48" s="141"/>
      <c r="C48" s="138" t="s">
        <v>21</v>
      </c>
      <c r="D48" s="139"/>
      <c r="E48" s="140"/>
      <c r="F48" s="565" t="str">
        <f>+C48</f>
        <v>SUB TOTAL COSTOS DIRECTOS</v>
      </c>
      <c r="G48" s="567">
        <f>+G14+G23+G29+G33+G42+G47</f>
        <v>332948062.01331884</v>
      </c>
      <c r="I48" s="13"/>
      <c r="J48" s="13"/>
      <c r="K48" s="770">
        <v>471953877.89999998</v>
      </c>
      <c r="L48" s="770"/>
    </row>
    <row r="49" spans="2:10" ht="24.75" customHeight="1" thickBot="1">
      <c r="B49" s="142"/>
      <c r="C49" s="138" t="s">
        <v>560</v>
      </c>
      <c r="D49" s="139"/>
      <c r="E49" s="140"/>
      <c r="F49" s="568">
        <v>0.253</v>
      </c>
      <c r="G49" s="567">
        <f>+G48*F49</f>
        <v>84235859.689369664</v>
      </c>
      <c r="I49" s="124"/>
    </row>
    <row r="50" spans="2:10" ht="21.75" customHeight="1" thickBot="1">
      <c r="B50" s="142"/>
      <c r="C50" s="138" t="s">
        <v>561</v>
      </c>
      <c r="D50" s="139"/>
      <c r="E50" s="140"/>
      <c r="F50" s="569">
        <v>0.05</v>
      </c>
      <c r="G50" s="567">
        <f>+G48*F50</f>
        <v>16647403.100665942</v>
      </c>
      <c r="I50" s="393"/>
    </row>
    <row r="51" spans="2:10" ht="21.75" customHeight="1" thickBot="1">
      <c r="B51" s="142"/>
      <c r="C51" s="138" t="s">
        <v>562</v>
      </c>
      <c r="D51" s="139"/>
      <c r="E51" s="140"/>
      <c r="F51" s="569">
        <v>0.19</v>
      </c>
      <c r="G51" s="567">
        <f>+G50*F51</f>
        <v>3163006.5891265292</v>
      </c>
      <c r="I51" s="393"/>
    </row>
    <row r="52" spans="2:10" ht="18" customHeight="1" thickBot="1">
      <c r="B52" s="143"/>
      <c r="C52" s="138" t="s">
        <v>0</v>
      </c>
      <c r="D52" s="139"/>
      <c r="E52" s="140"/>
      <c r="F52" s="570" t="str">
        <f>+C52</f>
        <v>COSTO TOTAL</v>
      </c>
      <c r="G52" s="567">
        <f>+G48+G49+G50+G51</f>
        <v>436994331.39248097</v>
      </c>
    </row>
    <row r="53" spans="2:10" ht="21.75" customHeight="1" thickBot="1">
      <c r="B53" s="725"/>
      <c r="C53" s="138" t="s">
        <v>558</v>
      </c>
      <c r="D53" s="723"/>
      <c r="E53" s="724"/>
      <c r="F53" s="569">
        <v>0.08</v>
      </c>
      <c r="G53" s="726">
        <f>+G52*F53</f>
        <v>34959546.511398479</v>
      </c>
    </row>
    <row r="54" spans="2:10" ht="21.75" customHeight="1" thickBot="1">
      <c r="B54" s="725"/>
      <c r="C54" s="138" t="s">
        <v>559</v>
      </c>
      <c r="D54" s="723"/>
      <c r="E54" s="724"/>
      <c r="F54" s="569"/>
      <c r="G54" s="727">
        <f>+G52+G53</f>
        <v>471953877.90387946</v>
      </c>
    </row>
    <row r="55" spans="2:10">
      <c r="D55" s="17"/>
      <c r="E55" s="17"/>
      <c r="F55" s="17"/>
    </row>
    <row r="56" spans="2:10" s="1" customFormat="1" ht="14.5">
      <c r="H56" s="3"/>
      <c r="I56" s="3"/>
      <c r="J56" s="3"/>
    </row>
    <row r="57" spans="2:10" s="1" customFormat="1" ht="14.5">
      <c r="B57" s="122"/>
      <c r="C57" s="769"/>
      <c r="H57" s="3"/>
      <c r="I57" s="3"/>
      <c r="J57" s="3"/>
    </row>
    <row r="58" spans="2:10" s="1" customFormat="1" ht="14.5">
      <c r="B58" s="123"/>
      <c r="C58" s="769"/>
      <c r="G58" s="163"/>
      <c r="H58" s="3"/>
      <c r="I58" s="3"/>
      <c r="J58" s="3"/>
    </row>
    <row r="59" spans="2:10" s="1" customFormat="1" ht="14.5">
      <c r="B59" s="2"/>
      <c r="C59" s="763" t="s">
        <v>583</v>
      </c>
      <c r="H59" s="3"/>
      <c r="I59" s="3"/>
      <c r="J59" s="3"/>
    </row>
    <row r="60" spans="2:10">
      <c r="C60" s="764" t="s">
        <v>584</v>
      </c>
    </row>
    <row r="61" spans="2:10">
      <c r="G61" s="20"/>
    </row>
  </sheetData>
  <mergeCells count="9">
    <mergeCell ref="C57:C58"/>
    <mergeCell ref="K48:L48"/>
    <mergeCell ref="D9:F9"/>
    <mergeCell ref="I10:J10"/>
    <mergeCell ref="B2:G2"/>
    <mergeCell ref="B3:G3"/>
    <mergeCell ref="B4:G4"/>
    <mergeCell ref="B5:G5"/>
    <mergeCell ref="B6:G6"/>
  </mergeCells>
  <phoneticPr fontId="6"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49A0C-3E47-410C-85FE-1C445BC1049B}">
  <dimension ref="A1:AP302"/>
  <sheetViews>
    <sheetView topLeftCell="A243" workbookViewId="0">
      <selection activeCell="R256" sqref="R256"/>
    </sheetView>
  </sheetViews>
  <sheetFormatPr baseColWidth="10" defaultColWidth="11.453125" defaultRowHeight="10"/>
  <cols>
    <col min="1" max="1" width="13.1796875" style="80" customWidth="1"/>
    <col min="2" max="2" width="14.54296875" style="80" customWidth="1"/>
    <col min="3" max="3" width="15.453125" style="80" customWidth="1"/>
    <col min="4" max="4" width="11.453125" style="80"/>
    <col min="5" max="5" width="11.81640625" style="80" customWidth="1"/>
    <col min="6" max="6" width="11.453125" style="80"/>
    <col min="7" max="7" width="13.1796875" style="80" customWidth="1"/>
    <col min="8" max="8" width="12.54296875" style="80" bestFit="1" customWidth="1"/>
    <col min="9" max="9" width="11.453125" style="23" hidden="1" customWidth="1"/>
    <col min="10" max="10" width="11.54296875" style="24" hidden="1" customWidth="1"/>
    <col min="11" max="11" width="24" style="24" hidden="1" customWidth="1"/>
    <col min="12" max="12" width="11.453125" style="24" hidden="1" customWidth="1"/>
    <col min="13" max="13" width="14.81640625" style="429" hidden="1" customWidth="1"/>
    <col min="14" max="14" width="11.453125" style="26" hidden="1" customWidth="1"/>
    <col min="15" max="17" width="11.453125" style="26"/>
    <col min="18" max="16384" width="11.453125" style="80"/>
  </cols>
  <sheetData>
    <row r="1" spans="1:13" s="26" customFormat="1" ht="10.5" thickBot="1">
      <c r="A1" s="22"/>
      <c r="B1" s="22"/>
      <c r="C1" s="22"/>
      <c r="D1" s="22"/>
      <c r="E1" s="22"/>
      <c r="F1" s="22"/>
      <c r="G1" s="22"/>
      <c r="H1" s="22"/>
      <c r="I1" s="23"/>
      <c r="J1" s="24"/>
      <c r="K1" s="24"/>
      <c r="L1" s="24"/>
      <c r="M1" s="429"/>
    </row>
    <row r="2" spans="1:13" s="26" customFormat="1">
      <c r="A2" s="813" t="s">
        <v>351</v>
      </c>
      <c r="B2" s="814"/>
      <c r="C2" s="815"/>
      <c r="D2" s="822" t="s">
        <v>25</v>
      </c>
      <c r="E2" s="823"/>
      <c r="F2" s="823"/>
      <c r="G2" s="823"/>
      <c r="H2" s="824"/>
      <c r="I2" s="23"/>
      <c r="J2" s="24"/>
      <c r="K2" s="24"/>
      <c r="L2" s="24"/>
      <c r="M2" s="429"/>
    </row>
    <row r="3" spans="1:13" s="26" customFormat="1">
      <c r="A3" s="816"/>
      <c r="B3" s="817"/>
      <c r="C3" s="818"/>
      <c r="D3" s="825"/>
      <c r="E3" s="826"/>
      <c r="F3" s="826"/>
      <c r="G3" s="826"/>
      <c r="H3" s="827"/>
      <c r="I3" s="23"/>
      <c r="J3" s="24"/>
      <c r="K3" s="24"/>
      <c r="L3" s="24"/>
      <c r="M3" s="429"/>
    </row>
    <row r="4" spans="1:13" s="26" customFormat="1" ht="15" customHeight="1" thickBot="1">
      <c r="A4" s="819"/>
      <c r="B4" s="820"/>
      <c r="C4" s="821"/>
      <c r="D4" s="828" t="s">
        <v>350</v>
      </c>
      <c r="E4" s="829"/>
      <c r="F4" s="829"/>
      <c r="G4" s="829"/>
      <c r="H4" s="830"/>
      <c r="I4" s="23"/>
      <c r="J4" s="24"/>
      <c r="K4" s="24"/>
      <c r="L4" s="24"/>
      <c r="M4" s="429"/>
    </row>
    <row r="5" spans="1:13" s="26" customFormat="1" ht="10.5" customHeight="1">
      <c r="A5" s="27"/>
      <c r="B5" s="22"/>
      <c r="C5" s="22"/>
      <c r="D5" s="22"/>
      <c r="E5" s="22"/>
      <c r="F5" s="22"/>
      <c r="G5" s="22"/>
      <c r="H5" s="22"/>
      <c r="I5" s="23"/>
      <c r="J5" s="24"/>
      <c r="K5" s="24"/>
      <c r="L5" s="24"/>
      <c r="M5" s="429"/>
    </row>
    <row r="6" spans="1:13" s="26" customFormat="1" ht="33.75" customHeight="1">
      <c r="A6" s="28" t="s">
        <v>26</v>
      </c>
      <c r="B6" s="793" t="s">
        <v>27</v>
      </c>
      <c r="C6" s="793"/>
      <c r="D6" s="793"/>
      <c r="E6" s="793"/>
      <c r="F6" s="793"/>
      <c r="G6" s="29"/>
      <c r="H6" s="30"/>
      <c r="I6" s="23"/>
      <c r="J6" s="24"/>
      <c r="K6" s="24"/>
      <c r="L6" s="24"/>
      <c r="M6" s="429"/>
    </row>
    <row r="7" spans="1:13" s="26" customFormat="1" ht="10.5">
      <c r="A7" s="31" t="s">
        <v>28</v>
      </c>
      <c r="B7" s="32" t="s">
        <v>328</v>
      </c>
      <c r="C7" s="32"/>
      <c r="D7" s="32"/>
      <c r="E7" s="32"/>
      <c r="F7" s="32"/>
      <c r="G7" s="29" t="s">
        <v>29</v>
      </c>
      <c r="H7" s="30" t="s">
        <v>329</v>
      </c>
      <c r="I7" s="23"/>
      <c r="J7" s="24"/>
      <c r="K7" s="24"/>
      <c r="L7" s="24"/>
      <c r="M7" s="429"/>
    </row>
    <row r="8" spans="1:13" s="26" customFormat="1" ht="10.5">
      <c r="A8" s="29"/>
      <c r="B8" s="29"/>
      <c r="C8" s="32"/>
      <c r="D8" s="29"/>
      <c r="E8" s="29"/>
      <c r="F8" s="29"/>
      <c r="G8" s="29" t="s">
        <v>30</v>
      </c>
      <c r="H8" s="30" t="s">
        <v>3</v>
      </c>
      <c r="I8" s="23"/>
      <c r="J8" s="24"/>
      <c r="K8" s="24"/>
      <c r="L8" s="24"/>
      <c r="M8" s="429"/>
    </row>
    <row r="9" spans="1:13" s="26" customFormat="1" ht="11" thickBot="1">
      <c r="A9" s="33" t="s">
        <v>31</v>
      </c>
      <c r="B9" s="33"/>
      <c r="C9" s="22"/>
      <c r="D9" s="22"/>
      <c r="E9" s="22"/>
      <c r="F9" s="22"/>
      <c r="G9" s="22"/>
      <c r="H9" s="22"/>
      <c r="I9" s="23"/>
      <c r="J9" s="24"/>
      <c r="K9" s="24"/>
      <c r="L9" s="24"/>
      <c r="M9" s="429"/>
    </row>
    <row r="10" spans="1:13" s="26" customFormat="1">
      <c r="A10" s="794" t="s">
        <v>32</v>
      </c>
      <c r="B10" s="795"/>
      <c r="C10" s="796"/>
      <c r="D10" s="34" t="s">
        <v>33</v>
      </c>
      <c r="E10" s="35" t="s">
        <v>34</v>
      </c>
      <c r="F10" s="34" t="s">
        <v>35</v>
      </c>
      <c r="G10" s="36" t="s">
        <v>36</v>
      </c>
      <c r="H10" s="37"/>
      <c r="I10" s="23"/>
      <c r="J10" s="24"/>
      <c r="K10" s="24"/>
      <c r="L10" s="24"/>
      <c r="M10" s="429"/>
    </row>
    <row r="11" spans="1:13" s="26" customFormat="1">
      <c r="A11" s="797" t="s">
        <v>37</v>
      </c>
      <c r="B11" s="803"/>
      <c r="C11" s="804"/>
      <c r="D11" s="430" t="s">
        <v>38</v>
      </c>
      <c r="E11" s="431">
        <f>H27</f>
        <v>11332.6</v>
      </c>
      <c r="F11" s="432">
        <v>0.1</v>
      </c>
      <c r="G11" s="433">
        <f>+E11*F11</f>
        <v>1133.26</v>
      </c>
      <c r="H11" s="41"/>
      <c r="I11" s="23" t="s">
        <v>39</v>
      </c>
      <c r="J11" s="24"/>
      <c r="K11" s="24"/>
      <c r="L11" s="24"/>
      <c r="M11" s="429"/>
    </row>
    <row r="12" spans="1:13" s="26" customFormat="1">
      <c r="A12" s="797"/>
      <c r="B12" s="803"/>
      <c r="C12" s="804"/>
      <c r="D12" s="434"/>
      <c r="E12" s="435"/>
      <c r="F12" s="431"/>
      <c r="G12" s="433"/>
      <c r="H12" s="41"/>
      <c r="I12" s="23"/>
      <c r="J12" s="24"/>
      <c r="K12" s="24"/>
      <c r="L12" s="24"/>
      <c r="M12" s="429"/>
    </row>
    <row r="13" spans="1:13" s="26" customFormat="1">
      <c r="A13" s="797"/>
      <c r="B13" s="803"/>
      <c r="C13" s="804"/>
      <c r="D13" s="434"/>
      <c r="E13" s="436"/>
      <c r="F13" s="431"/>
      <c r="G13" s="433"/>
      <c r="H13" s="41"/>
      <c r="I13" s="23"/>
      <c r="J13" s="24"/>
      <c r="K13" s="24"/>
      <c r="L13" s="24"/>
      <c r="M13" s="429"/>
    </row>
    <row r="14" spans="1:13" s="26" customFormat="1">
      <c r="A14" s="797"/>
      <c r="B14" s="803"/>
      <c r="C14" s="804"/>
      <c r="D14" s="434"/>
      <c r="E14" s="436"/>
      <c r="F14" s="431"/>
      <c r="G14" s="433"/>
      <c r="H14" s="41"/>
      <c r="I14" s="23"/>
      <c r="J14" s="24"/>
      <c r="K14" s="24"/>
      <c r="L14" s="24"/>
      <c r="M14" s="429"/>
    </row>
    <row r="15" spans="1:13" s="26" customFormat="1" ht="10.5" thickBot="1">
      <c r="A15" s="800"/>
      <c r="B15" s="801"/>
      <c r="C15" s="802"/>
      <c r="D15" s="45"/>
      <c r="E15" s="46"/>
      <c r="F15" s="47"/>
      <c r="G15" s="48"/>
      <c r="H15" s="49"/>
      <c r="I15" s="23"/>
      <c r="J15" s="24"/>
      <c r="K15" s="24"/>
      <c r="L15" s="24"/>
      <c r="M15" s="429"/>
    </row>
    <row r="16" spans="1:13" s="26" customFormat="1" ht="11" thickBot="1">
      <c r="A16" s="22"/>
      <c r="B16" s="22"/>
      <c r="C16" s="22"/>
      <c r="D16" s="22"/>
      <c r="E16" s="22"/>
      <c r="F16" s="22"/>
      <c r="G16" s="50" t="s">
        <v>40</v>
      </c>
      <c r="H16" s="51">
        <f>SUM(G11:G15)</f>
        <v>1133.26</v>
      </c>
      <c r="I16" s="23"/>
      <c r="J16" s="24"/>
      <c r="K16" s="24"/>
      <c r="L16" s="24"/>
      <c r="M16" s="429"/>
    </row>
    <row r="17" spans="1:42" s="26" customFormat="1" ht="11" thickBot="1">
      <c r="A17" s="437" t="s">
        <v>41</v>
      </c>
      <c r="B17" s="437"/>
      <c r="C17" s="438"/>
      <c r="D17" s="22"/>
      <c r="E17" s="22"/>
      <c r="F17" s="22"/>
      <c r="G17" s="22"/>
      <c r="H17" s="22"/>
      <c r="I17" s="23"/>
      <c r="J17" s="24"/>
      <c r="K17" s="24"/>
      <c r="L17" s="24"/>
      <c r="M17" s="429"/>
    </row>
    <row r="18" spans="1:42" s="26" customFormat="1">
      <c r="A18" s="54"/>
      <c r="B18" s="55"/>
      <c r="C18" s="56" t="s">
        <v>42</v>
      </c>
      <c r="D18" s="34" t="s">
        <v>43</v>
      </c>
      <c r="E18" s="34" t="s">
        <v>44</v>
      </c>
      <c r="F18" s="34" t="s">
        <v>45</v>
      </c>
      <c r="G18" s="57" t="s">
        <v>36</v>
      </c>
      <c r="H18" s="37"/>
      <c r="I18" s="23"/>
      <c r="J18" s="24"/>
      <c r="K18" s="24"/>
      <c r="L18" s="24"/>
      <c r="M18" s="429"/>
    </row>
    <row r="19" spans="1:42" s="26" customFormat="1">
      <c r="A19" s="58"/>
      <c r="B19" s="439"/>
      <c r="C19" s="440"/>
      <c r="D19" s="440"/>
      <c r="E19" s="440"/>
      <c r="F19" s="441"/>
      <c r="G19" s="431"/>
      <c r="H19" s="41"/>
      <c r="I19" s="23"/>
      <c r="J19" s="24"/>
      <c r="K19" s="24"/>
      <c r="L19" s="24"/>
      <c r="M19" s="429"/>
    </row>
    <row r="20" spans="1:42" s="26" customFormat="1">
      <c r="A20" s="58"/>
      <c r="B20" s="439"/>
      <c r="C20" s="442"/>
      <c r="D20" s="430"/>
      <c r="E20" s="443"/>
      <c r="F20" s="431"/>
      <c r="G20" s="431"/>
      <c r="H20" s="41"/>
      <c r="I20" s="23"/>
      <c r="J20" s="24"/>
      <c r="K20" s="24"/>
      <c r="L20" s="24"/>
      <c r="M20" s="429"/>
    </row>
    <row r="21" spans="1:42" s="26" customFormat="1" ht="10.5" thickBot="1">
      <c r="A21" s="64"/>
      <c r="B21" s="65"/>
      <c r="C21" s="45"/>
      <c r="D21" s="46"/>
      <c r="E21" s="47"/>
      <c r="F21" s="48"/>
      <c r="G21" s="45"/>
      <c r="H21" s="41"/>
      <c r="I21" s="23"/>
      <c r="J21" s="24"/>
      <c r="K21" s="24"/>
      <c r="L21" s="24"/>
      <c r="M21" s="429"/>
    </row>
    <row r="22" spans="1:42" s="26" customFormat="1" ht="11" thickBot="1">
      <c r="A22" s="22"/>
      <c r="B22" s="22"/>
      <c r="C22" s="22"/>
      <c r="D22" s="22"/>
      <c r="E22" s="22"/>
      <c r="F22" s="22"/>
      <c r="G22" s="50" t="s">
        <v>40</v>
      </c>
      <c r="H22" s="51">
        <f>SUM(G19:G21)</f>
        <v>0</v>
      </c>
      <c r="I22" s="23"/>
      <c r="J22" s="24"/>
      <c r="K22" s="24"/>
      <c r="L22" s="24"/>
      <c r="M22" s="429"/>
    </row>
    <row r="23" spans="1:42" s="26" customFormat="1" ht="11" thickBot="1">
      <c r="A23" s="437" t="s">
        <v>46</v>
      </c>
      <c r="B23" s="437"/>
      <c r="C23" s="22"/>
      <c r="D23" s="22"/>
      <c r="E23" s="22"/>
      <c r="F23" s="22"/>
      <c r="G23" s="22"/>
      <c r="H23" s="22"/>
      <c r="I23" s="23"/>
      <c r="J23" s="24"/>
      <c r="K23" s="24"/>
      <c r="L23" s="24"/>
      <c r="M23" s="429"/>
    </row>
    <row r="24" spans="1:42" s="26" customFormat="1">
      <c r="A24" s="794" t="s">
        <v>32</v>
      </c>
      <c r="B24" s="795"/>
      <c r="C24" s="796"/>
      <c r="D24" s="34" t="s">
        <v>33</v>
      </c>
      <c r="E24" s="35" t="s">
        <v>34</v>
      </c>
      <c r="F24" s="34" t="s">
        <v>35</v>
      </c>
      <c r="G24" s="57" t="s">
        <v>36</v>
      </c>
      <c r="H24" s="37"/>
      <c r="I24" s="23"/>
      <c r="J24" s="24"/>
      <c r="K24" s="24"/>
      <c r="L24" s="24"/>
      <c r="M24" s="429"/>
    </row>
    <row r="25" spans="1:42" s="26" customFormat="1">
      <c r="A25" s="797" t="s">
        <v>47</v>
      </c>
      <c r="B25" s="803"/>
      <c r="C25" s="804"/>
      <c r="D25" s="444" t="s">
        <v>330</v>
      </c>
      <c r="E25" s="445">
        <f>+'[3]ANÁLISIS MANO DE OBRA'!$F$49</f>
        <v>226652</v>
      </c>
      <c r="F25" s="432">
        <v>20</v>
      </c>
      <c r="G25" s="433">
        <f>E25/F25</f>
        <v>11332.6</v>
      </c>
      <c r="H25" s="41"/>
      <c r="I25" s="23"/>
      <c r="J25" s="24"/>
      <c r="K25" s="24"/>
      <c r="L25" s="24"/>
      <c r="M25" s="429"/>
    </row>
    <row r="26" spans="1:42" s="26" customFormat="1" ht="10.5" thickBot="1">
      <c r="A26" s="790"/>
      <c r="B26" s="791"/>
      <c r="C26" s="792"/>
      <c r="D26" s="67"/>
      <c r="E26" s="47"/>
      <c r="F26" s="68"/>
      <c r="G26" s="69"/>
      <c r="H26" s="41"/>
      <c r="I26" s="23"/>
      <c r="J26" s="24"/>
      <c r="K26" s="24"/>
      <c r="L26" s="24"/>
      <c r="M26" s="429"/>
    </row>
    <row r="27" spans="1:42" s="26" customFormat="1" ht="11" thickBot="1">
      <c r="A27" s="22"/>
      <c r="B27" s="22"/>
      <c r="C27" s="22"/>
      <c r="D27" s="22"/>
      <c r="E27" s="22"/>
      <c r="F27" s="22"/>
      <c r="G27" s="50" t="s">
        <v>40</v>
      </c>
      <c r="H27" s="51">
        <f>SUM(G25:G26)</f>
        <v>11332.6</v>
      </c>
      <c r="I27" s="23"/>
      <c r="J27" s="24"/>
      <c r="K27" s="70">
        <f>H27</f>
        <v>11332.6</v>
      </c>
      <c r="L27" s="24">
        <v>0.9</v>
      </c>
      <c r="M27" s="429">
        <f>K27*L27</f>
        <v>10199.34</v>
      </c>
    </row>
    <row r="28" spans="1:42" s="26" customFormat="1" ht="10.5" thickBot="1">
      <c r="A28" s="22"/>
      <c r="B28" s="22"/>
      <c r="C28" s="22"/>
      <c r="D28" s="22"/>
      <c r="E28" s="22"/>
      <c r="F28" s="22"/>
      <c r="G28" s="71"/>
      <c r="H28" s="22"/>
      <c r="I28" s="23"/>
      <c r="J28" s="24"/>
      <c r="K28" s="24"/>
      <c r="L28" s="24"/>
      <c r="M28" s="429"/>
    </row>
    <row r="29" spans="1:42" s="26" customFormat="1" ht="11" thickBot="1">
      <c r="A29" s="22"/>
      <c r="B29" s="22"/>
      <c r="C29" s="22"/>
      <c r="D29" s="22"/>
      <c r="E29" s="72" t="s">
        <v>48</v>
      </c>
      <c r="F29" s="73"/>
      <c r="G29" s="73"/>
      <c r="H29" s="51">
        <f>ROUND(H16+H22+H27,0)</f>
        <v>12466</v>
      </c>
      <c r="I29" s="23"/>
      <c r="J29" s="24"/>
      <c r="K29" s="24"/>
      <c r="L29" s="24"/>
      <c r="M29" s="429"/>
    </row>
    <row r="31" spans="1:42" s="26" customFormat="1" ht="33.75" customHeight="1">
      <c r="A31" s="28" t="s">
        <v>26</v>
      </c>
      <c r="B31" s="793" t="s">
        <v>27</v>
      </c>
      <c r="C31" s="793"/>
      <c r="D31" s="793"/>
      <c r="E31" s="793"/>
      <c r="F31" s="793"/>
      <c r="G31" s="29"/>
      <c r="H31" s="30"/>
      <c r="I31" s="23"/>
      <c r="J31" s="24"/>
      <c r="K31" s="24"/>
      <c r="L31" s="24"/>
      <c r="M31" s="25"/>
      <c r="O31" s="81"/>
      <c r="P31" s="81"/>
      <c r="Q31" s="81"/>
      <c r="R31" s="81"/>
      <c r="S31" s="81"/>
      <c r="T31" s="81"/>
      <c r="U31" s="81"/>
      <c r="V31" s="81"/>
      <c r="W31" s="81"/>
      <c r="X31" s="81"/>
      <c r="Y31" s="81"/>
      <c r="Z31" s="81"/>
      <c r="AA31" s="81"/>
      <c r="AB31" s="81"/>
      <c r="AC31" s="81"/>
      <c r="AD31" s="81"/>
      <c r="AE31" s="81"/>
      <c r="AF31" s="81"/>
      <c r="AG31" s="81"/>
      <c r="AH31" s="81"/>
      <c r="AI31" s="81"/>
      <c r="AJ31" s="81"/>
      <c r="AK31" s="81"/>
      <c r="AL31" s="81"/>
      <c r="AM31" s="81"/>
      <c r="AN31" s="81"/>
      <c r="AO31" s="81"/>
      <c r="AP31" s="81"/>
    </row>
    <row r="32" spans="1:42" s="26" customFormat="1" ht="10.5">
      <c r="A32" s="31" t="s">
        <v>28</v>
      </c>
      <c r="B32" s="32" t="str">
        <f>+'PRESUPUESTO ESTUFA'!C13</f>
        <v xml:space="preserve">Geolocalizacion del sitio, localizacion y replanteo </v>
      </c>
      <c r="C32" s="32"/>
      <c r="D32" s="32"/>
      <c r="E32" s="32"/>
      <c r="F32" s="32"/>
      <c r="G32" s="29" t="s">
        <v>29</v>
      </c>
      <c r="H32" s="30" t="s">
        <v>13</v>
      </c>
      <c r="I32" s="23"/>
      <c r="J32" s="24"/>
      <c r="K32" s="24"/>
      <c r="L32" s="24"/>
      <c r="M32" s="25"/>
      <c r="O32" s="81"/>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81"/>
    </row>
    <row r="33" spans="1:42" s="26" customFormat="1" ht="10.5">
      <c r="A33" s="29"/>
      <c r="B33" s="29"/>
      <c r="C33" s="32"/>
      <c r="D33" s="29"/>
      <c r="E33" s="29"/>
      <c r="F33" s="29"/>
      <c r="G33" s="29" t="s">
        <v>30</v>
      </c>
      <c r="H33" s="30" t="s">
        <v>3</v>
      </c>
      <c r="I33" s="23"/>
      <c r="J33" s="24"/>
      <c r="K33" s="24"/>
      <c r="L33" s="24"/>
      <c r="M33" s="25"/>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row>
    <row r="34" spans="1:42" s="26" customFormat="1" ht="11" thickBot="1">
      <c r="A34" s="33" t="s">
        <v>31</v>
      </c>
      <c r="B34" s="33"/>
      <c r="C34" s="22"/>
      <c r="D34" s="22"/>
      <c r="E34" s="22"/>
      <c r="F34" s="22"/>
      <c r="G34" s="22"/>
      <c r="H34" s="22"/>
      <c r="I34" s="23"/>
      <c r="J34" s="24"/>
      <c r="K34" s="24"/>
      <c r="L34" s="24"/>
      <c r="M34" s="25"/>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row>
    <row r="35" spans="1:42" s="26" customFormat="1">
      <c r="A35" s="794" t="s">
        <v>32</v>
      </c>
      <c r="B35" s="795"/>
      <c r="C35" s="796"/>
      <c r="D35" s="34" t="s">
        <v>33</v>
      </c>
      <c r="E35" s="35" t="s">
        <v>34</v>
      </c>
      <c r="F35" s="34" t="s">
        <v>35</v>
      </c>
      <c r="G35" s="36" t="s">
        <v>36</v>
      </c>
      <c r="H35" s="37"/>
      <c r="I35" s="23"/>
      <c r="J35" s="24"/>
      <c r="K35" s="24"/>
      <c r="L35" s="24"/>
      <c r="M35" s="25"/>
      <c r="O35" s="81"/>
      <c r="P35" s="81"/>
      <c r="Q35" s="81"/>
      <c r="R35" s="81"/>
      <c r="S35" s="81"/>
      <c r="T35" s="81"/>
      <c r="U35" s="81"/>
      <c r="V35" s="81"/>
      <c r="W35" s="81"/>
      <c r="X35" s="81"/>
      <c r="Y35" s="81"/>
      <c r="Z35" s="81"/>
      <c r="AA35" s="81"/>
      <c r="AB35" s="81"/>
      <c r="AC35" s="81"/>
      <c r="AD35" s="81"/>
      <c r="AE35" s="81"/>
      <c r="AF35" s="81"/>
      <c r="AG35" s="81"/>
      <c r="AH35" s="81"/>
      <c r="AI35" s="81"/>
      <c r="AJ35" s="81"/>
      <c r="AK35" s="81"/>
      <c r="AL35" s="81"/>
      <c r="AM35" s="81"/>
      <c r="AN35" s="81"/>
      <c r="AO35" s="81"/>
      <c r="AP35" s="81"/>
    </row>
    <row r="36" spans="1:42" s="26" customFormat="1">
      <c r="A36" s="797" t="s">
        <v>37</v>
      </c>
      <c r="B36" s="798"/>
      <c r="C36" s="799"/>
      <c r="D36" s="38" t="s">
        <v>38</v>
      </c>
      <c r="E36" s="39">
        <v>36200</v>
      </c>
      <c r="F36" s="82">
        <v>0.1</v>
      </c>
      <c r="G36" s="40">
        <f>+E36*F36</f>
        <v>3620</v>
      </c>
      <c r="H36" s="41"/>
      <c r="I36" s="23" t="s">
        <v>39</v>
      </c>
      <c r="J36" s="24"/>
      <c r="K36" s="24"/>
      <c r="L36" s="24"/>
      <c r="M36" s="25"/>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row>
    <row r="37" spans="1:42" s="26" customFormat="1">
      <c r="A37" s="797"/>
      <c r="B37" s="798"/>
      <c r="C37" s="799"/>
      <c r="D37" s="42"/>
      <c r="E37" s="43"/>
      <c r="F37" s="39"/>
      <c r="G37" s="40"/>
      <c r="H37" s="41"/>
      <c r="I37" s="23"/>
      <c r="J37" s="24"/>
      <c r="K37" s="24"/>
      <c r="L37" s="24"/>
      <c r="M37" s="25"/>
      <c r="O37" s="81"/>
      <c r="P37" s="81"/>
      <c r="Q37" s="81"/>
      <c r="R37" s="81"/>
      <c r="S37" s="81"/>
      <c r="T37" s="81"/>
      <c r="U37" s="81"/>
      <c r="V37" s="81"/>
      <c r="W37" s="81"/>
      <c r="X37" s="81"/>
      <c r="Y37" s="81"/>
      <c r="Z37" s="81"/>
      <c r="AA37" s="81"/>
      <c r="AB37" s="81"/>
      <c r="AC37" s="81"/>
      <c r="AD37" s="81"/>
      <c r="AE37" s="81"/>
      <c r="AF37" s="81"/>
      <c r="AG37" s="81"/>
      <c r="AH37" s="81"/>
      <c r="AI37" s="81"/>
      <c r="AJ37" s="81"/>
      <c r="AK37" s="81"/>
      <c r="AL37" s="81"/>
      <c r="AM37" s="81"/>
      <c r="AN37" s="81"/>
      <c r="AO37" s="81"/>
      <c r="AP37" s="81"/>
    </row>
    <row r="38" spans="1:42" s="26" customFormat="1">
      <c r="A38" s="797"/>
      <c r="B38" s="798"/>
      <c r="C38" s="799"/>
      <c r="D38" s="42"/>
      <c r="E38" s="44"/>
      <c r="F38" s="39"/>
      <c r="G38" s="40"/>
      <c r="H38" s="41"/>
      <c r="I38" s="23"/>
      <c r="J38" s="24"/>
      <c r="K38" s="24"/>
      <c r="L38" s="24"/>
      <c r="M38" s="25"/>
      <c r="O38" s="81"/>
      <c r="P38" s="81"/>
      <c r="Q38" s="81"/>
      <c r="R38" s="81"/>
      <c r="S38" s="81"/>
      <c r="T38" s="81"/>
      <c r="U38" s="81"/>
      <c r="V38" s="81"/>
      <c r="W38" s="81"/>
      <c r="X38" s="81"/>
      <c r="Y38" s="81"/>
      <c r="Z38" s="81"/>
      <c r="AA38" s="81"/>
      <c r="AB38" s="81"/>
      <c r="AC38" s="81"/>
      <c r="AD38" s="81"/>
      <c r="AE38" s="81"/>
      <c r="AF38" s="81"/>
      <c r="AG38" s="81"/>
      <c r="AH38" s="81"/>
      <c r="AI38" s="81"/>
      <c r="AJ38" s="81"/>
      <c r="AK38" s="81"/>
      <c r="AL38" s="81"/>
      <c r="AM38" s="81"/>
      <c r="AN38" s="81"/>
      <c r="AO38" s="81"/>
      <c r="AP38" s="81"/>
    </row>
    <row r="39" spans="1:42" s="26" customFormat="1">
      <c r="A39" s="797"/>
      <c r="B39" s="798"/>
      <c r="C39" s="799"/>
      <c r="D39" s="42"/>
      <c r="E39" s="44"/>
      <c r="F39" s="39"/>
      <c r="G39" s="40"/>
      <c r="H39" s="41"/>
      <c r="I39" s="23"/>
      <c r="J39" s="24"/>
      <c r="K39" s="24"/>
      <c r="L39" s="24"/>
      <c r="M39" s="25"/>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row>
    <row r="40" spans="1:42" s="26" customFormat="1" ht="10.5" thickBot="1">
      <c r="A40" s="800"/>
      <c r="B40" s="801"/>
      <c r="C40" s="802"/>
      <c r="D40" s="45"/>
      <c r="E40" s="46"/>
      <c r="F40" s="47"/>
      <c r="G40" s="48"/>
      <c r="H40" s="49"/>
      <c r="I40" s="23"/>
      <c r="J40" s="24"/>
      <c r="K40" s="24"/>
      <c r="L40" s="24"/>
      <c r="M40" s="25"/>
      <c r="O40" s="81"/>
      <c r="P40" s="81"/>
      <c r="Q40" s="81"/>
      <c r="R40" s="81"/>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row>
    <row r="41" spans="1:42" s="26" customFormat="1" ht="11" thickBot="1">
      <c r="A41" s="22"/>
      <c r="B41" s="22"/>
      <c r="C41" s="22"/>
      <c r="D41" s="22"/>
      <c r="E41" s="22"/>
      <c r="F41" s="22"/>
      <c r="G41" s="50" t="s">
        <v>40</v>
      </c>
      <c r="H41" s="51">
        <f>SUM(G36:G40)</f>
        <v>3620</v>
      </c>
      <c r="I41" s="23"/>
      <c r="J41" s="24"/>
      <c r="K41" s="24"/>
      <c r="L41" s="24"/>
      <c r="M41" s="25"/>
      <c r="O41" s="81"/>
      <c r="P41" s="81"/>
      <c r="Q41" s="81"/>
      <c r="R41" s="81"/>
      <c r="S41" s="81"/>
      <c r="T41" s="81"/>
      <c r="U41" s="81"/>
      <c r="V41" s="81"/>
      <c r="W41" s="81"/>
      <c r="X41" s="81"/>
      <c r="Y41" s="81"/>
      <c r="Z41" s="81"/>
      <c r="AA41" s="81"/>
      <c r="AB41" s="81"/>
      <c r="AC41" s="81"/>
      <c r="AD41" s="81"/>
      <c r="AE41" s="81"/>
      <c r="AF41" s="81"/>
      <c r="AG41" s="81"/>
      <c r="AH41" s="81"/>
      <c r="AI41" s="81"/>
      <c r="AJ41" s="81"/>
      <c r="AK41" s="81"/>
      <c r="AL41" s="81"/>
      <c r="AM41" s="81"/>
      <c r="AN41" s="81"/>
      <c r="AO41" s="81"/>
      <c r="AP41" s="81"/>
    </row>
    <row r="42" spans="1:42" s="26" customFormat="1" ht="11" thickBot="1">
      <c r="A42" s="33" t="s">
        <v>49</v>
      </c>
      <c r="B42" s="33"/>
      <c r="C42" s="22"/>
      <c r="D42" s="22"/>
      <c r="E42" s="22"/>
      <c r="F42" s="22"/>
      <c r="G42" s="22"/>
      <c r="H42" s="22"/>
      <c r="I42" s="23"/>
      <c r="J42" s="24"/>
      <c r="K42" s="24"/>
      <c r="L42" s="24"/>
      <c r="M42" s="25"/>
      <c r="O42" s="81"/>
      <c r="P42" s="81"/>
      <c r="Q42" s="81"/>
      <c r="R42" s="81"/>
      <c r="S42" s="81"/>
      <c r="T42" s="81"/>
      <c r="U42" s="81"/>
      <c r="V42" s="81"/>
      <c r="W42" s="81"/>
      <c r="X42" s="81"/>
      <c r="Y42" s="81"/>
      <c r="Z42" s="81"/>
      <c r="AA42" s="81"/>
      <c r="AB42" s="81"/>
      <c r="AC42" s="81"/>
      <c r="AD42" s="81"/>
      <c r="AE42" s="81"/>
      <c r="AF42" s="81"/>
      <c r="AG42" s="81"/>
      <c r="AH42" s="81"/>
      <c r="AI42" s="81"/>
      <c r="AJ42" s="81"/>
      <c r="AK42" s="81"/>
      <c r="AL42" s="81"/>
      <c r="AM42" s="81"/>
      <c r="AN42" s="81"/>
      <c r="AO42" s="81"/>
      <c r="AP42" s="81"/>
    </row>
    <row r="43" spans="1:42" s="26" customFormat="1">
      <c r="A43" s="794" t="s">
        <v>32</v>
      </c>
      <c r="B43" s="795"/>
      <c r="C43" s="796"/>
      <c r="D43" s="34" t="s">
        <v>33</v>
      </c>
      <c r="E43" s="34" t="s">
        <v>50</v>
      </c>
      <c r="F43" s="34" t="s">
        <v>51</v>
      </c>
      <c r="G43" s="36" t="s">
        <v>36</v>
      </c>
      <c r="H43" s="37"/>
      <c r="I43" s="23"/>
      <c r="J43" s="24"/>
      <c r="K43" s="24"/>
      <c r="L43" s="24"/>
      <c r="M43" s="25"/>
      <c r="O43" s="81"/>
      <c r="P43" s="81"/>
      <c r="Q43" s="81"/>
      <c r="R43" s="81"/>
      <c r="S43" s="81"/>
      <c r="T43" s="81"/>
      <c r="U43" s="81"/>
      <c r="V43" s="81"/>
      <c r="W43" s="81"/>
      <c r="X43" s="81"/>
      <c r="Y43" s="81"/>
      <c r="Z43" s="81"/>
      <c r="AA43" s="81"/>
      <c r="AB43" s="81"/>
      <c r="AC43" s="81"/>
      <c r="AD43" s="81"/>
      <c r="AE43" s="81"/>
      <c r="AF43" s="81"/>
      <c r="AG43" s="81"/>
      <c r="AH43" s="81"/>
      <c r="AI43" s="81"/>
      <c r="AJ43" s="81"/>
      <c r="AK43" s="81"/>
      <c r="AL43" s="81"/>
      <c r="AM43" s="81"/>
      <c r="AN43" s="81"/>
      <c r="AO43" s="81"/>
      <c r="AP43" s="81"/>
    </row>
    <row r="44" spans="1:42" s="26" customFormat="1">
      <c r="A44" s="797"/>
      <c r="B44" s="798"/>
      <c r="C44" s="799"/>
      <c r="D44" s="38"/>
      <c r="E44" s="76"/>
      <c r="F44" s="39"/>
      <c r="G44" s="40"/>
      <c r="H44" s="41"/>
      <c r="I44" s="23"/>
      <c r="J44" s="24"/>
      <c r="K44" s="24"/>
      <c r="L44" s="24"/>
      <c r="M44" s="25"/>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row>
    <row r="45" spans="1:42" s="26" customFormat="1" ht="10.75" customHeight="1">
      <c r="A45" s="797"/>
      <c r="B45" s="798"/>
      <c r="C45" s="799"/>
      <c r="D45" s="38"/>
      <c r="E45" s="83"/>
      <c r="F45" s="77"/>
      <c r="G45" s="40"/>
      <c r="H45" s="41"/>
      <c r="I45" s="23"/>
      <c r="J45" s="24"/>
      <c r="K45" s="24"/>
      <c r="L45" s="24"/>
      <c r="M45" s="25"/>
      <c r="O45" s="81"/>
      <c r="P45" s="81"/>
      <c r="Q45" s="81"/>
      <c r="R45" s="81"/>
      <c r="S45" s="81"/>
      <c r="T45" s="81"/>
      <c r="U45" s="81"/>
      <c r="V45" s="81"/>
      <c r="W45" s="81"/>
      <c r="X45" s="81"/>
      <c r="Y45" s="81"/>
      <c r="Z45" s="81"/>
      <c r="AA45" s="81"/>
      <c r="AB45" s="81"/>
      <c r="AC45" s="81"/>
      <c r="AD45" s="81"/>
      <c r="AE45" s="81"/>
      <c r="AF45" s="81"/>
      <c r="AG45" s="81"/>
      <c r="AH45" s="81"/>
      <c r="AI45" s="81"/>
      <c r="AJ45" s="81"/>
      <c r="AK45" s="81"/>
      <c r="AL45" s="81"/>
      <c r="AM45" s="81"/>
      <c r="AN45" s="81"/>
      <c r="AO45" s="81"/>
      <c r="AP45" s="81"/>
    </row>
    <row r="46" spans="1:42" s="26" customFormat="1" ht="10.75" customHeight="1">
      <c r="A46" s="797"/>
      <c r="B46" s="798"/>
      <c r="C46" s="799"/>
      <c r="D46" s="38"/>
      <c r="E46" s="76"/>
      <c r="F46" s="77"/>
      <c r="G46" s="40"/>
      <c r="H46" s="41"/>
      <c r="I46" s="23"/>
      <c r="J46" s="24"/>
      <c r="K46" s="24"/>
      <c r="L46" s="24"/>
      <c r="M46" s="25"/>
      <c r="O46" s="81"/>
      <c r="P46" s="81"/>
      <c r="Q46" s="81"/>
      <c r="R46" s="81"/>
      <c r="S46" s="81"/>
      <c r="T46" s="81"/>
      <c r="U46" s="81"/>
      <c r="V46" s="81"/>
      <c r="W46" s="81"/>
      <c r="X46" s="81"/>
      <c r="Y46" s="81"/>
      <c r="Z46" s="81"/>
      <c r="AA46" s="81"/>
      <c r="AB46" s="81"/>
      <c r="AC46" s="81"/>
      <c r="AD46" s="81"/>
      <c r="AE46" s="81"/>
      <c r="AF46" s="81"/>
      <c r="AG46" s="81"/>
      <c r="AH46" s="81"/>
      <c r="AI46" s="81"/>
      <c r="AJ46" s="81"/>
      <c r="AK46" s="81"/>
      <c r="AL46" s="81"/>
      <c r="AM46" s="81"/>
      <c r="AN46" s="81"/>
      <c r="AO46" s="81"/>
      <c r="AP46" s="81"/>
    </row>
    <row r="47" spans="1:42" s="26" customFormat="1" ht="10.5" thickBot="1">
      <c r="A47" s="800"/>
      <c r="B47" s="801"/>
      <c r="C47" s="802"/>
      <c r="D47" s="45"/>
      <c r="E47" s="46"/>
      <c r="F47" s="47"/>
      <c r="G47" s="48"/>
      <c r="H47" s="49"/>
      <c r="I47" s="23"/>
      <c r="J47" s="24"/>
      <c r="K47" s="24"/>
      <c r="L47" s="24"/>
      <c r="M47" s="25"/>
      <c r="O47" s="81"/>
      <c r="P47" s="81"/>
      <c r="Q47" s="81"/>
      <c r="R47" s="81"/>
      <c r="S47" s="81"/>
      <c r="T47" s="81"/>
      <c r="U47" s="81"/>
      <c r="V47" s="81"/>
      <c r="W47" s="81"/>
      <c r="X47" s="81"/>
      <c r="Y47" s="81"/>
      <c r="Z47" s="81"/>
      <c r="AA47" s="81"/>
      <c r="AB47" s="81"/>
      <c r="AC47" s="81"/>
      <c r="AD47" s="81"/>
      <c r="AE47" s="81"/>
      <c r="AF47" s="81"/>
      <c r="AG47" s="81"/>
      <c r="AH47" s="81"/>
      <c r="AI47" s="81"/>
      <c r="AJ47" s="81"/>
      <c r="AK47" s="81"/>
      <c r="AL47" s="81"/>
      <c r="AM47" s="81"/>
      <c r="AN47" s="81"/>
      <c r="AO47" s="81"/>
      <c r="AP47" s="81"/>
    </row>
    <row r="48" spans="1:42" s="26" customFormat="1" ht="11" thickBot="1">
      <c r="A48" s="22"/>
      <c r="B48" s="22"/>
      <c r="C48" s="22"/>
      <c r="D48" s="22"/>
      <c r="E48" s="22"/>
      <c r="F48" s="22"/>
      <c r="G48" s="50" t="s">
        <v>40</v>
      </c>
      <c r="H48" s="51">
        <f>SUM(G44:G46)</f>
        <v>0</v>
      </c>
      <c r="I48" s="23"/>
      <c r="J48" s="24"/>
      <c r="K48" s="24"/>
      <c r="L48" s="24"/>
      <c r="M48" s="25"/>
      <c r="O48" s="81"/>
      <c r="P48" s="81"/>
      <c r="Q48" s="81"/>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row>
    <row r="49" spans="1:42" s="26" customFormat="1" ht="11" thickBot="1">
      <c r="A49" s="52" t="s">
        <v>41</v>
      </c>
      <c r="B49" s="52"/>
      <c r="C49" s="53"/>
      <c r="D49" s="22"/>
      <c r="E49" s="22"/>
      <c r="F49" s="22"/>
      <c r="G49" s="22"/>
      <c r="H49" s="22"/>
      <c r="I49" s="23"/>
      <c r="J49" s="24"/>
      <c r="K49" s="24"/>
      <c r="L49" s="24"/>
      <c r="M49" s="25"/>
      <c r="O49" s="81"/>
      <c r="P49" s="81"/>
      <c r="Q49" s="81"/>
      <c r="R49" s="81"/>
      <c r="S49" s="81">
        <f>+S41*8</f>
        <v>0</v>
      </c>
      <c r="T49" s="81"/>
      <c r="U49" s="81"/>
      <c r="V49" s="81"/>
      <c r="W49" s="81"/>
      <c r="X49" s="81"/>
      <c r="Y49" s="81"/>
      <c r="Z49" s="81"/>
      <c r="AA49" s="81"/>
      <c r="AB49" s="81"/>
      <c r="AC49" s="81"/>
      <c r="AD49" s="81"/>
      <c r="AE49" s="81"/>
      <c r="AF49" s="81"/>
      <c r="AG49" s="81"/>
      <c r="AH49" s="81"/>
      <c r="AI49" s="81"/>
      <c r="AJ49" s="81"/>
      <c r="AK49" s="81"/>
      <c r="AL49" s="81"/>
      <c r="AM49" s="81"/>
      <c r="AN49" s="81"/>
      <c r="AO49" s="81"/>
      <c r="AP49" s="81"/>
    </row>
    <row r="50" spans="1:42" s="26" customFormat="1">
      <c r="A50" s="54"/>
      <c r="B50" s="55"/>
      <c r="C50" s="56" t="s">
        <v>42</v>
      </c>
      <c r="D50" s="34" t="s">
        <v>43</v>
      </c>
      <c r="E50" s="34" t="s">
        <v>44</v>
      </c>
      <c r="F50" s="34" t="s">
        <v>45</v>
      </c>
      <c r="G50" s="57" t="s">
        <v>36</v>
      </c>
      <c r="H50" s="37"/>
      <c r="I50" s="23"/>
      <c r="J50" s="24"/>
      <c r="K50" s="24"/>
      <c r="L50" s="24"/>
      <c r="M50" s="25"/>
      <c r="O50" s="81"/>
      <c r="P50" s="81"/>
      <c r="Q50" s="81"/>
      <c r="R50" s="81"/>
      <c r="S50" s="81"/>
      <c r="T50" s="81"/>
      <c r="U50" s="81"/>
      <c r="V50" s="81"/>
      <c r="W50" s="81"/>
      <c r="X50" s="81"/>
      <c r="Y50" s="81"/>
      <c r="Z50" s="81"/>
      <c r="AA50" s="81"/>
      <c r="AB50" s="81"/>
      <c r="AC50" s="81"/>
      <c r="AD50" s="81"/>
      <c r="AE50" s="81"/>
      <c r="AF50" s="81"/>
      <c r="AG50" s="81"/>
      <c r="AH50" s="81"/>
      <c r="AI50" s="81"/>
      <c r="AJ50" s="81"/>
      <c r="AK50" s="81"/>
      <c r="AL50" s="81"/>
      <c r="AM50" s="81"/>
      <c r="AN50" s="81"/>
      <c r="AO50" s="81"/>
      <c r="AP50" s="81"/>
    </row>
    <row r="51" spans="1:42" s="26" customFormat="1">
      <c r="A51" s="58"/>
      <c r="B51" s="59"/>
      <c r="C51" s="60"/>
      <c r="D51" s="60"/>
      <c r="E51" s="60"/>
      <c r="F51" s="61"/>
      <c r="G51" s="39"/>
      <c r="H51" s="41"/>
      <c r="I51" s="23"/>
      <c r="J51" s="24"/>
      <c r="K51" s="24"/>
      <c r="L51" s="24"/>
      <c r="M51" s="25"/>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row>
    <row r="52" spans="1:42" s="26" customFormat="1">
      <c r="A52" s="58"/>
      <c r="B52" s="59"/>
      <c r="C52" s="62"/>
      <c r="D52" s="38"/>
      <c r="E52" s="63"/>
      <c r="F52" s="39"/>
      <c r="G52" s="39"/>
      <c r="H52" s="41"/>
      <c r="I52" s="23"/>
      <c r="J52" s="24"/>
      <c r="K52" s="24"/>
      <c r="L52" s="24"/>
      <c r="M52" s="25"/>
      <c r="O52" s="81"/>
      <c r="P52" s="81"/>
      <c r="Q52" s="81"/>
      <c r="R52" s="81"/>
      <c r="S52" s="81"/>
      <c r="T52" s="81"/>
      <c r="U52" s="81"/>
      <c r="V52" s="81"/>
      <c r="W52" s="81"/>
      <c r="X52" s="81"/>
      <c r="Y52" s="81"/>
      <c r="Z52" s="81"/>
      <c r="AA52" s="81"/>
      <c r="AB52" s="81"/>
      <c r="AC52" s="81"/>
      <c r="AD52" s="81"/>
      <c r="AE52" s="81"/>
      <c r="AF52" s="81"/>
      <c r="AG52" s="81"/>
      <c r="AH52" s="81"/>
      <c r="AI52" s="81"/>
      <c r="AJ52" s="81"/>
      <c r="AK52" s="81"/>
      <c r="AL52" s="81"/>
      <c r="AM52" s="81"/>
      <c r="AN52" s="81"/>
      <c r="AO52" s="81"/>
      <c r="AP52" s="81"/>
    </row>
    <row r="53" spans="1:42" s="26" customFormat="1" ht="10.5" thickBot="1">
      <c r="A53" s="64"/>
      <c r="B53" s="65"/>
      <c r="C53" s="45"/>
      <c r="D53" s="46"/>
      <c r="E53" s="47"/>
      <c r="F53" s="48"/>
      <c r="G53" s="45"/>
      <c r="H53" s="41"/>
      <c r="I53" s="23"/>
      <c r="J53" s="24"/>
      <c r="K53" s="24"/>
      <c r="L53" s="24"/>
      <c r="M53" s="25"/>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81"/>
    </row>
    <row r="54" spans="1:42" s="26" customFormat="1" ht="11" thickBot="1">
      <c r="A54" s="22"/>
      <c r="B54" s="22"/>
      <c r="C54" s="22"/>
      <c r="D54" s="22"/>
      <c r="E54" s="22"/>
      <c r="F54" s="22"/>
      <c r="G54" s="50" t="s">
        <v>40</v>
      </c>
      <c r="H54" s="51">
        <f>SUM(G51:G53)</f>
        <v>0</v>
      </c>
      <c r="I54" s="23"/>
      <c r="J54" s="24"/>
      <c r="K54" s="24"/>
      <c r="L54" s="24"/>
      <c r="M54" s="25"/>
      <c r="O54" s="81"/>
      <c r="P54" s="81"/>
      <c r="Q54" s="81"/>
      <c r="R54" s="81"/>
      <c r="S54" s="81"/>
      <c r="T54" s="81"/>
      <c r="U54" s="81"/>
      <c r="V54" s="81"/>
      <c r="W54" s="81"/>
      <c r="X54" s="81"/>
      <c r="Y54" s="81"/>
      <c r="Z54" s="81"/>
      <c r="AA54" s="81"/>
      <c r="AB54" s="81"/>
      <c r="AC54" s="81"/>
      <c r="AD54" s="81"/>
      <c r="AE54" s="81"/>
      <c r="AF54" s="81"/>
      <c r="AG54" s="81"/>
      <c r="AH54" s="81"/>
      <c r="AI54" s="81"/>
      <c r="AJ54" s="81"/>
      <c r="AK54" s="81"/>
      <c r="AL54" s="81"/>
      <c r="AM54" s="81"/>
      <c r="AN54" s="81"/>
      <c r="AO54" s="81"/>
      <c r="AP54" s="81"/>
    </row>
    <row r="55" spans="1:42" s="26" customFormat="1" ht="11" thickBot="1">
      <c r="A55" s="52" t="s">
        <v>46</v>
      </c>
      <c r="B55" s="52"/>
      <c r="C55" s="22"/>
      <c r="D55" s="22"/>
      <c r="E55" s="22"/>
      <c r="F55" s="22"/>
      <c r="G55" s="22"/>
      <c r="H55" s="22"/>
      <c r="I55" s="23"/>
      <c r="J55" s="24"/>
      <c r="K55" s="24"/>
      <c r="L55" s="24"/>
      <c r="M55" s="25"/>
      <c r="O55" s="81"/>
      <c r="P55" s="81"/>
      <c r="Q55" s="81"/>
      <c r="R55" s="81"/>
      <c r="S55" s="81"/>
      <c r="T55" s="81"/>
      <c r="U55" s="81"/>
      <c r="V55" s="81"/>
      <c r="W55" s="81"/>
      <c r="X55" s="81"/>
      <c r="Y55" s="81"/>
      <c r="Z55" s="81"/>
      <c r="AA55" s="81"/>
      <c r="AB55" s="81"/>
      <c r="AC55" s="81"/>
      <c r="AD55" s="81"/>
      <c r="AE55" s="81"/>
      <c r="AF55" s="81"/>
      <c r="AG55" s="81"/>
      <c r="AH55" s="81"/>
      <c r="AI55" s="81"/>
      <c r="AJ55" s="81"/>
      <c r="AK55" s="81"/>
      <c r="AL55" s="81"/>
      <c r="AM55" s="81"/>
      <c r="AN55" s="81"/>
      <c r="AO55" s="81"/>
      <c r="AP55" s="81"/>
    </row>
    <row r="56" spans="1:42" s="26" customFormat="1" ht="10.5" thickBot="1">
      <c r="A56" s="794" t="s">
        <v>32</v>
      </c>
      <c r="B56" s="795"/>
      <c r="C56" s="796"/>
      <c r="D56" s="34" t="s">
        <v>33</v>
      </c>
      <c r="E56" s="35" t="s">
        <v>34</v>
      </c>
      <c r="F56" s="34" t="s">
        <v>35</v>
      </c>
      <c r="G56" s="57" t="s">
        <v>36</v>
      </c>
      <c r="H56" s="37"/>
      <c r="I56" s="23"/>
      <c r="J56" s="24"/>
      <c r="K56" s="24"/>
      <c r="L56" s="24"/>
      <c r="M56" s="25"/>
      <c r="O56" s="81"/>
      <c r="P56" s="81"/>
      <c r="Q56" s="81"/>
      <c r="R56" s="81"/>
      <c r="S56" s="81"/>
      <c r="T56" s="81"/>
      <c r="U56" s="81"/>
      <c r="V56" s="81"/>
      <c r="W56" s="81"/>
      <c r="X56" s="81"/>
      <c r="Y56" s="81"/>
      <c r="Z56" s="81"/>
      <c r="AA56" s="81"/>
      <c r="AB56" s="81"/>
      <c r="AC56" s="81"/>
      <c r="AD56" s="81"/>
      <c r="AE56" s="81"/>
      <c r="AF56" s="81"/>
      <c r="AG56" s="81"/>
      <c r="AH56" s="81"/>
      <c r="AI56" s="81"/>
      <c r="AJ56" s="81"/>
      <c r="AK56" s="81"/>
      <c r="AL56" s="81"/>
      <c r="AM56" s="81"/>
      <c r="AN56" s="81"/>
      <c r="AO56" s="81"/>
      <c r="AP56" s="81"/>
    </row>
    <row r="57" spans="1:42" s="26" customFormat="1">
      <c r="A57" s="794" t="s">
        <v>353</v>
      </c>
      <c r="B57" s="795"/>
      <c r="C57" s="796"/>
      <c r="D57" s="66" t="s">
        <v>24</v>
      </c>
      <c r="E57" s="479">
        <f>+'[3]ANÁLISIS MANO DE OBRA'!$F$46</f>
        <v>261382</v>
      </c>
      <c r="F57" s="59">
        <v>15</v>
      </c>
      <c r="G57" s="433">
        <f>E57/F57</f>
        <v>17425.466666666667</v>
      </c>
      <c r="H57" s="41"/>
      <c r="I57" s="23"/>
      <c r="J57" s="24"/>
      <c r="K57" s="24"/>
      <c r="L57" s="24"/>
      <c r="M57" s="25"/>
      <c r="O57" s="81"/>
      <c r="P57" s="81"/>
      <c r="Q57" s="81"/>
      <c r="R57" s="81"/>
      <c r="S57" s="81"/>
      <c r="T57" s="81"/>
      <c r="U57" s="81"/>
      <c r="V57" s="81"/>
      <c r="W57" s="81"/>
      <c r="X57" s="81"/>
      <c r="Y57" s="81"/>
      <c r="Z57" s="81"/>
      <c r="AA57" s="81"/>
      <c r="AB57" s="81"/>
      <c r="AC57" s="81"/>
      <c r="AD57" s="81"/>
      <c r="AE57" s="81"/>
      <c r="AF57" s="81"/>
      <c r="AG57" s="81"/>
      <c r="AH57" s="81"/>
      <c r="AI57" s="81"/>
      <c r="AJ57" s="81"/>
      <c r="AK57" s="81"/>
      <c r="AL57" s="81"/>
      <c r="AM57" s="81"/>
      <c r="AN57" s="81"/>
      <c r="AO57" s="81"/>
      <c r="AP57" s="81"/>
    </row>
    <row r="58" spans="1:42" s="26" customFormat="1" ht="10.5" thickBot="1">
      <c r="A58" s="790"/>
      <c r="B58" s="791"/>
      <c r="C58" s="792"/>
      <c r="D58" s="67"/>
      <c r="E58" s="47"/>
      <c r="F58" s="68"/>
      <c r="G58" s="69"/>
      <c r="H58" s="41"/>
      <c r="I58" s="23"/>
      <c r="J58" s="24"/>
      <c r="K58" s="24"/>
      <c r="L58" s="24"/>
      <c r="M58" s="25"/>
      <c r="O58" s="81"/>
      <c r="P58" s="81"/>
      <c r="Q58" s="81"/>
      <c r="R58" s="81"/>
      <c r="S58" s="81"/>
      <c r="T58" s="81"/>
      <c r="U58" s="81"/>
      <c r="V58" s="81"/>
      <c r="W58" s="81"/>
      <c r="X58" s="81"/>
      <c r="Y58" s="81"/>
      <c r="Z58" s="81"/>
      <c r="AA58" s="81"/>
      <c r="AB58" s="81"/>
      <c r="AC58" s="81"/>
      <c r="AD58" s="81"/>
      <c r="AE58" s="81"/>
      <c r="AF58" s="81"/>
      <c r="AG58" s="81"/>
      <c r="AH58" s="81"/>
      <c r="AI58" s="81"/>
      <c r="AJ58" s="81"/>
      <c r="AK58" s="81"/>
      <c r="AL58" s="81"/>
      <c r="AM58" s="81"/>
      <c r="AN58" s="81"/>
      <c r="AO58" s="81"/>
      <c r="AP58" s="81"/>
    </row>
    <row r="59" spans="1:42" s="26" customFormat="1" ht="11" thickBot="1">
      <c r="A59" s="22"/>
      <c r="B59" s="22"/>
      <c r="C59" s="22"/>
      <c r="D59" s="22"/>
      <c r="E59" s="22"/>
      <c r="F59" s="22"/>
      <c r="G59" s="50" t="s">
        <v>40</v>
      </c>
      <c r="H59" s="51">
        <f>SUM(G57:G58)</f>
        <v>17425.466666666667</v>
      </c>
      <c r="I59" s="23"/>
      <c r="J59" s="24"/>
      <c r="K59" s="70">
        <f>H59</f>
        <v>17425.466666666667</v>
      </c>
      <c r="L59" s="24">
        <v>0.9</v>
      </c>
      <c r="M59" s="25">
        <f>K59*L59</f>
        <v>15682.92</v>
      </c>
      <c r="O59" s="81"/>
      <c r="P59" s="81"/>
      <c r="Q59" s="81"/>
      <c r="R59" s="81"/>
      <c r="S59" s="81"/>
      <c r="T59" s="81"/>
      <c r="U59" s="81"/>
      <c r="V59" s="81"/>
      <c r="W59" s="81"/>
      <c r="X59" s="81"/>
      <c r="Y59" s="81"/>
      <c r="Z59" s="81"/>
      <c r="AA59" s="81"/>
      <c r="AB59" s="81"/>
      <c r="AC59" s="81"/>
      <c r="AD59" s="81"/>
      <c r="AE59" s="81"/>
      <c r="AF59" s="81"/>
      <c r="AG59" s="81"/>
      <c r="AH59" s="81"/>
      <c r="AI59" s="81"/>
      <c r="AJ59" s="81"/>
      <c r="AK59" s="81"/>
      <c r="AL59" s="81"/>
      <c r="AM59" s="81"/>
      <c r="AN59" s="81"/>
      <c r="AO59" s="81"/>
      <c r="AP59" s="81"/>
    </row>
    <row r="60" spans="1:42" s="26" customFormat="1" ht="10.5" thickBot="1">
      <c r="A60" s="22"/>
      <c r="B60" s="22"/>
      <c r="C60" s="22"/>
      <c r="D60" s="22"/>
      <c r="E60" s="22"/>
      <c r="F60" s="22"/>
      <c r="G60" s="71"/>
      <c r="H60" s="22"/>
      <c r="I60" s="23"/>
      <c r="J60" s="24"/>
      <c r="K60" s="24"/>
      <c r="L60" s="24"/>
      <c r="M60" s="25"/>
      <c r="O60" s="81"/>
      <c r="P60" s="81"/>
      <c r="Q60" s="81"/>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81"/>
    </row>
    <row r="61" spans="1:42" s="26" customFormat="1" ht="11" thickBot="1">
      <c r="A61" s="22"/>
      <c r="B61" s="22"/>
      <c r="C61" s="22"/>
      <c r="D61" s="22"/>
      <c r="E61" s="72" t="s">
        <v>48</v>
      </c>
      <c r="F61" s="73"/>
      <c r="G61" s="73"/>
      <c r="H61" s="127">
        <f>ROUND(H41+H54+H59,0)</f>
        <v>21045</v>
      </c>
      <c r="I61" s="23"/>
      <c r="J61" s="24"/>
      <c r="K61" s="24"/>
      <c r="L61" s="24"/>
      <c r="M61" s="25"/>
      <c r="O61" s="81"/>
      <c r="P61" s="81"/>
      <c r="Q61" s="81"/>
      <c r="R61" s="81"/>
      <c r="S61" s="81"/>
      <c r="T61" s="81"/>
      <c r="U61" s="81"/>
      <c r="V61" s="81"/>
      <c r="W61" s="81"/>
      <c r="X61" s="81"/>
      <c r="Y61" s="81"/>
      <c r="Z61" s="81"/>
      <c r="AA61" s="81"/>
      <c r="AB61" s="81"/>
      <c r="AC61" s="81"/>
      <c r="AD61" s="81"/>
      <c r="AE61" s="81"/>
      <c r="AF61" s="81"/>
      <c r="AG61" s="81"/>
      <c r="AH61" s="81"/>
      <c r="AI61" s="81"/>
      <c r="AJ61" s="81"/>
      <c r="AK61" s="81"/>
      <c r="AL61" s="81"/>
      <c r="AM61" s="81"/>
      <c r="AN61" s="81"/>
      <c r="AO61" s="81"/>
      <c r="AP61" s="81"/>
    </row>
    <row r="62" spans="1:42" s="26" customFormat="1" ht="37.5" customHeight="1">
      <c r="A62" s="28" t="s">
        <v>26</v>
      </c>
      <c r="B62" s="793" t="s">
        <v>27</v>
      </c>
      <c r="C62" s="793"/>
      <c r="D62" s="793"/>
      <c r="E62" s="793"/>
      <c r="F62" s="793"/>
      <c r="G62" s="29"/>
      <c r="H62" s="30"/>
      <c r="I62" s="23"/>
      <c r="J62" s="24"/>
      <c r="K62" s="24"/>
      <c r="L62" s="24"/>
      <c r="M62" s="429"/>
    </row>
    <row r="63" spans="1:42" s="26" customFormat="1" ht="27" customHeight="1">
      <c r="A63" s="31" t="s">
        <v>28</v>
      </c>
      <c r="B63" s="793" t="str">
        <f>'[4]PRESUPUESTO ESTUFA FIJA'!B10</f>
        <v>Mampostería ladrillo tipo bocadillo, macizo liviano de  6x12x24 cm</v>
      </c>
      <c r="C63" s="793"/>
      <c r="D63" s="793"/>
      <c r="E63" s="793"/>
      <c r="F63" s="793"/>
      <c r="G63" s="29" t="s">
        <v>29</v>
      </c>
      <c r="H63" s="74" t="s">
        <v>99</v>
      </c>
      <c r="I63" s="23"/>
      <c r="J63" s="24"/>
      <c r="K63" s="24"/>
      <c r="L63" s="24"/>
      <c r="M63" s="429"/>
    </row>
    <row r="64" spans="1:42" s="26" customFormat="1" ht="10.5">
      <c r="A64" s="29"/>
      <c r="B64" s="29"/>
      <c r="C64" s="32"/>
      <c r="D64" s="29"/>
      <c r="E64" s="29"/>
      <c r="F64" s="29"/>
      <c r="G64" s="29" t="s">
        <v>30</v>
      </c>
      <c r="H64" s="30" t="s">
        <v>190</v>
      </c>
      <c r="I64" s="23"/>
      <c r="J64" s="24"/>
      <c r="K64" s="24"/>
      <c r="L64" s="24"/>
      <c r="M64" s="429"/>
    </row>
    <row r="65" spans="1:13" s="26" customFormat="1" ht="11" thickBot="1">
      <c r="A65" s="33" t="s">
        <v>31</v>
      </c>
      <c r="B65" s="33"/>
      <c r="C65" s="22"/>
      <c r="D65" s="22"/>
      <c r="E65" s="22"/>
      <c r="F65" s="22"/>
      <c r="G65" s="22"/>
      <c r="H65" s="22"/>
      <c r="I65" s="23"/>
      <c r="J65" s="24"/>
      <c r="K65" s="24"/>
      <c r="L65" s="24"/>
      <c r="M65" s="429"/>
    </row>
    <row r="66" spans="1:13" s="26" customFormat="1">
      <c r="A66" s="794" t="s">
        <v>32</v>
      </c>
      <c r="B66" s="795"/>
      <c r="C66" s="796"/>
      <c r="D66" s="34" t="s">
        <v>33</v>
      </c>
      <c r="E66" s="35" t="s">
        <v>34</v>
      </c>
      <c r="F66" s="34" t="s">
        <v>35</v>
      </c>
      <c r="G66" s="36" t="s">
        <v>36</v>
      </c>
      <c r="H66" s="37"/>
      <c r="I66" s="23"/>
      <c r="J66" s="24"/>
      <c r="K66" s="24"/>
      <c r="L66" s="24"/>
      <c r="M66" s="429"/>
    </row>
    <row r="67" spans="1:13" s="26" customFormat="1">
      <c r="A67" s="797" t="s">
        <v>37</v>
      </c>
      <c r="B67" s="803"/>
      <c r="C67" s="804"/>
      <c r="D67" s="430" t="s">
        <v>38</v>
      </c>
      <c r="E67" s="431">
        <f>H90</f>
        <v>69816.9375</v>
      </c>
      <c r="F67" s="431">
        <v>0.1</v>
      </c>
      <c r="G67" s="75">
        <f>+E67*F67</f>
        <v>6981.6937500000004</v>
      </c>
      <c r="H67" s="41"/>
      <c r="I67" s="23"/>
      <c r="J67" s="24"/>
      <c r="K67" s="24"/>
      <c r="L67" s="24"/>
      <c r="M67" s="429"/>
    </row>
    <row r="68" spans="1:13" s="26" customFormat="1">
      <c r="A68" s="797"/>
      <c r="B68" s="803"/>
      <c r="C68" s="804"/>
      <c r="D68" s="434"/>
      <c r="E68" s="435"/>
      <c r="F68" s="443"/>
      <c r="G68" s="433"/>
      <c r="H68" s="41"/>
      <c r="I68" s="23"/>
      <c r="J68" s="24"/>
      <c r="K68" s="24"/>
      <c r="L68" s="24"/>
      <c r="M68" s="429"/>
    </row>
    <row r="69" spans="1:13" s="26" customFormat="1">
      <c r="A69" s="797"/>
      <c r="B69" s="803"/>
      <c r="C69" s="804"/>
      <c r="D69" s="434"/>
      <c r="E69" s="436"/>
      <c r="F69" s="431"/>
      <c r="G69" s="433"/>
      <c r="H69" s="41"/>
      <c r="I69" s="23"/>
      <c r="J69" s="24"/>
      <c r="K69" s="24"/>
      <c r="L69" s="24"/>
      <c r="M69" s="429"/>
    </row>
    <row r="70" spans="1:13" s="26" customFormat="1">
      <c r="A70" s="797"/>
      <c r="B70" s="803"/>
      <c r="C70" s="804"/>
      <c r="D70" s="434"/>
      <c r="E70" s="436"/>
      <c r="F70" s="431"/>
      <c r="G70" s="433"/>
      <c r="H70" s="41"/>
      <c r="I70" s="23"/>
      <c r="J70" s="24"/>
      <c r="K70" s="24"/>
      <c r="L70" s="24"/>
      <c r="M70" s="429"/>
    </row>
    <row r="71" spans="1:13" s="26" customFormat="1" ht="10.5" thickBot="1">
      <c r="A71" s="790"/>
      <c r="B71" s="791"/>
      <c r="C71" s="792"/>
      <c r="D71" s="45"/>
      <c r="E71" s="46"/>
      <c r="F71" s="47"/>
      <c r="G71" s="48"/>
      <c r="H71" s="49"/>
      <c r="I71" s="23"/>
      <c r="J71" s="24"/>
      <c r="K71" s="24"/>
      <c r="L71" s="24"/>
      <c r="M71" s="429"/>
    </row>
    <row r="72" spans="1:13" s="26" customFormat="1" ht="11" thickBot="1">
      <c r="A72" s="22"/>
      <c r="B72" s="22"/>
      <c r="C72" s="22"/>
      <c r="D72" s="22"/>
      <c r="E72" s="22"/>
      <c r="F72" s="22"/>
      <c r="G72" s="50" t="s">
        <v>40</v>
      </c>
      <c r="H72" s="51">
        <f>+G67</f>
        <v>6981.6937500000004</v>
      </c>
      <c r="I72" s="23"/>
      <c r="J72" s="24"/>
      <c r="K72" s="24"/>
      <c r="L72" s="24"/>
      <c r="M72" s="429"/>
    </row>
    <row r="73" spans="1:13" s="26" customFormat="1" ht="11" thickBot="1">
      <c r="A73" s="33" t="s">
        <v>49</v>
      </c>
      <c r="B73" s="33"/>
      <c r="C73" s="22"/>
      <c r="D73" s="22"/>
      <c r="E73" s="22"/>
      <c r="F73" s="22"/>
      <c r="G73" s="22"/>
      <c r="H73" s="22"/>
      <c r="I73" s="23"/>
      <c r="J73" s="24"/>
      <c r="K73" s="24"/>
      <c r="L73" s="24"/>
      <c r="M73" s="429"/>
    </row>
    <row r="74" spans="1:13" s="26" customFormat="1">
      <c r="A74" s="794" t="s">
        <v>32</v>
      </c>
      <c r="B74" s="795"/>
      <c r="C74" s="796"/>
      <c r="D74" s="34" t="s">
        <v>33</v>
      </c>
      <c r="E74" s="34" t="s">
        <v>50</v>
      </c>
      <c r="F74" s="34" t="s">
        <v>51</v>
      </c>
      <c r="G74" s="36" t="s">
        <v>36</v>
      </c>
      <c r="H74" s="37"/>
      <c r="I74" s="23"/>
      <c r="J74" s="24"/>
      <c r="K74" s="24"/>
      <c r="L74" s="24"/>
      <c r="M74" s="429"/>
    </row>
    <row r="75" spans="1:13" s="26" customFormat="1">
      <c r="A75" s="797" t="str">
        <f>+'PRESUPUESTO ESTUFA'!C18</f>
        <v>Suministro e instalación de ladrillo tipo bocadillo, Liviano de  5x10x20 cm</v>
      </c>
      <c r="B75" s="803"/>
      <c r="C75" s="804"/>
      <c r="D75" s="430" t="s">
        <v>52</v>
      </c>
      <c r="E75" s="446">
        <v>2128</v>
      </c>
      <c r="F75" s="431">
        <f>65*1.05</f>
        <v>68.25</v>
      </c>
      <c r="G75" s="433">
        <f>+E75*F75</f>
        <v>145236</v>
      </c>
      <c r="H75" s="41"/>
      <c r="I75" s="23"/>
      <c r="J75" s="24"/>
      <c r="K75" s="24"/>
      <c r="L75" s="24"/>
      <c r="M75" s="429"/>
    </row>
    <row r="76" spans="1:13" s="26" customFormat="1" ht="10.75" customHeight="1">
      <c r="A76" s="797" t="s">
        <v>331</v>
      </c>
      <c r="B76" s="803"/>
      <c r="C76" s="804"/>
      <c r="D76" s="430" t="s">
        <v>279</v>
      </c>
      <c r="E76" s="333">
        <v>520639</v>
      </c>
      <c r="F76" s="448">
        <f>0.022*1.05</f>
        <v>2.3099999999999999E-2</v>
      </c>
      <c r="G76" s="433">
        <f>+E76*F76</f>
        <v>12026.760899999999</v>
      </c>
      <c r="H76" s="41"/>
      <c r="I76" s="23" t="s">
        <v>53</v>
      </c>
      <c r="J76" s="24"/>
      <c r="K76" s="24"/>
      <c r="L76" s="24"/>
      <c r="M76" s="429"/>
    </row>
    <row r="77" spans="1:13" s="26" customFormat="1" ht="10.75" customHeight="1">
      <c r="A77" s="797" t="s">
        <v>332</v>
      </c>
      <c r="B77" s="803"/>
      <c r="C77" s="804"/>
      <c r="D77" s="430" t="s">
        <v>2</v>
      </c>
      <c r="E77" s="446">
        <f>2400</f>
        <v>2400</v>
      </c>
      <c r="F77" s="448">
        <f>2*F76</f>
        <v>4.6199999999999998E-2</v>
      </c>
      <c r="G77" s="433">
        <f>+E77*F77</f>
        <v>110.88</v>
      </c>
      <c r="H77" s="41"/>
      <c r="I77" s="23"/>
      <c r="J77" s="24"/>
      <c r="K77" s="24"/>
      <c r="L77" s="24"/>
      <c r="M77" s="429"/>
    </row>
    <row r="78" spans="1:13" s="26" customFormat="1" ht="10.5" thickBot="1">
      <c r="A78" s="800"/>
      <c r="B78" s="801"/>
      <c r="C78" s="802"/>
      <c r="D78" s="45"/>
      <c r="E78" s="46"/>
      <c r="F78" s="47"/>
      <c r="G78" s="48"/>
      <c r="H78" s="49"/>
      <c r="I78" s="23"/>
      <c r="J78" s="24"/>
      <c r="K78" s="24"/>
      <c r="L78" s="24"/>
      <c r="M78" s="429"/>
    </row>
    <row r="79" spans="1:13" s="26" customFormat="1" ht="11" thickBot="1">
      <c r="A79" s="22"/>
      <c r="B79" s="22"/>
      <c r="C79" s="22"/>
      <c r="D79" s="22"/>
      <c r="E79" s="22"/>
      <c r="F79" s="22"/>
      <c r="G79" s="50" t="s">
        <v>40</v>
      </c>
      <c r="H79" s="51">
        <f>SUM(G75:G77)</f>
        <v>157373.6409</v>
      </c>
      <c r="I79" s="23"/>
      <c r="J79" s="24"/>
      <c r="K79" s="24"/>
      <c r="L79" s="24"/>
      <c r="M79" s="429"/>
    </row>
    <row r="80" spans="1:13" s="26" customFormat="1" ht="11" thickBot="1">
      <c r="A80" s="437" t="s">
        <v>41</v>
      </c>
      <c r="B80" s="437"/>
      <c r="C80" s="438"/>
      <c r="D80" s="22"/>
      <c r="E80" s="22"/>
      <c r="F80" s="22"/>
      <c r="G80" s="22"/>
      <c r="H80" s="22"/>
      <c r="I80" s="23"/>
      <c r="J80" s="24"/>
      <c r="K80" s="24"/>
      <c r="L80" s="24"/>
      <c r="M80" s="429"/>
    </row>
    <row r="81" spans="1:13" s="26" customFormat="1">
      <c r="A81" s="54"/>
      <c r="B81" s="55"/>
      <c r="C81" s="56" t="s">
        <v>54</v>
      </c>
      <c r="D81" s="34" t="s">
        <v>43</v>
      </c>
      <c r="E81" s="34" t="s">
        <v>44</v>
      </c>
      <c r="F81" s="34" t="s">
        <v>45</v>
      </c>
      <c r="G81" s="57" t="s">
        <v>36</v>
      </c>
      <c r="H81" s="37"/>
      <c r="I81" s="23"/>
      <c r="J81" s="24"/>
      <c r="K81" s="24"/>
      <c r="L81" s="24"/>
      <c r="M81" s="429"/>
    </row>
    <row r="82" spans="1:13" s="26" customFormat="1">
      <c r="A82" s="58"/>
      <c r="B82" s="439"/>
      <c r="C82" s="440"/>
      <c r="D82" s="440"/>
      <c r="E82" s="440"/>
      <c r="F82" s="441"/>
      <c r="G82" s="431"/>
      <c r="H82" s="41"/>
      <c r="I82" s="23"/>
      <c r="J82" s="24"/>
      <c r="K82" s="24"/>
      <c r="L82" s="24"/>
      <c r="M82" s="429"/>
    </row>
    <row r="83" spans="1:13" s="26" customFormat="1">
      <c r="A83" s="58"/>
      <c r="B83" s="439"/>
      <c r="C83" s="442"/>
      <c r="D83" s="430"/>
      <c r="E83" s="443"/>
      <c r="F83" s="431"/>
      <c r="G83" s="431"/>
      <c r="H83" s="41"/>
      <c r="I83" s="23"/>
      <c r="J83" s="24"/>
      <c r="K83" s="24"/>
      <c r="L83" s="24"/>
      <c r="M83" s="429"/>
    </row>
    <row r="84" spans="1:13" s="26" customFormat="1" ht="10.5" thickBot="1">
      <c r="A84" s="64"/>
      <c r="B84" s="65"/>
      <c r="C84" s="45"/>
      <c r="D84" s="46"/>
      <c r="E84" s="47"/>
      <c r="F84" s="48"/>
      <c r="G84" s="45"/>
      <c r="H84" s="41"/>
      <c r="I84" s="23"/>
      <c r="J84" s="24"/>
      <c r="K84" s="24"/>
      <c r="L84" s="24"/>
      <c r="M84" s="429"/>
    </row>
    <row r="85" spans="1:13" s="26" customFormat="1" ht="11" thickBot="1">
      <c r="A85" s="22"/>
      <c r="B85" s="22"/>
      <c r="C85" s="22"/>
      <c r="D85" s="22"/>
      <c r="E85" s="22"/>
      <c r="F85" s="22"/>
      <c r="G85" s="50" t="s">
        <v>40</v>
      </c>
      <c r="H85" s="51">
        <f>SUM(G82:G84)</f>
        <v>0</v>
      </c>
      <c r="I85" s="23"/>
      <c r="J85" s="24"/>
      <c r="K85" s="24"/>
      <c r="L85" s="24"/>
      <c r="M85" s="429"/>
    </row>
    <row r="86" spans="1:13" s="26" customFormat="1" ht="11" thickBot="1">
      <c r="A86" s="437" t="s">
        <v>46</v>
      </c>
      <c r="B86" s="437"/>
      <c r="C86" s="22"/>
      <c r="D86" s="22"/>
      <c r="E86" s="22"/>
      <c r="F86" s="22"/>
      <c r="G86" s="22"/>
      <c r="H86" s="22"/>
      <c r="I86" s="23"/>
      <c r="J86" s="24"/>
      <c r="K86" s="24"/>
      <c r="L86" s="24"/>
      <c r="M86" s="429"/>
    </row>
    <row r="87" spans="1:13" s="26" customFormat="1">
      <c r="A87" s="794" t="s">
        <v>32</v>
      </c>
      <c r="B87" s="795"/>
      <c r="C87" s="796"/>
      <c r="D87" s="34" t="s">
        <v>33</v>
      </c>
      <c r="E87" s="35" t="s">
        <v>34</v>
      </c>
      <c r="F87" s="34" t="s">
        <v>35</v>
      </c>
      <c r="G87" s="36" t="s">
        <v>36</v>
      </c>
      <c r="H87" s="37"/>
      <c r="I87" s="23"/>
      <c r="J87" s="24"/>
      <c r="K87" s="24"/>
      <c r="L87" s="24"/>
      <c r="M87" s="429"/>
    </row>
    <row r="88" spans="1:13" s="26" customFormat="1">
      <c r="A88" s="797" t="s">
        <v>333</v>
      </c>
      <c r="B88" s="803"/>
      <c r="C88" s="804"/>
      <c r="D88" s="444" t="s">
        <v>330</v>
      </c>
      <c r="E88" s="75">
        <f>+(('[3]ANÁLISIS MANO DE OBRA'!$F$35*2)+('[3]ANÁLISIS MANO DE OBRA'!$F$33))/8</f>
        <v>46544.625</v>
      </c>
      <c r="F88" s="448">
        <f>1/1.5</f>
        <v>0.66666666666666663</v>
      </c>
      <c r="G88" s="433">
        <f>E88/F88</f>
        <v>69816.9375</v>
      </c>
      <c r="H88" s="41"/>
      <c r="I88" s="23"/>
      <c r="J88" s="24"/>
      <c r="K88" s="24"/>
      <c r="L88" s="24"/>
      <c r="M88" s="429"/>
    </row>
    <row r="89" spans="1:13" s="26" customFormat="1" ht="10.5" thickBot="1">
      <c r="A89" s="790"/>
      <c r="B89" s="791"/>
      <c r="C89" s="792"/>
      <c r="D89" s="67"/>
      <c r="E89" s="47"/>
      <c r="F89" s="68"/>
      <c r="G89" s="48"/>
      <c r="H89" s="49"/>
      <c r="I89" s="23"/>
      <c r="J89" s="24"/>
      <c r="K89" s="24"/>
      <c r="L89" s="24"/>
      <c r="M89" s="429"/>
    </row>
    <row r="90" spans="1:13" s="26" customFormat="1" ht="11" thickBot="1">
      <c r="A90" s="22"/>
      <c r="B90" s="22"/>
      <c r="C90" s="22"/>
      <c r="D90" s="22"/>
      <c r="E90" s="22"/>
      <c r="F90" s="22"/>
      <c r="G90" s="50" t="s">
        <v>40</v>
      </c>
      <c r="H90" s="449">
        <f>SUM(G88:G89)</f>
        <v>69816.9375</v>
      </c>
      <c r="I90" s="23"/>
      <c r="J90" s="24"/>
      <c r="K90" s="70">
        <f>H90</f>
        <v>69816.9375</v>
      </c>
      <c r="L90" s="24">
        <v>1.51</v>
      </c>
      <c r="M90" s="429">
        <f>K90*L90</f>
        <v>105423.575625</v>
      </c>
    </row>
    <row r="91" spans="1:13" s="26" customFormat="1" ht="10.5" thickBot="1">
      <c r="A91" s="22"/>
      <c r="B91" s="22"/>
      <c r="C91" s="22"/>
      <c r="D91" s="22"/>
      <c r="E91" s="22"/>
      <c r="F91" s="22"/>
      <c r="G91" s="71"/>
      <c r="H91" s="22"/>
      <c r="I91" s="23"/>
      <c r="J91" s="24"/>
      <c r="K91" s="24"/>
      <c r="L91" s="24"/>
      <c r="M91" s="429"/>
    </row>
    <row r="92" spans="1:13" s="26" customFormat="1" ht="11" thickBot="1">
      <c r="A92" s="22"/>
      <c r="B92" s="22"/>
      <c r="C92" s="22"/>
      <c r="D92" s="22"/>
      <c r="E92" s="72" t="s">
        <v>48</v>
      </c>
      <c r="F92" s="73"/>
      <c r="G92" s="73"/>
      <c r="H92" s="51">
        <f>ROUND(H72+H79+H85+H90,0)</f>
        <v>234172</v>
      </c>
      <c r="I92" s="23"/>
      <c r="J92" s="24"/>
      <c r="K92" s="24"/>
      <c r="L92" s="24"/>
      <c r="M92" s="429"/>
    </row>
    <row r="94" spans="1:13" s="26" customFormat="1" ht="37.5" customHeight="1">
      <c r="A94" s="28" t="s">
        <v>26</v>
      </c>
      <c r="B94" s="793" t="s">
        <v>27</v>
      </c>
      <c r="C94" s="793"/>
      <c r="D94" s="793"/>
      <c r="E94" s="793"/>
      <c r="F94" s="793"/>
      <c r="G94" s="29"/>
      <c r="H94" s="30"/>
      <c r="I94" s="23"/>
      <c r="J94" s="24"/>
      <c r="K94" s="24"/>
      <c r="L94" s="24"/>
      <c r="M94" s="429"/>
    </row>
    <row r="95" spans="1:13" s="26" customFormat="1" ht="10.5">
      <c r="A95" s="31" t="s">
        <v>28</v>
      </c>
      <c r="B95" s="793" t="str">
        <f>'[4]PRESUPUESTO ESTUFA FIJA'!B11</f>
        <v>Mampostería ladrillo adobe macizo de 5x10x20 cm</v>
      </c>
      <c r="C95" s="793"/>
      <c r="D95" s="793"/>
      <c r="E95" s="793"/>
      <c r="F95" s="793"/>
      <c r="G95" s="29" t="s">
        <v>29</v>
      </c>
      <c r="H95" s="74" t="s">
        <v>101</v>
      </c>
      <c r="I95" s="23"/>
      <c r="J95" s="24"/>
      <c r="K95" s="24"/>
      <c r="L95" s="24"/>
      <c r="M95" s="429"/>
    </row>
    <row r="96" spans="1:13" s="26" customFormat="1" ht="10.5">
      <c r="A96" s="29"/>
      <c r="B96" s="29"/>
      <c r="C96" s="32"/>
      <c r="D96" s="29"/>
      <c r="E96" s="29"/>
      <c r="F96" s="29"/>
      <c r="G96" s="29" t="s">
        <v>30</v>
      </c>
      <c r="H96" s="30" t="s">
        <v>190</v>
      </c>
      <c r="I96" s="23"/>
      <c r="J96" s="24"/>
      <c r="K96" s="24"/>
      <c r="L96" s="24"/>
      <c r="M96" s="429"/>
    </row>
    <row r="97" spans="1:13" s="26" customFormat="1" ht="11" thickBot="1">
      <c r="A97" s="33" t="s">
        <v>31</v>
      </c>
      <c r="B97" s="33"/>
      <c r="C97" s="22"/>
      <c r="D97" s="22"/>
      <c r="E97" s="22"/>
      <c r="F97" s="22"/>
      <c r="G97" s="22"/>
      <c r="H97" s="22"/>
      <c r="I97" s="23"/>
      <c r="J97" s="24"/>
      <c r="K97" s="24"/>
      <c r="L97" s="24"/>
      <c r="M97" s="429"/>
    </row>
    <row r="98" spans="1:13" s="26" customFormat="1">
      <c r="A98" s="794" t="s">
        <v>32</v>
      </c>
      <c r="B98" s="795"/>
      <c r="C98" s="796"/>
      <c r="D98" s="34" t="s">
        <v>33</v>
      </c>
      <c r="E98" s="35" t="s">
        <v>34</v>
      </c>
      <c r="F98" s="34" t="s">
        <v>35</v>
      </c>
      <c r="G98" s="36" t="s">
        <v>36</v>
      </c>
      <c r="H98" s="37"/>
      <c r="I98" s="23"/>
      <c r="J98" s="24"/>
      <c r="K98" s="24"/>
      <c r="L98" s="24"/>
      <c r="M98" s="429"/>
    </row>
    <row r="99" spans="1:13" s="26" customFormat="1">
      <c r="A99" s="797" t="s">
        <v>37</v>
      </c>
      <c r="B99" s="803"/>
      <c r="C99" s="804"/>
      <c r="D99" s="430" t="s">
        <v>38</v>
      </c>
      <c r="E99" s="431">
        <f>H122</f>
        <v>69816.9375</v>
      </c>
      <c r="F99" s="431">
        <v>0.1</v>
      </c>
      <c r="G99" s="75">
        <f>+E99*F99</f>
        <v>6981.6937500000004</v>
      </c>
      <c r="H99" s="41"/>
      <c r="I99" s="23"/>
      <c r="J99" s="24"/>
      <c r="K99" s="24"/>
      <c r="L99" s="24"/>
      <c r="M99" s="429"/>
    </row>
    <row r="100" spans="1:13" s="26" customFormat="1">
      <c r="A100" s="797"/>
      <c r="B100" s="803"/>
      <c r="C100" s="804"/>
      <c r="D100" s="434"/>
      <c r="E100" s="435"/>
      <c r="F100" s="443"/>
      <c r="G100" s="433"/>
      <c r="H100" s="41"/>
      <c r="I100" s="23"/>
      <c r="J100" s="24"/>
      <c r="K100" s="24"/>
      <c r="L100" s="24"/>
      <c r="M100" s="429"/>
    </row>
    <row r="101" spans="1:13" s="26" customFormat="1">
      <c r="A101" s="797"/>
      <c r="B101" s="803"/>
      <c r="C101" s="804"/>
      <c r="D101" s="434"/>
      <c r="E101" s="436"/>
      <c r="F101" s="431"/>
      <c r="G101" s="433"/>
      <c r="H101" s="41"/>
      <c r="I101" s="23"/>
      <c r="J101" s="24"/>
      <c r="K101" s="24"/>
      <c r="L101" s="24"/>
      <c r="M101" s="429"/>
    </row>
    <row r="102" spans="1:13" s="26" customFormat="1">
      <c r="A102" s="797"/>
      <c r="B102" s="803"/>
      <c r="C102" s="804"/>
      <c r="D102" s="434"/>
      <c r="E102" s="436"/>
      <c r="F102" s="431"/>
      <c r="G102" s="433"/>
      <c r="H102" s="41"/>
      <c r="I102" s="23"/>
      <c r="J102" s="24"/>
      <c r="K102" s="24"/>
      <c r="L102" s="24"/>
      <c r="M102" s="429"/>
    </row>
    <row r="103" spans="1:13" s="26" customFormat="1" ht="10.5" thickBot="1">
      <c r="A103" s="790"/>
      <c r="B103" s="791"/>
      <c r="C103" s="792"/>
      <c r="D103" s="45"/>
      <c r="E103" s="46"/>
      <c r="F103" s="47"/>
      <c r="G103" s="48"/>
      <c r="H103" s="49"/>
      <c r="I103" s="23"/>
      <c r="J103" s="24"/>
      <c r="K103" s="24"/>
      <c r="L103" s="24"/>
      <c r="M103" s="429"/>
    </row>
    <row r="104" spans="1:13" s="26" customFormat="1" ht="11" thickBot="1">
      <c r="A104" s="22"/>
      <c r="B104" s="22"/>
      <c r="C104" s="22"/>
      <c r="D104" s="22"/>
      <c r="E104" s="22"/>
      <c r="F104" s="22"/>
      <c r="G104" s="50" t="s">
        <v>40</v>
      </c>
      <c r="H104" s="51">
        <f>+G99</f>
        <v>6981.6937500000004</v>
      </c>
      <c r="I104" s="23"/>
      <c r="J104" s="24"/>
      <c r="K104" s="24"/>
      <c r="L104" s="24"/>
      <c r="M104" s="429"/>
    </row>
    <row r="105" spans="1:13" s="26" customFormat="1" ht="11" thickBot="1">
      <c r="A105" s="33" t="s">
        <v>49</v>
      </c>
      <c r="B105" s="33"/>
      <c r="C105" s="22"/>
      <c r="D105" s="22"/>
      <c r="E105" s="22"/>
      <c r="F105" s="22"/>
      <c r="G105" s="22"/>
      <c r="H105" s="22"/>
      <c r="I105" s="23"/>
      <c r="J105" s="24"/>
      <c r="K105" s="24"/>
      <c r="L105" s="24"/>
      <c r="M105" s="429"/>
    </row>
    <row r="106" spans="1:13" s="26" customFormat="1">
      <c r="A106" s="794" t="s">
        <v>32</v>
      </c>
      <c r="B106" s="795"/>
      <c r="C106" s="796"/>
      <c r="D106" s="34" t="s">
        <v>33</v>
      </c>
      <c r="E106" s="34" t="s">
        <v>50</v>
      </c>
      <c r="F106" s="34" t="s">
        <v>51</v>
      </c>
      <c r="G106" s="36" t="s">
        <v>36</v>
      </c>
      <c r="H106" s="37"/>
      <c r="I106" s="23"/>
      <c r="J106" s="24"/>
      <c r="K106" s="24"/>
      <c r="L106" s="24"/>
      <c r="M106" s="429"/>
    </row>
    <row r="107" spans="1:13" s="26" customFormat="1">
      <c r="A107" s="797" t="s">
        <v>334</v>
      </c>
      <c r="B107" s="803"/>
      <c r="C107" s="804"/>
      <c r="D107" s="430" t="s">
        <v>52</v>
      </c>
      <c r="E107" s="446">
        <v>1600</v>
      </c>
      <c r="F107" s="431">
        <v>35</v>
      </c>
      <c r="G107" s="433">
        <f>+E107*F107</f>
        <v>56000</v>
      </c>
      <c r="H107" s="41"/>
      <c r="I107" s="23"/>
      <c r="J107" s="24"/>
      <c r="K107" s="24"/>
      <c r="L107" s="24"/>
      <c r="M107" s="429"/>
    </row>
    <row r="108" spans="1:13" s="26" customFormat="1">
      <c r="A108" s="797" t="s">
        <v>331</v>
      </c>
      <c r="B108" s="803"/>
      <c r="C108" s="804"/>
      <c r="D108" s="430" t="s">
        <v>279</v>
      </c>
      <c r="E108" s="447">
        <f>+E76</f>
        <v>520639</v>
      </c>
      <c r="F108" s="448">
        <f>0.022*1.05</f>
        <v>2.3099999999999999E-2</v>
      </c>
      <c r="G108" s="433">
        <f>+E108*F108</f>
        <v>12026.760899999999</v>
      </c>
      <c r="H108" s="41"/>
      <c r="I108" s="23"/>
      <c r="J108" s="24"/>
      <c r="K108" s="24"/>
      <c r="L108" s="24"/>
      <c r="M108" s="429"/>
    </row>
    <row r="109" spans="1:13" s="26" customFormat="1">
      <c r="A109" s="797"/>
      <c r="B109" s="803"/>
      <c r="C109" s="804"/>
      <c r="D109" s="430"/>
      <c r="E109" s="450"/>
      <c r="F109" s="448"/>
      <c r="G109" s="433"/>
      <c r="H109" s="41"/>
      <c r="I109" s="23"/>
      <c r="J109" s="24"/>
      <c r="K109" s="24"/>
      <c r="L109" s="24"/>
      <c r="M109" s="429"/>
    </row>
    <row r="110" spans="1:13" s="26" customFormat="1" ht="10.5" thickBot="1">
      <c r="A110" s="800"/>
      <c r="B110" s="801"/>
      <c r="C110" s="802"/>
      <c r="D110" s="45"/>
      <c r="E110" s="46"/>
      <c r="F110" s="47"/>
      <c r="G110" s="48"/>
      <c r="H110" s="49"/>
      <c r="I110" s="23"/>
      <c r="J110" s="24"/>
      <c r="K110" s="24"/>
      <c r="L110" s="24"/>
      <c r="M110" s="429"/>
    </row>
    <row r="111" spans="1:13" s="26" customFormat="1" ht="11" thickBot="1">
      <c r="A111" s="22"/>
      <c r="B111" s="22"/>
      <c r="C111" s="22"/>
      <c r="D111" s="22"/>
      <c r="E111" s="22"/>
      <c r="F111" s="22"/>
      <c r="G111" s="50" t="s">
        <v>40</v>
      </c>
      <c r="H111" s="51">
        <f>SUM(G107:G109)</f>
        <v>68026.760899999994</v>
      </c>
      <c r="I111" s="23"/>
      <c r="J111" s="24"/>
      <c r="K111" s="24"/>
      <c r="L111" s="24"/>
      <c r="M111" s="429"/>
    </row>
    <row r="112" spans="1:13" s="26" customFormat="1" ht="11" thickBot="1">
      <c r="A112" s="437" t="s">
        <v>41</v>
      </c>
      <c r="B112" s="437"/>
      <c r="C112" s="438"/>
      <c r="D112" s="22"/>
      <c r="E112" s="22"/>
      <c r="F112" s="22"/>
      <c r="G112" s="22"/>
      <c r="H112" s="22"/>
      <c r="I112" s="23"/>
      <c r="J112" s="24"/>
      <c r="K112" s="24"/>
      <c r="L112" s="24"/>
      <c r="M112" s="429"/>
    </row>
    <row r="113" spans="1:13" s="26" customFormat="1">
      <c r="A113" s="54"/>
      <c r="B113" s="55"/>
      <c r="C113" s="56" t="s">
        <v>54</v>
      </c>
      <c r="D113" s="34" t="s">
        <v>43</v>
      </c>
      <c r="E113" s="34" t="s">
        <v>44</v>
      </c>
      <c r="F113" s="34" t="s">
        <v>45</v>
      </c>
      <c r="G113" s="57" t="s">
        <v>36</v>
      </c>
      <c r="H113" s="37"/>
      <c r="I113" s="23"/>
      <c r="J113" s="24"/>
      <c r="K113" s="24"/>
      <c r="L113" s="24"/>
      <c r="M113" s="429"/>
    </row>
    <row r="114" spans="1:13" s="26" customFormat="1">
      <c r="A114" s="58"/>
      <c r="B114" s="439"/>
      <c r="C114" s="440"/>
      <c r="D114" s="440"/>
      <c r="E114" s="440"/>
      <c r="F114" s="441"/>
      <c r="G114" s="431"/>
      <c r="H114" s="41"/>
      <c r="I114" s="23"/>
      <c r="J114" s="24"/>
      <c r="K114" s="24"/>
      <c r="L114" s="24"/>
      <c r="M114" s="429"/>
    </row>
    <row r="115" spans="1:13" s="26" customFormat="1">
      <c r="A115" s="58"/>
      <c r="B115" s="439"/>
      <c r="C115" s="442"/>
      <c r="D115" s="430"/>
      <c r="E115" s="443"/>
      <c r="F115" s="431"/>
      <c r="G115" s="431"/>
      <c r="H115" s="41"/>
      <c r="I115" s="23"/>
      <c r="J115" s="24"/>
      <c r="K115" s="24"/>
      <c r="L115" s="24"/>
      <c r="M115" s="429"/>
    </row>
    <row r="116" spans="1:13" s="26" customFormat="1" ht="10.5" thickBot="1">
      <c r="A116" s="64"/>
      <c r="B116" s="65"/>
      <c r="C116" s="45"/>
      <c r="D116" s="46"/>
      <c r="E116" s="47"/>
      <c r="F116" s="48"/>
      <c r="G116" s="45"/>
      <c r="H116" s="41"/>
      <c r="I116" s="23"/>
      <c r="J116" s="24"/>
      <c r="K116" s="24"/>
      <c r="L116" s="24"/>
      <c r="M116" s="429"/>
    </row>
    <row r="117" spans="1:13" s="26" customFormat="1" ht="11" thickBot="1">
      <c r="A117" s="22"/>
      <c r="B117" s="22"/>
      <c r="C117" s="22"/>
      <c r="D117" s="22"/>
      <c r="E117" s="22"/>
      <c r="F117" s="22"/>
      <c r="G117" s="50" t="s">
        <v>40</v>
      </c>
      <c r="H117" s="51">
        <f>SUM(G114:G116)</f>
        <v>0</v>
      </c>
      <c r="I117" s="23"/>
      <c r="J117" s="24"/>
      <c r="K117" s="24"/>
      <c r="L117" s="24"/>
      <c r="M117" s="429"/>
    </row>
    <row r="118" spans="1:13" s="26" customFormat="1" ht="11" thickBot="1">
      <c r="A118" s="437" t="s">
        <v>46</v>
      </c>
      <c r="B118" s="437"/>
      <c r="C118" s="22"/>
      <c r="D118" s="22"/>
      <c r="E118" s="22"/>
      <c r="F118" s="22"/>
      <c r="G118" s="22"/>
      <c r="H118" s="22"/>
      <c r="I118" s="23"/>
      <c r="J118" s="24"/>
      <c r="K118" s="24"/>
      <c r="L118" s="24"/>
      <c r="M118" s="429"/>
    </row>
    <row r="119" spans="1:13" s="26" customFormat="1">
      <c r="A119" s="794" t="s">
        <v>32</v>
      </c>
      <c r="B119" s="795"/>
      <c r="C119" s="796"/>
      <c r="D119" s="34" t="s">
        <v>33</v>
      </c>
      <c r="E119" s="35" t="s">
        <v>34</v>
      </c>
      <c r="F119" s="34" t="s">
        <v>35</v>
      </c>
      <c r="G119" s="36" t="s">
        <v>36</v>
      </c>
      <c r="H119" s="37"/>
      <c r="I119" s="23"/>
      <c r="J119" s="24"/>
      <c r="K119" s="24"/>
      <c r="L119" s="24"/>
      <c r="M119" s="429"/>
    </row>
    <row r="120" spans="1:13" s="26" customFormat="1">
      <c r="A120" s="797" t="s">
        <v>333</v>
      </c>
      <c r="B120" s="803"/>
      <c r="C120" s="804"/>
      <c r="D120" s="444" t="s">
        <v>330</v>
      </c>
      <c r="E120" s="75">
        <f>+E88</f>
        <v>46544.625</v>
      </c>
      <c r="F120" s="448">
        <f>1/1.5</f>
        <v>0.66666666666666663</v>
      </c>
      <c r="G120" s="433">
        <f>E120/F120</f>
        <v>69816.9375</v>
      </c>
      <c r="H120" s="41"/>
      <c r="I120" s="23"/>
      <c r="J120" s="24"/>
      <c r="K120" s="24"/>
      <c r="L120" s="24"/>
      <c r="M120" s="429"/>
    </row>
    <row r="121" spans="1:13" s="26" customFormat="1" ht="10.5" thickBot="1">
      <c r="A121" s="790"/>
      <c r="B121" s="791"/>
      <c r="C121" s="792"/>
      <c r="D121" s="67"/>
      <c r="E121" s="47"/>
      <c r="F121" s="68"/>
      <c r="G121" s="48"/>
      <c r="H121" s="49"/>
      <c r="I121" s="23"/>
      <c r="J121" s="24"/>
      <c r="K121" s="24"/>
      <c r="L121" s="24"/>
      <c r="M121" s="429"/>
    </row>
    <row r="122" spans="1:13" s="26" customFormat="1" ht="11" thickBot="1">
      <c r="A122" s="22"/>
      <c r="B122" s="22"/>
      <c r="C122" s="22"/>
      <c r="D122" s="22"/>
      <c r="E122" s="22"/>
      <c r="F122" s="22"/>
      <c r="G122" s="50" t="s">
        <v>40</v>
      </c>
      <c r="H122" s="449">
        <f>SUM(G120:G121)</f>
        <v>69816.9375</v>
      </c>
      <c r="I122" s="23"/>
      <c r="J122" s="24"/>
      <c r="K122" s="70">
        <f>H122</f>
        <v>69816.9375</v>
      </c>
      <c r="L122" s="24">
        <v>0.8</v>
      </c>
      <c r="M122" s="429">
        <f>K122*L122</f>
        <v>55853.55</v>
      </c>
    </row>
    <row r="123" spans="1:13" s="26" customFormat="1" ht="10.5" thickBot="1">
      <c r="A123" s="22"/>
      <c r="B123" s="22"/>
      <c r="C123" s="22"/>
      <c r="D123" s="22"/>
      <c r="E123" s="22"/>
      <c r="F123" s="22"/>
      <c r="G123" s="71"/>
      <c r="H123" s="22"/>
      <c r="I123" s="23"/>
      <c r="J123" s="24"/>
      <c r="K123" s="24"/>
      <c r="L123" s="24"/>
      <c r="M123" s="429"/>
    </row>
    <row r="124" spans="1:13" s="26" customFormat="1" ht="11" thickBot="1">
      <c r="A124" s="22"/>
      <c r="B124" s="22"/>
      <c r="C124" s="22"/>
      <c r="D124" s="22"/>
      <c r="E124" s="72" t="s">
        <v>48</v>
      </c>
      <c r="F124" s="73"/>
      <c r="G124" s="73"/>
      <c r="H124" s="51">
        <f>ROUND(H104+H111+H117+H122,0)</f>
        <v>144825</v>
      </c>
      <c r="I124" s="23"/>
      <c r="J124" s="24"/>
      <c r="K124" s="24"/>
      <c r="L124" s="24"/>
      <c r="M124" s="429"/>
    </row>
    <row r="125" spans="1:13" s="26" customFormat="1" ht="15.75" customHeight="1">
      <c r="A125" s="22"/>
      <c r="B125" s="22"/>
      <c r="C125" s="22"/>
      <c r="D125" s="22"/>
      <c r="E125" s="72"/>
      <c r="F125" s="73"/>
      <c r="G125" s="73"/>
    </row>
    <row r="126" spans="1:13" s="26" customFormat="1" ht="17.25" customHeight="1">
      <c r="A126" s="27"/>
      <c r="B126" s="22"/>
      <c r="C126" s="22"/>
      <c r="D126" s="22"/>
      <c r="E126" s="22"/>
      <c r="F126" s="22"/>
      <c r="G126" s="22"/>
      <c r="H126" s="22"/>
      <c r="I126" s="23"/>
      <c r="J126" s="24"/>
      <c r="K126" s="24"/>
      <c r="L126" s="24"/>
      <c r="M126" s="429"/>
    </row>
    <row r="127" spans="1:13" s="26" customFormat="1" ht="37.5" customHeight="1">
      <c r="A127" s="28" t="s">
        <v>26</v>
      </c>
      <c r="B127" s="793" t="s">
        <v>27</v>
      </c>
      <c r="C127" s="793"/>
      <c r="D127" s="793"/>
      <c r="E127" s="793"/>
      <c r="F127" s="793"/>
      <c r="G127" s="29"/>
      <c r="H127" s="30"/>
      <c r="I127" s="23"/>
      <c r="J127" s="24"/>
      <c r="K127" s="24"/>
      <c r="L127" s="24"/>
      <c r="M127" s="429"/>
    </row>
    <row r="128" spans="1:13" s="26" customFormat="1" ht="10.5">
      <c r="A128" s="31" t="s">
        <v>28</v>
      </c>
      <c r="B128" s="793" t="str">
        <f>'[4]PRESUPUESTO ESTUFA FIJA'!B12</f>
        <v>Mampostería ladrillo tipo farol de 10x20x40 cm</v>
      </c>
      <c r="C128" s="793"/>
      <c r="D128" s="793"/>
      <c r="E128" s="793"/>
      <c r="F128" s="793"/>
      <c r="G128" s="29" t="s">
        <v>29</v>
      </c>
      <c r="H128" s="74" t="s">
        <v>103</v>
      </c>
      <c r="I128" s="23"/>
      <c r="J128" s="24"/>
      <c r="K128" s="24"/>
      <c r="L128" s="24"/>
      <c r="M128" s="429"/>
    </row>
    <row r="129" spans="1:13" s="26" customFormat="1" ht="10.5">
      <c r="A129" s="29"/>
      <c r="B129" s="29"/>
      <c r="C129" s="32"/>
      <c r="D129" s="29"/>
      <c r="E129" s="29"/>
      <c r="F129" s="29"/>
      <c r="G129" s="29" t="s">
        <v>30</v>
      </c>
      <c r="H129" s="30" t="s">
        <v>190</v>
      </c>
      <c r="I129" s="23"/>
      <c r="J129" s="24"/>
      <c r="K129" s="24"/>
      <c r="L129" s="24"/>
      <c r="M129" s="429"/>
    </row>
    <row r="130" spans="1:13" s="26" customFormat="1" ht="11" thickBot="1">
      <c r="A130" s="33" t="s">
        <v>31</v>
      </c>
      <c r="B130" s="33"/>
      <c r="C130" s="22"/>
      <c r="D130" s="22"/>
      <c r="E130" s="22"/>
      <c r="F130" s="22"/>
      <c r="G130" s="22"/>
      <c r="H130" s="22"/>
      <c r="I130" s="23"/>
      <c r="J130" s="24"/>
      <c r="K130" s="24"/>
      <c r="L130" s="24"/>
      <c r="M130" s="429"/>
    </row>
    <row r="131" spans="1:13" s="26" customFormat="1">
      <c r="A131" s="794" t="s">
        <v>32</v>
      </c>
      <c r="B131" s="795"/>
      <c r="C131" s="796"/>
      <c r="D131" s="34" t="s">
        <v>33</v>
      </c>
      <c r="E131" s="35" t="s">
        <v>34</v>
      </c>
      <c r="F131" s="34" t="s">
        <v>35</v>
      </c>
      <c r="G131" s="36" t="s">
        <v>36</v>
      </c>
      <c r="H131" s="37"/>
      <c r="I131" s="23"/>
      <c r="J131" s="24"/>
      <c r="K131" s="24"/>
      <c r="L131" s="24"/>
      <c r="M131" s="429"/>
    </row>
    <row r="132" spans="1:13" s="26" customFormat="1">
      <c r="A132" s="797" t="s">
        <v>37</v>
      </c>
      <c r="B132" s="803"/>
      <c r="C132" s="804"/>
      <c r="D132" s="430" t="s">
        <v>38</v>
      </c>
      <c r="E132" s="451">
        <f>H156</f>
        <v>23272.3125</v>
      </c>
      <c r="F132" s="431">
        <v>0.1</v>
      </c>
      <c r="G132" s="78">
        <v>1240.8000000000002</v>
      </c>
      <c r="H132" s="41"/>
      <c r="I132" s="23" t="s">
        <v>335</v>
      </c>
      <c r="J132" s="24"/>
      <c r="K132" s="24"/>
      <c r="L132" s="24"/>
      <c r="M132" s="429"/>
    </row>
    <row r="133" spans="1:13" s="26" customFormat="1">
      <c r="A133" s="797"/>
      <c r="B133" s="803"/>
      <c r="C133" s="804"/>
      <c r="D133" s="430"/>
      <c r="E133" s="431"/>
      <c r="F133" s="431"/>
      <c r="G133" s="75"/>
      <c r="H133" s="41"/>
      <c r="I133" s="23"/>
      <c r="J133" s="24"/>
      <c r="K133" s="24"/>
      <c r="L133" s="24"/>
      <c r="M133" s="429"/>
    </row>
    <row r="134" spans="1:13" s="26" customFormat="1">
      <c r="A134" s="797"/>
      <c r="B134" s="803"/>
      <c r="C134" s="804"/>
      <c r="D134" s="434"/>
      <c r="E134" s="435"/>
      <c r="F134" s="443"/>
      <c r="G134" s="433"/>
      <c r="H134" s="41"/>
      <c r="I134" s="23"/>
      <c r="J134" s="24"/>
      <c r="K134" s="24"/>
      <c r="L134" s="24"/>
      <c r="M134" s="429"/>
    </row>
    <row r="135" spans="1:13" s="26" customFormat="1">
      <c r="A135" s="797"/>
      <c r="B135" s="803"/>
      <c r="C135" s="804"/>
      <c r="D135" s="434"/>
      <c r="E135" s="436"/>
      <c r="F135" s="431"/>
      <c r="G135" s="433"/>
      <c r="H135" s="41"/>
      <c r="I135" s="23"/>
      <c r="J135" s="24"/>
      <c r="K135" s="24"/>
      <c r="L135" s="24"/>
      <c r="M135" s="429"/>
    </row>
    <row r="136" spans="1:13" s="26" customFormat="1">
      <c r="A136" s="797"/>
      <c r="B136" s="803"/>
      <c r="C136" s="804"/>
      <c r="D136" s="434"/>
      <c r="E136" s="436"/>
      <c r="F136" s="431"/>
      <c r="G136" s="433"/>
      <c r="H136" s="41"/>
      <c r="I136" s="23"/>
      <c r="J136" s="24"/>
      <c r="K136" s="24"/>
      <c r="L136" s="24"/>
      <c r="M136" s="429"/>
    </row>
    <row r="137" spans="1:13" s="26" customFormat="1" ht="10.5" thickBot="1">
      <c r="A137" s="790"/>
      <c r="B137" s="791"/>
      <c r="C137" s="792"/>
      <c r="D137" s="45"/>
      <c r="E137" s="46"/>
      <c r="F137" s="47"/>
      <c r="G137" s="48"/>
      <c r="H137" s="49"/>
      <c r="I137" s="23"/>
      <c r="J137" s="24"/>
      <c r="K137" s="24"/>
      <c r="L137" s="24"/>
      <c r="M137" s="429"/>
    </row>
    <row r="138" spans="1:13" s="26" customFormat="1" ht="11" thickBot="1">
      <c r="A138" s="22"/>
      <c r="B138" s="22"/>
      <c r="C138" s="22"/>
      <c r="D138" s="22"/>
      <c r="E138" s="22"/>
      <c r="F138" s="22"/>
      <c r="G138" s="50" t="s">
        <v>40</v>
      </c>
      <c r="H138" s="51">
        <f>+G132+G133+G134</f>
        <v>1240.8000000000002</v>
      </c>
      <c r="I138" s="23"/>
      <c r="J138" s="24"/>
      <c r="K138" s="24"/>
      <c r="L138" s="24"/>
      <c r="M138" s="429"/>
    </row>
    <row r="139" spans="1:13" s="26" customFormat="1" ht="11" thickBot="1">
      <c r="A139" s="33" t="s">
        <v>49</v>
      </c>
      <c r="B139" s="33"/>
      <c r="C139" s="22"/>
      <c r="D139" s="22"/>
      <c r="E139" s="22"/>
      <c r="F139" s="22"/>
      <c r="G139" s="22"/>
      <c r="H139" s="22"/>
      <c r="I139" s="23"/>
      <c r="J139" s="24"/>
      <c r="K139" s="24"/>
      <c r="L139" s="24"/>
      <c r="M139" s="429"/>
    </row>
    <row r="140" spans="1:13" s="26" customFormat="1">
      <c r="A140" s="794" t="s">
        <v>32</v>
      </c>
      <c r="B140" s="795"/>
      <c r="C140" s="796"/>
      <c r="D140" s="34" t="s">
        <v>33</v>
      </c>
      <c r="E140" s="34" t="s">
        <v>50</v>
      </c>
      <c r="F140" s="34" t="s">
        <v>51</v>
      </c>
      <c r="G140" s="36" t="s">
        <v>36</v>
      </c>
      <c r="H140" s="37"/>
      <c r="I140" s="23"/>
      <c r="J140" s="24"/>
      <c r="K140" s="24"/>
      <c r="L140" s="24"/>
      <c r="M140" s="429"/>
    </row>
    <row r="141" spans="1:13" s="26" customFormat="1">
      <c r="A141" s="797" t="s">
        <v>336</v>
      </c>
      <c r="B141" s="803"/>
      <c r="C141" s="804"/>
      <c r="D141" s="430" t="s">
        <v>52</v>
      </c>
      <c r="E141" s="446">
        <v>2700</v>
      </c>
      <c r="F141" s="431">
        <v>12.5</v>
      </c>
      <c r="G141" s="433">
        <f>+E141*F141</f>
        <v>33750</v>
      </c>
      <c r="H141" s="41"/>
      <c r="I141" s="23"/>
      <c r="J141" s="24"/>
      <c r="K141" s="24"/>
      <c r="L141" s="24"/>
      <c r="M141" s="429"/>
    </row>
    <row r="142" spans="1:13" s="26" customFormat="1">
      <c r="A142" s="797" t="s">
        <v>331</v>
      </c>
      <c r="B142" s="803"/>
      <c r="C142" s="804"/>
      <c r="D142" s="430" t="s">
        <v>279</v>
      </c>
      <c r="E142" s="447">
        <f>+E108</f>
        <v>520639</v>
      </c>
      <c r="F142" s="448">
        <f>0.022*1.05</f>
        <v>2.3099999999999999E-2</v>
      </c>
      <c r="G142" s="433">
        <f>+E142*F142</f>
        <v>12026.760899999999</v>
      </c>
      <c r="H142" s="41"/>
      <c r="I142" s="23"/>
      <c r="J142" s="24"/>
      <c r="K142" s="24"/>
      <c r="L142" s="24"/>
      <c r="M142" s="429"/>
    </row>
    <row r="143" spans="1:13" s="26" customFormat="1">
      <c r="A143" s="797"/>
      <c r="B143" s="803"/>
      <c r="C143" s="804"/>
      <c r="D143" s="430"/>
      <c r="E143" s="450"/>
      <c r="F143" s="448"/>
      <c r="G143" s="433"/>
      <c r="H143" s="41"/>
      <c r="I143" s="23"/>
      <c r="J143" s="24"/>
      <c r="K143" s="24"/>
      <c r="L143" s="24"/>
      <c r="M143" s="429"/>
    </row>
    <row r="144" spans="1:13" s="26" customFormat="1" ht="10.5" thickBot="1">
      <c r="A144" s="800"/>
      <c r="B144" s="801"/>
      <c r="C144" s="802"/>
      <c r="D144" s="45"/>
      <c r="E144" s="46"/>
      <c r="F144" s="47"/>
      <c r="G144" s="48"/>
      <c r="H144" s="49"/>
      <c r="I144" s="23"/>
      <c r="J144" s="24"/>
      <c r="K144" s="24"/>
      <c r="L144" s="24"/>
      <c r="M144" s="429"/>
    </row>
    <row r="145" spans="1:13" s="26" customFormat="1" ht="11" thickBot="1">
      <c r="A145" s="22"/>
      <c r="B145" s="22"/>
      <c r="C145" s="22"/>
      <c r="D145" s="22"/>
      <c r="E145" s="22"/>
      <c r="F145" s="22"/>
      <c r="G145" s="50" t="s">
        <v>40</v>
      </c>
      <c r="H145" s="51">
        <f>SUM(G141:G143)</f>
        <v>45776.760900000001</v>
      </c>
      <c r="I145" s="23"/>
      <c r="J145" s="24"/>
      <c r="K145" s="24"/>
      <c r="L145" s="24"/>
      <c r="M145" s="429"/>
    </row>
    <row r="146" spans="1:13" s="26" customFormat="1" ht="11" thickBot="1">
      <c r="A146" s="437" t="s">
        <v>41</v>
      </c>
      <c r="B146" s="437"/>
      <c r="C146" s="438"/>
      <c r="D146" s="22"/>
      <c r="E146" s="22"/>
      <c r="F146" s="22"/>
      <c r="G146" s="22"/>
      <c r="H146" s="22"/>
      <c r="I146" s="23"/>
      <c r="J146" s="24"/>
      <c r="K146" s="24"/>
      <c r="L146" s="24"/>
      <c r="M146" s="429"/>
    </row>
    <row r="147" spans="1:13" s="26" customFormat="1">
      <c r="A147" s="54"/>
      <c r="B147" s="55"/>
      <c r="C147" s="56" t="s">
        <v>54</v>
      </c>
      <c r="D147" s="34" t="s">
        <v>43</v>
      </c>
      <c r="E147" s="34" t="s">
        <v>44</v>
      </c>
      <c r="F147" s="34" t="s">
        <v>45</v>
      </c>
      <c r="G147" s="57" t="s">
        <v>36</v>
      </c>
      <c r="H147" s="37"/>
      <c r="I147" s="23"/>
      <c r="J147" s="24"/>
      <c r="K147" s="24"/>
      <c r="L147" s="24"/>
      <c r="M147" s="429"/>
    </row>
    <row r="148" spans="1:13" s="26" customFormat="1">
      <c r="A148" s="58"/>
      <c r="B148" s="439"/>
      <c r="C148" s="440"/>
      <c r="D148" s="440"/>
      <c r="E148" s="440"/>
      <c r="F148" s="441"/>
      <c r="G148" s="431"/>
      <c r="H148" s="41"/>
      <c r="I148" s="23"/>
      <c r="J148" s="24"/>
      <c r="K148" s="24"/>
      <c r="L148" s="24"/>
      <c r="M148" s="429"/>
    </row>
    <row r="149" spans="1:13" s="26" customFormat="1">
      <c r="A149" s="58"/>
      <c r="B149" s="439"/>
      <c r="C149" s="442"/>
      <c r="D149" s="430"/>
      <c r="E149" s="443"/>
      <c r="F149" s="431"/>
      <c r="G149" s="431"/>
      <c r="H149" s="41"/>
      <c r="I149" s="23"/>
      <c r="J149" s="24"/>
      <c r="K149" s="24"/>
      <c r="L149" s="24"/>
      <c r="M149" s="429"/>
    </row>
    <row r="150" spans="1:13" s="26" customFormat="1" ht="10.5" thickBot="1">
      <c r="A150" s="64"/>
      <c r="B150" s="65"/>
      <c r="C150" s="45"/>
      <c r="D150" s="46"/>
      <c r="E150" s="47"/>
      <c r="F150" s="48"/>
      <c r="G150" s="45"/>
      <c r="H150" s="41"/>
      <c r="I150" s="23"/>
      <c r="J150" s="24"/>
      <c r="K150" s="24"/>
      <c r="L150" s="24"/>
      <c r="M150" s="429"/>
    </row>
    <row r="151" spans="1:13" s="26" customFormat="1" ht="11" thickBot="1">
      <c r="A151" s="22"/>
      <c r="B151" s="22"/>
      <c r="C151" s="22"/>
      <c r="D151" s="22"/>
      <c r="E151" s="22"/>
      <c r="F151" s="22"/>
      <c r="G151" s="50" t="s">
        <v>40</v>
      </c>
      <c r="H151" s="51">
        <f>SUM(G148:G150)</f>
        <v>0</v>
      </c>
      <c r="I151" s="23"/>
      <c r="J151" s="24"/>
      <c r="K151" s="24"/>
      <c r="L151" s="24"/>
      <c r="M151" s="429"/>
    </row>
    <row r="152" spans="1:13" s="26" customFormat="1" ht="11" thickBot="1">
      <c r="A152" s="437" t="s">
        <v>46</v>
      </c>
      <c r="B152" s="437"/>
      <c r="C152" s="22"/>
      <c r="D152" s="22"/>
      <c r="E152" s="22"/>
      <c r="F152" s="22"/>
      <c r="G152" s="22"/>
      <c r="H152" s="22"/>
      <c r="I152" s="23"/>
      <c r="J152" s="24"/>
      <c r="K152" s="24"/>
      <c r="L152" s="24"/>
      <c r="M152" s="429"/>
    </row>
    <row r="153" spans="1:13" s="26" customFormat="1">
      <c r="A153" s="794" t="s">
        <v>32</v>
      </c>
      <c r="B153" s="795"/>
      <c r="C153" s="796"/>
      <c r="D153" s="34" t="s">
        <v>33</v>
      </c>
      <c r="E153" s="35" t="s">
        <v>34</v>
      </c>
      <c r="F153" s="34" t="s">
        <v>35</v>
      </c>
      <c r="G153" s="36" t="s">
        <v>36</v>
      </c>
      <c r="H153" s="37"/>
      <c r="I153" s="23"/>
      <c r="J153" s="24"/>
      <c r="K153" s="24"/>
      <c r="L153" s="24"/>
      <c r="M153" s="429"/>
    </row>
    <row r="154" spans="1:13" s="26" customFormat="1">
      <c r="A154" s="797" t="s">
        <v>333</v>
      </c>
      <c r="B154" s="803"/>
      <c r="C154" s="804"/>
      <c r="D154" s="444" t="s">
        <v>330</v>
      </c>
      <c r="E154" s="75">
        <f>+E88</f>
        <v>46544.625</v>
      </c>
      <c r="F154" s="432">
        <v>2</v>
      </c>
      <c r="G154" s="433">
        <f>E154/F154</f>
        <v>23272.3125</v>
      </c>
      <c r="H154" s="41"/>
      <c r="I154" s="23"/>
      <c r="J154" s="24"/>
      <c r="K154" s="24"/>
      <c r="L154" s="24"/>
      <c r="M154" s="429"/>
    </row>
    <row r="155" spans="1:13" s="26" customFormat="1" ht="10.5" thickBot="1">
      <c r="A155" s="790"/>
      <c r="B155" s="791"/>
      <c r="C155" s="792"/>
      <c r="D155" s="67"/>
      <c r="E155" s="47"/>
      <c r="F155" s="68"/>
      <c r="G155" s="48"/>
      <c r="H155" s="49"/>
      <c r="I155" s="23"/>
      <c r="J155" s="24"/>
      <c r="K155" s="24"/>
      <c r="L155" s="24"/>
      <c r="M155" s="429"/>
    </row>
    <row r="156" spans="1:13" s="26" customFormat="1" ht="11" thickBot="1">
      <c r="A156" s="22"/>
      <c r="B156" s="22"/>
      <c r="C156" s="22"/>
      <c r="D156" s="22"/>
      <c r="E156" s="22"/>
      <c r="F156" s="22"/>
      <c r="G156" s="50" t="s">
        <v>40</v>
      </c>
      <c r="H156" s="449">
        <f>SUM(G154:G155)</f>
        <v>23272.3125</v>
      </c>
      <c r="I156" s="23"/>
      <c r="J156" s="24"/>
      <c r="K156" s="70">
        <f>H156</f>
        <v>23272.3125</v>
      </c>
      <c r="L156" s="24">
        <v>1.31</v>
      </c>
      <c r="M156" s="429">
        <f>K156*L156</f>
        <v>30486.729375000003</v>
      </c>
    </row>
    <row r="157" spans="1:13" s="26" customFormat="1" ht="10.5" thickBot="1">
      <c r="A157" s="22"/>
      <c r="B157" s="22"/>
      <c r="C157" s="22"/>
      <c r="D157" s="22"/>
      <c r="E157" s="22"/>
      <c r="F157" s="22"/>
      <c r="G157" s="71"/>
      <c r="H157" s="22"/>
      <c r="I157" s="23"/>
      <c r="J157" s="24"/>
      <c r="K157" s="24"/>
      <c r="L157" s="24"/>
      <c r="M157" s="429"/>
    </row>
    <row r="158" spans="1:13" s="26" customFormat="1" ht="11" thickBot="1">
      <c r="A158" s="22"/>
      <c r="B158" s="22"/>
      <c r="C158" s="22"/>
      <c r="D158" s="22"/>
      <c r="E158" s="72" t="s">
        <v>48</v>
      </c>
      <c r="F158" s="73"/>
      <c r="G158" s="73"/>
      <c r="H158" s="51">
        <f>ROUND(H138+H145+H151+H156,0)</f>
        <v>70290</v>
      </c>
      <c r="I158" s="23"/>
      <c r="J158" s="24"/>
      <c r="K158" s="24"/>
      <c r="L158" s="24"/>
      <c r="M158" s="429"/>
    </row>
    <row r="159" spans="1:13" s="26" customFormat="1" ht="7.5" customHeight="1">
      <c r="A159" s="27"/>
      <c r="B159" s="22"/>
      <c r="C159" s="22"/>
      <c r="D159" s="22"/>
      <c r="E159" s="22"/>
      <c r="F159" s="22"/>
      <c r="G159" s="22"/>
      <c r="H159" s="22"/>
      <c r="I159" s="23"/>
      <c r="J159" s="24"/>
      <c r="K159" s="24"/>
      <c r="L159" s="24"/>
      <c r="M159" s="429"/>
    </row>
    <row r="160" spans="1:13" s="26" customFormat="1" ht="7.5" customHeight="1">
      <c r="A160" s="27"/>
      <c r="B160" s="22"/>
      <c r="C160" s="22"/>
      <c r="D160" s="22"/>
      <c r="E160" s="22"/>
      <c r="F160" s="22"/>
      <c r="G160" s="22"/>
      <c r="H160" s="22"/>
      <c r="I160" s="23"/>
      <c r="J160" s="24"/>
      <c r="K160" s="24"/>
      <c r="L160" s="24"/>
      <c r="M160" s="429"/>
    </row>
    <row r="161" spans="1:13" s="26" customFormat="1" ht="37.5" customHeight="1">
      <c r="A161" s="28" t="s">
        <v>26</v>
      </c>
      <c r="B161" s="793" t="s">
        <v>27</v>
      </c>
      <c r="C161" s="793"/>
      <c r="D161" s="793"/>
      <c r="E161" s="793"/>
      <c r="F161" s="793"/>
      <c r="G161" s="29"/>
      <c r="H161" s="30"/>
      <c r="I161" s="23"/>
      <c r="J161" s="24"/>
      <c r="K161" s="24"/>
      <c r="L161" s="24"/>
      <c r="M161" s="429"/>
    </row>
    <row r="162" spans="1:13" s="26" customFormat="1" ht="10.5">
      <c r="A162" s="31" t="s">
        <v>28</v>
      </c>
      <c r="B162" s="793" t="s">
        <v>337</v>
      </c>
      <c r="C162" s="793"/>
      <c r="D162" s="793"/>
      <c r="E162" s="793"/>
      <c r="F162" s="793"/>
      <c r="G162" s="29" t="s">
        <v>29</v>
      </c>
      <c r="H162" s="74" t="s">
        <v>105</v>
      </c>
      <c r="I162" s="23"/>
      <c r="J162" s="24"/>
      <c r="K162" s="24"/>
      <c r="L162" s="24"/>
      <c r="M162" s="429"/>
    </row>
    <row r="163" spans="1:13" s="26" customFormat="1" ht="10.5">
      <c r="A163" s="29"/>
      <c r="B163" s="29"/>
      <c r="C163" s="32"/>
      <c r="D163" s="29"/>
      <c r="E163" s="29"/>
      <c r="F163" s="29"/>
      <c r="G163" s="29" t="s">
        <v>30</v>
      </c>
      <c r="H163" s="30" t="s">
        <v>190</v>
      </c>
      <c r="I163" s="23"/>
      <c r="J163" s="24"/>
      <c r="K163" s="24"/>
      <c r="L163" s="24"/>
      <c r="M163" s="429"/>
    </row>
    <row r="164" spans="1:13" s="26" customFormat="1" ht="11" thickBot="1">
      <c r="A164" s="33" t="s">
        <v>31</v>
      </c>
      <c r="B164" s="33"/>
      <c r="C164" s="22"/>
      <c r="D164" s="22"/>
      <c r="E164" s="22"/>
      <c r="F164" s="22"/>
      <c r="G164" s="22"/>
      <c r="H164" s="22"/>
      <c r="I164" s="23"/>
      <c r="J164" s="24"/>
      <c r="K164" s="24"/>
      <c r="L164" s="24"/>
      <c r="M164" s="429"/>
    </row>
    <row r="165" spans="1:13" s="26" customFormat="1">
      <c r="A165" s="794" t="s">
        <v>32</v>
      </c>
      <c r="B165" s="795"/>
      <c r="C165" s="796"/>
      <c r="D165" s="34" t="s">
        <v>33</v>
      </c>
      <c r="E165" s="35" t="s">
        <v>34</v>
      </c>
      <c r="F165" s="34" t="s">
        <v>35</v>
      </c>
      <c r="G165" s="36" t="s">
        <v>36</v>
      </c>
      <c r="H165" s="37"/>
      <c r="I165" s="23"/>
      <c r="J165" s="24"/>
      <c r="K165" s="24"/>
      <c r="L165" s="24"/>
      <c r="M165" s="429"/>
    </row>
    <row r="166" spans="1:13" s="26" customFormat="1">
      <c r="A166" s="797" t="s">
        <v>37</v>
      </c>
      <c r="B166" s="803"/>
      <c r="C166" s="804"/>
      <c r="D166" s="430" t="s">
        <v>38</v>
      </c>
      <c r="E166" s="451">
        <f>H190</f>
        <v>31029.75</v>
      </c>
      <c r="F166" s="431">
        <v>0.1</v>
      </c>
      <c r="G166" s="78">
        <v>1240.8000000000002</v>
      </c>
      <c r="H166" s="41"/>
      <c r="I166" s="23" t="s">
        <v>335</v>
      </c>
      <c r="J166" s="24"/>
      <c r="K166" s="24"/>
      <c r="L166" s="24"/>
      <c r="M166" s="429"/>
    </row>
    <row r="167" spans="1:13" s="26" customFormat="1">
      <c r="A167" s="797"/>
      <c r="B167" s="803"/>
      <c r="C167" s="804"/>
      <c r="D167" s="430"/>
      <c r="E167" s="431"/>
      <c r="F167" s="431"/>
      <c r="G167" s="75"/>
      <c r="H167" s="41"/>
      <c r="I167" s="23" t="s">
        <v>39</v>
      </c>
      <c r="J167" s="24"/>
      <c r="K167" s="24"/>
      <c r="L167" s="24"/>
      <c r="M167" s="429"/>
    </row>
    <row r="168" spans="1:13" s="26" customFormat="1">
      <c r="A168" s="797"/>
      <c r="B168" s="803"/>
      <c r="C168" s="804"/>
      <c r="D168" s="434"/>
      <c r="E168" s="435"/>
      <c r="F168" s="443"/>
      <c r="G168" s="433"/>
      <c r="H168" s="41"/>
      <c r="I168" s="23"/>
      <c r="J168" s="24"/>
      <c r="K168" s="24"/>
      <c r="L168" s="24"/>
      <c r="M168" s="429"/>
    </row>
    <row r="169" spans="1:13" s="26" customFormat="1">
      <c r="A169" s="797"/>
      <c r="B169" s="803"/>
      <c r="C169" s="804"/>
      <c r="D169" s="434"/>
      <c r="E169" s="436"/>
      <c r="F169" s="431"/>
      <c r="G169" s="433"/>
      <c r="H169" s="41"/>
      <c r="I169" s="23"/>
      <c r="J169" s="24"/>
      <c r="K169" s="24"/>
      <c r="L169" s="24"/>
      <c r="M169" s="429"/>
    </row>
    <row r="170" spans="1:13" s="26" customFormat="1">
      <c r="A170" s="797"/>
      <c r="B170" s="803"/>
      <c r="C170" s="804"/>
      <c r="D170" s="434"/>
      <c r="E170" s="436"/>
      <c r="F170" s="431"/>
      <c r="G170" s="433"/>
      <c r="H170" s="41"/>
      <c r="I170" s="23"/>
      <c r="J170" s="24"/>
      <c r="K170" s="24"/>
      <c r="L170" s="24"/>
      <c r="M170" s="429"/>
    </row>
    <row r="171" spans="1:13" s="26" customFormat="1" ht="10.5" thickBot="1">
      <c r="A171" s="790"/>
      <c r="B171" s="791"/>
      <c r="C171" s="792"/>
      <c r="D171" s="45"/>
      <c r="E171" s="46"/>
      <c r="F171" s="47"/>
      <c r="G171" s="48"/>
      <c r="H171" s="49"/>
      <c r="I171" s="23"/>
      <c r="J171" s="24"/>
      <c r="K171" s="24"/>
      <c r="L171" s="24"/>
      <c r="M171" s="429"/>
    </row>
    <row r="172" spans="1:13" s="26" customFormat="1" ht="11" thickBot="1">
      <c r="A172" s="22"/>
      <c r="B172" s="22"/>
      <c r="C172" s="22"/>
      <c r="D172" s="22"/>
      <c r="E172" s="22"/>
      <c r="F172" s="22"/>
      <c r="G172" s="50" t="s">
        <v>40</v>
      </c>
      <c r="H172" s="51">
        <f>+G166+G167+G168</f>
        <v>1240.8000000000002</v>
      </c>
      <c r="I172" s="23"/>
      <c r="J172" s="24"/>
      <c r="K172" s="24"/>
      <c r="L172" s="24"/>
      <c r="M172" s="429"/>
    </row>
    <row r="173" spans="1:13" s="26" customFormat="1" ht="11" thickBot="1">
      <c r="A173" s="33" t="s">
        <v>49</v>
      </c>
      <c r="B173" s="33"/>
      <c r="C173" s="22"/>
      <c r="D173" s="22"/>
      <c r="E173" s="22"/>
      <c r="F173" s="22"/>
      <c r="G173" s="22"/>
      <c r="H173" s="22"/>
      <c r="I173" s="23"/>
      <c r="J173" s="24"/>
      <c r="K173" s="24"/>
      <c r="L173" s="24"/>
      <c r="M173" s="429"/>
    </row>
    <row r="174" spans="1:13" s="26" customFormat="1">
      <c r="A174" s="794" t="s">
        <v>32</v>
      </c>
      <c r="B174" s="795"/>
      <c r="C174" s="796"/>
      <c r="D174" s="34" t="s">
        <v>33</v>
      </c>
      <c r="E174" s="34" t="s">
        <v>50</v>
      </c>
      <c r="F174" s="34" t="s">
        <v>51</v>
      </c>
      <c r="G174" s="36" t="s">
        <v>36</v>
      </c>
      <c r="H174" s="37"/>
      <c r="I174" s="23"/>
      <c r="J174" s="24"/>
      <c r="K174" s="24"/>
      <c r="L174" s="24"/>
      <c r="M174" s="429"/>
    </row>
    <row r="175" spans="1:13" s="26" customFormat="1">
      <c r="A175" s="797" t="s">
        <v>338</v>
      </c>
      <c r="B175" s="803"/>
      <c r="C175" s="804"/>
      <c r="D175" s="430" t="s">
        <v>52</v>
      </c>
      <c r="E175" s="446">
        <v>3500</v>
      </c>
      <c r="F175" s="431">
        <v>15</v>
      </c>
      <c r="G175" s="433">
        <f>+E175*F175</f>
        <v>52500</v>
      </c>
      <c r="H175" s="41"/>
      <c r="I175" s="23"/>
      <c r="J175" s="24"/>
      <c r="K175" s="24"/>
      <c r="L175" s="24"/>
      <c r="M175" s="429"/>
    </row>
    <row r="176" spans="1:13" s="26" customFormat="1">
      <c r="A176" s="797" t="s">
        <v>331</v>
      </c>
      <c r="B176" s="803"/>
      <c r="C176" s="804"/>
      <c r="D176" s="430" t="s">
        <v>279</v>
      </c>
      <c r="E176" s="447">
        <f>+E142</f>
        <v>520639</v>
      </c>
      <c r="F176" s="432">
        <f>0.025*1.05</f>
        <v>2.6250000000000002E-2</v>
      </c>
      <c r="G176" s="433">
        <f>+E176*F176</f>
        <v>13666.773750000002</v>
      </c>
      <c r="H176" s="41"/>
      <c r="I176" s="23"/>
      <c r="J176" s="24"/>
      <c r="K176" s="24"/>
      <c r="L176" s="24"/>
      <c r="M176" s="429"/>
    </row>
    <row r="177" spans="1:13" s="26" customFormat="1" ht="10.75" customHeight="1">
      <c r="A177" s="797" t="s">
        <v>332</v>
      </c>
      <c r="B177" s="803"/>
      <c r="C177" s="804"/>
      <c r="D177" s="430" t="s">
        <v>2</v>
      </c>
      <c r="E177" s="446">
        <f>2400</f>
        <v>2400</v>
      </c>
      <c r="F177" s="448">
        <f>2*F176</f>
        <v>5.2500000000000005E-2</v>
      </c>
      <c r="G177" s="433">
        <f>+E177*F177</f>
        <v>126.00000000000001</v>
      </c>
      <c r="H177" s="41"/>
      <c r="I177" s="23"/>
      <c r="J177" s="24"/>
      <c r="K177" s="24"/>
      <c r="L177" s="24"/>
      <c r="M177" s="429"/>
    </row>
    <row r="178" spans="1:13" s="26" customFormat="1" ht="10.5" thickBot="1">
      <c r="A178" s="800"/>
      <c r="B178" s="801"/>
      <c r="C178" s="802"/>
      <c r="D178" s="45"/>
      <c r="E178" s="46"/>
      <c r="F178" s="47"/>
      <c r="G178" s="48"/>
      <c r="H178" s="49"/>
      <c r="I178" s="23"/>
      <c r="J178" s="24"/>
      <c r="K178" s="24"/>
      <c r="L178" s="24"/>
      <c r="M178" s="429"/>
    </row>
    <row r="179" spans="1:13" s="26" customFormat="1" ht="11" thickBot="1">
      <c r="A179" s="22"/>
      <c r="B179" s="22"/>
      <c r="C179" s="22"/>
      <c r="D179" s="22"/>
      <c r="E179" s="22"/>
      <c r="F179" s="22"/>
      <c r="G179" s="50" t="s">
        <v>40</v>
      </c>
      <c r="H179" s="51">
        <f>SUM(G175:G177)</f>
        <v>66292.773750000008</v>
      </c>
      <c r="I179" s="23"/>
      <c r="J179" s="24"/>
      <c r="K179" s="24"/>
      <c r="L179" s="24"/>
      <c r="M179" s="429"/>
    </row>
    <row r="180" spans="1:13" s="26" customFormat="1" ht="11" thickBot="1">
      <c r="A180" s="437" t="s">
        <v>41</v>
      </c>
      <c r="B180" s="437"/>
      <c r="C180" s="438"/>
      <c r="D180" s="22"/>
      <c r="E180" s="22"/>
      <c r="F180" s="22"/>
      <c r="G180" s="22"/>
      <c r="H180" s="22"/>
      <c r="I180" s="23"/>
      <c r="J180" s="24"/>
      <c r="K180" s="24"/>
      <c r="L180" s="24"/>
      <c r="M180" s="429"/>
    </row>
    <row r="181" spans="1:13" s="26" customFormat="1">
      <c r="A181" s="54"/>
      <c r="B181" s="55"/>
      <c r="C181" s="56" t="s">
        <v>54</v>
      </c>
      <c r="D181" s="34" t="s">
        <v>43</v>
      </c>
      <c r="E181" s="34" t="s">
        <v>44</v>
      </c>
      <c r="F181" s="34" t="s">
        <v>45</v>
      </c>
      <c r="G181" s="57" t="s">
        <v>36</v>
      </c>
      <c r="H181" s="37"/>
      <c r="I181" s="23"/>
      <c r="J181" s="24"/>
      <c r="K181" s="24"/>
      <c r="L181" s="24"/>
      <c r="M181" s="429"/>
    </row>
    <row r="182" spans="1:13" s="26" customFormat="1">
      <c r="A182" s="58"/>
      <c r="B182" s="439"/>
      <c r="C182" s="440"/>
      <c r="D182" s="440"/>
      <c r="E182" s="440"/>
      <c r="F182" s="441"/>
      <c r="G182" s="431"/>
      <c r="H182" s="41"/>
      <c r="I182" s="23"/>
      <c r="J182" s="24"/>
      <c r="K182" s="24"/>
      <c r="L182" s="24"/>
      <c r="M182" s="429"/>
    </row>
    <row r="183" spans="1:13" s="26" customFormat="1">
      <c r="A183" s="58"/>
      <c r="B183" s="439"/>
      <c r="C183" s="442"/>
      <c r="D183" s="430"/>
      <c r="E183" s="443"/>
      <c r="F183" s="431"/>
      <c r="G183" s="431"/>
      <c r="H183" s="41"/>
      <c r="I183" s="23"/>
      <c r="J183" s="24"/>
      <c r="K183" s="24"/>
      <c r="L183" s="24"/>
      <c r="M183" s="429"/>
    </row>
    <row r="184" spans="1:13" s="26" customFormat="1" ht="10.5" thickBot="1">
      <c r="A184" s="64"/>
      <c r="B184" s="65"/>
      <c r="C184" s="45"/>
      <c r="D184" s="46"/>
      <c r="E184" s="47"/>
      <c r="F184" s="48"/>
      <c r="G184" s="45"/>
      <c r="H184" s="41"/>
      <c r="I184" s="23"/>
      <c r="J184" s="24"/>
      <c r="K184" s="24"/>
      <c r="L184" s="24"/>
      <c r="M184" s="429"/>
    </row>
    <row r="185" spans="1:13" s="26" customFormat="1" ht="11" thickBot="1">
      <c r="A185" s="22"/>
      <c r="B185" s="22"/>
      <c r="C185" s="22"/>
      <c r="D185" s="22"/>
      <c r="E185" s="22"/>
      <c r="F185" s="22"/>
      <c r="G185" s="50" t="s">
        <v>40</v>
      </c>
      <c r="H185" s="51">
        <f>SUM(G182:G184)</f>
        <v>0</v>
      </c>
      <c r="I185" s="23"/>
      <c r="J185" s="24"/>
      <c r="K185" s="24"/>
      <c r="L185" s="24"/>
      <c r="M185" s="429"/>
    </row>
    <row r="186" spans="1:13" s="26" customFormat="1" ht="11" thickBot="1">
      <c r="A186" s="437" t="s">
        <v>46</v>
      </c>
      <c r="B186" s="437"/>
      <c r="C186" s="22"/>
      <c r="D186" s="22"/>
      <c r="E186" s="22"/>
      <c r="F186" s="22"/>
      <c r="G186" s="22"/>
      <c r="H186" s="22"/>
      <c r="I186" s="23"/>
      <c r="J186" s="24"/>
      <c r="K186" s="24"/>
      <c r="L186" s="24"/>
      <c r="M186" s="429"/>
    </row>
    <row r="187" spans="1:13" s="26" customFormat="1">
      <c r="A187" s="794" t="s">
        <v>32</v>
      </c>
      <c r="B187" s="795"/>
      <c r="C187" s="796"/>
      <c r="D187" s="34" t="s">
        <v>33</v>
      </c>
      <c r="E187" s="35" t="s">
        <v>34</v>
      </c>
      <c r="F187" s="34" t="s">
        <v>35</v>
      </c>
      <c r="G187" s="36" t="s">
        <v>36</v>
      </c>
      <c r="H187" s="37"/>
      <c r="I187" s="23"/>
      <c r="J187" s="24"/>
      <c r="K187" s="24"/>
      <c r="L187" s="24"/>
      <c r="M187" s="429"/>
    </row>
    <row r="188" spans="1:13" s="26" customFormat="1">
      <c r="A188" s="797" t="s">
        <v>333</v>
      </c>
      <c r="B188" s="803"/>
      <c r="C188" s="804"/>
      <c r="D188" s="444" t="s">
        <v>330</v>
      </c>
      <c r="E188" s="75">
        <f>+E154</f>
        <v>46544.625</v>
      </c>
      <c r="F188" s="432">
        <v>1.5</v>
      </c>
      <c r="G188" s="433">
        <f>E188/F188</f>
        <v>31029.75</v>
      </c>
      <c r="H188" s="41"/>
      <c r="I188" s="23"/>
      <c r="J188" s="24"/>
      <c r="K188" s="24"/>
      <c r="L188" s="24"/>
      <c r="M188" s="429"/>
    </row>
    <row r="189" spans="1:13" s="26" customFormat="1" ht="10.5" thickBot="1">
      <c r="A189" s="790"/>
      <c r="B189" s="791"/>
      <c r="C189" s="792"/>
      <c r="D189" s="67"/>
      <c r="E189" s="47"/>
      <c r="F189" s="68"/>
      <c r="G189" s="48"/>
      <c r="H189" s="49"/>
      <c r="I189" s="23"/>
      <c r="J189" s="24"/>
      <c r="K189" s="24"/>
      <c r="L189" s="24"/>
      <c r="M189" s="429"/>
    </row>
    <row r="190" spans="1:13" s="26" customFormat="1" ht="11" thickBot="1">
      <c r="A190" s="22"/>
      <c r="B190" s="22"/>
      <c r="C190" s="22"/>
      <c r="D190" s="22"/>
      <c r="E190" s="22"/>
      <c r="F190" s="22"/>
      <c r="G190" s="50" t="s">
        <v>40</v>
      </c>
      <c r="H190" s="449">
        <f>SUM(G188:G189)</f>
        <v>31029.75</v>
      </c>
      <c r="I190" s="23"/>
      <c r="J190" s="24"/>
      <c r="K190" s="70">
        <f>H190</f>
        <v>31029.75</v>
      </c>
      <c r="L190" s="24">
        <v>0.31</v>
      </c>
      <c r="M190" s="429">
        <f>K190*L190</f>
        <v>9619.2224999999999</v>
      </c>
    </row>
    <row r="191" spans="1:13" s="26" customFormat="1" ht="10.5" thickBot="1">
      <c r="A191" s="22"/>
      <c r="B191" s="22"/>
      <c r="C191" s="22"/>
      <c r="D191" s="22"/>
      <c r="E191" s="22"/>
      <c r="F191" s="22"/>
      <c r="G191" s="71"/>
      <c r="H191" s="22"/>
      <c r="I191" s="23"/>
      <c r="J191" s="24"/>
      <c r="K191" s="24"/>
      <c r="L191" s="24"/>
      <c r="M191" s="429"/>
    </row>
    <row r="192" spans="1:13" s="26" customFormat="1" ht="11" thickBot="1">
      <c r="A192" s="22"/>
      <c r="B192" s="22"/>
      <c r="C192" s="22"/>
      <c r="D192" s="22"/>
      <c r="E192" s="72" t="s">
        <v>48</v>
      </c>
      <c r="F192" s="73"/>
      <c r="G192" s="73"/>
      <c r="H192" s="51">
        <f>ROUND(H172+H179+H185+H190,0)</f>
        <v>98563</v>
      </c>
      <c r="I192" s="23"/>
      <c r="J192" s="24"/>
      <c r="K192" s="24"/>
      <c r="L192" s="24"/>
      <c r="M192" s="429"/>
    </row>
    <row r="193" spans="1:13" s="26" customFormat="1" ht="10.5">
      <c r="A193" s="22"/>
      <c r="B193" s="22"/>
      <c r="C193" s="22"/>
      <c r="D193" s="22"/>
      <c r="E193" s="72"/>
      <c r="F193" s="73"/>
      <c r="G193" s="73"/>
      <c r="H193" s="452"/>
      <c r="I193" s="23"/>
      <c r="J193" s="24"/>
      <c r="K193" s="24"/>
      <c r="L193" s="24"/>
      <c r="M193" s="429"/>
    </row>
    <row r="194" spans="1:13" s="26" customFormat="1" ht="39" customHeight="1">
      <c r="A194" s="28" t="s">
        <v>26</v>
      </c>
      <c r="B194" s="793" t="s">
        <v>27</v>
      </c>
      <c r="C194" s="793"/>
      <c r="D194" s="793"/>
      <c r="E194" s="793"/>
      <c r="F194" s="793"/>
      <c r="G194" s="29"/>
      <c r="H194" s="30"/>
      <c r="I194" s="23"/>
      <c r="J194" s="24"/>
      <c r="K194" s="24"/>
      <c r="L194" s="24"/>
      <c r="M194" s="429"/>
    </row>
    <row r="195" spans="1:13" s="26" customFormat="1" ht="25.5" customHeight="1">
      <c r="A195" s="31" t="s">
        <v>28</v>
      </c>
      <c r="B195" s="807" t="s">
        <v>55</v>
      </c>
      <c r="C195" s="807"/>
      <c r="D195" s="807"/>
      <c r="E195" s="807"/>
      <c r="F195" s="807"/>
      <c r="G195" s="29" t="s">
        <v>29</v>
      </c>
      <c r="H195" s="74" t="s">
        <v>107</v>
      </c>
      <c r="I195" s="23"/>
      <c r="J195" s="24"/>
      <c r="K195" s="24"/>
      <c r="L195" s="24"/>
      <c r="M195" s="429"/>
    </row>
    <row r="196" spans="1:13" s="26" customFormat="1" ht="10.5">
      <c r="A196" s="29"/>
      <c r="B196" s="29"/>
      <c r="C196" s="32"/>
      <c r="D196" s="29"/>
      <c r="E196" s="29"/>
      <c r="F196" s="29"/>
      <c r="G196" s="29" t="s">
        <v>30</v>
      </c>
      <c r="H196" s="30" t="s">
        <v>1</v>
      </c>
      <c r="I196" s="23"/>
      <c r="J196" s="24"/>
      <c r="K196" s="24"/>
      <c r="L196" s="24"/>
      <c r="M196" s="429"/>
    </row>
    <row r="197" spans="1:13" s="26" customFormat="1" ht="11" thickBot="1">
      <c r="A197" s="33" t="s">
        <v>31</v>
      </c>
      <c r="B197" s="33"/>
      <c r="C197" s="22"/>
      <c r="D197" s="22"/>
      <c r="E197" s="22"/>
      <c r="F197" s="22"/>
      <c r="G197" s="22"/>
      <c r="H197" s="22"/>
      <c r="I197" s="23"/>
      <c r="J197" s="24"/>
      <c r="K197" s="24"/>
      <c r="L197" s="24"/>
      <c r="M197" s="429"/>
    </row>
    <row r="198" spans="1:13" s="26" customFormat="1">
      <c r="A198" s="794" t="s">
        <v>32</v>
      </c>
      <c r="B198" s="795"/>
      <c r="C198" s="796"/>
      <c r="D198" s="34" t="s">
        <v>33</v>
      </c>
      <c r="E198" s="35" t="s">
        <v>34</v>
      </c>
      <c r="F198" s="34" t="s">
        <v>35</v>
      </c>
      <c r="G198" s="36" t="s">
        <v>36</v>
      </c>
      <c r="H198" s="37"/>
      <c r="I198" s="23"/>
      <c r="J198" s="24"/>
      <c r="K198" s="24"/>
      <c r="L198" s="24"/>
      <c r="M198" s="429"/>
    </row>
    <row r="199" spans="1:13" s="26" customFormat="1">
      <c r="A199" s="797" t="s">
        <v>37</v>
      </c>
      <c r="B199" s="803"/>
      <c r="C199" s="804"/>
      <c r="D199" s="430" t="s">
        <v>38</v>
      </c>
      <c r="E199" s="451">
        <f>H231</f>
        <v>155148.75</v>
      </c>
      <c r="F199" s="431">
        <v>0.05</v>
      </c>
      <c r="G199" s="75">
        <f>+E199*F199</f>
        <v>7757.4375</v>
      </c>
      <c r="H199" s="41"/>
      <c r="I199" s="23" t="s">
        <v>335</v>
      </c>
      <c r="J199" s="24"/>
      <c r="K199" s="24"/>
      <c r="L199" s="24"/>
      <c r="M199" s="429"/>
    </row>
    <row r="200" spans="1:13" s="26" customFormat="1">
      <c r="A200" s="797"/>
      <c r="B200" s="803"/>
      <c r="C200" s="804"/>
      <c r="D200" s="434"/>
      <c r="E200" s="435"/>
      <c r="F200" s="453"/>
      <c r="G200" s="433"/>
      <c r="H200" s="41"/>
      <c r="I200" s="23"/>
      <c r="J200" s="24"/>
      <c r="K200" s="24"/>
      <c r="L200" s="24"/>
      <c r="M200" s="429"/>
    </row>
    <row r="201" spans="1:13" s="26" customFormat="1">
      <c r="A201" s="797"/>
      <c r="B201" s="803"/>
      <c r="C201" s="804"/>
      <c r="D201" s="434"/>
      <c r="E201" s="436"/>
      <c r="F201" s="431"/>
      <c r="G201" s="433"/>
      <c r="H201" s="41"/>
      <c r="I201" s="23"/>
      <c r="J201" s="24"/>
      <c r="K201" s="24"/>
      <c r="L201" s="24"/>
      <c r="M201" s="429"/>
    </row>
    <row r="202" spans="1:13" s="26" customFormat="1">
      <c r="A202" s="797"/>
      <c r="B202" s="803"/>
      <c r="C202" s="804"/>
      <c r="D202" s="434"/>
      <c r="E202" s="436"/>
      <c r="F202" s="431"/>
      <c r="G202" s="433"/>
      <c r="H202" s="41"/>
      <c r="I202" s="23"/>
      <c r="J202" s="24"/>
      <c r="K202" s="24"/>
      <c r="L202" s="24"/>
      <c r="M202" s="429"/>
    </row>
    <row r="203" spans="1:13" s="26" customFormat="1" ht="10.5" thickBot="1">
      <c r="A203" s="790"/>
      <c r="B203" s="791"/>
      <c r="C203" s="792"/>
      <c r="D203" s="45"/>
      <c r="E203" s="46"/>
      <c r="F203" s="47"/>
      <c r="G203" s="48"/>
      <c r="H203" s="49"/>
      <c r="I203" s="23"/>
      <c r="J203" s="24"/>
      <c r="K203" s="24"/>
      <c r="L203" s="24"/>
      <c r="M203" s="429"/>
    </row>
    <row r="204" spans="1:13" s="26" customFormat="1" ht="11" thickBot="1">
      <c r="A204" s="22"/>
      <c r="B204" s="22"/>
      <c r="C204" s="22"/>
      <c r="D204" s="22"/>
      <c r="E204" s="22"/>
      <c r="F204" s="22"/>
      <c r="G204" s="50" t="s">
        <v>40</v>
      </c>
      <c r="H204" s="51">
        <f>+G199+G200</f>
        <v>7757.4375</v>
      </c>
      <c r="I204" s="23"/>
      <c r="J204" s="24"/>
      <c r="K204" s="24"/>
      <c r="L204" s="24"/>
      <c r="M204" s="429"/>
    </row>
    <row r="205" spans="1:13" s="26" customFormat="1" ht="11" thickBot="1">
      <c r="A205" s="33" t="s">
        <v>49</v>
      </c>
      <c r="B205" s="33"/>
      <c r="C205" s="22"/>
      <c r="D205" s="22"/>
      <c r="E205" s="22"/>
      <c r="F205" s="22"/>
      <c r="G205" s="22"/>
      <c r="H205" s="22"/>
      <c r="I205" s="23"/>
      <c r="J205" s="24"/>
      <c r="K205" s="24"/>
      <c r="L205" s="24"/>
      <c r="M205" s="429"/>
    </row>
    <row r="206" spans="1:13" s="26" customFormat="1">
      <c r="A206" s="794" t="s">
        <v>32</v>
      </c>
      <c r="B206" s="795"/>
      <c r="C206" s="796"/>
      <c r="D206" s="34" t="s">
        <v>33</v>
      </c>
      <c r="E206" s="34" t="s">
        <v>50</v>
      </c>
      <c r="F206" s="34" t="s">
        <v>51</v>
      </c>
      <c r="G206" s="57" t="s">
        <v>36</v>
      </c>
      <c r="H206" s="37"/>
      <c r="I206" s="23"/>
      <c r="J206" s="24"/>
      <c r="K206" s="24"/>
      <c r="L206" s="24"/>
      <c r="M206" s="429"/>
    </row>
    <row r="207" spans="1:13" s="26" customFormat="1" ht="13.75" customHeight="1">
      <c r="A207" s="797" t="s">
        <v>563</v>
      </c>
      <c r="B207" s="803"/>
      <c r="C207" s="804"/>
      <c r="D207" s="430" t="s">
        <v>1</v>
      </c>
      <c r="E207" s="446">
        <v>90000</v>
      </c>
      <c r="F207" s="431">
        <v>2</v>
      </c>
      <c r="G207" s="454">
        <f>+E207*F207</f>
        <v>180000</v>
      </c>
      <c r="H207" s="41"/>
      <c r="I207" s="23"/>
      <c r="J207" s="24"/>
      <c r="K207" s="24"/>
      <c r="L207" s="24"/>
      <c r="M207" s="429"/>
    </row>
    <row r="208" spans="1:13" s="26" customFormat="1" ht="27.75" customHeight="1">
      <c r="A208" s="810" t="s">
        <v>564</v>
      </c>
      <c r="B208" s="803"/>
      <c r="C208" s="804"/>
      <c r="D208" s="430" t="s">
        <v>1</v>
      </c>
      <c r="E208" s="446">
        <v>335000</v>
      </c>
      <c r="F208" s="431">
        <v>1</v>
      </c>
      <c r="G208" s="454">
        <f t="shared" ref="G208:G219" si="0">+E208*F208</f>
        <v>335000</v>
      </c>
      <c r="H208" s="41"/>
      <c r="I208" s="23"/>
      <c r="J208" s="24"/>
      <c r="K208" s="24"/>
      <c r="L208" s="24"/>
      <c r="M208" s="429"/>
    </row>
    <row r="209" spans="1:13" s="26" customFormat="1" ht="22.5" customHeight="1">
      <c r="A209" s="810" t="s">
        <v>565</v>
      </c>
      <c r="B209" s="803"/>
      <c r="C209" s="804"/>
      <c r="D209" s="430" t="s">
        <v>1</v>
      </c>
      <c r="E209" s="446">
        <v>229000</v>
      </c>
      <c r="F209" s="431">
        <v>1</v>
      </c>
      <c r="G209" s="454">
        <f t="shared" si="0"/>
        <v>229000</v>
      </c>
      <c r="H209" s="41"/>
      <c r="I209" s="23"/>
      <c r="J209" s="24"/>
      <c r="K209" s="24"/>
      <c r="L209" s="24"/>
      <c r="M209" s="429"/>
    </row>
    <row r="210" spans="1:13" s="26" customFormat="1" ht="13.75" customHeight="1">
      <c r="A210" s="797" t="s">
        <v>566</v>
      </c>
      <c r="B210" s="803"/>
      <c r="C210" s="804"/>
      <c r="D210" s="430" t="s">
        <v>1</v>
      </c>
      <c r="E210" s="446">
        <v>45000</v>
      </c>
      <c r="F210" s="431">
        <v>1</v>
      </c>
      <c r="G210" s="454">
        <f t="shared" si="0"/>
        <v>45000</v>
      </c>
      <c r="H210" s="41"/>
      <c r="I210" s="23"/>
      <c r="J210" s="24"/>
      <c r="K210" s="24"/>
      <c r="L210" s="24"/>
      <c r="M210" s="429"/>
    </row>
    <row r="211" spans="1:13" s="26" customFormat="1" ht="23.25" customHeight="1">
      <c r="A211" s="810" t="s">
        <v>567</v>
      </c>
      <c r="B211" s="803"/>
      <c r="C211" s="804"/>
      <c r="D211" s="430" t="s">
        <v>1</v>
      </c>
      <c r="E211" s="446">
        <v>110000</v>
      </c>
      <c r="F211" s="431">
        <v>1</v>
      </c>
      <c r="G211" s="454">
        <f t="shared" si="0"/>
        <v>110000</v>
      </c>
      <c r="H211" s="41"/>
      <c r="I211" s="23"/>
      <c r="J211" s="24"/>
      <c r="K211" s="24"/>
      <c r="L211" s="24"/>
      <c r="M211" s="429"/>
    </row>
    <row r="212" spans="1:13" s="26" customFormat="1" ht="27.75" customHeight="1">
      <c r="A212" s="810" t="s">
        <v>568</v>
      </c>
      <c r="B212" s="803"/>
      <c r="C212" s="804"/>
      <c r="D212" s="430" t="s">
        <v>1</v>
      </c>
      <c r="E212" s="446">
        <v>187000</v>
      </c>
      <c r="F212" s="431">
        <v>1</v>
      </c>
      <c r="G212" s="454">
        <f t="shared" si="0"/>
        <v>187000</v>
      </c>
      <c r="H212" s="41"/>
      <c r="I212" s="23"/>
      <c r="J212" s="24"/>
      <c r="K212" s="24"/>
      <c r="L212" s="24"/>
      <c r="M212" s="429"/>
    </row>
    <row r="213" spans="1:13" s="26" customFormat="1" ht="23.25" customHeight="1">
      <c r="A213" s="810" t="s">
        <v>569</v>
      </c>
      <c r="B213" s="803"/>
      <c r="C213" s="804"/>
      <c r="D213" s="430" t="s">
        <v>1</v>
      </c>
      <c r="E213" s="446">
        <v>130000</v>
      </c>
      <c r="F213" s="431">
        <v>1</v>
      </c>
      <c r="G213" s="454">
        <f t="shared" si="0"/>
        <v>130000</v>
      </c>
      <c r="H213" s="41"/>
      <c r="I213" s="23"/>
      <c r="J213" s="24"/>
      <c r="K213" s="24"/>
      <c r="L213" s="24"/>
      <c r="M213" s="429"/>
    </row>
    <row r="214" spans="1:13" s="26" customFormat="1" ht="26.5" customHeight="1">
      <c r="A214" s="810" t="s">
        <v>570</v>
      </c>
      <c r="B214" s="811"/>
      <c r="C214" s="812"/>
      <c r="D214" s="430" t="s">
        <v>1</v>
      </c>
      <c r="E214" s="446">
        <v>40000</v>
      </c>
      <c r="F214" s="431">
        <v>1</v>
      </c>
      <c r="G214" s="454">
        <f t="shared" si="0"/>
        <v>40000</v>
      </c>
      <c r="H214" s="41"/>
      <c r="I214" s="23"/>
      <c r="J214" s="24"/>
      <c r="K214" s="24"/>
      <c r="L214" s="24"/>
      <c r="M214" s="429"/>
    </row>
    <row r="215" spans="1:13" s="26" customFormat="1" ht="33.65" customHeight="1">
      <c r="A215" s="810" t="s">
        <v>571</v>
      </c>
      <c r="B215" s="811"/>
      <c r="C215" s="812"/>
      <c r="D215" s="430" t="s">
        <v>1</v>
      </c>
      <c r="E215" s="446">
        <v>110000</v>
      </c>
      <c r="F215" s="431">
        <v>1</v>
      </c>
      <c r="G215" s="454">
        <f t="shared" si="0"/>
        <v>110000</v>
      </c>
      <c r="H215" s="41"/>
      <c r="I215" s="23"/>
      <c r="J215" s="24"/>
      <c r="K215" s="24"/>
      <c r="L215" s="24"/>
      <c r="M215" s="429"/>
    </row>
    <row r="216" spans="1:13" s="26" customFormat="1" ht="33.65" customHeight="1">
      <c r="A216" s="810" t="s">
        <v>572</v>
      </c>
      <c r="B216" s="811"/>
      <c r="C216" s="812"/>
      <c r="D216" s="430" t="s">
        <v>1</v>
      </c>
      <c r="E216" s="446">
        <v>255000</v>
      </c>
      <c r="F216" s="431">
        <v>1</v>
      </c>
      <c r="G216" s="454">
        <f t="shared" si="0"/>
        <v>255000</v>
      </c>
      <c r="H216" s="41"/>
      <c r="I216" s="23"/>
      <c r="J216" s="24"/>
      <c r="K216" s="24"/>
      <c r="L216" s="24"/>
      <c r="M216" s="429"/>
    </row>
    <row r="217" spans="1:13" s="26" customFormat="1" ht="33.65" customHeight="1">
      <c r="A217" s="810" t="s">
        <v>573</v>
      </c>
      <c r="B217" s="811"/>
      <c r="C217" s="812"/>
      <c r="D217" s="430" t="s">
        <v>1</v>
      </c>
      <c r="E217" s="446">
        <v>535000</v>
      </c>
      <c r="F217" s="431">
        <v>1</v>
      </c>
      <c r="G217" s="454">
        <f t="shared" si="0"/>
        <v>535000</v>
      </c>
      <c r="H217" s="41"/>
      <c r="I217" s="23"/>
      <c r="J217" s="24"/>
      <c r="K217" s="24"/>
      <c r="L217" s="24"/>
      <c r="M217" s="429"/>
    </row>
    <row r="218" spans="1:13" s="26" customFormat="1">
      <c r="A218" s="797" t="s">
        <v>331</v>
      </c>
      <c r="B218" s="803"/>
      <c r="C218" s="804"/>
      <c r="D218" s="430" t="s">
        <v>186</v>
      </c>
      <c r="E218" s="447">
        <f>+E176</f>
        <v>520639</v>
      </c>
      <c r="F218" s="448">
        <f>0.25*1.05</f>
        <v>0.26250000000000001</v>
      </c>
      <c r="G218" s="433">
        <f>+E218*F218</f>
        <v>136667.73750000002</v>
      </c>
      <c r="H218" s="41"/>
      <c r="I218" s="23"/>
      <c r="J218" s="24"/>
      <c r="K218" s="24"/>
      <c r="L218" s="24"/>
      <c r="M218" s="429"/>
    </row>
    <row r="219" spans="1:13" s="26" customFormat="1" ht="13.75" customHeight="1" thickBot="1">
      <c r="A219" s="790" t="s">
        <v>332</v>
      </c>
      <c r="B219" s="791"/>
      <c r="C219" s="792"/>
      <c r="D219" s="45" t="s">
        <v>2</v>
      </c>
      <c r="E219" s="455">
        <f>+E77</f>
        <v>2400</v>
      </c>
      <c r="F219" s="47">
        <f>2*F218</f>
        <v>0.52500000000000002</v>
      </c>
      <c r="G219" s="69">
        <f t="shared" si="0"/>
        <v>1260</v>
      </c>
      <c r="H219" s="41"/>
      <c r="I219" s="23"/>
      <c r="J219" s="24"/>
      <c r="K219" s="24"/>
      <c r="L219" s="24"/>
      <c r="M219" s="429"/>
    </row>
    <row r="220" spans="1:13" s="26" customFormat="1" ht="11" thickBot="1">
      <c r="A220" s="22"/>
      <c r="B220" s="22"/>
      <c r="C220" s="22"/>
      <c r="D220" s="22"/>
      <c r="E220" s="22"/>
      <c r="F220" s="22"/>
      <c r="G220" s="50" t="s">
        <v>40</v>
      </c>
      <c r="H220" s="51">
        <f>SUM(G207:G219)</f>
        <v>2293927.7374999998</v>
      </c>
      <c r="I220" s="23"/>
      <c r="J220" s="24"/>
      <c r="K220" s="24"/>
      <c r="L220" s="24"/>
      <c r="M220" s="429"/>
    </row>
    <row r="221" spans="1:13" s="26" customFormat="1" ht="11" thickBot="1">
      <c r="A221" s="437" t="s">
        <v>41</v>
      </c>
      <c r="B221" s="437"/>
      <c r="C221" s="438"/>
      <c r="D221" s="22"/>
      <c r="E221" s="22"/>
      <c r="F221" s="22"/>
      <c r="G221" s="22"/>
      <c r="H221" s="22"/>
      <c r="I221" s="23"/>
      <c r="J221" s="24"/>
      <c r="K221" s="24"/>
      <c r="L221" s="24"/>
      <c r="M221" s="429"/>
    </row>
    <row r="222" spans="1:13" s="26" customFormat="1">
      <c r="A222" s="54"/>
      <c r="B222" s="55"/>
      <c r="C222" s="56" t="s">
        <v>54</v>
      </c>
      <c r="D222" s="34" t="s">
        <v>43</v>
      </c>
      <c r="E222" s="34" t="s">
        <v>339</v>
      </c>
      <c r="F222" s="34" t="s">
        <v>45</v>
      </c>
      <c r="G222" s="57" t="s">
        <v>36</v>
      </c>
      <c r="H222" s="37"/>
      <c r="I222" s="23"/>
      <c r="J222" s="24"/>
      <c r="K222" s="24"/>
      <c r="L222" s="24"/>
      <c r="M222" s="429"/>
    </row>
    <row r="223" spans="1:13" s="26" customFormat="1">
      <c r="A223" s="808"/>
      <c r="B223" s="809"/>
      <c r="C223" s="440"/>
      <c r="D223" s="440"/>
      <c r="E223" s="440"/>
      <c r="F223" s="441"/>
      <c r="G223" s="431"/>
      <c r="H223" s="41"/>
      <c r="I223" s="23"/>
      <c r="J223" s="24"/>
      <c r="K223" s="24"/>
      <c r="L223" s="24"/>
      <c r="M223" s="429"/>
    </row>
    <row r="224" spans="1:13" s="26" customFormat="1">
      <c r="A224" s="58"/>
      <c r="B224" s="439"/>
      <c r="C224" s="442"/>
      <c r="D224" s="430"/>
      <c r="E224" s="443"/>
      <c r="F224" s="431"/>
      <c r="G224" s="431"/>
      <c r="H224" s="41"/>
      <c r="I224" s="23"/>
      <c r="J224" s="24"/>
      <c r="K224" s="24"/>
      <c r="L224" s="24"/>
      <c r="M224" s="429"/>
    </row>
    <row r="225" spans="1:14" s="26" customFormat="1" ht="10.5" thickBot="1">
      <c r="A225" s="64"/>
      <c r="B225" s="65"/>
      <c r="C225" s="45"/>
      <c r="D225" s="46"/>
      <c r="E225" s="47"/>
      <c r="F225" s="48"/>
      <c r="G225" s="45"/>
      <c r="H225" s="41"/>
      <c r="I225" s="23"/>
      <c r="J225" s="24"/>
      <c r="K225" s="24"/>
      <c r="L225" s="24"/>
      <c r="M225" s="429"/>
    </row>
    <row r="226" spans="1:14" s="26" customFormat="1" ht="11" thickBot="1">
      <c r="A226" s="22"/>
      <c r="B226" s="22"/>
      <c r="C226" s="22"/>
      <c r="D226" s="22"/>
      <c r="E226" s="22"/>
      <c r="F226" s="22"/>
      <c r="G226" s="50" t="s">
        <v>40</v>
      </c>
      <c r="H226" s="51">
        <f>+G223</f>
        <v>0</v>
      </c>
      <c r="I226" s="23"/>
      <c r="J226" s="24"/>
      <c r="K226" s="24"/>
      <c r="L226" s="24"/>
      <c r="M226" s="429"/>
    </row>
    <row r="227" spans="1:14" s="26" customFormat="1" ht="11" thickBot="1">
      <c r="A227" s="437" t="s">
        <v>46</v>
      </c>
      <c r="B227" s="437"/>
      <c r="C227" s="22"/>
      <c r="D227" s="22"/>
      <c r="E227" s="22"/>
      <c r="F227" s="22"/>
      <c r="G227" s="22"/>
      <c r="H227" s="22"/>
      <c r="I227" s="23"/>
      <c r="J227" s="24"/>
      <c r="K227" s="24"/>
      <c r="L227" s="24"/>
      <c r="M227" s="429"/>
    </row>
    <row r="228" spans="1:14" s="26" customFormat="1">
      <c r="A228" s="794" t="s">
        <v>32</v>
      </c>
      <c r="B228" s="795"/>
      <c r="C228" s="796"/>
      <c r="D228" s="34" t="s">
        <v>33</v>
      </c>
      <c r="E228" s="35" t="s">
        <v>34</v>
      </c>
      <c r="F228" s="34" t="s">
        <v>35</v>
      </c>
      <c r="G228" s="57" t="s">
        <v>36</v>
      </c>
      <c r="H228" s="37"/>
      <c r="I228" s="23"/>
      <c r="J228" s="24"/>
      <c r="K228" s="24"/>
      <c r="L228" s="24"/>
      <c r="M228" s="429"/>
    </row>
    <row r="229" spans="1:14" s="26" customFormat="1">
      <c r="A229" s="797" t="s">
        <v>333</v>
      </c>
      <c r="B229" s="803"/>
      <c r="C229" s="804"/>
      <c r="D229" s="444" t="s">
        <v>330</v>
      </c>
      <c r="E229" s="445">
        <f>+E188</f>
        <v>46544.625</v>
      </c>
      <c r="F229" s="432">
        <v>0.3</v>
      </c>
      <c r="G229" s="433">
        <f>E229/F229</f>
        <v>155148.75</v>
      </c>
      <c r="H229" s="41"/>
      <c r="I229" s="23"/>
      <c r="J229" s="24"/>
      <c r="K229" s="24"/>
      <c r="L229" s="24"/>
      <c r="M229" s="429"/>
    </row>
    <row r="230" spans="1:14" s="26" customFormat="1" ht="10.5" thickBot="1">
      <c r="A230" s="790"/>
      <c r="B230" s="791"/>
      <c r="C230" s="792"/>
      <c r="D230" s="67"/>
      <c r="E230" s="47"/>
      <c r="F230" s="68"/>
      <c r="G230" s="69"/>
      <c r="H230" s="41"/>
      <c r="I230" s="23"/>
      <c r="J230" s="24"/>
      <c r="K230" s="24"/>
      <c r="L230" s="24"/>
      <c r="M230" s="429"/>
    </row>
    <row r="231" spans="1:14" s="26" customFormat="1" ht="11" thickBot="1">
      <c r="A231" s="22"/>
      <c r="B231" s="22"/>
      <c r="C231" s="22"/>
      <c r="D231" s="22"/>
      <c r="E231" s="22"/>
      <c r="F231" s="22"/>
      <c r="G231" s="50" t="s">
        <v>40</v>
      </c>
      <c r="H231" s="51">
        <f>SUM(G229:G230)</f>
        <v>155148.75</v>
      </c>
      <c r="I231" s="23"/>
      <c r="J231" s="24"/>
      <c r="K231" s="70">
        <f>H231</f>
        <v>155148.75</v>
      </c>
      <c r="L231" s="24">
        <v>1</v>
      </c>
      <c r="M231" s="429">
        <f>K231*L231</f>
        <v>155148.75</v>
      </c>
    </row>
    <row r="232" spans="1:14" s="26" customFormat="1" ht="10.5" thickBot="1">
      <c r="A232" s="22"/>
      <c r="B232" s="22"/>
      <c r="C232" s="22"/>
      <c r="D232" s="22"/>
      <c r="E232" s="22"/>
      <c r="F232" s="22"/>
      <c r="G232" s="71"/>
      <c r="H232" s="22"/>
      <c r="I232" s="23"/>
      <c r="J232" s="24"/>
      <c r="K232" s="24"/>
      <c r="L232" s="24"/>
      <c r="M232" s="429"/>
    </row>
    <row r="233" spans="1:14" s="26" customFormat="1" ht="11" thickBot="1">
      <c r="A233" s="22"/>
      <c r="B233" s="22"/>
      <c r="C233" s="22"/>
      <c r="D233" s="22"/>
      <c r="E233" s="72" t="s">
        <v>48</v>
      </c>
      <c r="F233" s="73"/>
      <c r="G233" s="73"/>
      <c r="H233" s="51">
        <f>ROUND(H204+H220+H226+H231,0)</f>
        <v>2456834</v>
      </c>
      <c r="I233" s="23"/>
      <c r="J233" s="79"/>
      <c r="K233" s="24"/>
      <c r="L233" s="24"/>
      <c r="M233" s="429"/>
    </row>
    <row r="235" spans="1:14" s="26" customFormat="1" ht="39" customHeight="1">
      <c r="A235" s="28" t="s">
        <v>26</v>
      </c>
      <c r="B235" s="793" t="s">
        <v>27</v>
      </c>
      <c r="C235" s="793"/>
      <c r="D235" s="793"/>
      <c r="E235" s="793"/>
      <c r="F235" s="793"/>
      <c r="G235" s="29"/>
      <c r="H235" s="30"/>
      <c r="I235" s="23"/>
      <c r="J235" s="24"/>
      <c r="K235" s="24"/>
      <c r="L235" s="24"/>
      <c r="M235" s="456">
        <f>SUM(M2:M234)</f>
        <v>382414.08750000002</v>
      </c>
      <c r="N235" s="457">
        <f>+M235*1.28</f>
        <v>489490.03200000006</v>
      </c>
    </row>
    <row r="236" spans="1:14" s="26" customFormat="1" ht="25.5" customHeight="1">
      <c r="A236" s="31" t="s">
        <v>28</v>
      </c>
      <c r="B236" s="807" t="s">
        <v>278</v>
      </c>
      <c r="C236" s="807"/>
      <c r="D236" s="807"/>
      <c r="E236" s="807"/>
      <c r="F236" s="807"/>
      <c r="G236" s="29" t="s">
        <v>29</v>
      </c>
      <c r="H236" s="74" t="s">
        <v>120</v>
      </c>
      <c r="I236" s="23"/>
      <c r="J236" s="24"/>
      <c r="K236" s="24"/>
      <c r="L236" s="24"/>
      <c r="M236" s="429"/>
    </row>
    <row r="237" spans="1:14" s="26" customFormat="1" ht="10.5">
      <c r="A237" s="29"/>
      <c r="B237" s="29"/>
      <c r="C237" s="32"/>
      <c r="D237" s="29"/>
      <c r="E237" s="29"/>
      <c r="F237" s="29"/>
      <c r="G237" s="29" t="s">
        <v>30</v>
      </c>
      <c r="H237" s="30" t="s">
        <v>1</v>
      </c>
      <c r="I237" s="23"/>
      <c r="J237" s="24"/>
      <c r="K237" s="24"/>
      <c r="L237" s="24"/>
      <c r="M237" s="429"/>
    </row>
    <row r="238" spans="1:14" s="26" customFormat="1" ht="11" thickBot="1">
      <c r="A238" s="33" t="s">
        <v>31</v>
      </c>
      <c r="B238" s="33"/>
      <c r="C238" s="22"/>
      <c r="D238" s="22"/>
      <c r="E238" s="22"/>
      <c r="F238" s="22"/>
      <c r="G238" s="22"/>
      <c r="H238" s="22"/>
      <c r="I238" s="23"/>
      <c r="J238" s="24"/>
      <c r="K238" s="24"/>
      <c r="L238" s="24"/>
      <c r="M238" s="429"/>
    </row>
    <row r="239" spans="1:14" s="26" customFormat="1">
      <c r="A239" s="794" t="s">
        <v>32</v>
      </c>
      <c r="B239" s="795"/>
      <c r="C239" s="796"/>
      <c r="D239" s="34" t="s">
        <v>33</v>
      </c>
      <c r="E239" s="35" t="s">
        <v>34</v>
      </c>
      <c r="F239" s="34" t="s">
        <v>35</v>
      </c>
      <c r="G239" s="36" t="s">
        <v>36</v>
      </c>
      <c r="H239" s="37"/>
      <c r="I239" s="23"/>
      <c r="J239" s="24"/>
      <c r="K239" s="24"/>
      <c r="L239" s="24"/>
      <c r="M239" s="429"/>
    </row>
    <row r="240" spans="1:14" s="26" customFormat="1">
      <c r="A240" s="797" t="s">
        <v>340</v>
      </c>
      <c r="B240" s="803"/>
      <c r="C240" s="804"/>
      <c r="D240" s="430">
        <v>1</v>
      </c>
      <c r="E240" s="431">
        <v>30000</v>
      </c>
      <c r="F240" s="431">
        <v>1</v>
      </c>
      <c r="G240" s="75">
        <f>+E240*F240</f>
        <v>30000</v>
      </c>
      <c r="H240" s="41"/>
      <c r="I240" s="23"/>
      <c r="J240" s="24"/>
      <c r="K240" s="24"/>
      <c r="L240" s="24"/>
      <c r="M240" s="429"/>
    </row>
    <row r="241" spans="1:13" s="26" customFormat="1" ht="10.5" thickBot="1">
      <c r="A241" s="790"/>
      <c r="B241" s="791"/>
      <c r="C241" s="792"/>
      <c r="D241" s="45"/>
      <c r="E241" s="46"/>
      <c r="F241" s="47"/>
      <c r="G241" s="48"/>
      <c r="H241" s="49"/>
      <c r="I241" s="23"/>
      <c r="J241" s="24"/>
      <c r="K241" s="24"/>
      <c r="L241" s="24"/>
      <c r="M241" s="429"/>
    </row>
    <row r="242" spans="1:13" s="26" customFormat="1" ht="11" thickBot="1">
      <c r="A242" s="22"/>
      <c r="B242" s="22"/>
      <c r="C242" s="22"/>
      <c r="D242" s="22"/>
      <c r="E242" s="22"/>
      <c r="F242" s="22"/>
      <c r="G242" s="50" t="s">
        <v>40</v>
      </c>
      <c r="H242" s="51">
        <f>+G240*D240</f>
        <v>30000</v>
      </c>
      <c r="I242" s="23"/>
      <c r="J242" s="24"/>
      <c r="K242" s="24"/>
      <c r="L242" s="24"/>
      <c r="M242" s="429"/>
    </row>
    <row r="243" spans="1:13" s="26" customFormat="1" ht="11" thickBot="1">
      <c r="A243" s="33" t="s">
        <v>49</v>
      </c>
      <c r="B243" s="33"/>
      <c r="C243" s="22"/>
      <c r="D243" s="22"/>
      <c r="E243" s="22"/>
      <c r="F243" s="22"/>
      <c r="G243" s="22"/>
      <c r="H243" s="22"/>
      <c r="I243" s="23"/>
      <c r="J243" s="24"/>
      <c r="K243" s="24"/>
      <c r="L243" s="24"/>
      <c r="M243" s="429"/>
    </row>
    <row r="244" spans="1:13" s="26" customFormat="1">
      <c r="A244" s="794" t="s">
        <v>32</v>
      </c>
      <c r="B244" s="795"/>
      <c r="C244" s="796"/>
      <c r="D244" s="34" t="s">
        <v>33</v>
      </c>
      <c r="E244" s="34" t="s">
        <v>50</v>
      </c>
      <c r="F244" s="34" t="s">
        <v>51</v>
      </c>
      <c r="G244" s="57" t="s">
        <v>36</v>
      </c>
      <c r="H244" s="37"/>
      <c r="I244" s="23"/>
      <c r="J244" s="24"/>
      <c r="K244" s="24"/>
      <c r="L244" s="24"/>
      <c r="M244" s="429"/>
    </row>
    <row r="245" spans="1:13" s="26" customFormat="1" ht="13.75" customHeight="1">
      <c r="A245" s="797" t="s">
        <v>341</v>
      </c>
      <c r="B245" s="803"/>
      <c r="C245" s="804"/>
      <c r="D245" s="430" t="s">
        <v>1</v>
      </c>
      <c r="E245" s="446">
        <v>20000</v>
      </c>
      <c r="F245" s="431">
        <v>1</v>
      </c>
      <c r="G245" s="454">
        <f>+E245*F245</f>
        <v>20000</v>
      </c>
      <c r="H245" s="41"/>
      <c r="I245" s="23"/>
      <c r="J245" s="24"/>
      <c r="K245" s="24"/>
      <c r="L245" s="24"/>
      <c r="M245" s="429"/>
    </row>
    <row r="246" spans="1:13" s="26" customFormat="1" ht="13.75" customHeight="1" thickBot="1">
      <c r="A246" s="790" t="s">
        <v>66</v>
      </c>
      <c r="B246" s="791"/>
      <c r="C246" s="792"/>
      <c r="D246" s="45" t="s">
        <v>1</v>
      </c>
      <c r="E246" s="455">
        <v>2000</v>
      </c>
      <c r="F246" s="47">
        <v>5</v>
      </c>
      <c r="G246" s="69">
        <f>+E246*F246</f>
        <v>10000</v>
      </c>
      <c r="H246" s="41"/>
      <c r="I246" s="23"/>
      <c r="J246" s="24"/>
      <c r="K246" s="24"/>
      <c r="L246" s="24"/>
      <c r="M246" s="429"/>
    </row>
    <row r="247" spans="1:13" s="26" customFormat="1" ht="11" thickBot="1">
      <c r="A247" s="22"/>
      <c r="B247" s="22"/>
      <c r="C247" s="22"/>
      <c r="D247" s="22"/>
      <c r="E247" s="22"/>
      <c r="F247" s="22"/>
      <c r="G247" s="50" t="s">
        <v>40</v>
      </c>
      <c r="H247" s="51">
        <f>SUM(G245:G246)</f>
        <v>30000</v>
      </c>
      <c r="I247" s="23"/>
      <c r="J247" s="24"/>
      <c r="K247" s="24"/>
      <c r="L247" s="24"/>
      <c r="M247" s="429"/>
    </row>
    <row r="248" spans="1:13" s="26" customFormat="1" ht="11" thickBot="1">
      <c r="A248" s="437" t="s">
        <v>41</v>
      </c>
      <c r="B248" s="437"/>
      <c r="C248" s="438"/>
      <c r="D248" s="22"/>
      <c r="E248" s="22"/>
      <c r="F248" s="22"/>
      <c r="G248" s="22"/>
      <c r="H248" s="22"/>
      <c r="I248" s="23"/>
      <c r="J248" s="24"/>
      <c r="K248" s="24"/>
      <c r="L248" s="24"/>
      <c r="M248" s="429"/>
    </row>
    <row r="249" spans="1:13" s="26" customFormat="1">
      <c r="A249" s="54"/>
      <c r="B249" s="55"/>
      <c r="C249" s="56" t="s">
        <v>54</v>
      </c>
      <c r="D249" s="34" t="s">
        <v>43</v>
      </c>
      <c r="E249" s="34" t="s">
        <v>339</v>
      </c>
      <c r="F249" s="34" t="s">
        <v>45</v>
      </c>
      <c r="G249" s="57" t="s">
        <v>36</v>
      </c>
      <c r="H249" s="37"/>
      <c r="I249" s="23"/>
      <c r="J249" s="24"/>
      <c r="K249" s="24"/>
      <c r="L249" s="24"/>
      <c r="M249" s="429"/>
    </row>
    <row r="250" spans="1:13" s="26" customFormat="1">
      <c r="A250" s="808"/>
      <c r="B250" s="809"/>
      <c r="C250" s="440"/>
      <c r="D250" s="440"/>
      <c r="E250" s="440"/>
      <c r="F250" s="441"/>
      <c r="G250" s="431"/>
      <c r="H250" s="41"/>
      <c r="I250" s="23"/>
      <c r="J250" s="24"/>
      <c r="K250" s="24"/>
      <c r="L250" s="24"/>
      <c r="M250" s="429"/>
    </row>
    <row r="251" spans="1:13" s="26" customFormat="1">
      <c r="A251" s="58"/>
      <c r="B251" s="439"/>
      <c r="C251" s="442"/>
      <c r="D251" s="430"/>
      <c r="E251" s="443"/>
      <c r="F251" s="431"/>
      <c r="G251" s="431"/>
      <c r="H251" s="41"/>
      <c r="I251" s="23"/>
      <c r="J251" s="24"/>
      <c r="K251" s="24"/>
      <c r="L251" s="24"/>
      <c r="M251" s="429"/>
    </row>
    <row r="252" spans="1:13" s="26" customFormat="1" ht="10.5" thickBot="1">
      <c r="A252" s="64"/>
      <c r="B252" s="65"/>
      <c r="C252" s="45"/>
      <c r="D252" s="46"/>
      <c r="E252" s="47"/>
      <c r="F252" s="48"/>
      <c r="G252" s="45"/>
      <c r="H252" s="41"/>
      <c r="I252" s="23"/>
      <c r="J252" s="24"/>
      <c r="K252" s="24"/>
      <c r="L252" s="24"/>
      <c r="M252" s="429"/>
    </row>
    <row r="253" spans="1:13" s="26" customFormat="1" ht="11" thickBot="1">
      <c r="A253" s="22"/>
      <c r="B253" s="22"/>
      <c r="C253" s="22"/>
      <c r="D253" s="22"/>
      <c r="E253" s="22"/>
      <c r="F253" s="22"/>
      <c r="G253" s="50" t="s">
        <v>40</v>
      </c>
      <c r="H253" s="51">
        <f>+G250</f>
        <v>0</v>
      </c>
      <c r="I253" s="23"/>
      <c r="J253" s="24"/>
      <c r="K253" s="24"/>
      <c r="L253" s="24"/>
      <c r="M253" s="429"/>
    </row>
    <row r="254" spans="1:13" s="26" customFormat="1" ht="11" thickBot="1">
      <c r="A254" s="437" t="s">
        <v>46</v>
      </c>
      <c r="B254" s="437"/>
      <c r="C254" s="22"/>
      <c r="D254" s="22"/>
      <c r="E254" s="22"/>
      <c r="F254" s="22"/>
      <c r="G254" s="22"/>
      <c r="H254" s="22"/>
      <c r="I254" s="23"/>
      <c r="J254" s="24"/>
      <c r="K254" s="24"/>
      <c r="L254" s="24"/>
      <c r="M254" s="429"/>
    </row>
    <row r="255" spans="1:13" s="26" customFormat="1">
      <c r="A255" s="794" t="s">
        <v>32</v>
      </c>
      <c r="B255" s="795"/>
      <c r="C255" s="796"/>
      <c r="D255" s="34" t="s">
        <v>33</v>
      </c>
      <c r="E255" s="35" t="s">
        <v>34</v>
      </c>
      <c r="F255" s="34" t="s">
        <v>35</v>
      </c>
      <c r="G255" s="57" t="s">
        <v>36</v>
      </c>
      <c r="H255" s="37"/>
      <c r="I255" s="23"/>
      <c r="J255" s="24"/>
      <c r="K255" s="24"/>
      <c r="L255" s="24"/>
      <c r="M255" s="429"/>
    </row>
    <row r="256" spans="1:13" s="26" customFormat="1">
      <c r="A256" s="797" t="s">
        <v>399</v>
      </c>
      <c r="B256" s="803"/>
      <c r="C256" s="804"/>
      <c r="D256" s="444">
        <v>2</v>
      </c>
      <c r="E256" s="75">
        <v>75000</v>
      </c>
      <c r="F256" s="448">
        <v>1</v>
      </c>
      <c r="G256" s="454">
        <f>E256*F256*D256</f>
        <v>150000</v>
      </c>
      <c r="H256" s="41"/>
      <c r="I256" s="23"/>
      <c r="J256" s="24"/>
      <c r="K256" s="24"/>
      <c r="L256" s="24"/>
      <c r="M256" s="429"/>
    </row>
    <row r="257" spans="1:13" s="26" customFormat="1" ht="10.5" thickBot="1">
      <c r="A257" s="790"/>
      <c r="B257" s="791"/>
      <c r="C257" s="792"/>
      <c r="D257" s="67"/>
      <c r="E257" s="47"/>
      <c r="F257" s="68"/>
      <c r="G257" s="69"/>
      <c r="H257" s="41"/>
      <c r="I257" s="23"/>
      <c r="J257" s="24"/>
      <c r="K257" s="24"/>
      <c r="L257" s="24"/>
      <c r="M257" s="429"/>
    </row>
    <row r="258" spans="1:13" s="26" customFormat="1" ht="11" thickBot="1">
      <c r="A258" s="22"/>
      <c r="B258" s="22"/>
      <c r="C258" s="22"/>
      <c r="D258" s="22"/>
      <c r="E258" s="22"/>
      <c r="F258" s="22"/>
      <c r="G258" s="50" t="s">
        <v>40</v>
      </c>
      <c r="H258" s="51">
        <f>SUM(G256:G257)</f>
        <v>150000</v>
      </c>
      <c r="I258" s="23"/>
      <c r="J258" s="24"/>
      <c r="K258" s="24">
        <v>150000</v>
      </c>
      <c r="L258" s="24"/>
      <c r="M258" s="429"/>
    </row>
    <row r="259" spans="1:13" s="26" customFormat="1" ht="10.5" thickBot="1">
      <c r="A259" s="22"/>
      <c r="B259" s="22"/>
      <c r="C259" s="22"/>
      <c r="D259" s="22"/>
      <c r="E259" s="22"/>
      <c r="F259" s="22"/>
      <c r="G259" s="71"/>
      <c r="H259" s="22"/>
      <c r="I259" s="23"/>
      <c r="J259" s="24"/>
      <c r="K259" s="24"/>
      <c r="L259" s="24"/>
      <c r="M259" s="429"/>
    </row>
    <row r="260" spans="1:13" s="26" customFormat="1" ht="11" thickBot="1">
      <c r="A260" s="22"/>
      <c r="B260" s="22"/>
      <c r="C260" s="22"/>
      <c r="D260" s="22"/>
      <c r="E260" s="72" t="s">
        <v>48</v>
      </c>
      <c r="F260" s="73"/>
      <c r="G260" s="73"/>
      <c r="H260" s="51">
        <f>ROUND(H242+H247+H253+H258,0)</f>
        <v>210000</v>
      </c>
      <c r="I260" s="23">
        <f>H260/25</f>
        <v>8400</v>
      </c>
      <c r="J260" s="79"/>
      <c r="K260" s="24">
        <v>325000</v>
      </c>
      <c r="L260" s="24"/>
      <c r="M260" s="429"/>
    </row>
    <row r="261" spans="1:13" s="26" customFormat="1" ht="10.5">
      <c r="A261" s="22"/>
      <c r="B261" s="22"/>
      <c r="C261" s="22"/>
      <c r="D261" s="22"/>
      <c r="E261" s="72"/>
      <c r="F261" s="73"/>
      <c r="G261" s="73"/>
      <c r="H261" s="452"/>
      <c r="I261" s="23"/>
      <c r="J261" s="79"/>
      <c r="K261" s="24"/>
      <c r="L261" s="24"/>
      <c r="M261" s="429"/>
    </row>
    <row r="262" spans="1:13" s="26" customFormat="1" ht="39" customHeight="1">
      <c r="A262" s="28" t="s">
        <v>26</v>
      </c>
      <c r="B262" s="793" t="s">
        <v>27</v>
      </c>
      <c r="C262" s="793"/>
      <c r="D262" s="793"/>
      <c r="E262" s="793"/>
      <c r="F262" s="793"/>
      <c r="G262" s="29"/>
      <c r="H262" s="30"/>
      <c r="I262" s="23"/>
      <c r="J262" s="24"/>
      <c r="K262" s="24"/>
      <c r="L262" s="24"/>
      <c r="M262" s="429"/>
    </row>
    <row r="263" spans="1:13" s="26" customFormat="1" ht="25.5" customHeight="1">
      <c r="A263" s="31" t="s">
        <v>28</v>
      </c>
      <c r="B263" s="807" t="s">
        <v>286</v>
      </c>
      <c r="C263" s="807"/>
      <c r="D263" s="807"/>
      <c r="E263" s="807"/>
      <c r="F263" s="807"/>
      <c r="G263" s="29" t="s">
        <v>29</v>
      </c>
      <c r="H263" s="74" t="s">
        <v>342</v>
      </c>
      <c r="I263" s="23"/>
      <c r="J263" s="24"/>
      <c r="K263" s="24" t="s">
        <v>342</v>
      </c>
      <c r="L263" s="24"/>
      <c r="M263" s="429"/>
    </row>
    <row r="264" spans="1:13" s="26" customFormat="1" ht="10.5">
      <c r="A264" s="29"/>
      <c r="B264" s="29"/>
      <c r="C264" s="32"/>
      <c r="D264" s="29"/>
      <c r="E264" s="29"/>
      <c r="F264" s="29"/>
      <c r="G264" s="29" t="s">
        <v>30</v>
      </c>
      <c r="H264" s="30" t="s">
        <v>1</v>
      </c>
      <c r="I264" s="23"/>
      <c r="J264" s="24"/>
      <c r="K264" s="24" t="s">
        <v>1</v>
      </c>
      <c r="L264" s="24"/>
      <c r="M264" s="429"/>
    </row>
    <row r="265" spans="1:13" s="26" customFormat="1" ht="11" thickBot="1">
      <c r="A265" s="33" t="s">
        <v>31</v>
      </c>
      <c r="B265" s="33"/>
      <c r="C265" s="22"/>
      <c r="D265" s="22"/>
      <c r="E265" s="22"/>
      <c r="F265" s="22"/>
      <c r="G265" s="22"/>
      <c r="H265" s="22"/>
      <c r="I265" s="23"/>
      <c r="J265" s="24"/>
      <c r="K265" s="24"/>
      <c r="L265" s="24"/>
      <c r="M265" s="429"/>
    </row>
    <row r="266" spans="1:13" s="26" customFormat="1">
      <c r="A266" s="794" t="s">
        <v>32</v>
      </c>
      <c r="B266" s="795"/>
      <c r="C266" s="796"/>
      <c r="D266" s="34" t="s">
        <v>33</v>
      </c>
      <c r="E266" s="35" t="s">
        <v>34</v>
      </c>
      <c r="F266" s="34" t="s">
        <v>35</v>
      </c>
      <c r="G266" s="36" t="s">
        <v>36</v>
      </c>
      <c r="H266" s="37"/>
      <c r="I266" s="23"/>
      <c r="J266" s="24"/>
      <c r="K266" s="24"/>
      <c r="L266" s="24"/>
      <c r="M266" s="429"/>
    </row>
    <row r="267" spans="1:13" s="26" customFormat="1">
      <c r="A267" s="797"/>
      <c r="B267" s="803"/>
      <c r="C267" s="804"/>
      <c r="D267" s="430"/>
      <c r="E267" s="431"/>
      <c r="F267" s="431"/>
      <c r="G267" s="75"/>
      <c r="H267" s="41"/>
      <c r="I267" s="23"/>
      <c r="J267" s="24"/>
      <c r="K267" s="24"/>
      <c r="L267" s="24"/>
      <c r="M267" s="429"/>
    </row>
    <row r="268" spans="1:13" s="26" customFormat="1" ht="10.5" thickBot="1">
      <c r="A268" s="790"/>
      <c r="B268" s="791"/>
      <c r="C268" s="792"/>
      <c r="D268" s="45"/>
      <c r="E268" s="46"/>
      <c r="F268" s="47"/>
      <c r="G268" s="48"/>
      <c r="H268" s="49"/>
      <c r="I268" s="23"/>
      <c r="J268" s="24"/>
      <c r="K268" s="24"/>
      <c r="L268" s="24"/>
      <c r="M268" s="429"/>
    </row>
    <row r="269" spans="1:13" s="26" customFormat="1" ht="11" thickBot="1">
      <c r="A269" s="22"/>
      <c r="B269" s="22"/>
      <c r="C269" s="22"/>
      <c r="D269" s="22"/>
      <c r="E269" s="22"/>
      <c r="F269" s="22"/>
      <c r="G269" s="50" t="s">
        <v>40</v>
      </c>
      <c r="H269" s="51">
        <f>+G267*D267</f>
        <v>0</v>
      </c>
      <c r="I269" s="23"/>
      <c r="J269" s="24"/>
      <c r="K269" s="24">
        <v>0</v>
      </c>
      <c r="L269" s="24"/>
      <c r="M269" s="429"/>
    </row>
    <row r="270" spans="1:13" s="26" customFormat="1" ht="11" thickBot="1">
      <c r="A270" s="33" t="s">
        <v>49</v>
      </c>
      <c r="B270" s="33"/>
      <c r="C270" s="22"/>
      <c r="D270" s="22"/>
      <c r="E270" s="22"/>
      <c r="F270" s="22"/>
      <c r="G270" s="22"/>
      <c r="H270" s="22"/>
      <c r="I270" s="23"/>
      <c r="J270" s="24"/>
      <c r="K270" s="24"/>
      <c r="L270" s="24"/>
      <c r="M270" s="429"/>
    </row>
    <row r="271" spans="1:13" s="26" customFormat="1">
      <c r="A271" s="794" t="s">
        <v>32</v>
      </c>
      <c r="B271" s="795"/>
      <c r="C271" s="796"/>
      <c r="D271" s="34" t="s">
        <v>33</v>
      </c>
      <c r="E271" s="34" t="s">
        <v>50</v>
      </c>
      <c r="F271" s="34" t="s">
        <v>51</v>
      </c>
      <c r="G271" s="57" t="s">
        <v>36</v>
      </c>
      <c r="H271" s="37"/>
      <c r="I271" s="23"/>
      <c r="J271" s="24"/>
      <c r="K271" s="24"/>
      <c r="L271" s="24"/>
      <c r="M271" s="429"/>
    </row>
    <row r="272" spans="1:13" s="26" customFormat="1" ht="13.75" customHeight="1">
      <c r="A272" s="797" t="s">
        <v>343</v>
      </c>
      <c r="B272" s="803"/>
      <c r="C272" s="804"/>
      <c r="D272" s="430" t="s">
        <v>1</v>
      </c>
      <c r="E272" s="446">
        <v>14000</v>
      </c>
      <c r="F272" s="431">
        <v>0.1</v>
      </c>
      <c r="G272" s="454">
        <f>+E272*F272</f>
        <v>1400</v>
      </c>
      <c r="H272" s="41"/>
      <c r="I272" s="23"/>
      <c r="J272" s="24"/>
      <c r="K272" s="24"/>
      <c r="L272" s="24"/>
      <c r="M272" s="429"/>
    </row>
    <row r="273" spans="1:13" s="26" customFormat="1" ht="13.75" customHeight="1" thickBot="1">
      <c r="A273" s="790" t="s">
        <v>344</v>
      </c>
      <c r="B273" s="791"/>
      <c r="C273" s="792"/>
      <c r="D273" s="45" t="s">
        <v>1</v>
      </c>
      <c r="E273" s="455">
        <v>3000</v>
      </c>
      <c r="F273" s="47">
        <v>1</v>
      </c>
      <c r="G273" s="69">
        <f>+E273*F273</f>
        <v>3000</v>
      </c>
      <c r="H273" s="41"/>
      <c r="I273" s="23"/>
      <c r="J273" s="24"/>
      <c r="K273" s="24"/>
      <c r="L273" s="24"/>
      <c r="M273" s="429"/>
    </row>
    <row r="274" spans="1:13" s="26" customFormat="1" ht="11" thickBot="1">
      <c r="A274" s="22"/>
      <c r="B274" s="22"/>
      <c r="C274" s="22"/>
      <c r="D274" s="22"/>
      <c r="E274" s="22"/>
      <c r="F274" s="22"/>
      <c r="G274" s="50" t="s">
        <v>40</v>
      </c>
      <c r="H274" s="51">
        <f>SUM(G272:G273)</f>
        <v>4400</v>
      </c>
      <c r="I274" s="23"/>
      <c r="J274" s="24"/>
      <c r="K274" s="24">
        <v>17800</v>
      </c>
      <c r="L274" s="24"/>
      <c r="M274" s="429"/>
    </row>
    <row r="275" spans="1:13" s="26" customFormat="1" ht="11" thickBot="1">
      <c r="A275" s="437" t="s">
        <v>41</v>
      </c>
      <c r="B275" s="437"/>
      <c r="C275" s="438"/>
      <c r="D275" s="22"/>
      <c r="E275" s="22"/>
      <c r="F275" s="22"/>
      <c r="G275" s="22"/>
      <c r="H275" s="22"/>
      <c r="I275" s="23"/>
      <c r="J275" s="24"/>
      <c r="K275" s="24"/>
      <c r="L275" s="24"/>
      <c r="M275" s="429"/>
    </row>
    <row r="276" spans="1:13" s="26" customFormat="1">
      <c r="A276" s="54"/>
      <c r="B276" s="55"/>
      <c r="C276" s="56" t="s">
        <v>42</v>
      </c>
      <c r="D276" s="34" t="s">
        <v>43</v>
      </c>
      <c r="E276" s="34" t="s">
        <v>339</v>
      </c>
      <c r="F276" s="34" t="s">
        <v>45</v>
      </c>
      <c r="G276" s="57" t="s">
        <v>36</v>
      </c>
      <c r="H276" s="37"/>
      <c r="I276" s="23"/>
      <c r="J276" s="24"/>
      <c r="K276" s="24"/>
      <c r="L276" s="24"/>
      <c r="M276" s="429"/>
    </row>
    <row r="277" spans="1:13" s="26" customFormat="1">
      <c r="A277" s="805" t="s">
        <v>345</v>
      </c>
      <c r="B277" s="806"/>
      <c r="C277" s="440"/>
      <c r="D277" s="440"/>
      <c r="E277" s="440">
        <v>1</v>
      </c>
      <c r="F277" s="441">
        <v>24000</v>
      </c>
      <c r="G277" s="431">
        <f>+F277*E277</f>
        <v>24000</v>
      </c>
      <c r="H277" s="41"/>
      <c r="I277" s="23"/>
      <c r="J277" s="24"/>
      <c r="K277" s="24"/>
      <c r="L277" s="24"/>
      <c r="M277" s="429"/>
    </row>
    <row r="278" spans="1:13" s="26" customFormat="1">
      <c r="A278" s="58"/>
      <c r="B278" s="439"/>
      <c r="C278" s="442"/>
      <c r="D278" s="430"/>
      <c r="E278" s="443"/>
      <c r="F278" s="431"/>
      <c r="G278" s="431"/>
      <c r="H278" s="41"/>
      <c r="I278" s="23"/>
      <c r="J278" s="24"/>
      <c r="K278" s="24"/>
      <c r="L278" s="24"/>
      <c r="M278" s="429"/>
    </row>
    <row r="279" spans="1:13" s="26" customFormat="1" ht="10.5" thickBot="1">
      <c r="A279" s="64"/>
      <c r="B279" s="65"/>
      <c r="C279" s="45"/>
      <c r="D279" s="46"/>
      <c r="E279" s="47"/>
      <c r="F279" s="48"/>
      <c r="G279" s="45"/>
      <c r="H279" s="41"/>
      <c r="I279" s="23"/>
      <c r="J279" s="24"/>
      <c r="K279" s="24"/>
      <c r="L279" s="24"/>
      <c r="M279" s="429"/>
    </row>
    <row r="280" spans="1:13" s="26" customFormat="1" ht="11" thickBot="1">
      <c r="A280" s="22"/>
      <c r="B280" s="22"/>
      <c r="C280" s="22"/>
      <c r="D280" s="22"/>
      <c r="E280" s="22"/>
      <c r="F280" s="22"/>
      <c r="G280" s="50" t="s">
        <v>40</v>
      </c>
      <c r="H280" s="51">
        <f>+G277</f>
        <v>24000</v>
      </c>
      <c r="I280" s="23"/>
      <c r="J280" s="24"/>
      <c r="K280" s="24">
        <v>25000</v>
      </c>
      <c r="L280" s="24"/>
      <c r="M280" s="429"/>
    </row>
    <row r="281" spans="1:13" s="26" customFormat="1" ht="11" thickBot="1">
      <c r="A281" s="437" t="s">
        <v>46</v>
      </c>
      <c r="B281" s="437"/>
      <c r="C281" s="22"/>
      <c r="D281" s="22"/>
      <c r="E281" s="22"/>
      <c r="F281" s="22"/>
      <c r="G281" s="22"/>
      <c r="H281" s="22"/>
      <c r="I281" s="23"/>
      <c r="J281" s="24"/>
      <c r="K281" s="24"/>
      <c r="L281" s="24"/>
      <c r="M281" s="429"/>
    </row>
    <row r="282" spans="1:13" s="26" customFormat="1">
      <c r="A282" s="794" t="s">
        <v>32</v>
      </c>
      <c r="B282" s="795"/>
      <c r="C282" s="796"/>
      <c r="D282" s="34" t="s">
        <v>33</v>
      </c>
      <c r="E282" s="35" t="s">
        <v>34</v>
      </c>
      <c r="F282" s="34" t="s">
        <v>35</v>
      </c>
      <c r="G282" s="57" t="s">
        <v>36</v>
      </c>
      <c r="H282" s="37"/>
      <c r="I282" s="23"/>
      <c r="J282" s="24"/>
      <c r="K282" s="24"/>
      <c r="L282" s="24"/>
      <c r="M282" s="429"/>
    </row>
    <row r="283" spans="1:13" s="26" customFormat="1">
      <c r="A283" s="797" t="s">
        <v>346</v>
      </c>
      <c r="B283" s="803"/>
      <c r="C283" s="804"/>
      <c r="D283" s="444">
        <v>1</v>
      </c>
      <c r="E283" s="75">
        <v>47200</v>
      </c>
      <c r="F283" s="448">
        <v>1</v>
      </c>
      <c r="G283" s="454">
        <f>E283*F283*D283</f>
        <v>47200</v>
      </c>
      <c r="H283" s="41"/>
      <c r="I283" s="23"/>
      <c r="J283" s="24"/>
      <c r="K283" s="24"/>
      <c r="L283" s="24"/>
      <c r="M283" s="429"/>
    </row>
    <row r="284" spans="1:13" s="26" customFormat="1" ht="10.5" thickBot="1">
      <c r="A284" s="790"/>
      <c r="B284" s="791"/>
      <c r="C284" s="792"/>
      <c r="D284" s="67"/>
      <c r="E284" s="47"/>
      <c r="F284" s="68"/>
      <c r="G284" s="69"/>
      <c r="H284" s="41"/>
      <c r="I284" s="23"/>
      <c r="J284" s="24"/>
      <c r="K284" s="24"/>
      <c r="L284" s="24"/>
      <c r="M284" s="429"/>
    </row>
    <row r="285" spans="1:13" s="26" customFormat="1" ht="11" thickBot="1">
      <c r="A285" s="22"/>
      <c r="B285" s="22"/>
      <c r="C285" s="22"/>
      <c r="D285" s="22"/>
      <c r="E285" s="22"/>
      <c r="F285" s="22"/>
      <c r="G285" s="50" t="s">
        <v>40</v>
      </c>
      <c r="H285" s="51">
        <f>SUM(G283:G284)</f>
        <v>47200</v>
      </c>
      <c r="I285" s="23"/>
      <c r="J285" s="24"/>
      <c r="K285" s="24">
        <v>47200</v>
      </c>
      <c r="L285" s="24"/>
      <c r="M285" s="429"/>
    </row>
    <row r="286" spans="1:13" s="26" customFormat="1" ht="10.5" thickBot="1">
      <c r="A286" s="22"/>
      <c r="B286" s="22"/>
      <c r="C286" s="22"/>
      <c r="D286" s="22"/>
      <c r="E286" s="22"/>
      <c r="F286" s="22"/>
      <c r="G286" s="71"/>
      <c r="H286" s="22"/>
      <c r="I286" s="23"/>
      <c r="J286" s="24"/>
      <c r="K286" s="24"/>
      <c r="L286" s="24"/>
      <c r="M286" s="429"/>
    </row>
    <row r="287" spans="1:13" s="26" customFormat="1" ht="11" thickBot="1">
      <c r="A287" s="22"/>
      <c r="B287" s="22"/>
      <c r="C287" s="22"/>
      <c r="D287" s="22"/>
      <c r="E287" s="72" t="s">
        <v>48</v>
      </c>
      <c r="F287" s="73"/>
      <c r="G287" s="73"/>
      <c r="H287" s="51">
        <f>ROUND(H269+H274+H280+H285,0)</f>
        <v>75600</v>
      </c>
      <c r="I287" s="23"/>
      <c r="J287" s="79"/>
      <c r="K287" s="24">
        <v>90000</v>
      </c>
      <c r="L287" s="24"/>
      <c r="M287" s="429"/>
    </row>
    <row r="292" spans="1:18" ht="11.5">
      <c r="A292" s="458"/>
      <c r="B292" s="458"/>
      <c r="C292" s="458"/>
      <c r="D292" s="459"/>
      <c r="E292" s="459"/>
      <c r="F292" s="459"/>
      <c r="G292" s="459"/>
      <c r="I292" s="80"/>
      <c r="J292" s="23"/>
      <c r="M292" s="24"/>
      <c r="N292" s="429"/>
      <c r="R292" s="26"/>
    </row>
    <row r="293" spans="1:18" ht="11.5">
      <c r="A293" s="460" t="s">
        <v>347</v>
      </c>
      <c r="B293" s="459"/>
      <c r="C293" s="461"/>
      <c r="D293" s="461"/>
      <c r="E293" s="462" t="s">
        <v>348</v>
      </c>
      <c r="F293" s="463"/>
      <c r="G293" s="463"/>
      <c r="I293" s="80"/>
      <c r="J293" s="23"/>
      <c r="M293" s="24"/>
      <c r="N293" s="429"/>
      <c r="R293" s="26"/>
    </row>
    <row r="294" spans="1:18" ht="11.5">
      <c r="A294" s="464"/>
      <c r="B294" s="459"/>
      <c r="C294" s="461"/>
      <c r="D294" s="461"/>
      <c r="E294" s="464"/>
      <c r="F294" s="459"/>
      <c r="G294" s="459"/>
      <c r="I294" s="80"/>
      <c r="J294" s="23"/>
      <c r="M294" s="24"/>
      <c r="N294" s="429"/>
      <c r="R294" s="26"/>
    </row>
    <row r="295" spans="1:18" ht="11.5">
      <c r="A295" s="464"/>
      <c r="B295" s="459"/>
      <c r="C295" s="461"/>
      <c r="D295" s="461"/>
      <c r="E295" s="464"/>
      <c r="F295" s="459"/>
      <c r="G295" s="459"/>
      <c r="I295" s="80"/>
      <c r="J295" s="23"/>
      <c r="M295" s="24"/>
      <c r="N295" s="429"/>
      <c r="R295" s="26"/>
    </row>
    <row r="296" spans="1:18" ht="11.5">
      <c r="A296" s="464"/>
      <c r="B296" s="459"/>
      <c r="C296" s="461"/>
      <c r="D296" s="461"/>
      <c r="E296" s="464"/>
      <c r="F296" s="459"/>
      <c r="G296" s="459"/>
      <c r="I296" s="80"/>
      <c r="J296" s="23"/>
      <c r="M296" s="24"/>
      <c r="N296" s="429"/>
      <c r="R296" s="26"/>
    </row>
    <row r="297" spans="1:18" ht="11.5">
      <c r="A297" s="464"/>
      <c r="B297" s="459"/>
      <c r="C297" s="461"/>
      <c r="D297" s="461"/>
      <c r="E297" s="464"/>
      <c r="F297" s="459"/>
      <c r="G297" s="459"/>
      <c r="I297" s="80"/>
      <c r="J297" s="23"/>
      <c r="M297" s="24"/>
      <c r="N297" s="429"/>
      <c r="R297" s="26"/>
    </row>
    <row r="298" spans="1:18" ht="11.5">
      <c r="A298" s="464"/>
      <c r="B298" s="459"/>
      <c r="C298" s="461"/>
      <c r="D298" s="461"/>
      <c r="E298" s="464"/>
      <c r="F298" s="459"/>
      <c r="G298" s="459"/>
      <c r="I298" s="80"/>
      <c r="J298" s="23"/>
      <c r="M298" s="24"/>
      <c r="N298" s="429"/>
      <c r="R298" s="26"/>
    </row>
    <row r="299" spans="1:18" ht="11.5">
      <c r="A299" s="464"/>
      <c r="B299" s="459"/>
      <c r="C299" s="461"/>
      <c r="D299" s="461"/>
      <c r="E299" s="464"/>
      <c r="F299" s="459"/>
      <c r="G299" s="459"/>
      <c r="I299" s="80"/>
      <c r="J299" s="23"/>
      <c r="M299" s="24"/>
      <c r="N299" s="429"/>
      <c r="R299" s="26"/>
    </row>
    <row r="300" spans="1:18" ht="11.5">
      <c r="A300" s="462" t="s">
        <v>349</v>
      </c>
      <c r="B300" s="463"/>
      <c r="C300" s="459"/>
      <c r="D300" s="459"/>
      <c r="E300" s="459"/>
      <c r="F300" s="459"/>
      <c r="G300" s="459"/>
      <c r="I300" s="80"/>
      <c r="J300" s="23"/>
      <c r="M300" s="24"/>
      <c r="N300" s="429"/>
      <c r="R300" s="26"/>
    </row>
    <row r="301" spans="1:18" ht="11.5">
      <c r="A301" s="465"/>
      <c r="B301" s="465"/>
      <c r="C301" s="465"/>
      <c r="D301" s="465"/>
      <c r="E301" s="465"/>
      <c r="F301" s="465"/>
      <c r="G301" s="466"/>
      <c r="I301" s="80"/>
      <c r="J301" s="23"/>
      <c r="M301" s="24"/>
      <c r="N301" s="429"/>
      <c r="R301" s="26"/>
    </row>
    <row r="302" spans="1:18" ht="14">
      <c r="A302" s="467"/>
      <c r="B302" s="467"/>
      <c r="C302" s="467"/>
      <c r="D302" s="467"/>
      <c r="E302" s="467"/>
      <c r="F302" s="467"/>
      <c r="G302" s="467"/>
      <c r="I302" s="80"/>
      <c r="J302" s="23"/>
      <c r="M302" s="24"/>
      <c r="N302" s="429"/>
      <c r="R302" s="26"/>
    </row>
  </sheetData>
  <mergeCells count="144">
    <mergeCell ref="A12:C12"/>
    <mergeCell ref="A13:C13"/>
    <mergeCell ref="A14:C14"/>
    <mergeCell ref="A15:C15"/>
    <mergeCell ref="A24:C24"/>
    <mergeCell ref="A25:C25"/>
    <mergeCell ref="A2:C4"/>
    <mergeCell ref="D2:H3"/>
    <mergeCell ref="D4:H4"/>
    <mergeCell ref="B6:F6"/>
    <mergeCell ref="A10:C10"/>
    <mergeCell ref="A11:C11"/>
    <mergeCell ref="A26:C26"/>
    <mergeCell ref="B62:F62"/>
    <mergeCell ref="B63:F63"/>
    <mergeCell ref="A66:C66"/>
    <mergeCell ref="A67:C67"/>
    <mergeCell ref="A68:C68"/>
    <mergeCell ref="A45:C45"/>
    <mergeCell ref="A46:C46"/>
    <mergeCell ref="A47:C47"/>
    <mergeCell ref="A56:C56"/>
    <mergeCell ref="A58:C58"/>
    <mergeCell ref="A57:C57"/>
    <mergeCell ref="A77:C77"/>
    <mergeCell ref="A78:C78"/>
    <mergeCell ref="A87:C87"/>
    <mergeCell ref="A88:C88"/>
    <mergeCell ref="A89:C89"/>
    <mergeCell ref="B94:F94"/>
    <mergeCell ref="A69:C69"/>
    <mergeCell ref="A70:C70"/>
    <mergeCell ref="A71:C71"/>
    <mergeCell ref="A74:C74"/>
    <mergeCell ref="A75:C75"/>
    <mergeCell ref="A76:C76"/>
    <mergeCell ref="A103:C103"/>
    <mergeCell ref="A106:C106"/>
    <mergeCell ref="A107:C107"/>
    <mergeCell ref="A108:C108"/>
    <mergeCell ref="A109:C109"/>
    <mergeCell ref="A110:C110"/>
    <mergeCell ref="B95:F95"/>
    <mergeCell ref="A98:C98"/>
    <mergeCell ref="A99:C99"/>
    <mergeCell ref="A100:C100"/>
    <mergeCell ref="A101:C101"/>
    <mergeCell ref="A102:C102"/>
    <mergeCell ref="A132:C132"/>
    <mergeCell ref="A133:C133"/>
    <mergeCell ref="A134:C134"/>
    <mergeCell ref="A135:C135"/>
    <mergeCell ref="A136:C136"/>
    <mergeCell ref="A137:C137"/>
    <mergeCell ref="A119:C119"/>
    <mergeCell ref="A120:C120"/>
    <mergeCell ref="A121:C121"/>
    <mergeCell ref="B127:F127"/>
    <mergeCell ref="B128:F128"/>
    <mergeCell ref="A131:C131"/>
    <mergeCell ref="A154:C154"/>
    <mergeCell ref="A155:C155"/>
    <mergeCell ref="B161:F161"/>
    <mergeCell ref="B162:F162"/>
    <mergeCell ref="A165:C165"/>
    <mergeCell ref="A166:C166"/>
    <mergeCell ref="A140:C140"/>
    <mergeCell ref="A141:C141"/>
    <mergeCell ref="A142:C142"/>
    <mergeCell ref="A143:C143"/>
    <mergeCell ref="A144:C144"/>
    <mergeCell ref="A153:C153"/>
    <mergeCell ref="A175:C175"/>
    <mergeCell ref="A176:C176"/>
    <mergeCell ref="A177:C177"/>
    <mergeCell ref="A178:C178"/>
    <mergeCell ref="A187:C187"/>
    <mergeCell ref="A188:C188"/>
    <mergeCell ref="A167:C167"/>
    <mergeCell ref="A168:C168"/>
    <mergeCell ref="A169:C169"/>
    <mergeCell ref="A170:C170"/>
    <mergeCell ref="A171:C171"/>
    <mergeCell ref="A174:C174"/>
    <mergeCell ref="A201:C201"/>
    <mergeCell ref="A202:C202"/>
    <mergeCell ref="A203:C203"/>
    <mergeCell ref="A206:C206"/>
    <mergeCell ref="A207:C207"/>
    <mergeCell ref="A208:C208"/>
    <mergeCell ref="A189:C189"/>
    <mergeCell ref="B194:F194"/>
    <mergeCell ref="B195:F195"/>
    <mergeCell ref="A198:C198"/>
    <mergeCell ref="A199:C199"/>
    <mergeCell ref="A200:C200"/>
    <mergeCell ref="A215:C215"/>
    <mergeCell ref="A218:C218"/>
    <mergeCell ref="A219:C219"/>
    <mergeCell ref="A223:B223"/>
    <mergeCell ref="A228:C228"/>
    <mergeCell ref="A229:C229"/>
    <mergeCell ref="A209:C209"/>
    <mergeCell ref="A210:C210"/>
    <mergeCell ref="A211:C211"/>
    <mergeCell ref="A212:C212"/>
    <mergeCell ref="A213:C213"/>
    <mergeCell ref="A214:C214"/>
    <mergeCell ref="A216:C216"/>
    <mergeCell ref="A217:C217"/>
    <mergeCell ref="A246:C246"/>
    <mergeCell ref="A250:B250"/>
    <mergeCell ref="A255:C255"/>
    <mergeCell ref="A256:C256"/>
    <mergeCell ref="A230:C230"/>
    <mergeCell ref="B235:F235"/>
    <mergeCell ref="B236:F236"/>
    <mergeCell ref="A239:C239"/>
    <mergeCell ref="A240:C240"/>
    <mergeCell ref="A241:C241"/>
    <mergeCell ref="A284:C284"/>
    <mergeCell ref="B31:F31"/>
    <mergeCell ref="A35:C35"/>
    <mergeCell ref="A36:C36"/>
    <mergeCell ref="A37:C37"/>
    <mergeCell ref="A38:C38"/>
    <mergeCell ref="A39:C39"/>
    <mergeCell ref="A40:C40"/>
    <mergeCell ref="A43:C43"/>
    <mergeCell ref="A44:C44"/>
    <mergeCell ref="A271:C271"/>
    <mergeCell ref="A272:C272"/>
    <mergeCell ref="A273:C273"/>
    <mergeCell ref="A277:B277"/>
    <mergeCell ref="A282:C282"/>
    <mergeCell ref="A283:C283"/>
    <mergeCell ref="A257:C257"/>
    <mergeCell ref="B262:F262"/>
    <mergeCell ref="B263:F263"/>
    <mergeCell ref="A266:C266"/>
    <mergeCell ref="A267:C267"/>
    <mergeCell ref="A268:C268"/>
    <mergeCell ref="A244:C244"/>
    <mergeCell ref="A245:C24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FDA30-A705-45A3-BE09-FFC7A863B773}">
  <dimension ref="A1:H102"/>
  <sheetViews>
    <sheetView topLeftCell="A62" zoomScale="75" zoomScaleNormal="75" workbookViewId="0">
      <selection activeCell="F81" sqref="F81"/>
    </sheetView>
  </sheetViews>
  <sheetFormatPr baseColWidth="10" defaultColWidth="11.453125" defaultRowHeight="14.5"/>
  <cols>
    <col min="1" max="2" width="11.453125" style="1"/>
    <col min="3" max="3" width="63.1796875" style="1" customWidth="1"/>
    <col min="4" max="5" width="12.81640625" style="1" customWidth="1"/>
    <col min="6" max="6" width="15.81640625" style="1" customWidth="1"/>
    <col min="7" max="7" width="11.81640625" style="1" customWidth="1"/>
    <col min="8" max="8" width="17.81640625" style="1" customWidth="1"/>
    <col min="9" max="16384" width="11.453125" style="1"/>
  </cols>
  <sheetData>
    <row r="1" spans="1:8">
      <c r="A1" s="839"/>
      <c r="B1" s="839"/>
      <c r="C1" s="839"/>
      <c r="D1" s="839"/>
      <c r="E1" s="839"/>
      <c r="F1" s="839"/>
      <c r="G1" s="839"/>
      <c r="H1" s="839"/>
    </row>
    <row r="2" spans="1:8">
      <c r="A2" s="840" t="s">
        <v>269</v>
      </c>
      <c r="B2" s="840"/>
      <c r="C2" s="840"/>
      <c r="D2" s="840"/>
      <c r="E2" s="840"/>
      <c r="F2" s="840"/>
      <c r="G2" s="840"/>
      <c r="H2" s="840"/>
    </row>
    <row r="3" spans="1:8">
      <c r="A3" s="840"/>
      <c r="B3" s="840"/>
      <c r="C3" s="840"/>
      <c r="D3" s="840"/>
      <c r="E3" s="840"/>
      <c r="F3" s="840"/>
      <c r="G3" s="840"/>
      <c r="H3" s="840"/>
    </row>
    <row r="4" spans="1:8" ht="15" thickBot="1">
      <c r="A4" s="840"/>
      <c r="B4" s="840"/>
      <c r="C4" s="840"/>
      <c r="D4" s="840"/>
      <c r="E4" s="840"/>
      <c r="F4" s="840"/>
      <c r="G4" s="840"/>
      <c r="H4" s="840"/>
    </row>
    <row r="5" spans="1:8" ht="15">
      <c r="A5" s="382" t="s">
        <v>521</v>
      </c>
      <c r="B5" s="383"/>
      <c r="C5" s="384" t="s">
        <v>522</v>
      </c>
      <c r="D5" s="385" t="s">
        <v>270</v>
      </c>
      <c r="E5" s="386"/>
      <c r="F5" s="387">
        <f>ROUND(SUM(H5:H13),0)</f>
        <v>95875</v>
      </c>
      <c r="G5" s="388"/>
      <c r="H5" s="389"/>
    </row>
    <row r="6" spans="1:8">
      <c r="A6" s="834" t="s">
        <v>255</v>
      </c>
      <c r="B6" s="331" t="s">
        <v>523</v>
      </c>
      <c r="C6" s="390" t="s">
        <v>524</v>
      </c>
      <c r="D6" s="391" t="s">
        <v>254</v>
      </c>
      <c r="E6" s="332">
        <v>1</v>
      </c>
      <c r="F6" s="333">
        <v>9035.0400000000009</v>
      </c>
      <c r="G6" s="392">
        <f>1/5</f>
        <v>0.2</v>
      </c>
      <c r="H6" s="334">
        <f>ROUND((E6*F6*G6),0)</f>
        <v>1807</v>
      </c>
    </row>
    <row r="7" spans="1:8">
      <c r="A7" s="834"/>
      <c r="B7" s="513" t="s">
        <v>525</v>
      </c>
      <c r="C7" s="634" t="s">
        <v>526</v>
      </c>
      <c r="D7" s="391" t="s">
        <v>254</v>
      </c>
      <c r="E7" s="332">
        <v>2</v>
      </c>
      <c r="F7" s="333">
        <v>2906.4</v>
      </c>
      <c r="G7" s="392">
        <f>1/5</f>
        <v>0.2</v>
      </c>
      <c r="H7" s="334">
        <f>ROUND((E7*F7*G7),0)</f>
        <v>1163</v>
      </c>
    </row>
    <row r="8" spans="1:8">
      <c r="A8" s="834"/>
      <c r="B8" s="331" t="s">
        <v>527</v>
      </c>
      <c r="C8" s="390" t="s">
        <v>528</v>
      </c>
      <c r="D8" s="391" t="s">
        <v>274</v>
      </c>
      <c r="E8" s="332">
        <v>0.03</v>
      </c>
      <c r="F8" s="333">
        <v>3647.84</v>
      </c>
      <c r="G8" s="392">
        <v>0</v>
      </c>
      <c r="H8" s="334">
        <f>ROUND((E8*F8),0)</f>
        <v>109</v>
      </c>
    </row>
    <row r="9" spans="1:8">
      <c r="A9" s="834"/>
      <c r="B9" s="331" t="s">
        <v>529</v>
      </c>
      <c r="C9" s="390" t="s">
        <v>530</v>
      </c>
      <c r="D9" s="391" t="s">
        <v>260</v>
      </c>
      <c r="E9" s="332">
        <v>0.2</v>
      </c>
      <c r="F9" s="333">
        <v>16234.4</v>
      </c>
      <c r="G9" s="392">
        <v>1.03</v>
      </c>
      <c r="H9" s="334">
        <f>ROUND((E9*F9*G9),0)</f>
        <v>3344</v>
      </c>
    </row>
    <row r="10" spans="1:8">
      <c r="A10" s="834"/>
      <c r="B10" s="331" t="s">
        <v>531</v>
      </c>
      <c r="C10" s="390" t="s">
        <v>532</v>
      </c>
      <c r="D10" s="391" t="s">
        <v>273</v>
      </c>
      <c r="E10" s="332">
        <v>0.05</v>
      </c>
      <c r="F10" s="333">
        <v>10328.64</v>
      </c>
      <c r="G10" s="392">
        <v>1.05</v>
      </c>
      <c r="H10" s="334">
        <f>ROUND((E10*F10*G10),0)</f>
        <v>542</v>
      </c>
    </row>
    <row r="11" spans="1:8">
      <c r="A11" s="361" t="s">
        <v>533</v>
      </c>
      <c r="B11" s="331" t="s">
        <v>534</v>
      </c>
      <c r="C11" s="390" t="s">
        <v>535</v>
      </c>
      <c r="D11" s="391" t="s">
        <v>275</v>
      </c>
      <c r="E11" s="332">
        <v>0.08</v>
      </c>
      <c r="F11" s="333">
        <v>471579</v>
      </c>
      <c r="G11" s="392">
        <v>1.05</v>
      </c>
      <c r="H11" s="334">
        <f>ROUND((E11*F11*G11),0)</f>
        <v>39613</v>
      </c>
    </row>
    <row r="12" spans="1:8">
      <c r="A12" s="337" t="s">
        <v>261</v>
      </c>
      <c r="B12" s="331" t="s">
        <v>536</v>
      </c>
      <c r="C12" s="390" t="s">
        <v>537</v>
      </c>
      <c r="D12" s="391" t="s">
        <v>264</v>
      </c>
      <c r="E12" s="332">
        <v>1</v>
      </c>
      <c r="F12" s="333">
        <v>469493</v>
      </c>
      <c r="G12" s="392">
        <f>1/10</f>
        <v>0.1</v>
      </c>
      <c r="H12" s="334">
        <f>ROUND((E12*F12*G12),0)</f>
        <v>46949</v>
      </c>
    </row>
    <row r="13" spans="1:8" ht="15" thickBot="1">
      <c r="A13" s="633" t="s">
        <v>265</v>
      </c>
      <c r="B13" s="339" t="s">
        <v>266</v>
      </c>
      <c r="C13" s="635" t="s">
        <v>267</v>
      </c>
      <c r="D13" s="636" t="s">
        <v>268</v>
      </c>
      <c r="E13" s="637">
        <v>0.1</v>
      </c>
      <c r="F13" s="638">
        <v>23475</v>
      </c>
      <c r="G13" s="639">
        <v>0</v>
      </c>
      <c r="H13" s="381">
        <f>ROUND((E13*F13),0)</f>
        <v>2348</v>
      </c>
    </row>
    <row r="14" spans="1:8" ht="20">
      <c r="A14" s="356"/>
      <c r="B14" s="356"/>
      <c r="C14" s="356"/>
      <c r="D14" s="356"/>
      <c r="E14" s="356"/>
      <c r="F14" s="356"/>
      <c r="G14" s="356"/>
      <c r="H14" s="356"/>
    </row>
    <row r="15" spans="1:8" ht="20.5" thickBot="1">
      <c r="A15" s="356"/>
      <c r="B15" s="356"/>
      <c r="C15" s="356"/>
      <c r="D15" s="356"/>
      <c r="E15" s="356"/>
      <c r="F15" s="356"/>
      <c r="G15" s="356"/>
      <c r="H15" s="356"/>
    </row>
    <row r="16" spans="1:8" ht="34.5" customHeight="1">
      <c r="A16" s="382" t="s">
        <v>354</v>
      </c>
      <c r="B16" s="383"/>
      <c r="C16" s="384" t="str">
        <f>+'PRESUPUESTO ESTUFA'!C16</f>
        <v xml:space="preserve">Preparacion del terreno manualmente incluye demoliciones de estructuras existentes </v>
      </c>
      <c r="D16" s="385" t="s">
        <v>254</v>
      </c>
      <c r="E16" s="386"/>
      <c r="F16" s="387">
        <f>ROUND(SUM(H17:H20),0)</f>
        <v>136039</v>
      </c>
      <c r="G16" s="388"/>
      <c r="H16" s="389"/>
    </row>
    <row r="17" spans="1:8" ht="34.5" customHeight="1">
      <c r="A17" s="327"/>
      <c r="B17" s="328"/>
      <c r="C17" s="394" t="s">
        <v>356</v>
      </c>
      <c r="D17" s="395" t="s">
        <v>186</v>
      </c>
      <c r="E17" s="329">
        <v>0.8</v>
      </c>
      <c r="F17" s="396">
        <v>65000</v>
      </c>
      <c r="G17" s="397">
        <v>4</v>
      </c>
      <c r="H17" s="330">
        <f>+((E17*F17))/G17</f>
        <v>13000</v>
      </c>
    </row>
    <row r="18" spans="1:8">
      <c r="A18" s="337" t="s">
        <v>261</v>
      </c>
      <c r="B18" s="331" t="s">
        <v>262</v>
      </c>
      <c r="C18" s="390" t="s">
        <v>263</v>
      </c>
      <c r="D18" s="391" t="s">
        <v>264</v>
      </c>
      <c r="E18" s="335">
        <v>1</v>
      </c>
      <c r="F18" s="333">
        <f>VLOOKUP(B18,'[3]BASE DE DATOS'!$A$5:$E$1552,5,FALSE)</f>
        <v>307599</v>
      </c>
      <c r="G18" s="392">
        <f>1/3</f>
        <v>0.33333333333333331</v>
      </c>
      <c r="H18" s="334">
        <f>ROUND((E18*F18*G18),0)</f>
        <v>102533</v>
      </c>
    </row>
    <row r="19" spans="1:8" ht="34.5" customHeight="1">
      <c r="A19" s="327"/>
      <c r="B19" s="328"/>
      <c r="C19" s="394" t="s">
        <v>355</v>
      </c>
      <c r="D19" s="395" t="s">
        <v>357</v>
      </c>
      <c r="E19" s="329">
        <v>0.1</v>
      </c>
      <c r="F19" s="396">
        <f>+H18</f>
        <v>102533</v>
      </c>
      <c r="G19" s="397"/>
      <c r="H19" s="330">
        <f>+E19*F19</f>
        <v>10253.300000000001</v>
      </c>
    </row>
    <row r="20" spans="1:8" ht="15" thickBot="1">
      <c r="A20" s="338" t="s">
        <v>265</v>
      </c>
      <c r="B20" s="339" t="s">
        <v>266</v>
      </c>
      <c r="C20" s="340" t="s">
        <v>267</v>
      </c>
      <c r="D20" s="341" t="s">
        <v>268</v>
      </c>
      <c r="E20" s="342">
        <v>0.1</v>
      </c>
      <c r="F20" s="343">
        <f>H18</f>
        <v>102533</v>
      </c>
      <c r="G20" s="344">
        <v>0</v>
      </c>
      <c r="H20" s="381">
        <f>ROUND((E20*F20),0)</f>
        <v>10253</v>
      </c>
    </row>
    <row r="21" spans="1:8" ht="15" thickBot="1">
      <c r="A21" s="481"/>
      <c r="B21" s="331"/>
      <c r="C21" s="390"/>
      <c r="D21" s="391"/>
      <c r="E21" s="335"/>
      <c r="F21" s="333"/>
      <c r="G21" s="392"/>
      <c r="H21" s="334"/>
    </row>
    <row r="22" spans="1:8">
      <c r="A22" s="407" t="s">
        <v>316</v>
      </c>
      <c r="B22" s="408"/>
      <c r="C22" s="409" t="str">
        <f>+'PRESUPUESTO ESTUFA'!C35</f>
        <v>Poda y Desmonte</v>
      </c>
      <c r="D22" s="408" t="str">
        <f>+'PRESUPUESTO ESTUFA'!D35</f>
        <v>UND</v>
      </c>
      <c r="E22" s="410"/>
      <c r="F22" s="411">
        <f>ROUND(SUM(H23:H26),0)</f>
        <v>69212</v>
      </c>
      <c r="G22" s="412"/>
      <c r="H22" s="413"/>
    </row>
    <row r="23" spans="1:8">
      <c r="A23" s="414"/>
      <c r="B23" s="345"/>
      <c r="C23" s="346"/>
      <c r="D23" s="345"/>
      <c r="E23" s="347"/>
      <c r="F23" s="348"/>
      <c r="G23" s="349"/>
      <c r="H23" s="415"/>
    </row>
    <row r="24" spans="1:8">
      <c r="A24" s="414"/>
      <c r="B24" s="345"/>
      <c r="C24" s="402" t="s">
        <v>545</v>
      </c>
      <c r="D24" s="403" t="s">
        <v>264</v>
      </c>
      <c r="E24" s="404">
        <v>1</v>
      </c>
      <c r="F24" s="405">
        <v>2200</v>
      </c>
      <c r="G24" s="406">
        <v>0.7</v>
      </c>
      <c r="H24" s="416">
        <f>G24*F24*E24</f>
        <v>1540</v>
      </c>
    </row>
    <row r="25" spans="1:8">
      <c r="A25" s="417" t="s">
        <v>261</v>
      </c>
      <c r="B25" s="350" t="s">
        <v>262</v>
      </c>
      <c r="C25" s="351" t="s">
        <v>263</v>
      </c>
      <c r="D25" s="352" t="s">
        <v>264</v>
      </c>
      <c r="E25" s="355">
        <v>1</v>
      </c>
      <c r="F25" s="353">
        <f>VLOOKUP(B25,'[3]BASE DE DATOS'!$A$5:$E$1552,5,FALSE)</f>
        <v>307599</v>
      </c>
      <c r="G25" s="354">
        <f>1/5</f>
        <v>0.2</v>
      </c>
      <c r="H25" s="418">
        <f>ROUND((E25*F25*G25),0)</f>
        <v>61520</v>
      </c>
    </row>
    <row r="26" spans="1:8" ht="15" thickBot="1">
      <c r="A26" s="419" t="s">
        <v>265</v>
      </c>
      <c r="B26" s="420" t="s">
        <v>266</v>
      </c>
      <c r="C26" s="421" t="s">
        <v>267</v>
      </c>
      <c r="D26" s="422" t="s">
        <v>268</v>
      </c>
      <c r="E26" s="423">
        <v>0.1</v>
      </c>
      <c r="F26" s="424">
        <f>H25</f>
        <v>61520</v>
      </c>
      <c r="G26" s="425">
        <v>0</v>
      </c>
      <c r="H26" s="426">
        <f>ROUND((E26*F26),0)</f>
        <v>6152</v>
      </c>
    </row>
    <row r="28" spans="1:8" ht="15" thickBot="1"/>
    <row r="29" spans="1:8" ht="26">
      <c r="A29" s="382" t="s">
        <v>317</v>
      </c>
      <c r="B29" s="383"/>
      <c r="C29" s="384" t="s">
        <v>311</v>
      </c>
      <c r="D29" s="385" t="s">
        <v>254</v>
      </c>
      <c r="E29" s="386"/>
      <c r="F29" s="387">
        <f>ROUND(SUM(H30:H34),0)</f>
        <v>319792</v>
      </c>
      <c r="G29" s="388"/>
      <c r="H29" s="389"/>
    </row>
    <row r="30" spans="1:8">
      <c r="A30" s="834" t="s">
        <v>255</v>
      </c>
      <c r="B30" s="331" t="s">
        <v>256</v>
      </c>
      <c r="C30" s="390" t="s">
        <v>314</v>
      </c>
      <c r="D30" s="391" t="s">
        <v>258</v>
      </c>
      <c r="E30" s="335">
        <v>3</v>
      </c>
      <c r="F30" s="333">
        <v>44900</v>
      </c>
      <c r="G30" s="392">
        <v>1.05</v>
      </c>
      <c r="H30" s="334">
        <f>ROUND((E30*F30*G30),0)</f>
        <v>141435</v>
      </c>
    </row>
    <row r="31" spans="1:8">
      <c r="A31" s="834"/>
      <c r="B31" s="331" t="s">
        <v>257</v>
      </c>
      <c r="C31" s="390" t="s">
        <v>315</v>
      </c>
      <c r="D31" s="391" t="s">
        <v>258</v>
      </c>
      <c r="E31" s="335">
        <v>3</v>
      </c>
      <c r="F31" s="333">
        <v>29900</v>
      </c>
      <c r="G31" s="392">
        <v>1.05</v>
      </c>
      <c r="H31" s="334">
        <f>ROUND((E31*F31*G31),0)</f>
        <v>94185</v>
      </c>
    </row>
    <row r="32" spans="1:8">
      <c r="A32" s="834"/>
      <c r="B32" s="331" t="s">
        <v>259</v>
      </c>
      <c r="C32" s="390" t="s">
        <v>312</v>
      </c>
      <c r="D32" s="391" t="s">
        <v>313</v>
      </c>
      <c r="E32" s="336">
        <v>1</v>
      </c>
      <c r="F32" s="333">
        <v>16500</v>
      </c>
      <c r="G32" s="392">
        <v>0</v>
      </c>
      <c r="H32" s="334">
        <f>ROUND((E32*F32),0)</f>
        <v>16500</v>
      </c>
    </row>
    <row r="33" spans="1:8">
      <c r="A33" s="337" t="s">
        <v>261</v>
      </c>
      <c r="B33" s="331" t="s">
        <v>262</v>
      </c>
      <c r="C33" s="390" t="s">
        <v>263</v>
      </c>
      <c r="D33" s="391" t="s">
        <v>264</v>
      </c>
      <c r="E33" s="335">
        <v>1</v>
      </c>
      <c r="F33" s="333">
        <f>VLOOKUP(B33,'[3]BASE DE DATOS'!$A$5:$E$1552,5,FALSE)</f>
        <v>307599</v>
      </c>
      <c r="G33" s="392">
        <f>1/5</f>
        <v>0.2</v>
      </c>
      <c r="H33" s="334">
        <f>ROUND((E33*F33*G33),0)</f>
        <v>61520</v>
      </c>
    </row>
    <row r="34" spans="1:8" ht="15" thickBot="1">
      <c r="A34" s="338" t="s">
        <v>265</v>
      </c>
      <c r="B34" s="339" t="s">
        <v>266</v>
      </c>
      <c r="C34" s="340" t="s">
        <v>267</v>
      </c>
      <c r="D34" s="341" t="s">
        <v>268</v>
      </c>
      <c r="E34" s="342">
        <v>0.1</v>
      </c>
      <c r="F34" s="343">
        <f>H33</f>
        <v>61520</v>
      </c>
      <c r="G34" s="344">
        <v>0</v>
      </c>
      <c r="H34" s="381">
        <f>ROUND((E34*F34),0)</f>
        <v>6152</v>
      </c>
    </row>
    <row r="35" spans="1:8">
      <c r="C35" s="368"/>
    </row>
    <row r="36" spans="1:8" ht="15" thickBot="1"/>
    <row r="37" spans="1:8">
      <c r="A37" s="382" t="s">
        <v>317</v>
      </c>
      <c r="B37" s="383"/>
      <c r="C37" s="384" t="str">
        <f>+'PRESUPUESTO ESTUFA'!C36</f>
        <v>Recuperacion de caminos</v>
      </c>
      <c r="D37" s="385" t="s">
        <v>254</v>
      </c>
      <c r="E37" s="386"/>
      <c r="F37" s="387">
        <f>ROUND(SUM(H38:H42),0)</f>
        <v>219008</v>
      </c>
      <c r="G37" s="388"/>
      <c r="H37" s="389"/>
    </row>
    <row r="38" spans="1:8">
      <c r="A38" s="834" t="s">
        <v>255</v>
      </c>
      <c r="B38" s="331" t="s">
        <v>256</v>
      </c>
      <c r="C38" s="390" t="s">
        <v>314</v>
      </c>
      <c r="D38" s="391" t="s">
        <v>180</v>
      </c>
      <c r="E38" s="335">
        <f>4*0.6</f>
        <v>2.4</v>
      </c>
      <c r="F38" s="333">
        <v>47000</v>
      </c>
      <c r="G38" s="392">
        <v>1.05</v>
      </c>
      <c r="H38" s="334">
        <f>ROUND((E38*F38*G38),0)</f>
        <v>118440</v>
      </c>
    </row>
    <row r="39" spans="1:8">
      <c r="A39" s="834"/>
      <c r="B39" s="331" t="s">
        <v>257</v>
      </c>
      <c r="C39" s="390" t="s">
        <v>315</v>
      </c>
      <c r="D39" s="391" t="s">
        <v>180</v>
      </c>
      <c r="E39" s="335">
        <v>1.6</v>
      </c>
      <c r="F39" s="333">
        <v>29900</v>
      </c>
      <c r="G39" s="392">
        <v>1.05</v>
      </c>
      <c r="H39" s="334">
        <f>ROUND((E39*F39*G39),0)</f>
        <v>50232</v>
      </c>
    </row>
    <row r="40" spans="1:8">
      <c r="A40" s="834"/>
      <c r="B40" s="331" t="s">
        <v>259</v>
      </c>
      <c r="C40" s="390" t="s">
        <v>312</v>
      </c>
      <c r="D40" s="391" t="s">
        <v>313</v>
      </c>
      <c r="E40" s="336">
        <v>1</v>
      </c>
      <c r="F40" s="333">
        <v>16500</v>
      </c>
      <c r="G40" s="392">
        <v>0</v>
      </c>
      <c r="H40" s="334">
        <f>ROUND((E40*F40),0)</f>
        <v>16500</v>
      </c>
    </row>
    <row r="41" spans="1:8">
      <c r="A41" s="337" t="s">
        <v>261</v>
      </c>
      <c r="B41" s="331" t="s">
        <v>262</v>
      </c>
      <c r="C41" s="390" t="s">
        <v>263</v>
      </c>
      <c r="D41" s="391" t="s">
        <v>264</v>
      </c>
      <c r="E41" s="335">
        <v>1</v>
      </c>
      <c r="F41" s="333">
        <f>VLOOKUP(B41,'[3]BASE DE DATOS'!$A$5:$E$1552,5,FALSE)</f>
        <v>307599</v>
      </c>
      <c r="G41" s="392">
        <f>1/10</f>
        <v>0.1</v>
      </c>
      <c r="H41" s="334">
        <f>ROUND((E41*F41*G41),0)</f>
        <v>30760</v>
      </c>
    </row>
    <row r="42" spans="1:8" ht="15" thickBot="1">
      <c r="A42" s="338" t="s">
        <v>265</v>
      </c>
      <c r="B42" s="339" t="s">
        <v>266</v>
      </c>
      <c r="C42" s="340" t="s">
        <v>267</v>
      </c>
      <c r="D42" s="341" t="s">
        <v>268</v>
      </c>
      <c r="E42" s="342">
        <v>0.1</v>
      </c>
      <c r="F42" s="343">
        <f>H41</f>
        <v>30760</v>
      </c>
      <c r="G42" s="344">
        <v>0</v>
      </c>
      <c r="H42" s="381">
        <f>ROUND((E42*F42),0)</f>
        <v>3076</v>
      </c>
    </row>
    <row r="44" spans="1:8" ht="15" thickBot="1"/>
    <row r="45" spans="1:8" ht="33" customHeight="1">
      <c r="A45" s="382" t="s">
        <v>318</v>
      </c>
      <c r="B45" s="383"/>
      <c r="C45" s="384" t="s">
        <v>319</v>
      </c>
      <c r="D45" s="385" t="s">
        <v>254</v>
      </c>
      <c r="E45" s="428"/>
      <c r="F45" s="387">
        <f>ROUND(SUM(H45:H49),0)</f>
        <v>10246</v>
      </c>
      <c r="G45" s="388"/>
      <c r="H45" s="389"/>
    </row>
    <row r="46" spans="1:8">
      <c r="A46" s="834" t="s">
        <v>255</v>
      </c>
      <c r="B46" s="331" t="s">
        <v>320</v>
      </c>
      <c r="C46" s="390" t="s">
        <v>321</v>
      </c>
      <c r="D46" s="391" t="s">
        <v>258</v>
      </c>
      <c r="E46" s="332">
        <v>0.62</v>
      </c>
      <c r="F46" s="333">
        <f>VLOOKUP(B46,'[3]BASE DE DATOS'!$A$5:$E$1552,5,FALSE)</f>
        <v>49448</v>
      </c>
      <c r="G46" s="392">
        <f>1/6</f>
        <v>0.16666666666666666</v>
      </c>
      <c r="H46" s="334">
        <f>ROUND((E46*F46*G46),0)</f>
        <v>5110</v>
      </c>
    </row>
    <row r="47" spans="1:8">
      <c r="A47" s="834"/>
      <c r="B47" s="331" t="s">
        <v>322</v>
      </c>
      <c r="C47" s="390" t="s">
        <v>323</v>
      </c>
      <c r="D47" s="391" t="s">
        <v>324</v>
      </c>
      <c r="E47" s="332">
        <v>2</v>
      </c>
      <c r="F47" s="333">
        <f>VLOOKUP(B47,'[3]BASE DE DATOS'!$A$5:$E$1552,5,FALSE)</f>
        <v>1930.1296</v>
      </c>
      <c r="G47" s="392">
        <v>1.1000000000000001</v>
      </c>
      <c r="H47" s="334">
        <f>ROUND((E47*F47*G47),0)</f>
        <v>4246</v>
      </c>
    </row>
    <row r="48" spans="1:8">
      <c r="A48" s="337" t="s">
        <v>261</v>
      </c>
      <c r="B48" s="331" t="s">
        <v>325</v>
      </c>
      <c r="C48" s="390" t="s">
        <v>326</v>
      </c>
      <c r="D48" s="391" t="s">
        <v>264</v>
      </c>
      <c r="E48" s="332">
        <v>1</v>
      </c>
      <c r="F48" s="333">
        <f>VLOOKUP(B48,'[3]BASE DE DATOS'!$A$5:$E$1552,5,FALSE)</f>
        <v>80947</v>
      </c>
      <c r="G48" s="392">
        <f>1/100</f>
        <v>0.01</v>
      </c>
      <c r="H48" s="334">
        <f>ROUND((E48*F48*G48),0)</f>
        <v>809</v>
      </c>
    </row>
    <row r="49" spans="1:8" ht="15" thickBot="1">
      <c r="A49" s="338" t="s">
        <v>265</v>
      </c>
      <c r="B49" s="339" t="s">
        <v>266</v>
      </c>
      <c r="C49" s="340" t="s">
        <v>267</v>
      </c>
      <c r="D49" s="341" t="s">
        <v>268</v>
      </c>
      <c r="E49" s="427">
        <v>0.1</v>
      </c>
      <c r="F49" s="343">
        <f>H48</f>
        <v>809</v>
      </c>
      <c r="G49" s="344">
        <v>0</v>
      </c>
      <c r="H49" s="381">
        <f>ROUND((E49*F49),0)</f>
        <v>81</v>
      </c>
    </row>
    <row r="51" spans="1:8" ht="15" thickBot="1"/>
    <row r="52" spans="1:8">
      <c r="A52" s="480" t="s">
        <v>358</v>
      </c>
      <c r="B52" s="383"/>
      <c r="C52" s="384" t="s">
        <v>359</v>
      </c>
      <c r="D52" s="385" t="s">
        <v>254</v>
      </c>
      <c r="E52" s="386"/>
      <c r="F52" s="387">
        <f>ROUND(SUM(H53:H59),0)</f>
        <v>140486</v>
      </c>
      <c r="G52" s="388"/>
      <c r="H52" s="389"/>
    </row>
    <row r="53" spans="1:8">
      <c r="A53" s="834" t="s">
        <v>255</v>
      </c>
      <c r="B53" s="331" t="s">
        <v>360</v>
      </c>
      <c r="C53" s="390" t="s">
        <v>361</v>
      </c>
      <c r="D53" s="391" t="s">
        <v>258</v>
      </c>
      <c r="E53" s="335">
        <v>15</v>
      </c>
      <c r="F53" s="333">
        <f>VLOOKUP(B53,'[3]BASE DE DATOS'!$A$5:$E$1552,5,FALSE)</f>
        <v>8960</v>
      </c>
      <c r="G53" s="392">
        <v>0</v>
      </c>
      <c r="H53" s="334">
        <f>ROUND((E53*F53),0)</f>
        <v>134400</v>
      </c>
    </row>
    <row r="54" spans="1:8">
      <c r="A54" s="834"/>
      <c r="B54" s="331" t="s">
        <v>362</v>
      </c>
      <c r="C54" s="390" t="s">
        <v>363</v>
      </c>
      <c r="D54" s="391" t="s">
        <v>260</v>
      </c>
      <c r="E54" s="335">
        <v>1.2E-2</v>
      </c>
      <c r="F54" s="333">
        <f>VLOOKUP(B54,'[3]BASE DE DATOS'!$A$5:$E$1552,5,FALSE)</f>
        <v>2016</v>
      </c>
      <c r="G54" s="392">
        <v>1.03</v>
      </c>
      <c r="H54" s="334">
        <f>ROUND((E54*F54*G54),0)</f>
        <v>25</v>
      </c>
    </row>
    <row r="55" spans="1:8">
      <c r="A55" s="834"/>
      <c r="B55" s="331" t="s">
        <v>364</v>
      </c>
      <c r="C55" s="390" t="s">
        <v>365</v>
      </c>
      <c r="D55" s="391" t="s">
        <v>260</v>
      </c>
      <c r="E55" s="335">
        <v>1.2E-2</v>
      </c>
      <c r="F55" s="333">
        <f>VLOOKUP(B55,'[3]BASE DE DATOS'!$A$5:$E$1552,5,FALSE)</f>
        <v>896</v>
      </c>
      <c r="G55" s="392">
        <v>1.03</v>
      </c>
      <c r="H55" s="334">
        <f>ROUND((E55*F55*G55),0)</f>
        <v>11</v>
      </c>
    </row>
    <row r="56" spans="1:8">
      <c r="A56" s="834"/>
      <c r="B56" s="331" t="s">
        <v>366</v>
      </c>
      <c r="C56" s="390" t="s">
        <v>367</v>
      </c>
      <c r="D56" s="391" t="s">
        <v>260</v>
      </c>
      <c r="E56" s="336">
        <v>1E-3</v>
      </c>
      <c r="F56" s="333">
        <f>VLOOKUP(B56,'[3]BASE DE DATOS'!$A$5:$E$1552,5,FALSE)</f>
        <v>9625.2800000000007</v>
      </c>
      <c r="G56" s="392">
        <v>1.03</v>
      </c>
      <c r="H56" s="334">
        <f>ROUND((E56*F56*G56),0)</f>
        <v>10</v>
      </c>
    </row>
    <row r="57" spans="1:8">
      <c r="A57" s="834"/>
      <c r="B57" s="331" t="s">
        <v>368</v>
      </c>
      <c r="C57" s="390" t="s">
        <v>369</v>
      </c>
      <c r="D57" s="391" t="s">
        <v>260</v>
      </c>
      <c r="E57" s="336">
        <v>2E-3</v>
      </c>
      <c r="F57" s="333">
        <f>VLOOKUP(B57,'[3]BASE DE DATOS'!$A$5:$E$1552,5,FALSE)</f>
        <v>50512</v>
      </c>
      <c r="G57" s="392">
        <v>1.03</v>
      </c>
      <c r="H57" s="334">
        <f>ROUND((E57*F57*G57),0)</f>
        <v>104</v>
      </c>
    </row>
    <row r="58" spans="1:8">
      <c r="A58" s="337" t="s">
        <v>261</v>
      </c>
      <c r="B58" s="331" t="s">
        <v>325</v>
      </c>
      <c r="C58" s="390" t="s">
        <v>326</v>
      </c>
      <c r="D58" s="391" t="s">
        <v>264</v>
      </c>
      <c r="E58" s="335">
        <v>1</v>
      </c>
      <c r="F58" s="333">
        <f>VLOOKUP(B58,'[3]BASE DE DATOS'!$A$5:$E$1552,5,FALSE)</f>
        <v>80947</v>
      </c>
      <c r="G58" s="392">
        <f>1/15</f>
        <v>6.6666666666666666E-2</v>
      </c>
      <c r="H58" s="334">
        <f>ROUND((E58*F58*G58),0)</f>
        <v>5396</v>
      </c>
    </row>
    <row r="59" spans="1:8" ht="15" thickBot="1">
      <c r="A59" s="338" t="s">
        <v>265</v>
      </c>
      <c r="B59" s="339" t="s">
        <v>266</v>
      </c>
      <c r="C59" s="340" t="s">
        <v>267</v>
      </c>
      <c r="D59" s="341" t="s">
        <v>268</v>
      </c>
      <c r="E59" s="342">
        <v>0.1</v>
      </c>
      <c r="F59" s="343">
        <f>H58</f>
        <v>5396</v>
      </c>
      <c r="G59" s="344">
        <v>0</v>
      </c>
      <c r="H59" s="381">
        <f>ROUND((E59*F59),0)</f>
        <v>540</v>
      </c>
    </row>
    <row r="60" spans="1:8" ht="15" thickBot="1"/>
    <row r="61" spans="1:8">
      <c r="A61" s="480" t="s">
        <v>370</v>
      </c>
      <c r="B61" s="383"/>
      <c r="C61" s="384" t="s">
        <v>371</v>
      </c>
      <c r="D61" s="385" t="s">
        <v>254</v>
      </c>
      <c r="E61" s="428"/>
      <c r="F61" s="387">
        <f>ROUND(SUM(H61:H67),0)</f>
        <v>172075</v>
      </c>
      <c r="G61" s="388"/>
      <c r="H61" s="389"/>
    </row>
    <row r="62" spans="1:8">
      <c r="A62" s="834" t="s">
        <v>255</v>
      </c>
      <c r="B62" s="331" t="s">
        <v>271</v>
      </c>
      <c r="C62" s="390" t="s">
        <v>272</v>
      </c>
      <c r="D62" s="391" t="s">
        <v>258</v>
      </c>
      <c r="E62" s="332">
        <v>2</v>
      </c>
      <c r="F62" s="333">
        <f>VLOOKUP(B62,'[3]BASE DE DATOS'!$A$5:$E$1552,5,FALSE)</f>
        <v>8820</v>
      </c>
      <c r="G62" s="392">
        <v>1.03</v>
      </c>
      <c r="H62" s="334">
        <f>ROUND((E62*F62*G62),0)</f>
        <v>18169</v>
      </c>
    </row>
    <row r="63" spans="1:8">
      <c r="A63" s="834"/>
      <c r="B63" s="331" t="s">
        <v>372</v>
      </c>
      <c r="C63" s="390" t="s">
        <v>373</v>
      </c>
      <c r="D63" s="391" t="s">
        <v>258</v>
      </c>
      <c r="E63" s="332">
        <v>5</v>
      </c>
      <c r="F63" s="333">
        <f>VLOOKUP(B63,'[3]BASE DE DATOS'!$A$5:$E$1552,5,FALSE)</f>
        <v>8400</v>
      </c>
      <c r="G63" s="392">
        <v>1.03</v>
      </c>
      <c r="H63" s="334">
        <f>ROUND((E63*F63*G63),0)</f>
        <v>43260</v>
      </c>
    </row>
    <row r="64" spans="1:8">
      <c r="A64" s="834"/>
      <c r="B64" s="331" t="s">
        <v>374</v>
      </c>
      <c r="C64" s="390" t="s">
        <v>375</v>
      </c>
      <c r="D64" s="391" t="s">
        <v>260</v>
      </c>
      <c r="E64" s="332">
        <v>1</v>
      </c>
      <c r="F64" s="333">
        <f>VLOOKUP(B64,'[3]BASE DE DATOS'!$A$5:$E$1552,5,FALSE)</f>
        <v>9408</v>
      </c>
      <c r="G64" s="392">
        <v>0</v>
      </c>
      <c r="H64" s="334">
        <f>IF(G64&gt;=0,(E64*F64*(1+G64/100)),ABS(E64*F64/G64))</f>
        <v>9408</v>
      </c>
    </row>
    <row r="65" spans="1:8">
      <c r="A65" s="337" t="s">
        <v>261</v>
      </c>
      <c r="B65" s="331" t="s">
        <v>276</v>
      </c>
      <c r="C65" s="390" t="s">
        <v>277</v>
      </c>
      <c r="D65" s="391" t="s">
        <v>264</v>
      </c>
      <c r="E65" s="332">
        <v>1</v>
      </c>
      <c r="F65" s="333">
        <f>VLOOKUP(B65,'[3]BASE DE DATOS'!$A$5:$E$1552,5,FALSE)</f>
        <v>226652</v>
      </c>
      <c r="G65" s="392">
        <f>1/3</f>
        <v>0.33333333333333331</v>
      </c>
      <c r="H65" s="334">
        <f>ROUND((E65*F65*G65),0)</f>
        <v>75551</v>
      </c>
    </row>
    <row r="66" spans="1:8">
      <c r="A66" s="837" t="s">
        <v>265</v>
      </c>
      <c r="B66" s="331" t="s">
        <v>266</v>
      </c>
      <c r="C66" s="390" t="s">
        <v>267</v>
      </c>
      <c r="D66" s="391" t="s">
        <v>268</v>
      </c>
      <c r="E66" s="332">
        <v>0.1</v>
      </c>
      <c r="F66" s="333">
        <f>H65</f>
        <v>75551</v>
      </c>
      <c r="G66" s="392">
        <v>0</v>
      </c>
      <c r="H66" s="334">
        <f>ROUND((E66*F66),0)</f>
        <v>7555</v>
      </c>
    </row>
    <row r="67" spans="1:8" ht="15" thickBot="1">
      <c r="A67" s="838"/>
      <c r="B67" s="339" t="s">
        <v>376</v>
      </c>
      <c r="C67" s="340" t="s">
        <v>377</v>
      </c>
      <c r="D67" s="341" t="s">
        <v>268</v>
      </c>
      <c r="E67" s="427">
        <v>0.24</v>
      </c>
      <c r="F67" s="343">
        <f>H65</f>
        <v>75551</v>
      </c>
      <c r="G67" s="344">
        <v>0</v>
      </c>
      <c r="H67" s="381">
        <f>ROUND((E67*F67),0)</f>
        <v>18132</v>
      </c>
    </row>
    <row r="68" spans="1:8" ht="15" thickBot="1"/>
    <row r="69" spans="1:8">
      <c r="A69" s="480" t="s">
        <v>383</v>
      </c>
      <c r="B69" s="383"/>
      <c r="C69" s="384" t="str">
        <f>+'PRESUPUESTO ESTUFA'!C25</f>
        <v>Material Vegetal - Plantulas</v>
      </c>
      <c r="D69" s="385" t="s">
        <v>254</v>
      </c>
      <c r="E69" s="386"/>
      <c r="F69" s="387">
        <f>ROUND(SUM(H69:H73),0)</f>
        <v>9401</v>
      </c>
      <c r="G69" s="388"/>
      <c r="H69" s="389"/>
    </row>
    <row r="70" spans="1:8" ht="67.5">
      <c r="A70" s="666" t="s">
        <v>384</v>
      </c>
      <c r="B70" s="331" t="s">
        <v>385</v>
      </c>
      <c r="C70" s="390" t="s">
        <v>386</v>
      </c>
      <c r="D70" s="391" t="s">
        <v>258</v>
      </c>
      <c r="E70" s="335">
        <v>0.4</v>
      </c>
      <c r="F70" s="333">
        <f>VLOOKUP(B70,'[3]BASE DE DATOS'!$A$5:$E$1552,5,FALSE)</f>
        <v>11200</v>
      </c>
      <c r="G70" s="392">
        <v>0</v>
      </c>
      <c r="H70" s="334">
        <f>ROUND((E70*F70),0)</f>
        <v>4480</v>
      </c>
    </row>
    <row r="71" spans="1:8">
      <c r="A71" s="337" t="s">
        <v>261</v>
      </c>
      <c r="B71" s="331" t="s">
        <v>325</v>
      </c>
      <c r="C71" s="390" t="s">
        <v>326</v>
      </c>
      <c r="D71" s="391" t="s">
        <v>264</v>
      </c>
      <c r="E71" s="335">
        <v>1</v>
      </c>
      <c r="F71" s="333">
        <f>VLOOKUP(B71,'[3]BASE DE DATOS'!$A$5:$E$1552,5,FALSE)</f>
        <v>80947</v>
      </c>
      <c r="G71" s="392">
        <f>1/20</f>
        <v>0.05</v>
      </c>
      <c r="H71" s="334">
        <f>ROUND((E71*F71*G71),0)</f>
        <v>4047</v>
      </c>
    </row>
    <row r="72" spans="1:8">
      <c r="A72" s="837" t="s">
        <v>265</v>
      </c>
      <c r="B72" s="331" t="s">
        <v>266</v>
      </c>
      <c r="C72" s="390" t="s">
        <v>267</v>
      </c>
      <c r="D72" s="391" t="s">
        <v>268</v>
      </c>
      <c r="E72" s="335">
        <v>0.05</v>
      </c>
      <c r="F72" s="333">
        <f>H71</f>
        <v>4047</v>
      </c>
      <c r="G72" s="392">
        <v>0</v>
      </c>
      <c r="H72" s="334">
        <f>ROUND((E72*F72),0)</f>
        <v>202</v>
      </c>
    </row>
    <row r="73" spans="1:8" ht="15" thickBot="1">
      <c r="A73" s="838"/>
      <c r="B73" s="339" t="s">
        <v>387</v>
      </c>
      <c r="C73" s="340" t="s">
        <v>388</v>
      </c>
      <c r="D73" s="341" t="s">
        <v>389</v>
      </c>
      <c r="E73" s="342">
        <v>0.15</v>
      </c>
      <c r="F73" s="343">
        <f>SUM(H70:H70)</f>
        <v>4480</v>
      </c>
      <c r="G73" s="344">
        <v>0</v>
      </c>
      <c r="H73" s="381">
        <f>ROUND((E73*F73),0)</f>
        <v>672</v>
      </c>
    </row>
    <row r="75" spans="1:8" ht="15" thickBot="1"/>
    <row r="76" spans="1:8" ht="15">
      <c r="A76" s="382" t="s">
        <v>395</v>
      </c>
      <c r="B76" s="383"/>
      <c r="C76" s="384" t="s">
        <v>396</v>
      </c>
      <c r="D76" s="385" t="s">
        <v>397</v>
      </c>
      <c r="E76" s="428"/>
      <c r="F76" s="387">
        <f>ROUND(SUM(H76:H78),0)</f>
        <v>32379</v>
      </c>
      <c r="G76" s="388"/>
      <c r="H76" s="389"/>
    </row>
    <row r="77" spans="1:8">
      <c r="A77" s="337" t="s">
        <v>261</v>
      </c>
      <c r="B77" s="513" t="s">
        <v>391</v>
      </c>
      <c r="C77" s="514" t="s">
        <v>392</v>
      </c>
      <c r="D77" s="391" t="s">
        <v>264</v>
      </c>
      <c r="E77" s="332">
        <v>1</v>
      </c>
      <c r="F77" s="333">
        <f>VLOOKUP(B77,'[3]BASE DE DATOS'!$A$5:$E$1552,5,FALSE)</f>
        <v>323788</v>
      </c>
      <c r="G77" s="392">
        <f>1/11</f>
        <v>9.0909090909090912E-2</v>
      </c>
      <c r="H77" s="334">
        <f>ROUND((E77*F77*G77),0)</f>
        <v>29435</v>
      </c>
    </row>
    <row r="78" spans="1:8" ht="15" thickBot="1">
      <c r="A78" s="338" t="s">
        <v>265</v>
      </c>
      <c r="B78" s="339" t="s">
        <v>266</v>
      </c>
      <c r="C78" s="340" t="s">
        <v>267</v>
      </c>
      <c r="D78" s="341" t="s">
        <v>268</v>
      </c>
      <c r="E78" s="427">
        <v>0.1</v>
      </c>
      <c r="F78" s="343">
        <f>H77</f>
        <v>29435</v>
      </c>
      <c r="G78" s="344">
        <v>0</v>
      </c>
      <c r="H78" s="381">
        <f>ROUND((E78*F78),0)</f>
        <v>2944</v>
      </c>
    </row>
    <row r="79" spans="1:8" ht="15" thickBot="1"/>
    <row r="80" spans="1:8" ht="34.5" customHeight="1">
      <c r="A80" s="697" t="s">
        <v>280</v>
      </c>
      <c r="B80" s="698"/>
      <c r="C80" s="699" t="s">
        <v>310</v>
      </c>
      <c r="D80" s="700" t="s">
        <v>281</v>
      </c>
      <c r="E80" s="701"/>
      <c r="F80" s="702">
        <f>ROUND(SUM(H80:H82),0)</f>
        <v>157458</v>
      </c>
      <c r="G80" s="703"/>
      <c r="H80" s="704"/>
    </row>
    <row r="81" spans="1:8" ht="22.5" customHeight="1">
      <c r="A81" s="417" t="s">
        <v>261</v>
      </c>
      <c r="B81" s="362"/>
      <c r="C81" s="357" t="s">
        <v>282</v>
      </c>
      <c r="D81" s="358" t="s">
        <v>264</v>
      </c>
      <c r="E81" s="359">
        <v>1</v>
      </c>
      <c r="F81" s="705">
        <f>+'[5]ANALISIS MANO DE OBRA'!E30*2</f>
        <v>151094</v>
      </c>
      <c r="G81" s="360">
        <v>0.4</v>
      </c>
      <c r="H81" s="418">
        <f>ROUND((E81*F81*G81),0)</f>
        <v>60438</v>
      </c>
    </row>
    <row r="82" spans="1:8" ht="15" thickBot="1">
      <c r="A82" s="419" t="s">
        <v>265</v>
      </c>
      <c r="B82" s="420" t="s">
        <v>283</v>
      </c>
      <c r="C82" s="706" t="s">
        <v>284</v>
      </c>
      <c r="D82" s="707" t="s">
        <v>281</v>
      </c>
      <c r="E82" s="708">
        <v>2</v>
      </c>
      <c r="F82" s="709">
        <v>73500</v>
      </c>
      <c r="G82" s="710">
        <v>0.66</v>
      </c>
      <c r="H82" s="711">
        <f>ROUND((E82*F82*G82),0)</f>
        <v>97020</v>
      </c>
    </row>
    <row r="84" spans="1:8" ht="15" thickBot="1"/>
    <row r="85" spans="1:8" ht="33.75" customHeight="1">
      <c r="A85" s="697" t="s">
        <v>280</v>
      </c>
      <c r="B85" s="698"/>
      <c r="C85" s="699" t="s">
        <v>285</v>
      </c>
      <c r="D85" s="700" t="s">
        <v>515</v>
      </c>
      <c r="E85" s="701"/>
      <c r="F85" s="702">
        <f>ROUND(SUM(H85:H87),0)</f>
        <v>155689</v>
      </c>
      <c r="G85" s="703"/>
      <c r="H85" s="704"/>
    </row>
    <row r="86" spans="1:8">
      <c r="A86" s="417" t="s">
        <v>261</v>
      </c>
      <c r="B86" s="362"/>
      <c r="C86" s="357" t="s">
        <v>282</v>
      </c>
      <c r="D86" s="358" t="s">
        <v>264</v>
      </c>
      <c r="E86" s="359">
        <v>1</v>
      </c>
      <c r="F86" s="705">
        <f>+'[5]ANALISIS MANO DE OBRA'!E30*2</f>
        <v>151094</v>
      </c>
      <c r="G86" s="360">
        <v>0.48399999999999999</v>
      </c>
      <c r="H86" s="418">
        <f>ROUND((E86*F86*G86),0)</f>
        <v>73129</v>
      </c>
    </row>
    <row r="87" spans="1:8" ht="15" thickBot="1">
      <c r="A87" s="419" t="s">
        <v>265</v>
      </c>
      <c r="B87" s="420" t="s">
        <v>283</v>
      </c>
      <c r="C87" s="706" t="s">
        <v>284</v>
      </c>
      <c r="D87" s="707" t="s">
        <v>281</v>
      </c>
      <c r="E87" s="708">
        <v>2</v>
      </c>
      <c r="F87" s="709">
        <f>+'ANALISIS TRANS VEHIC'!E58</f>
        <v>62545.454545454544</v>
      </c>
      <c r="G87" s="710">
        <v>0.66</v>
      </c>
      <c r="H87" s="711">
        <f>ROUND((E87*F87*G87),0)</f>
        <v>82560</v>
      </c>
    </row>
    <row r="88" spans="1:8" ht="15" thickBot="1"/>
    <row r="89" spans="1:8">
      <c r="A89" s="571" t="s">
        <v>405</v>
      </c>
      <c r="B89" s="572"/>
      <c r="C89" s="384" t="s">
        <v>406</v>
      </c>
      <c r="D89" s="385" t="s">
        <v>407</v>
      </c>
      <c r="E89" s="428"/>
      <c r="F89" s="387">
        <f>ROUND(SUM(H89:H90),0)</f>
        <v>4911</v>
      </c>
      <c r="G89" s="388"/>
      <c r="H89" s="573"/>
    </row>
    <row r="90" spans="1:8" ht="15" thickBot="1">
      <c r="A90" s="338" t="s">
        <v>265</v>
      </c>
      <c r="B90" s="574" t="s">
        <v>408</v>
      </c>
      <c r="C90" s="340" t="s">
        <v>409</v>
      </c>
      <c r="D90" s="341" t="s">
        <v>410</v>
      </c>
      <c r="E90" s="427">
        <v>1</v>
      </c>
      <c r="F90" s="343">
        <f>VLOOKUP(B90,'[3]BASE DE DATOS'!$A$5:$E$1552,5,FALSE)</f>
        <v>4911.2</v>
      </c>
      <c r="G90" s="344">
        <v>0</v>
      </c>
      <c r="H90" s="575">
        <f>ROUND((E90*F90),0)</f>
        <v>4911</v>
      </c>
    </row>
    <row r="91" spans="1:8">
      <c r="A91" s="571" t="s">
        <v>411</v>
      </c>
      <c r="B91" s="572"/>
      <c r="C91" s="576" t="s">
        <v>412</v>
      </c>
      <c r="D91" s="385" t="s">
        <v>407</v>
      </c>
      <c r="E91" s="428"/>
      <c r="F91" s="387">
        <f>ROUND(SUM(H91:H92),0)</f>
        <v>19589</v>
      </c>
      <c r="G91" s="388"/>
      <c r="H91" s="573"/>
    </row>
    <row r="92" spans="1:8" ht="15" thickBot="1">
      <c r="A92" s="338" t="s">
        <v>265</v>
      </c>
      <c r="B92" s="574" t="s">
        <v>325</v>
      </c>
      <c r="C92" s="340" t="s">
        <v>326</v>
      </c>
      <c r="D92" s="341" t="s">
        <v>264</v>
      </c>
      <c r="E92" s="427">
        <v>1</v>
      </c>
      <c r="F92" s="343">
        <f>VLOOKUP(B92,'[3]BASE DE DATOS'!$A$5:$E$1552,5,FALSE)</f>
        <v>80947</v>
      </c>
      <c r="G92" s="344">
        <v>0.24199999999999999</v>
      </c>
      <c r="H92" s="575">
        <f>ROUND((E92*F92*G92),0)</f>
        <v>19589</v>
      </c>
    </row>
    <row r="93" spans="1:8" ht="15">
      <c r="A93" s="571" t="s">
        <v>413</v>
      </c>
      <c r="B93" s="832"/>
      <c r="C93" s="577" t="s">
        <v>414</v>
      </c>
      <c r="D93" s="578" t="s">
        <v>397</v>
      </c>
      <c r="E93" s="579"/>
      <c r="F93" s="580">
        <f>ROUND(SUM(H93:H94),0)</f>
        <v>6000</v>
      </c>
      <c r="G93" s="581"/>
      <c r="H93" s="582"/>
    </row>
    <row r="94" spans="1:8" ht="15" thickBot="1">
      <c r="A94" s="338" t="s">
        <v>265</v>
      </c>
      <c r="B94" s="833"/>
      <c r="C94" s="398" t="s">
        <v>415</v>
      </c>
      <c r="D94" s="399" t="s">
        <v>275</v>
      </c>
      <c r="E94" s="512">
        <v>1</v>
      </c>
      <c r="F94" s="583">
        <v>6000</v>
      </c>
      <c r="G94" s="401">
        <v>1</v>
      </c>
      <c r="H94" s="584">
        <f>ROUND((E94*F94*G94),0)</f>
        <v>6000</v>
      </c>
    </row>
    <row r="95" spans="1:8">
      <c r="A95" s="585" t="s">
        <v>416</v>
      </c>
      <c r="B95" s="586"/>
      <c r="C95" s="577" t="s">
        <v>417</v>
      </c>
      <c r="D95" s="578" t="s">
        <v>418</v>
      </c>
      <c r="E95" s="579"/>
      <c r="F95" s="580">
        <f>ROUND(SUM(H95:H96),0)</f>
        <v>8400</v>
      </c>
      <c r="G95" s="581"/>
      <c r="H95" s="582"/>
    </row>
    <row r="96" spans="1:8" ht="15" thickBot="1">
      <c r="A96" s="338" t="s">
        <v>265</v>
      </c>
      <c r="B96" s="574" t="s">
        <v>283</v>
      </c>
      <c r="C96" s="398" t="s">
        <v>419</v>
      </c>
      <c r="D96" s="399" t="s">
        <v>420</v>
      </c>
      <c r="E96" s="512">
        <v>1</v>
      </c>
      <c r="F96" s="400">
        <f>VLOOKUP(B96,'[3]BASE DE DATOS'!$A$5:$E$1552,5,FALSE)</f>
        <v>67200</v>
      </c>
      <c r="G96" s="401">
        <v>0.125</v>
      </c>
      <c r="H96" s="584">
        <f>ROUND((E96*F96*G96),0)</f>
        <v>8400</v>
      </c>
    </row>
    <row r="97" spans="1:8" ht="15" thickBot="1"/>
    <row r="98" spans="1:8" ht="15">
      <c r="A98" s="667" t="s">
        <v>547</v>
      </c>
      <c r="B98" s="668"/>
      <c r="C98" s="577" t="s">
        <v>550</v>
      </c>
      <c r="D98" s="578" t="s">
        <v>397</v>
      </c>
      <c r="E98" s="579"/>
      <c r="F98" s="580">
        <f>ROUND(SUM(H98:H102),0)</f>
        <v>30373</v>
      </c>
      <c r="G98" s="581"/>
      <c r="H98" s="669"/>
    </row>
    <row r="99" spans="1:8">
      <c r="A99" s="831" t="s">
        <v>390</v>
      </c>
      <c r="B99" s="331" t="s">
        <v>536</v>
      </c>
      <c r="C99" s="390" t="s">
        <v>537</v>
      </c>
      <c r="D99" s="391" t="s">
        <v>264</v>
      </c>
      <c r="E99" s="332">
        <v>1</v>
      </c>
      <c r="F99" s="333">
        <f>VLOOKUP(B99,'[3]BASE DE DATOS'!$A$5:$E$1552,5,FALSE)</f>
        <v>469493</v>
      </c>
      <c r="G99" s="392">
        <v>0.05</v>
      </c>
      <c r="H99" s="334">
        <f>ROUND((E99*F99*G99),0)</f>
        <v>23475</v>
      </c>
    </row>
    <row r="100" spans="1:8">
      <c r="A100" s="831"/>
      <c r="B100" s="331" t="s">
        <v>393</v>
      </c>
      <c r="C100" s="390" t="s">
        <v>394</v>
      </c>
      <c r="D100" s="391" t="s">
        <v>268</v>
      </c>
      <c r="E100" s="332">
        <v>0.05</v>
      </c>
      <c r="F100" s="333">
        <f>+H99</f>
        <v>23475</v>
      </c>
      <c r="G100" s="392">
        <v>0</v>
      </c>
      <c r="H100" s="334">
        <f>ROUND((E100*F100),0)</f>
        <v>1174</v>
      </c>
    </row>
    <row r="101" spans="1:8">
      <c r="A101" s="835" t="s">
        <v>265</v>
      </c>
      <c r="B101" s="331" t="s">
        <v>266</v>
      </c>
      <c r="C101" s="390" t="s">
        <v>267</v>
      </c>
      <c r="D101" s="391" t="s">
        <v>268</v>
      </c>
      <c r="E101" s="332">
        <v>0.1</v>
      </c>
      <c r="F101" s="333">
        <f>H99</f>
        <v>23475</v>
      </c>
      <c r="G101" s="392">
        <v>0</v>
      </c>
      <c r="H101" s="334">
        <f>ROUND((E101*F101),0)</f>
        <v>2348</v>
      </c>
    </row>
    <row r="102" spans="1:8" ht="15" thickBot="1">
      <c r="A102" s="836"/>
      <c r="B102" s="339" t="s">
        <v>548</v>
      </c>
      <c r="C102" s="635" t="s">
        <v>549</v>
      </c>
      <c r="D102" s="636" t="s">
        <v>264</v>
      </c>
      <c r="E102" s="665">
        <v>1</v>
      </c>
      <c r="F102" s="638">
        <f>VLOOKUP(B102,'[3]BASE DE DATOS'!$A$5:$E$1552,5,FALSE)</f>
        <v>50646.400000000001</v>
      </c>
      <c r="G102" s="639">
        <f>1/15</f>
        <v>6.6666666666666666E-2</v>
      </c>
      <c r="H102" s="381">
        <f>ROUND((E102*F102*G102),0)</f>
        <v>3376</v>
      </c>
    </row>
  </sheetData>
  <mergeCells count="13">
    <mergeCell ref="A1:H1"/>
    <mergeCell ref="A2:H4"/>
    <mergeCell ref="A30:A32"/>
    <mergeCell ref="A38:A40"/>
    <mergeCell ref="A46:A47"/>
    <mergeCell ref="A99:A100"/>
    <mergeCell ref="B93:B94"/>
    <mergeCell ref="A6:A10"/>
    <mergeCell ref="A101:A102"/>
    <mergeCell ref="A53:A57"/>
    <mergeCell ref="A62:A64"/>
    <mergeCell ref="A66:A67"/>
    <mergeCell ref="A72:A7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C5CAE-F29A-4E22-AAD1-9D659A12E58C}">
  <dimension ref="A1:G69"/>
  <sheetViews>
    <sheetView topLeftCell="A55" zoomScale="86" zoomScaleNormal="86" workbookViewId="0">
      <selection activeCell="F72" sqref="F72"/>
    </sheetView>
  </sheetViews>
  <sheetFormatPr baseColWidth="10" defaultColWidth="11.453125" defaultRowHeight="14.5"/>
  <cols>
    <col min="1" max="2" width="11.453125" style="594"/>
    <col min="3" max="3" width="16.7265625" style="597" customWidth="1"/>
    <col min="4" max="4" width="17.26953125" style="594" customWidth="1"/>
    <col min="5" max="5" width="15.7265625" style="594" customWidth="1"/>
    <col min="6" max="6" width="20.26953125" style="597" customWidth="1"/>
    <col min="7" max="16384" width="11.453125" style="594"/>
  </cols>
  <sheetData>
    <row r="1" spans="1:7" ht="44" thickBot="1">
      <c r="A1" s="605"/>
      <c r="B1" s="606"/>
      <c r="C1" s="607" t="s">
        <v>421</v>
      </c>
      <c r="D1" s="608" t="s">
        <v>422</v>
      </c>
      <c r="E1" s="608" t="s">
        <v>423</v>
      </c>
      <c r="F1" s="609" t="s">
        <v>424</v>
      </c>
      <c r="G1" s="610" t="s">
        <v>516</v>
      </c>
    </row>
    <row r="2" spans="1:7">
      <c r="A2" s="611"/>
      <c r="B2" s="612"/>
      <c r="C2" s="613"/>
      <c r="D2" s="614"/>
      <c r="E2" s="614"/>
      <c r="F2" s="615"/>
      <c r="G2" s="616" t="s">
        <v>517</v>
      </c>
    </row>
    <row r="3" spans="1:7" ht="29">
      <c r="A3" s="617">
        <v>1</v>
      </c>
      <c r="B3" s="593"/>
      <c r="C3" s="588" t="s">
        <v>428</v>
      </c>
      <c r="D3" s="587">
        <v>42026693</v>
      </c>
      <c r="E3" s="587">
        <v>3225098340</v>
      </c>
      <c r="F3" s="588" t="s">
        <v>429</v>
      </c>
      <c r="G3" s="618"/>
    </row>
    <row r="4" spans="1:7" ht="29">
      <c r="A4" s="617">
        <v>2</v>
      </c>
      <c r="B4" s="593"/>
      <c r="C4" s="588" t="s">
        <v>430</v>
      </c>
      <c r="D4" s="587">
        <v>8461557</v>
      </c>
      <c r="E4" s="587">
        <v>3103879235</v>
      </c>
      <c r="F4" s="588" t="s">
        <v>431</v>
      </c>
      <c r="G4" s="618"/>
    </row>
    <row r="5" spans="1:7" ht="29">
      <c r="A5" s="617">
        <v>3</v>
      </c>
      <c r="B5" s="593">
        <v>1</v>
      </c>
      <c r="C5" s="588" t="s">
        <v>432</v>
      </c>
      <c r="D5" s="587">
        <v>10198688</v>
      </c>
      <c r="E5" s="587">
        <v>3108281927</v>
      </c>
      <c r="F5" s="588" t="s">
        <v>433</v>
      </c>
      <c r="G5" s="619">
        <v>180</v>
      </c>
    </row>
    <row r="6" spans="1:7" ht="29">
      <c r="A6" s="617">
        <v>4</v>
      </c>
      <c r="B6" s="593">
        <v>2</v>
      </c>
      <c r="C6" s="588" t="s">
        <v>434</v>
      </c>
      <c r="D6" s="587">
        <v>20983381</v>
      </c>
      <c r="E6" s="587">
        <v>3013556640</v>
      </c>
      <c r="F6" s="588" t="s">
        <v>435</v>
      </c>
      <c r="G6" s="619">
        <v>520</v>
      </c>
    </row>
    <row r="7" spans="1:7" ht="29">
      <c r="A7" s="617">
        <v>5</v>
      </c>
      <c r="B7" s="593">
        <v>3</v>
      </c>
      <c r="C7" s="588" t="s">
        <v>436</v>
      </c>
      <c r="D7" s="587">
        <v>29392927</v>
      </c>
      <c r="E7" s="588" t="s">
        <v>437</v>
      </c>
      <c r="F7" s="588" t="s">
        <v>438</v>
      </c>
      <c r="G7" s="619">
        <v>65</v>
      </c>
    </row>
    <row r="8" spans="1:7" ht="29">
      <c r="A8" s="617">
        <v>6</v>
      </c>
      <c r="B8" s="593"/>
      <c r="C8" s="588" t="s">
        <v>439</v>
      </c>
      <c r="D8" s="587"/>
      <c r="E8" s="587">
        <v>3117704065</v>
      </c>
      <c r="F8" s="588" t="s">
        <v>440</v>
      </c>
      <c r="G8" s="618"/>
    </row>
    <row r="9" spans="1:7" ht="29">
      <c r="A9" s="617">
        <v>7</v>
      </c>
      <c r="B9" s="593"/>
      <c r="C9" s="588" t="s">
        <v>441</v>
      </c>
      <c r="D9" s="587"/>
      <c r="E9" s="587">
        <v>3113217946</v>
      </c>
      <c r="F9" s="588" t="s">
        <v>442</v>
      </c>
      <c r="G9" s="618"/>
    </row>
    <row r="10" spans="1:7" ht="29">
      <c r="A10" s="617">
        <v>8</v>
      </c>
      <c r="B10" s="593"/>
      <c r="C10" s="588" t="s">
        <v>443</v>
      </c>
      <c r="D10" s="587">
        <v>1087559700</v>
      </c>
      <c r="E10" s="587">
        <v>3104370200</v>
      </c>
      <c r="F10" s="588" t="s">
        <v>431</v>
      </c>
      <c r="G10" s="618"/>
    </row>
    <row r="11" spans="1:7" ht="29">
      <c r="A11" s="617">
        <v>9</v>
      </c>
      <c r="B11" s="593"/>
      <c r="C11" s="588" t="s">
        <v>444</v>
      </c>
      <c r="D11" s="587">
        <v>1112776848</v>
      </c>
      <c r="E11" s="588" t="s">
        <v>445</v>
      </c>
      <c r="F11" s="588" t="s">
        <v>446</v>
      </c>
      <c r="G11" s="618"/>
    </row>
    <row r="12" spans="1:7" ht="29">
      <c r="A12" s="617">
        <v>10</v>
      </c>
      <c r="B12" s="593"/>
      <c r="C12" s="588" t="s">
        <v>447</v>
      </c>
      <c r="D12" s="587">
        <v>24511637</v>
      </c>
      <c r="E12" s="587">
        <v>3104010234</v>
      </c>
      <c r="F12" s="588" t="s">
        <v>431</v>
      </c>
      <c r="G12" s="618"/>
    </row>
    <row r="13" spans="1:7" ht="29">
      <c r="A13" s="617">
        <v>11</v>
      </c>
      <c r="B13" s="593"/>
      <c r="C13" s="588" t="s">
        <v>448</v>
      </c>
      <c r="D13" s="587">
        <v>10193564</v>
      </c>
      <c r="E13" s="587">
        <v>3215206870</v>
      </c>
      <c r="F13" s="588" t="s">
        <v>431</v>
      </c>
      <c r="G13" s="618"/>
    </row>
    <row r="14" spans="1:7" ht="29">
      <c r="A14" s="617">
        <v>12</v>
      </c>
      <c r="B14" s="593"/>
      <c r="C14" s="588" t="s">
        <v>449</v>
      </c>
      <c r="D14" s="587">
        <v>36272236</v>
      </c>
      <c r="E14" s="588" t="s">
        <v>450</v>
      </c>
      <c r="F14" s="588" t="s">
        <v>446</v>
      </c>
      <c r="G14" s="618"/>
    </row>
    <row r="15" spans="1:7" ht="29">
      <c r="A15" s="617">
        <v>13</v>
      </c>
      <c r="B15" s="593">
        <v>4</v>
      </c>
      <c r="C15" s="588" t="s">
        <v>451</v>
      </c>
      <c r="D15" s="587">
        <v>10051313</v>
      </c>
      <c r="E15" s="587">
        <v>3202343203</v>
      </c>
      <c r="F15" s="588" t="s">
        <v>452</v>
      </c>
      <c r="G15" s="619">
        <v>250</v>
      </c>
    </row>
    <row r="16" spans="1:7" ht="29">
      <c r="A16" s="617">
        <v>14</v>
      </c>
      <c r="B16" s="593"/>
      <c r="C16" s="588" t="s">
        <v>453</v>
      </c>
      <c r="D16" s="587">
        <v>18607677</v>
      </c>
      <c r="E16" s="587">
        <v>3116226142</v>
      </c>
      <c r="F16" s="588" t="s">
        <v>431</v>
      </c>
      <c r="G16" s="618"/>
    </row>
    <row r="17" spans="1:7" ht="29">
      <c r="A17" s="617">
        <v>15</v>
      </c>
      <c r="B17" s="593"/>
      <c r="C17" s="588" t="s">
        <v>454</v>
      </c>
      <c r="D17" s="587">
        <v>42028848</v>
      </c>
      <c r="E17" s="587">
        <v>3146155213</v>
      </c>
      <c r="F17" s="588" t="s">
        <v>431</v>
      </c>
      <c r="G17" s="618"/>
    </row>
    <row r="18" spans="1:7" ht="43.5">
      <c r="A18" s="617">
        <v>16</v>
      </c>
      <c r="B18" s="593">
        <v>5</v>
      </c>
      <c r="C18" s="588" t="s">
        <v>455</v>
      </c>
      <c r="D18" s="587">
        <v>9990033</v>
      </c>
      <c r="E18" s="587">
        <v>3225906595</v>
      </c>
      <c r="F18" s="588" t="s">
        <v>456</v>
      </c>
      <c r="G18" s="619">
        <v>20</v>
      </c>
    </row>
    <row r="19" spans="1:7" ht="29">
      <c r="A19" s="617">
        <v>17</v>
      </c>
      <c r="B19" s="593"/>
      <c r="C19" s="588" t="s">
        <v>457</v>
      </c>
      <c r="D19" s="587">
        <v>10064322</v>
      </c>
      <c r="E19" s="588" t="s">
        <v>458</v>
      </c>
      <c r="F19" s="588" t="s">
        <v>459</v>
      </c>
      <c r="G19" s="618"/>
    </row>
    <row r="20" spans="1:7" ht="43.5">
      <c r="A20" s="617">
        <v>18</v>
      </c>
      <c r="B20" s="593">
        <v>7</v>
      </c>
      <c r="C20" s="588" t="s">
        <v>460</v>
      </c>
      <c r="D20" s="587">
        <v>10190557</v>
      </c>
      <c r="E20" s="587"/>
      <c r="F20" s="588" t="s">
        <v>431</v>
      </c>
      <c r="G20" s="619">
        <v>218</v>
      </c>
    </row>
    <row r="21" spans="1:7" ht="29">
      <c r="A21" s="617">
        <v>19</v>
      </c>
      <c r="B21" s="593"/>
      <c r="C21" s="588" t="s">
        <v>461</v>
      </c>
      <c r="D21" s="587">
        <v>4557244</v>
      </c>
      <c r="E21" s="587">
        <v>3135399948</v>
      </c>
      <c r="F21" s="588" t="s">
        <v>462</v>
      </c>
      <c r="G21" s="618"/>
    </row>
    <row r="22" spans="1:7" ht="29">
      <c r="A22" s="617">
        <v>20</v>
      </c>
      <c r="B22" s="593">
        <v>8</v>
      </c>
      <c r="C22" s="588" t="s">
        <v>463</v>
      </c>
      <c r="D22" s="587">
        <v>2672566</v>
      </c>
      <c r="E22" s="587"/>
      <c r="F22" s="588" t="s">
        <v>464</v>
      </c>
      <c r="G22" s="619">
        <v>600</v>
      </c>
    </row>
    <row r="23" spans="1:7" ht="29">
      <c r="A23" s="617">
        <v>21</v>
      </c>
      <c r="B23" s="593"/>
      <c r="C23" s="588" t="s">
        <v>465</v>
      </c>
      <c r="D23" s="587"/>
      <c r="E23" s="587">
        <v>3206071828</v>
      </c>
      <c r="F23" s="588" t="s">
        <v>466</v>
      </c>
      <c r="G23" s="618"/>
    </row>
    <row r="24" spans="1:7" ht="43.5">
      <c r="A24" s="617">
        <v>22</v>
      </c>
      <c r="B24" s="593"/>
      <c r="C24" s="588" t="s">
        <v>467</v>
      </c>
      <c r="D24" s="587">
        <v>1087547899</v>
      </c>
      <c r="E24" s="587">
        <v>3116456982</v>
      </c>
      <c r="F24" s="588" t="s">
        <v>446</v>
      </c>
      <c r="G24" s="618"/>
    </row>
    <row r="25" spans="1:7" ht="43.5">
      <c r="A25" s="617">
        <v>23</v>
      </c>
      <c r="B25" s="593">
        <v>9</v>
      </c>
      <c r="C25" s="588" t="s">
        <v>468</v>
      </c>
      <c r="D25" s="587">
        <v>9745079</v>
      </c>
      <c r="E25" s="587">
        <v>3118854613</v>
      </c>
      <c r="F25" s="588" t="s">
        <v>469</v>
      </c>
      <c r="G25" s="619">
        <v>263</v>
      </c>
    </row>
    <row r="26" spans="1:7" ht="29">
      <c r="A26" s="617">
        <v>24</v>
      </c>
      <c r="B26" s="593"/>
      <c r="C26" s="588" t="s">
        <v>470</v>
      </c>
      <c r="D26" s="587">
        <v>10051134</v>
      </c>
      <c r="E26" s="587">
        <v>3235104544</v>
      </c>
      <c r="F26" s="588" t="s">
        <v>471</v>
      </c>
      <c r="G26" s="618"/>
    </row>
    <row r="27" spans="1:7" ht="29">
      <c r="A27" s="617">
        <v>25</v>
      </c>
      <c r="B27" s="593">
        <v>10</v>
      </c>
      <c r="C27" s="588" t="s">
        <v>472</v>
      </c>
      <c r="D27" s="587"/>
      <c r="E27" s="587">
        <v>3206735836</v>
      </c>
      <c r="F27" s="588" t="s">
        <v>473</v>
      </c>
      <c r="G27" s="619">
        <v>155</v>
      </c>
    </row>
    <row r="28" spans="1:7" ht="29">
      <c r="A28" s="617">
        <v>26</v>
      </c>
      <c r="B28" s="593"/>
      <c r="C28" s="588" t="s">
        <v>474</v>
      </c>
      <c r="D28" s="587">
        <v>1087555072</v>
      </c>
      <c r="E28" s="587">
        <v>3145976586</v>
      </c>
      <c r="F28" s="588" t="s">
        <v>446</v>
      </c>
      <c r="G28" s="618"/>
    </row>
    <row r="29" spans="1:7" ht="29">
      <c r="A29" s="617">
        <v>27</v>
      </c>
      <c r="B29" s="593">
        <v>11</v>
      </c>
      <c r="C29" s="588" t="s">
        <v>475</v>
      </c>
      <c r="D29" s="587">
        <v>10194509</v>
      </c>
      <c r="E29" s="587">
        <v>3148721673</v>
      </c>
      <c r="F29" s="588" t="s">
        <v>446</v>
      </c>
      <c r="G29" s="619">
        <v>140</v>
      </c>
    </row>
    <row r="30" spans="1:7" ht="29">
      <c r="A30" s="617">
        <v>28</v>
      </c>
      <c r="B30" s="593"/>
      <c r="C30" s="588" t="s">
        <v>476</v>
      </c>
      <c r="D30" s="587"/>
      <c r="E30" s="587">
        <v>3124090647</v>
      </c>
      <c r="F30" s="588" t="s">
        <v>446</v>
      </c>
      <c r="G30" s="620"/>
    </row>
    <row r="31" spans="1:7" ht="29">
      <c r="A31" s="617">
        <v>29</v>
      </c>
      <c r="B31" s="593">
        <v>12</v>
      </c>
      <c r="C31" s="588" t="s">
        <v>477</v>
      </c>
      <c r="D31" s="587">
        <v>10194544</v>
      </c>
      <c r="E31" s="587">
        <v>3228209821</v>
      </c>
      <c r="F31" s="588" t="s">
        <v>446</v>
      </c>
      <c r="G31" s="619">
        <v>320</v>
      </c>
    </row>
    <row r="32" spans="1:7" ht="43.5">
      <c r="A32" s="617">
        <v>30</v>
      </c>
      <c r="B32" s="593">
        <v>13</v>
      </c>
      <c r="C32" s="588" t="s">
        <v>478</v>
      </c>
      <c r="D32" s="587">
        <v>42025578</v>
      </c>
      <c r="E32" s="587">
        <v>3203208998</v>
      </c>
      <c r="F32" s="597" t="s">
        <v>446</v>
      </c>
      <c r="G32" s="619">
        <v>120</v>
      </c>
    </row>
    <row r="33" spans="1:7" ht="29">
      <c r="A33" s="617">
        <v>31</v>
      </c>
      <c r="B33" s="593">
        <v>14</v>
      </c>
      <c r="C33" s="588" t="s">
        <v>479</v>
      </c>
      <c r="D33" s="587"/>
      <c r="E33" s="587"/>
      <c r="F33" s="588" t="s">
        <v>480</v>
      </c>
      <c r="G33" s="619">
        <v>140</v>
      </c>
    </row>
    <row r="34" spans="1:7" ht="29">
      <c r="A34" s="617">
        <v>32</v>
      </c>
      <c r="B34" s="593">
        <v>15</v>
      </c>
      <c r="C34" s="588" t="s">
        <v>481</v>
      </c>
      <c r="D34" s="587">
        <v>24999197</v>
      </c>
      <c r="E34" s="587">
        <v>3104322573</v>
      </c>
      <c r="F34" s="588" t="s">
        <v>431</v>
      </c>
      <c r="G34" s="619">
        <v>20</v>
      </c>
    </row>
    <row r="35" spans="1:7" ht="43.5">
      <c r="A35" s="617">
        <v>33</v>
      </c>
      <c r="B35" s="593"/>
      <c r="C35" s="588" t="s">
        <v>482</v>
      </c>
      <c r="D35" s="587">
        <v>25201872</v>
      </c>
      <c r="E35" s="587">
        <v>3137091410</v>
      </c>
      <c r="F35" s="588" t="s">
        <v>431</v>
      </c>
      <c r="G35" s="618"/>
    </row>
    <row r="36" spans="1:7" ht="29">
      <c r="A36" s="617">
        <v>34</v>
      </c>
      <c r="B36" s="593"/>
      <c r="C36" s="588" t="s">
        <v>483</v>
      </c>
      <c r="D36" s="587">
        <v>1259103</v>
      </c>
      <c r="E36" s="587">
        <v>3117413484</v>
      </c>
      <c r="F36" s="588" t="s">
        <v>431</v>
      </c>
      <c r="G36" s="618"/>
    </row>
    <row r="37" spans="1:7" ht="29">
      <c r="A37" s="617">
        <v>35</v>
      </c>
      <c r="B37" s="593"/>
      <c r="C37" s="588" t="s">
        <v>484</v>
      </c>
      <c r="D37" s="587">
        <v>42021847</v>
      </c>
      <c r="E37" s="587">
        <v>3113146647</v>
      </c>
      <c r="F37" s="588" t="s">
        <v>431</v>
      </c>
      <c r="G37" s="618"/>
    </row>
    <row r="38" spans="1:7" ht="29">
      <c r="A38" s="617">
        <v>36</v>
      </c>
      <c r="B38" s="593"/>
      <c r="C38" s="588" t="s">
        <v>485</v>
      </c>
      <c r="D38" s="587">
        <v>42020617</v>
      </c>
      <c r="E38" s="587"/>
      <c r="F38" s="588" t="s">
        <v>486</v>
      </c>
      <c r="G38" s="618"/>
    </row>
    <row r="39" spans="1:7" ht="29">
      <c r="A39" s="617">
        <v>37</v>
      </c>
      <c r="B39" s="593"/>
      <c r="C39" s="588" t="s">
        <v>487</v>
      </c>
      <c r="D39" s="587">
        <v>42024131</v>
      </c>
      <c r="E39" s="587">
        <v>3123245474</v>
      </c>
      <c r="F39" s="588" t="s">
        <v>431</v>
      </c>
      <c r="G39" s="618"/>
    </row>
    <row r="40" spans="1:7" ht="29">
      <c r="A40" s="617">
        <v>38</v>
      </c>
      <c r="B40" s="593">
        <v>16</v>
      </c>
      <c r="C40" s="588" t="s">
        <v>488</v>
      </c>
      <c r="D40" s="587">
        <v>52767379</v>
      </c>
      <c r="E40" s="587">
        <v>3137778644</v>
      </c>
      <c r="F40" s="588" t="s">
        <v>438</v>
      </c>
      <c r="G40" s="619">
        <v>120</v>
      </c>
    </row>
    <row r="41" spans="1:7" ht="29">
      <c r="A41" s="617">
        <v>39</v>
      </c>
      <c r="B41" s="593"/>
      <c r="C41" s="588" t="s">
        <v>489</v>
      </c>
      <c r="D41" s="587"/>
      <c r="E41" s="587"/>
      <c r="F41" s="588" t="s">
        <v>431</v>
      </c>
      <c r="G41" s="618"/>
    </row>
    <row r="42" spans="1:7" ht="29">
      <c r="A42" s="617">
        <v>40</v>
      </c>
      <c r="B42" s="593"/>
      <c r="C42" s="588" t="s">
        <v>490</v>
      </c>
      <c r="D42" s="587">
        <v>24537296</v>
      </c>
      <c r="E42" s="587">
        <v>3218465586</v>
      </c>
      <c r="F42" s="588" t="s">
        <v>431</v>
      </c>
      <c r="G42" s="618"/>
    </row>
    <row r="43" spans="1:7" ht="29">
      <c r="A43" s="617">
        <v>41</v>
      </c>
      <c r="B43" s="593"/>
      <c r="C43" s="588" t="s">
        <v>491</v>
      </c>
      <c r="D43" s="587">
        <v>21876805</v>
      </c>
      <c r="E43" s="587">
        <v>3127313579</v>
      </c>
      <c r="F43" s="588" t="s">
        <v>492</v>
      </c>
      <c r="G43" s="618"/>
    </row>
    <row r="44" spans="1:7" ht="43.5">
      <c r="A44" s="617">
        <v>42</v>
      </c>
      <c r="B44" s="593"/>
      <c r="C44" s="588" t="s">
        <v>493</v>
      </c>
      <c r="D44" s="587">
        <v>25200884</v>
      </c>
      <c r="E44" s="587">
        <v>3183743085</v>
      </c>
      <c r="F44" s="588" t="s">
        <v>431</v>
      </c>
      <c r="G44" s="618"/>
    </row>
    <row r="45" spans="1:7" ht="29">
      <c r="A45" s="617">
        <v>43</v>
      </c>
      <c r="B45" s="593"/>
      <c r="C45" s="588" t="s">
        <v>495</v>
      </c>
      <c r="D45" s="587">
        <v>42025282</v>
      </c>
      <c r="E45" s="587">
        <v>3127830718</v>
      </c>
      <c r="F45" s="588" t="s">
        <v>431</v>
      </c>
      <c r="G45" s="618"/>
    </row>
    <row r="46" spans="1:7" ht="29">
      <c r="A46" s="617">
        <v>44</v>
      </c>
      <c r="B46" s="593">
        <v>17</v>
      </c>
      <c r="C46" s="588" t="s">
        <v>496</v>
      </c>
      <c r="D46" s="587">
        <v>43683685</v>
      </c>
      <c r="E46" s="587">
        <v>3105137918</v>
      </c>
      <c r="F46" s="588" t="s">
        <v>431</v>
      </c>
      <c r="G46" s="619">
        <v>12</v>
      </c>
    </row>
    <row r="47" spans="1:7" ht="43.5">
      <c r="A47" s="617">
        <v>45</v>
      </c>
      <c r="B47" s="593">
        <v>18</v>
      </c>
      <c r="C47" s="588" t="s">
        <v>497</v>
      </c>
      <c r="D47" s="587">
        <v>2879352</v>
      </c>
      <c r="E47" s="587">
        <v>3117848657</v>
      </c>
      <c r="F47" s="588" t="s">
        <v>459</v>
      </c>
      <c r="G47" s="619">
        <v>35</v>
      </c>
    </row>
    <row r="48" spans="1:7" ht="29">
      <c r="A48" s="617">
        <v>46</v>
      </c>
      <c r="B48" s="593"/>
      <c r="C48" s="588" t="s">
        <v>498</v>
      </c>
      <c r="D48" s="587">
        <v>8322245</v>
      </c>
      <c r="E48" s="587">
        <v>3136882961</v>
      </c>
      <c r="F48" s="597" t="s">
        <v>499</v>
      </c>
      <c r="G48" s="618"/>
    </row>
    <row r="49" spans="1:7" ht="29">
      <c r="A49" s="617">
        <v>47</v>
      </c>
      <c r="B49" s="593"/>
      <c r="C49" s="588" t="s">
        <v>500</v>
      </c>
      <c r="D49" s="587"/>
      <c r="E49" s="587"/>
      <c r="F49" s="588" t="s">
        <v>501</v>
      </c>
      <c r="G49" s="618"/>
    </row>
    <row r="50" spans="1:7" ht="29">
      <c r="A50" s="617">
        <v>48</v>
      </c>
      <c r="B50" s="593"/>
      <c r="C50" s="588" t="s">
        <v>502</v>
      </c>
      <c r="D50" s="587">
        <v>51858109</v>
      </c>
      <c r="E50" s="587">
        <v>3206166690</v>
      </c>
      <c r="F50" s="588" t="s">
        <v>503</v>
      </c>
      <c r="G50" s="618"/>
    </row>
    <row r="51" spans="1:7" ht="29">
      <c r="A51" s="617">
        <v>49</v>
      </c>
      <c r="B51" s="593"/>
      <c r="C51" s="588" t="s">
        <v>504</v>
      </c>
      <c r="D51" s="587">
        <v>42027583</v>
      </c>
      <c r="E51" s="587">
        <v>3226860611</v>
      </c>
      <c r="F51" s="588" t="s">
        <v>431</v>
      </c>
      <c r="G51" s="618"/>
    </row>
    <row r="52" spans="1:7" ht="29">
      <c r="A52" s="617">
        <v>50</v>
      </c>
      <c r="B52" s="593"/>
      <c r="C52" s="588" t="s">
        <v>505</v>
      </c>
      <c r="D52" s="587">
        <v>42026099</v>
      </c>
      <c r="E52" s="587"/>
      <c r="F52" s="588" t="s">
        <v>431</v>
      </c>
      <c r="G52" s="618"/>
    </row>
    <row r="53" spans="1:7" ht="29">
      <c r="A53" s="617">
        <v>51</v>
      </c>
      <c r="B53" s="593">
        <v>19</v>
      </c>
      <c r="C53" s="588" t="s">
        <v>507</v>
      </c>
      <c r="D53" s="587">
        <v>42028071</v>
      </c>
      <c r="E53" s="587">
        <v>3194469190</v>
      </c>
      <c r="F53" s="588" t="s">
        <v>486</v>
      </c>
      <c r="G53" s="619">
        <v>15</v>
      </c>
    </row>
    <row r="54" spans="1:7" ht="29">
      <c r="A54" s="617">
        <v>52</v>
      </c>
      <c r="B54" s="593"/>
      <c r="C54" s="588" t="s">
        <v>508</v>
      </c>
      <c r="D54" s="587">
        <v>42022313</v>
      </c>
      <c r="E54" s="587">
        <v>3107078955</v>
      </c>
      <c r="F54" s="588" t="s">
        <v>509</v>
      </c>
      <c r="G54" s="618"/>
    </row>
    <row r="55" spans="1:7" ht="29">
      <c r="A55" s="617">
        <v>53</v>
      </c>
      <c r="B55" s="593"/>
      <c r="C55" s="588" t="s">
        <v>510</v>
      </c>
      <c r="D55" s="587">
        <v>25052019</v>
      </c>
      <c r="E55" s="587">
        <v>3207830718</v>
      </c>
      <c r="F55" s="588" t="s">
        <v>431</v>
      </c>
      <c r="G55" s="618"/>
    </row>
    <row r="56" spans="1:7" ht="29">
      <c r="A56" s="617">
        <v>54</v>
      </c>
      <c r="B56" s="593">
        <v>20</v>
      </c>
      <c r="C56" s="588" t="s">
        <v>511</v>
      </c>
      <c r="D56" s="587">
        <v>42030860</v>
      </c>
      <c r="E56" s="587">
        <v>3146195052</v>
      </c>
      <c r="F56" s="588" t="s">
        <v>431</v>
      </c>
      <c r="G56" s="619">
        <v>15</v>
      </c>
    </row>
    <row r="57" spans="1:7" ht="29.5" thickBot="1">
      <c r="A57" s="621">
        <v>55</v>
      </c>
      <c r="B57" s="622"/>
      <c r="C57" s="599" t="s">
        <v>512</v>
      </c>
      <c r="D57" s="623">
        <v>26883861</v>
      </c>
      <c r="E57" s="599" t="s">
        <v>513</v>
      </c>
      <c r="F57" s="599" t="s">
        <v>431</v>
      </c>
      <c r="G57" s="624">
        <v>0</v>
      </c>
    </row>
    <row r="58" spans="1:7">
      <c r="A58" s="847" t="s">
        <v>518</v>
      </c>
      <c r="B58" s="848"/>
      <c r="C58" s="849"/>
      <c r="D58" s="849"/>
      <c r="E58" s="849"/>
      <c r="F58" s="625"/>
      <c r="G58" s="626">
        <f>(SUM(G3:G57)/20)</f>
        <v>160.4</v>
      </c>
    </row>
    <row r="59" spans="1:7">
      <c r="A59" s="627"/>
      <c r="B59" s="628"/>
      <c r="C59" s="588"/>
      <c r="D59" s="587"/>
      <c r="E59" s="587"/>
      <c r="F59" s="588"/>
      <c r="G59" s="629"/>
    </row>
    <row r="60" spans="1:7" ht="15" thickBot="1">
      <c r="A60" s="630"/>
      <c r="B60" s="631"/>
      <c r="C60" s="846" t="s">
        <v>519</v>
      </c>
      <c r="D60" s="846"/>
      <c r="E60" s="846"/>
      <c r="F60" s="846"/>
      <c r="G60" s="632"/>
    </row>
    <row r="62" spans="1:7" ht="15" thickBot="1"/>
    <row r="63" spans="1:7" ht="29.5" thickBot="1">
      <c r="A63" s="856" t="s">
        <v>575</v>
      </c>
      <c r="B63" s="857"/>
      <c r="C63" s="857"/>
      <c r="D63" s="857"/>
      <c r="E63" s="858"/>
      <c r="F63" s="734" t="s">
        <v>579</v>
      </c>
    </row>
    <row r="64" spans="1:7" ht="32.25" customHeight="1">
      <c r="A64" s="850" t="s">
        <v>577</v>
      </c>
      <c r="B64" s="851"/>
      <c r="C64" s="851"/>
      <c r="D64" s="625" t="s">
        <v>576</v>
      </c>
      <c r="E64" s="735"/>
      <c r="F64" s="736">
        <v>0.5</v>
      </c>
    </row>
    <row r="65" spans="1:6" ht="33" customHeight="1">
      <c r="A65" s="852" t="s">
        <v>578</v>
      </c>
      <c r="B65" s="853"/>
      <c r="C65" s="853"/>
      <c r="D65" s="588" t="s">
        <v>576</v>
      </c>
      <c r="E65" s="587"/>
      <c r="F65" s="737">
        <v>1.5</v>
      </c>
    </row>
    <row r="66" spans="1:6" ht="26.25" customHeight="1" thickBot="1">
      <c r="A66" s="854" t="s">
        <v>577</v>
      </c>
      <c r="B66" s="855"/>
      <c r="C66" s="855"/>
      <c r="D66" s="738" t="s">
        <v>576</v>
      </c>
      <c r="E66" s="739"/>
      <c r="F66" s="740">
        <v>2.5</v>
      </c>
    </row>
    <row r="67" spans="1:6" ht="31.5" customHeight="1" thickBot="1">
      <c r="A67" s="841" t="s">
        <v>580</v>
      </c>
      <c r="B67" s="842"/>
      <c r="C67" s="842"/>
      <c r="D67" s="741"/>
      <c r="E67" s="741"/>
      <c r="F67" s="742">
        <f>SUM(F64:F66)</f>
        <v>4.5</v>
      </c>
    </row>
    <row r="68" spans="1:6" ht="15" thickBot="1">
      <c r="A68" s="841" t="s">
        <v>514</v>
      </c>
      <c r="B68" s="842"/>
      <c r="C68" s="842"/>
      <c r="D68" s="743"/>
      <c r="E68" s="744"/>
      <c r="F68" s="745">
        <f>+F67/3</f>
        <v>1.5</v>
      </c>
    </row>
    <row r="69" spans="1:6" ht="43.5" customHeight="1" thickBot="1">
      <c r="A69" s="843" t="s">
        <v>581</v>
      </c>
      <c r="B69" s="844"/>
      <c r="C69" s="844"/>
      <c r="D69" s="844"/>
      <c r="E69" s="845"/>
      <c r="F69" s="745">
        <f>+(((F68)+(G58/1000)))/2</f>
        <v>0.83020000000000005</v>
      </c>
    </row>
  </sheetData>
  <mergeCells count="9">
    <mergeCell ref="A68:C68"/>
    <mergeCell ref="A69:E69"/>
    <mergeCell ref="C60:F60"/>
    <mergeCell ref="A58:E58"/>
    <mergeCell ref="A64:C64"/>
    <mergeCell ref="A65:C65"/>
    <mergeCell ref="A66:C66"/>
    <mergeCell ref="A67:C67"/>
    <mergeCell ref="A63:E6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DC7C6-2625-46C7-8890-AFC25DB1979F}">
  <dimension ref="A1:E58"/>
  <sheetViews>
    <sheetView topLeftCell="A46" workbookViewId="0">
      <selection activeCell="D58" sqref="D58"/>
    </sheetView>
  </sheetViews>
  <sheetFormatPr baseColWidth="10" defaultColWidth="11.453125" defaultRowHeight="14.5"/>
  <cols>
    <col min="1" max="1" width="7.1796875" style="594" customWidth="1"/>
    <col min="2" max="2" width="24.81640625" style="597" customWidth="1"/>
    <col min="3" max="3" width="17.54296875" style="597" customWidth="1"/>
    <col min="4" max="16384" width="11.453125" style="594"/>
  </cols>
  <sheetData>
    <row r="1" spans="1:5">
      <c r="A1" s="590"/>
      <c r="B1" s="588" t="s">
        <v>421</v>
      </c>
      <c r="C1" s="591" t="s">
        <v>424</v>
      </c>
      <c r="D1" s="859" t="s">
        <v>425</v>
      </c>
      <c r="E1" s="860"/>
    </row>
    <row r="2" spans="1:5">
      <c r="A2" s="590"/>
      <c r="B2" s="588"/>
      <c r="C2" s="591"/>
      <c r="D2" s="592" t="s">
        <v>426</v>
      </c>
      <c r="E2" s="593" t="s">
        <v>427</v>
      </c>
    </row>
    <row r="3" spans="1:5">
      <c r="A3" s="590">
        <v>1</v>
      </c>
      <c r="B3" s="588" t="s">
        <v>428</v>
      </c>
      <c r="C3" s="588" t="s">
        <v>429</v>
      </c>
      <c r="D3" s="590">
        <v>9.3000000000000007</v>
      </c>
      <c r="E3" s="595">
        <v>60000</v>
      </c>
    </row>
    <row r="4" spans="1:5">
      <c r="A4" s="590">
        <v>2</v>
      </c>
      <c r="B4" s="588" t="s">
        <v>430</v>
      </c>
      <c r="C4" s="588" t="s">
        <v>431</v>
      </c>
      <c r="D4" s="590">
        <v>9.5</v>
      </c>
      <c r="E4" s="595">
        <v>60000</v>
      </c>
    </row>
    <row r="5" spans="1:5" ht="29">
      <c r="A5" s="590">
        <v>3</v>
      </c>
      <c r="B5" s="588" t="s">
        <v>432</v>
      </c>
      <c r="C5" s="588" t="s">
        <v>433</v>
      </c>
      <c r="D5" s="590">
        <v>4.5999999999999996</v>
      </c>
      <c r="E5" s="596">
        <v>60000</v>
      </c>
    </row>
    <row r="6" spans="1:5" ht="29">
      <c r="A6" s="590">
        <v>4</v>
      </c>
      <c r="B6" s="588" t="s">
        <v>434</v>
      </c>
      <c r="C6" s="588" t="s">
        <v>435</v>
      </c>
      <c r="D6" s="590">
        <v>9.6999999999999993</v>
      </c>
      <c r="E6" s="595">
        <v>60000</v>
      </c>
    </row>
    <row r="7" spans="1:5" ht="29">
      <c r="A7" s="590">
        <v>5</v>
      </c>
      <c r="B7" s="588" t="s">
        <v>436</v>
      </c>
      <c r="C7" s="588" t="s">
        <v>438</v>
      </c>
      <c r="D7" s="590">
        <v>10</v>
      </c>
      <c r="E7" s="595">
        <v>80000</v>
      </c>
    </row>
    <row r="8" spans="1:5" ht="29">
      <c r="A8" s="590">
        <v>6</v>
      </c>
      <c r="B8" s="588" t="s">
        <v>439</v>
      </c>
      <c r="C8" s="588" t="s">
        <v>440</v>
      </c>
      <c r="D8" s="590">
        <v>10.5</v>
      </c>
      <c r="E8" s="596">
        <v>80000</v>
      </c>
    </row>
    <row r="9" spans="1:5" ht="29">
      <c r="A9" s="590">
        <v>7</v>
      </c>
      <c r="B9" s="588" t="s">
        <v>441</v>
      </c>
      <c r="C9" s="588" t="s">
        <v>442</v>
      </c>
      <c r="D9" s="590">
        <v>4.5999999999999996</v>
      </c>
      <c r="E9" s="596">
        <v>60000</v>
      </c>
    </row>
    <row r="10" spans="1:5">
      <c r="A10" s="590">
        <v>8</v>
      </c>
      <c r="B10" s="588" t="s">
        <v>443</v>
      </c>
      <c r="C10" s="588" t="s">
        <v>431</v>
      </c>
      <c r="D10" s="590">
        <v>8.9</v>
      </c>
      <c r="E10" s="595">
        <v>60000</v>
      </c>
    </row>
    <row r="11" spans="1:5" ht="29">
      <c r="A11" s="590">
        <v>9</v>
      </c>
      <c r="B11" s="588" t="s">
        <v>444</v>
      </c>
      <c r="C11" s="588" t="s">
        <v>446</v>
      </c>
      <c r="D11" s="590">
        <v>9.9</v>
      </c>
      <c r="E11" s="595">
        <v>60000</v>
      </c>
    </row>
    <row r="12" spans="1:5" ht="29">
      <c r="A12" s="590">
        <v>10</v>
      </c>
      <c r="B12" s="588" t="s">
        <v>447</v>
      </c>
      <c r="C12" s="588" t="s">
        <v>431</v>
      </c>
      <c r="D12" s="590">
        <v>8.6999999999999993</v>
      </c>
      <c r="E12" s="595">
        <v>60000</v>
      </c>
    </row>
    <row r="13" spans="1:5">
      <c r="A13" s="590">
        <v>11</v>
      </c>
      <c r="B13" s="588" t="s">
        <v>448</v>
      </c>
      <c r="C13" s="588" t="s">
        <v>431</v>
      </c>
      <c r="D13" s="590">
        <v>9.3000000000000007</v>
      </c>
      <c r="E13" s="595">
        <v>60000</v>
      </c>
    </row>
    <row r="14" spans="1:5" ht="29">
      <c r="A14" s="590">
        <v>12</v>
      </c>
      <c r="B14" s="588" t="s">
        <v>449</v>
      </c>
      <c r="C14" s="588" t="s">
        <v>446</v>
      </c>
      <c r="D14" s="590">
        <v>9.6999999999999993</v>
      </c>
      <c r="E14" s="595">
        <v>60000</v>
      </c>
    </row>
    <row r="15" spans="1:5" ht="29">
      <c r="A15" s="590">
        <v>13</v>
      </c>
      <c r="B15" s="588" t="s">
        <v>451</v>
      </c>
      <c r="C15" s="588" t="s">
        <v>452</v>
      </c>
      <c r="D15" s="590">
        <v>4.5999999999999996</v>
      </c>
      <c r="E15" s="596">
        <v>60000</v>
      </c>
    </row>
    <row r="16" spans="1:5">
      <c r="A16" s="590">
        <v>14</v>
      </c>
      <c r="B16" s="588" t="s">
        <v>453</v>
      </c>
      <c r="C16" s="588" t="s">
        <v>431</v>
      </c>
      <c r="D16" s="590">
        <v>9.1</v>
      </c>
      <c r="E16" s="595">
        <v>60000</v>
      </c>
    </row>
    <row r="17" spans="1:5">
      <c r="A17" s="590">
        <v>15</v>
      </c>
      <c r="B17" s="588" t="s">
        <v>454</v>
      </c>
      <c r="C17" s="588" t="s">
        <v>431</v>
      </c>
      <c r="D17" s="590">
        <v>9.1</v>
      </c>
      <c r="E17" s="595">
        <v>60000</v>
      </c>
    </row>
    <row r="18" spans="1:5" ht="29">
      <c r="A18" s="590">
        <v>16</v>
      </c>
      <c r="B18" s="588" t="s">
        <v>455</v>
      </c>
      <c r="C18" s="588" t="s">
        <v>456</v>
      </c>
      <c r="D18" s="590">
        <v>10.6</v>
      </c>
      <c r="E18" s="596">
        <v>80000</v>
      </c>
    </row>
    <row r="19" spans="1:5" ht="29">
      <c r="A19" s="590">
        <v>17</v>
      </c>
      <c r="B19" s="588" t="s">
        <v>457</v>
      </c>
      <c r="C19" s="588" t="s">
        <v>459</v>
      </c>
      <c r="D19" s="590">
        <v>11.5</v>
      </c>
      <c r="E19" s="595">
        <v>80000</v>
      </c>
    </row>
    <row r="20" spans="1:5" ht="29">
      <c r="A20" s="590">
        <v>18</v>
      </c>
      <c r="B20" s="588" t="s">
        <v>460</v>
      </c>
      <c r="C20" s="588" t="s">
        <v>431</v>
      </c>
      <c r="D20" s="590">
        <v>9.6999999999999993</v>
      </c>
      <c r="E20" s="595">
        <v>60000</v>
      </c>
    </row>
    <row r="21" spans="1:5" ht="29">
      <c r="A21" s="590">
        <v>19</v>
      </c>
      <c r="B21" s="588" t="s">
        <v>461</v>
      </c>
      <c r="C21" s="588" t="s">
        <v>462</v>
      </c>
      <c r="D21" s="590">
        <v>4.8</v>
      </c>
      <c r="E21" s="596">
        <v>60000</v>
      </c>
    </row>
    <row r="22" spans="1:5" ht="29">
      <c r="A22" s="590">
        <v>20</v>
      </c>
      <c r="B22" s="588" t="s">
        <v>463</v>
      </c>
      <c r="C22" s="588" t="s">
        <v>464</v>
      </c>
      <c r="D22" s="590">
        <v>10.5</v>
      </c>
      <c r="E22" s="595">
        <v>80000</v>
      </c>
    </row>
    <row r="23" spans="1:5" ht="29">
      <c r="A23" s="590">
        <v>21</v>
      </c>
      <c r="B23" s="588" t="s">
        <v>465</v>
      </c>
      <c r="C23" s="588" t="s">
        <v>466</v>
      </c>
      <c r="D23" s="590">
        <v>3.5</v>
      </c>
      <c r="E23" s="595">
        <v>40000</v>
      </c>
    </row>
    <row r="24" spans="1:5" ht="29">
      <c r="A24" s="590">
        <v>22</v>
      </c>
      <c r="B24" s="588" t="s">
        <v>467</v>
      </c>
      <c r="C24" s="588" t="s">
        <v>446</v>
      </c>
      <c r="D24" s="590">
        <v>9.1999999999999993</v>
      </c>
      <c r="E24" s="595">
        <v>80000</v>
      </c>
    </row>
    <row r="25" spans="1:5" ht="29">
      <c r="A25" s="590">
        <v>23</v>
      </c>
      <c r="B25" s="588" t="s">
        <v>468</v>
      </c>
      <c r="C25" s="588" t="s">
        <v>469</v>
      </c>
      <c r="D25" s="590">
        <v>9.6999999999999993</v>
      </c>
      <c r="E25" s="595">
        <v>60000</v>
      </c>
    </row>
    <row r="26" spans="1:5" ht="29">
      <c r="A26" s="590">
        <v>24</v>
      </c>
      <c r="B26" s="588" t="s">
        <v>470</v>
      </c>
      <c r="C26" s="588" t="s">
        <v>471</v>
      </c>
      <c r="D26" s="590">
        <v>9.6999999999999993</v>
      </c>
      <c r="E26" s="595">
        <v>60000</v>
      </c>
    </row>
    <row r="27" spans="1:5" ht="29">
      <c r="A27" s="590">
        <v>25</v>
      </c>
      <c r="B27" s="588" t="s">
        <v>472</v>
      </c>
      <c r="C27" s="588" t="s">
        <v>473</v>
      </c>
      <c r="D27" s="590">
        <v>9.6</v>
      </c>
      <c r="E27" s="595">
        <v>80000</v>
      </c>
    </row>
    <row r="28" spans="1:5" ht="29">
      <c r="A28" s="590">
        <v>26</v>
      </c>
      <c r="B28" s="588" t="s">
        <v>474</v>
      </c>
      <c r="C28" s="588" t="s">
        <v>446</v>
      </c>
      <c r="D28" s="590">
        <v>9.9</v>
      </c>
      <c r="E28" s="595">
        <v>60000</v>
      </c>
    </row>
    <row r="29" spans="1:5" ht="29">
      <c r="A29" s="590">
        <v>27</v>
      </c>
      <c r="B29" s="588" t="s">
        <v>475</v>
      </c>
      <c r="C29" s="588" t="s">
        <v>446</v>
      </c>
      <c r="D29" s="590">
        <v>9.6999999999999993</v>
      </c>
      <c r="E29" s="595">
        <v>60000</v>
      </c>
    </row>
    <row r="30" spans="1:5" ht="29">
      <c r="A30" s="590">
        <v>28</v>
      </c>
      <c r="B30" s="588" t="s">
        <v>476</v>
      </c>
      <c r="C30" s="588" t="s">
        <v>446</v>
      </c>
      <c r="D30" s="590">
        <v>9.9</v>
      </c>
      <c r="E30" s="595">
        <v>80000</v>
      </c>
    </row>
    <row r="31" spans="1:5" ht="29">
      <c r="A31" s="590">
        <v>29</v>
      </c>
      <c r="B31" s="588" t="s">
        <v>477</v>
      </c>
      <c r="C31" s="588" t="s">
        <v>446</v>
      </c>
      <c r="D31" s="590">
        <v>9.1999999999999993</v>
      </c>
      <c r="E31" s="595">
        <v>80000</v>
      </c>
    </row>
    <row r="32" spans="1:5" ht="29">
      <c r="A32" s="590">
        <v>30</v>
      </c>
      <c r="B32" s="588" t="s">
        <v>478</v>
      </c>
      <c r="C32" s="597" t="s">
        <v>446</v>
      </c>
      <c r="D32" s="590">
        <v>9.6999999999999993</v>
      </c>
      <c r="E32" s="595">
        <v>60000</v>
      </c>
    </row>
    <row r="33" spans="1:5" ht="29">
      <c r="A33" s="590">
        <v>31</v>
      </c>
      <c r="B33" s="588" t="s">
        <v>479</v>
      </c>
      <c r="C33" s="588" t="s">
        <v>480</v>
      </c>
      <c r="D33" s="590">
        <v>9.6</v>
      </c>
      <c r="E33" s="595">
        <v>80000</v>
      </c>
    </row>
    <row r="34" spans="1:5" ht="29">
      <c r="A34" s="590">
        <v>32</v>
      </c>
      <c r="B34" s="588" t="s">
        <v>481</v>
      </c>
      <c r="C34" s="588" t="s">
        <v>431</v>
      </c>
      <c r="D34" s="590">
        <v>9.1</v>
      </c>
      <c r="E34" s="595">
        <v>60000</v>
      </c>
    </row>
    <row r="35" spans="1:5" ht="29">
      <c r="A35" s="590">
        <v>33</v>
      </c>
      <c r="B35" s="588" t="s">
        <v>482</v>
      </c>
      <c r="C35" s="588" t="s">
        <v>431</v>
      </c>
      <c r="D35" s="590">
        <v>8.8000000000000007</v>
      </c>
      <c r="E35" s="595">
        <v>60000</v>
      </c>
    </row>
    <row r="36" spans="1:5">
      <c r="A36" s="590">
        <v>34</v>
      </c>
      <c r="B36" s="588" t="s">
        <v>483</v>
      </c>
      <c r="C36" s="588" t="s">
        <v>431</v>
      </c>
      <c r="D36" s="590">
        <v>9.3000000000000007</v>
      </c>
      <c r="E36" s="595">
        <v>60000</v>
      </c>
    </row>
    <row r="37" spans="1:5">
      <c r="A37" s="590">
        <v>35</v>
      </c>
      <c r="B37" s="588" t="s">
        <v>484</v>
      </c>
      <c r="C37" s="588" t="s">
        <v>431</v>
      </c>
      <c r="D37" s="590">
        <v>9.1999999999999993</v>
      </c>
      <c r="E37" s="595">
        <v>60000</v>
      </c>
    </row>
    <row r="38" spans="1:5" ht="29">
      <c r="A38" s="590">
        <v>36</v>
      </c>
      <c r="B38" s="588" t="s">
        <v>485</v>
      </c>
      <c r="C38" s="588" t="s">
        <v>486</v>
      </c>
      <c r="D38" s="590">
        <v>4.5</v>
      </c>
      <c r="E38" s="595">
        <v>40000</v>
      </c>
    </row>
    <row r="39" spans="1:5" ht="29">
      <c r="A39" s="590">
        <v>37</v>
      </c>
      <c r="B39" s="588" t="s">
        <v>487</v>
      </c>
      <c r="C39" s="588" t="s">
        <v>431</v>
      </c>
      <c r="D39" s="590">
        <v>9.4</v>
      </c>
      <c r="E39" s="595">
        <v>60000</v>
      </c>
    </row>
    <row r="40" spans="1:5" ht="29">
      <c r="A40" s="590">
        <v>38</v>
      </c>
      <c r="B40" s="588" t="s">
        <v>488</v>
      </c>
      <c r="C40" s="588" t="s">
        <v>438</v>
      </c>
      <c r="D40" s="590">
        <v>8.9</v>
      </c>
      <c r="E40" s="595">
        <v>80000</v>
      </c>
    </row>
    <row r="41" spans="1:5">
      <c r="A41" s="590">
        <v>39</v>
      </c>
      <c r="B41" s="588" t="s">
        <v>489</v>
      </c>
      <c r="C41" s="588" t="s">
        <v>431</v>
      </c>
      <c r="D41" s="590">
        <v>9.3000000000000007</v>
      </c>
      <c r="E41" s="595">
        <v>60000</v>
      </c>
    </row>
    <row r="42" spans="1:5" ht="29">
      <c r="A42" s="590">
        <v>40</v>
      </c>
      <c r="B42" s="588" t="s">
        <v>490</v>
      </c>
      <c r="C42" s="588" t="s">
        <v>431</v>
      </c>
      <c r="D42" s="590">
        <v>9.3000000000000007</v>
      </c>
      <c r="E42" s="595">
        <v>60000</v>
      </c>
    </row>
    <row r="43" spans="1:5" ht="29">
      <c r="A43" s="590">
        <v>41</v>
      </c>
      <c r="B43" s="588" t="s">
        <v>491</v>
      </c>
      <c r="C43" s="588" t="s">
        <v>492</v>
      </c>
      <c r="D43" s="590">
        <v>8.1</v>
      </c>
      <c r="E43" s="595">
        <v>60000</v>
      </c>
    </row>
    <row r="44" spans="1:5" ht="29">
      <c r="A44" s="590">
        <v>42</v>
      </c>
      <c r="B44" s="588" t="s">
        <v>493</v>
      </c>
      <c r="C44" s="588" t="s">
        <v>431</v>
      </c>
      <c r="D44" s="590" t="s">
        <v>494</v>
      </c>
      <c r="E44" s="595">
        <v>60000</v>
      </c>
    </row>
    <row r="45" spans="1:5">
      <c r="A45" s="590">
        <v>43</v>
      </c>
      <c r="B45" s="588" t="s">
        <v>495</v>
      </c>
      <c r="C45" s="588" t="s">
        <v>431</v>
      </c>
      <c r="D45" s="590">
        <v>9.1999999999999993</v>
      </c>
      <c r="E45" s="595">
        <v>60000</v>
      </c>
    </row>
    <row r="46" spans="1:5">
      <c r="A46" s="590">
        <v>44</v>
      </c>
      <c r="B46" s="588" t="s">
        <v>496</v>
      </c>
      <c r="C46" s="588" t="s">
        <v>431</v>
      </c>
      <c r="D46" s="590">
        <v>9</v>
      </c>
      <c r="E46" s="595">
        <v>60000</v>
      </c>
    </row>
    <row r="47" spans="1:5" ht="29">
      <c r="A47" s="590">
        <v>45</v>
      </c>
      <c r="B47" s="588" t="s">
        <v>497</v>
      </c>
      <c r="C47" s="588" t="s">
        <v>459</v>
      </c>
      <c r="D47" s="590">
        <v>9.8000000000000007</v>
      </c>
      <c r="E47" s="595">
        <v>80000</v>
      </c>
    </row>
    <row r="48" spans="1:5" ht="29">
      <c r="A48" s="590">
        <v>46</v>
      </c>
      <c r="B48" s="588" t="s">
        <v>498</v>
      </c>
      <c r="C48" s="597" t="s">
        <v>499</v>
      </c>
      <c r="D48" s="590">
        <v>8.5</v>
      </c>
      <c r="E48" s="595">
        <v>80000</v>
      </c>
    </row>
    <row r="49" spans="1:5" ht="29">
      <c r="A49" s="590">
        <v>47</v>
      </c>
      <c r="B49" s="588" t="s">
        <v>500</v>
      </c>
      <c r="C49" s="588" t="s">
        <v>501</v>
      </c>
      <c r="D49" s="590">
        <v>3.2</v>
      </c>
      <c r="E49" s="595">
        <v>40000</v>
      </c>
    </row>
    <row r="50" spans="1:5" ht="29">
      <c r="A50" s="590">
        <v>48</v>
      </c>
      <c r="B50" s="588" t="s">
        <v>502</v>
      </c>
      <c r="C50" s="588" t="s">
        <v>503</v>
      </c>
      <c r="D50" s="590">
        <v>3.8</v>
      </c>
      <c r="E50" s="595">
        <v>40000</v>
      </c>
    </row>
    <row r="51" spans="1:5">
      <c r="A51" s="590">
        <v>49</v>
      </c>
      <c r="B51" s="588" t="s">
        <v>504</v>
      </c>
      <c r="C51" s="588" t="s">
        <v>431</v>
      </c>
      <c r="D51" s="590">
        <v>9.1</v>
      </c>
      <c r="E51" s="595">
        <v>60000</v>
      </c>
    </row>
    <row r="52" spans="1:5">
      <c r="A52" s="590">
        <v>50</v>
      </c>
      <c r="B52" s="588" t="s">
        <v>505</v>
      </c>
      <c r="C52" s="588" t="s">
        <v>431</v>
      </c>
      <c r="D52" s="590" t="s">
        <v>506</v>
      </c>
      <c r="E52" s="595">
        <v>60000</v>
      </c>
    </row>
    <row r="53" spans="1:5" ht="29">
      <c r="A53" s="590">
        <v>51</v>
      </c>
      <c r="B53" s="588" t="s">
        <v>507</v>
      </c>
      <c r="C53" s="588" t="s">
        <v>486</v>
      </c>
      <c r="D53" s="590">
        <v>3.4</v>
      </c>
      <c r="E53" s="595">
        <v>40000</v>
      </c>
    </row>
    <row r="54" spans="1:5">
      <c r="A54" s="590">
        <v>52</v>
      </c>
      <c r="B54" s="588" t="s">
        <v>508</v>
      </c>
      <c r="C54" s="588" t="s">
        <v>509</v>
      </c>
      <c r="D54" s="590">
        <v>7.1</v>
      </c>
      <c r="E54" s="595">
        <v>40000</v>
      </c>
    </row>
    <row r="55" spans="1:5">
      <c r="A55" s="590">
        <v>53</v>
      </c>
      <c r="B55" s="588" t="s">
        <v>510</v>
      </c>
      <c r="C55" s="588" t="s">
        <v>431</v>
      </c>
      <c r="D55" s="590">
        <v>9</v>
      </c>
      <c r="E55" s="595">
        <v>60000</v>
      </c>
    </row>
    <row r="56" spans="1:5">
      <c r="A56" s="590">
        <v>54</v>
      </c>
      <c r="B56" s="588" t="s">
        <v>511</v>
      </c>
      <c r="C56" s="588" t="s">
        <v>431</v>
      </c>
      <c r="D56" s="590">
        <v>9.6999999999999993</v>
      </c>
      <c r="E56" s="595">
        <v>60000</v>
      </c>
    </row>
    <row r="57" spans="1:5" ht="15" thickBot="1">
      <c r="A57" s="598">
        <v>55</v>
      </c>
      <c r="B57" s="599" t="s">
        <v>512</v>
      </c>
      <c r="C57" s="599" t="s">
        <v>431</v>
      </c>
      <c r="D57" s="598">
        <v>8.6</v>
      </c>
      <c r="E57" s="600">
        <v>60000</v>
      </c>
    </row>
    <row r="58" spans="1:5" ht="29.5" thickBot="1">
      <c r="A58" s="601"/>
      <c r="B58" s="602" t="s">
        <v>518</v>
      </c>
      <c r="C58" s="602"/>
      <c r="D58" s="603">
        <f>SUM(D3:D57)/55</f>
        <v>8.1927272727272733</v>
      </c>
      <c r="E58" s="604">
        <f>SUM(E3:E57)/55</f>
        <v>62545.454545454544</v>
      </c>
    </row>
  </sheetData>
  <mergeCells count="1">
    <mergeCell ref="D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17366-C7FC-4B4D-A7C3-353DA94E6195}">
  <dimension ref="B1:U273"/>
  <sheetViews>
    <sheetView topLeftCell="A249" zoomScale="66" zoomScaleNormal="66" workbookViewId="0">
      <selection activeCell="P269" sqref="P269"/>
    </sheetView>
  </sheetViews>
  <sheetFormatPr baseColWidth="10" defaultColWidth="14.453125" defaultRowHeight="14.5"/>
  <cols>
    <col min="1" max="1" width="1.7265625" customWidth="1"/>
    <col min="2" max="9" width="10.7265625" customWidth="1"/>
    <col min="10" max="10" width="13.1796875" customWidth="1"/>
    <col min="11" max="11" width="35.7265625" style="589" customWidth="1"/>
    <col min="12" max="12" width="10.7265625" customWidth="1"/>
    <col min="13" max="13" width="13.81640625" customWidth="1"/>
    <col min="14" max="14" width="10.7265625" customWidth="1"/>
    <col min="15" max="15" width="12.81640625" customWidth="1"/>
    <col min="16" max="16" width="28.26953125" style="680" customWidth="1"/>
    <col min="17" max="17" width="1.7265625" customWidth="1"/>
    <col min="18" max="18" width="1.1796875" customWidth="1"/>
    <col min="19" max="19" width="2.7265625" customWidth="1"/>
    <col min="20" max="20" width="10.7265625" customWidth="1"/>
    <col min="21" max="21" width="9.81640625" customWidth="1"/>
  </cols>
  <sheetData>
    <row r="1" spans="2:18" ht="14.25" customHeight="1" thickBot="1">
      <c r="B1" s="297"/>
      <c r="R1" s="298"/>
    </row>
    <row r="2" spans="2:18" ht="16.149999999999999" customHeight="1" thickBot="1">
      <c r="B2" s="912" t="s">
        <v>250</v>
      </c>
      <c r="C2" s="913"/>
      <c r="D2" s="913"/>
      <c r="E2" s="913"/>
      <c r="F2" s="913"/>
      <c r="G2" s="913"/>
      <c r="H2" s="913"/>
      <c r="I2" s="913"/>
      <c r="J2" s="913"/>
      <c r="K2" s="913"/>
      <c r="L2" s="913"/>
      <c r="M2" s="913"/>
      <c r="N2" s="913"/>
      <c r="O2" s="913"/>
      <c r="P2" s="914"/>
      <c r="R2" s="298"/>
    </row>
    <row r="3" spans="2:18" ht="6.65" customHeight="1" thickBot="1">
      <c r="R3" s="298"/>
    </row>
    <row r="4" spans="2:18" ht="14.25" customHeight="1" thickBot="1">
      <c r="B4" s="299" t="s">
        <v>225</v>
      </c>
      <c r="C4" s="300" t="s">
        <v>226</v>
      </c>
      <c r="D4" s="301">
        <v>10</v>
      </c>
      <c r="E4" s="300" t="s">
        <v>227</v>
      </c>
      <c r="F4" s="301">
        <v>10</v>
      </c>
      <c r="G4" s="300" t="s">
        <v>228</v>
      </c>
      <c r="H4" s="302">
        <v>2024</v>
      </c>
      <c r="I4" s="303"/>
      <c r="J4" s="304" t="s">
        <v>229</v>
      </c>
      <c r="K4" s="302">
        <f>'[6]1_PUENTE LA ESPERANZA'!L5</f>
        <v>1</v>
      </c>
      <c r="L4" s="303"/>
      <c r="M4" s="304" t="s">
        <v>230</v>
      </c>
      <c r="N4" s="915"/>
      <c r="O4" s="916"/>
      <c r="P4" s="917"/>
      <c r="R4" s="298"/>
    </row>
    <row r="5" spans="2:18" ht="6.65" customHeight="1" thickBot="1">
      <c r="R5" s="298"/>
    </row>
    <row r="6" spans="2:18" ht="33.75" customHeight="1" thickBot="1">
      <c r="B6" s="918" t="s">
        <v>231</v>
      </c>
      <c r="C6" s="919"/>
      <c r="D6" s="919"/>
      <c r="E6" s="920" t="s">
        <v>187</v>
      </c>
      <c r="F6" s="921"/>
      <c r="G6" s="921"/>
      <c r="H6" s="921"/>
      <c r="I6" s="921"/>
      <c r="J6" s="921"/>
      <c r="K6" s="921"/>
      <c r="L6" s="921"/>
      <c r="M6" s="921"/>
      <c r="N6" s="921"/>
      <c r="O6" s="921"/>
      <c r="P6" s="922"/>
      <c r="R6" s="298"/>
    </row>
    <row r="7" spans="2:18" ht="14.25" customHeight="1">
      <c r="B7" s="923" t="s">
        <v>232</v>
      </c>
      <c r="C7" s="924"/>
      <c r="D7" s="924"/>
      <c r="E7" s="925"/>
      <c r="F7" s="924"/>
      <c r="G7" s="924"/>
      <c r="H7" s="924"/>
      <c r="I7" s="926" t="s">
        <v>233</v>
      </c>
      <c r="J7" s="927"/>
      <c r="K7" s="928"/>
      <c r="L7" s="929"/>
      <c r="M7" s="930" t="s">
        <v>234</v>
      </c>
      <c r="N7" s="931"/>
      <c r="O7" s="935"/>
      <c r="P7" s="936"/>
      <c r="R7" s="298"/>
    </row>
    <row r="8" spans="2:18" ht="14.25" customHeight="1" thickBot="1">
      <c r="B8" s="898" t="s">
        <v>235</v>
      </c>
      <c r="C8" s="899"/>
      <c r="D8" s="899"/>
      <c r="E8" s="900" t="s">
        <v>287</v>
      </c>
      <c r="F8" s="899"/>
      <c r="G8" s="899"/>
      <c r="H8" s="899"/>
      <c r="I8" s="901" t="s">
        <v>233</v>
      </c>
      <c r="J8" s="902"/>
      <c r="K8" s="903"/>
      <c r="L8" s="904"/>
      <c r="M8" s="932"/>
      <c r="N8" s="933"/>
      <c r="O8" s="937"/>
      <c r="P8" s="938"/>
      <c r="R8" s="298"/>
    </row>
    <row r="9" spans="2:18" ht="14.25" customHeight="1" thickBot="1">
      <c r="B9" s="907" t="s">
        <v>236</v>
      </c>
      <c r="C9" s="908"/>
      <c r="D9" s="908"/>
      <c r="E9" s="305" t="s">
        <v>5</v>
      </c>
      <c r="F9" s="909" t="s">
        <v>6</v>
      </c>
      <c r="G9" s="910"/>
      <c r="H9" s="910"/>
      <c r="I9" s="910"/>
      <c r="J9" s="911"/>
      <c r="K9" s="905"/>
      <c r="L9" s="906"/>
      <c r="M9" s="934"/>
      <c r="N9" s="885"/>
      <c r="O9" s="939"/>
      <c r="P9" s="940"/>
      <c r="R9" s="298"/>
    </row>
    <row r="10" spans="2:18" ht="15" thickBot="1">
      <c r="B10" s="880" t="str">
        <f>+'PRESUPUESTO ESTUFA'!B34</f>
        <v>E</v>
      </c>
      <c r="C10" s="881"/>
      <c r="D10" s="881"/>
      <c r="E10" s="306" t="str">
        <f>+'PRESUPUESTO ESTUFA'!B35</f>
        <v>E.1.1</v>
      </c>
      <c r="F10" s="882" t="str">
        <f>+'PRESUPUESTO ESTUFA'!C35</f>
        <v>Poda y Desmonte</v>
      </c>
      <c r="G10" s="883"/>
      <c r="H10" s="883"/>
      <c r="I10" s="883"/>
      <c r="J10" s="884"/>
      <c r="K10" s="885" t="s">
        <v>1</v>
      </c>
      <c r="L10" s="886"/>
      <c r="M10" s="887" t="str">
        <f>+'PRESUPUESTO ESTUFA'!D35</f>
        <v>UND</v>
      </c>
      <c r="N10" s="886"/>
      <c r="O10" s="307" t="s">
        <v>237</v>
      </c>
      <c r="P10" s="681" t="s">
        <v>251</v>
      </c>
      <c r="R10" s="298"/>
    </row>
    <row r="11" spans="2:18" ht="14.25" customHeight="1">
      <c r="B11" s="958"/>
      <c r="C11" s="877"/>
      <c r="D11" s="877"/>
      <c r="E11" s="877"/>
      <c r="F11" s="877"/>
      <c r="G11" s="877"/>
      <c r="H11" s="877"/>
      <c r="I11" s="877"/>
      <c r="J11" s="892"/>
      <c r="K11" s="959" t="s">
        <v>238</v>
      </c>
      <c r="L11" s="960" t="s">
        <v>239</v>
      </c>
      <c r="M11" s="961"/>
      <c r="N11" s="962"/>
      <c r="O11" s="944" t="s">
        <v>240</v>
      </c>
      <c r="P11" s="945" t="s">
        <v>241</v>
      </c>
      <c r="R11" s="298"/>
    </row>
    <row r="12" spans="2:18" ht="14.25" customHeight="1" thickBot="1">
      <c r="B12" s="890"/>
      <c r="C12" s="891"/>
      <c r="D12" s="891"/>
      <c r="E12" s="891"/>
      <c r="F12" s="891"/>
      <c r="G12" s="891"/>
      <c r="H12" s="891"/>
      <c r="I12" s="891"/>
      <c r="J12" s="892"/>
      <c r="K12" s="894"/>
      <c r="L12" s="308" t="s">
        <v>242</v>
      </c>
      <c r="M12" s="308" t="s">
        <v>243</v>
      </c>
      <c r="N12" s="308" t="s">
        <v>244</v>
      </c>
      <c r="O12" s="862"/>
      <c r="P12" s="864"/>
      <c r="R12" s="298"/>
    </row>
    <row r="13" spans="2:18" ht="14.25" customHeight="1">
      <c r="B13" s="890"/>
      <c r="C13" s="891"/>
      <c r="D13" s="891"/>
      <c r="E13" s="891"/>
      <c r="F13" s="891"/>
      <c r="G13" s="891"/>
      <c r="H13" s="891"/>
      <c r="I13" s="891"/>
      <c r="J13" s="877"/>
      <c r="K13" s="373" t="str">
        <f>+F10</f>
        <v>Poda y Desmonte</v>
      </c>
      <c r="L13" s="310"/>
      <c r="M13" s="310"/>
      <c r="N13" s="310">
        <v>1000</v>
      </c>
      <c r="O13" s="374">
        <v>1</v>
      </c>
      <c r="P13" s="682">
        <f>N13*O13</f>
        <v>1000</v>
      </c>
      <c r="R13" s="298"/>
    </row>
    <row r="14" spans="2:18" ht="14.25" customHeight="1">
      <c r="B14" s="890"/>
      <c r="C14" s="891"/>
      <c r="D14" s="891"/>
      <c r="E14" s="891"/>
      <c r="F14" s="891"/>
      <c r="G14" s="891"/>
      <c r="H14" s="891"/>
      <c r="I14" s="891"/>
      <c r="J14" s="877"/>
      <c r="K14" s="720"/>
      <c r="L14" s="718"/>
      <c r="M14" s="718"/>
      <c r="N14" s="718"/>
      <c r="O14" s="719"/>
      <c r="P14" s="721"/>
      <c r="R14" s="298"/>
    </row>
    <row r="15" spans="2:18" ht="14.25" customHeight="1">
      <c r="B15" s="890"/>
      <c r="C15" s="891"/>
      <c r="D15" s="891"/>
      <c r="E15" s="891"/>
      <c r="F15" s="891"/>
      <c r="G15" s="891"/>
      <c r="H15" s="891"/>
      <c r="I15" s="891"/>
      <c r="J15" s="877"/>
      <c r="K15" s="720"/>
      <c r="L15" s="718"/>
      <c r="M15" s="718"/>
      <c r="N15" s="718"/>
      <c r="O15" s="719"/>
      <c r="P15" s="721"/>
      <c r="R15" s="298"/>
    </row>
    <row r="16" spans="2:18" ht="14.25" customHeight="1">
      <c r="B16" s="890"/>
      <c r="C16" s="891"/>
      <c r="D16" s="891"/>
      <c r="E16" s="891"/>
      <c r="F16" s="891"/>
      <c r="G16" s="891"/>
      <c r="H16" s="891"/>
      <c r="I16" s="891"/>
      <c r="J16" s="877"/>
      <c r="K16" s="720"/>
      <c r="L16" s="718"/>
      <c r="M16" s="718"/>
      <c r="N16" s="718"/>
      <c r="O16" s="719"/>
      <c r="P16" s="721"/>
      <c r="R16" s="298"/>
    </row>
    <row r="17" spans="2:21" ht="14.25" customHeight="1">
      <c r="B17" s="890"/>
      <c r="C17" s="891"/>
      <c r="D17" s="891"/>
      <c r="E17" s="891"/>
      <c r="F17" s="891"/>
      <c r="G17" s="891"/>
      <c r="H17" s="891"/>
      <c r="I17" s="891"/>
      <c r="J17" s="877"/>
      <c r="K17" s="720"/>
      <c r="L17" s="718"/>
      <c r="M17" s="718"/>
      <c r="N17" s="718"/>
      <c r="O17" s="719"/>
      <c r="P17" s="721"/>
      <c r="R17" s="298"/>
    </row>
    <row r="18" spans="2:21" ht="14.25" customHeight="1">
      <c r="B18" s="890"/>
      <c r="C18" s="891"/>
      <c r="D18" s="891"/>
      <c r="E18" s="891"/>
      <c r="F18" s="891"/>
      <c r="G18" s="891"/>
      <c r="H18" s="891"/>
      <c r="I18" s="891"/>
      <c r="J18" s="877"/>
      <c r="K18" s="720"/>
      <c r="L18" s="718"/>
      <c r="M18" s="718"/>
      <c r="N18" s="718"/>
      <c r="O18" s="719"/>
      <c r="P18" s="721"/>
      <c r="R18" s="298"/>
    </row>
    <row r="19" spans="2:21" ht="14.25" customHeight="1">
      <c r="B19" s="890"/>
      <c r="C19" s="891"/>
      <c r="D19" s="891"/>
      <c r="E19" s="891"/>
      <c r="F19" s="891"/>
      <c r="G19" s="891"/>
      <c r="H19" s="891"/>
      <c r="I19" s="891"/>
      <c r="J19" s="877"/>
      <c r="K19" s="720"/>
      <c r="L19" s="718"/>
      <c r="M19" s="718"/>
      <c r="N19" s="718"/>
      <c r="O19" s="719"/>
      <c r="P19" s="721"/>
      <c r="R19" s="298"/>
    </row>
    <row r="20" spans="2:21" ht="14.25" customHeight="1">
      <c r="B20" s="890"/>
      <c r="C20" s="891"/>
      <c r="D20" s="891"/>
      <c r="E20" s="891"/>
      <c r="F20" s="891"/>
      <c r="G20" s="891"/>
      <c r="H20" s="891"/>
      <c r="I20" s="891"/>
      <c r="J20" s="877"/>
      <c r="K20" s="720"/>
      <c r="L20" s="718"/>
      <c r="M20" s="718"/>
      <c r="N20" s="718"/>
      <c r="O20" s="719"/>
      <c r="P20" s="721"/>
      <c r="R20" s="298"/>
    </row>
    <row r="21" spans="2:21" ht="14.25" customHeight="1">
      <c r="B21" s="890"/>
      <c r="C21" s="891"/>
      <c r="D21" s="891"/>
      <c r="E21" s="891"/>
      <c r="F21" s="891"/>
      <c r="G21" s="891"/>
      <c r="H21" s="891"/>
      <c r="I21" s="891"/>
      <c r="J21" s="877"/>
      <c r="K21" s="720"/>
      <c r="L21" s="718"/>
      <c r="M21" s="718"/>
      <c r="N21" s="718"/>
      <c r="O21" s="719"/>
      <c r="P21" s="721"/>
      <c r="R21" s="298"/>
    </row>
    <row r="22" spans="2:21" ht="14.25" customHeight="1">
      <c r="B22" s="890"/>
      <c r="C22" s="891"/>
      <c r="D22" s="891"/>
      <c r="E22" s="891"/>
      <c r="F22" s="891"/>
      <c r="G22" s="891"/>
      <c r="H22" s="891"/>
      <c r="I22" s="891"/>
      <c r="J22" s="877"/>
      <c r="K22" s="720"/>
      <c r="L22" s="718"/>
      <c r="M22" s="718"/>
      <c r="N22" s="718"/>
      <c r="O22" s="719"/>
      <c r="P22" s="721"/>
      <c r="R22" s="298"/>
    </row>
    <row r="23" spans="2:21" ht="14.25" customHeight="1">
      <c r="B23" s="890"/>
      <c r="C23" s="891"/>
      <c r="D23" s="891"/>
      <c r="E23" s="891"/>
      <c r="F23" s="891"/>
      <c r="G23" s="891"/>
      <c r="H23" s="891"/>
      <c r="I23" s="891"/>
      <c r="J23" s="877"/>
      <c r="K23" s="720"/>
      <c r="L23" s="718"/>
      <c r="M23" s="718"/>
      <c r="N23" s="718"/>
      <c r="O23" s="719"/>
      <c r="P23" s="721"/>
      <c r="R23" s="298"/>
    </row>
    <row r="24" spans="2:21" ht="27" customHeight="1">
      <c r="B24" s="890"/>
      <c r="C24" s="891"/>
      <c r="D24" s="891"/>
      <c r="E24" s="891"/>
      <c r="F24" s="891"/>
      <c r="G24" s="891"/>
      <c r="H24" s="891"/>
      <c r="I24" s="891"/>
      <c r="J24" s="877"/>
      <c r="K24" s="496"/>
      <c r="L24" s="371"/>
      <c r="M24" s="371"/>
      <c r="N24" s="371"/>
      <c r="O24" s="371"/>
      <c r="P24" s="722"/>
      <c r="R24" s="298"/>
      <c r="U24" s="311"/>
    </row>
    <row r="25" spans="2:21">
      <c r="B25" s="890"/>
      <c r="C25" s="891"/>
      <c r="D25" s="891"/>
      <c r="E25" s="891"/>
      <c r="F25" s="891"/>
      <c r="G25" s="891"/>
      <c r="H25" s="891"/>
      <c r="I25" s="891"/>
      <c r="J25" s="877"/>
      <c r="K25" s="375"/>
      <c r="L25" s="370"/>
      <c r="M25" s="370"/>
      <c r="N25" s="370"/>
      <c r="O25" s="369"/>
      <c r="P25" s="683"/>
      <c r="R25" s="298"/>
      <c r="U25" s="311"/>
    </row>
    <row r="26" spans="2:21">
      <c r="B26" s="890"/>
      <c r="C26" s="891"/>
      <c r="D26" s="891"/>
      <c r="E26" s="891"/>
      <c r="F26" s="891"/>
      <c r="G26" s="891"/>
      <c r="H26" s="891"/>
      <c r="I26" s="891"/>
      <c r="J26" s="877"/>
      <c r="K26" s="375"/>
      <c r="L26" s="371"/>
      <c r="M26" s="371"/>
      <c r="N26" s="371"/>
      <c r="O26" s="369"/>
      <c r="P26" s="683"/>
      <c r="R26" s="298"/>
      <c r="U26" s="311"/>
    </row>
    <row r="27" spans="2:21">
      <c r="B27" s="890"/>
      <c r="C27" s="891"/>
      <c r="D27" s="891"/>
      <c r="E27" s="891"/>
      <c r="F27" s="891"/>
      <c r="G27" s="891"/>
      <c r="H27" s="891"/>
      <c r="I27" s="891"/>
      <c r="J27" s="877"/>
      <c r="K27" s="375"/>
      <c r="L27" s="370"/>
      <c r="M27" s="370"/>
      <c r="N27" s="370"/>
      <c r="O27" s="369"/>
      <c r="P27" s="683"/>
      <c r="R27" s="298"/>
    </row>
    <row r="28" spans="2:21">
      <c r="B28" s="890"/>
      <c r="C28" s="891"/>
      <c r="D28" s="891"/>
      <c r="E28" s="891"/>
      <c r="F28" s="891"/>
      <c r="G28" s="891"/>
      <c r="H28" s="891"/>
      <c r="I28" s="891"/>
      <c r="J28" s="877"/>
      <c r="K28" s="375"/>
      <c r="L28" s="370"/>
      <c r="M28" s="370"/>
      <c r="N28" s="370"/>
      <c r="O28" s="369"/>
      <c r="P28" s="683"/>
      <c r="R28" s="298"/>
    </row>
    <row r="29" spans="2:21">
      <c r="B29" s="890"/>
      <c r="C29" s="891"/>
      <c r="D29" s="891"/>
      <c r="E29" s="891"/>
      <c r="F29" s="891"/>
      <c r="G29" s="891"/>
      <c r="H29" s="891"/>
      <c r="I29" s="891"/>
      <c r="J29" s="877"/>
      <c r="K29" s="375"/>
      <c r="L29" s="372"/>
      <c r="M29" s="372"/>
      <c r="N29" s="372"/>
      <c r="O29" s="369"/>
      <c r="P29" s="683"/>
      <c r="R29" s="298"/>
    </row>
    <row r="30" spans="2:21">
      <c r="B30" s="890"/>
      <c r="C30" s="891"/>
      <c r="D30" s="891"/>
      <c r="E30" s="891"/>
      <c r="F30" s="891"/>
      <c r="G30" s="891"/>
      <c r="H30" s="891"/>
      <c r="I30" s="891"/>
      <c r="J30" s="877"/>
      <c r="K30" s="375"/>
      <c r="L30" s="372"/>
      <c r="M30" s="372"/>
      <c r="N30" s="372"/>
      <c r="O30" s="369"/>
      <c r="P30" s="683"/>
      <c r="R30" s="298"/>
    </row>
    <row r="31" spans="2:21">
      <c r="B31" s="890"/>
      <c r="C31" s="891"/>
      <c r="D31" s="891"/>
      <c r="E31" s="891"/>
      <c r="F31" s="891"/>
      <c r="G31" s="891"/>
      <c r="H31" s="891"/>
      <c r="I31" s="891"/>
      <c r="J31" s="877"/>
      <c r="K31" s="375"/>
      <c r="L31" s="372"/>
      <c r="M31" s="372"/>
      <c r="N31" s="372"/>
      <c r="O31" s="369"/>
      <c r="P31" s="683"/>
      <c r="R31" s="298"/>
      <c r="U31" s="315"/>
    </row>
    <row r="32" spans="2:21">
      <c r="B32" s="890"/>
      <c r="C32" s="891"/>
      <c r="D32" s="891"/>
      <c r="E32" s="891"/>
      <c r="F32" s="891"/>
      <c r="G32" s="891"/>
      <c r="H32" s="891"/>
      <c r="I32" s="891"/>
      <c r="J32" s="877"/>
      <c r="K32" s="375"/>
      <c r="L32" s="372"/>
      <c r="M32" s="372"/>
      <c r="N32" s="372"/>
      <c r="O32" s="369"/>
      <c r="P32" s="683"/>
      <c r="R32" s="298"/>
      <c r="U32" s="315"/>
    </row>
    <row r="33" spans="2:18">
      <c r="B33" s="890"/>
      <c r="C33" s="891"/>
      <c r="D33" s="891"/>
      <c r="E33" s="891"/>
      <c r="F33" s="891"/>
      <c r="G33" s="891"/>
      <c r="H33" s="891"/>
      <c r="I33" s="891"/>
      <c r="J33" s="877"/>
      <c r="K33" s="375"/>
      <c r="L33" s="372"/>
      <c r="M33" s="372"/>
      <c r="N33" s="372"/>
      <c r="O33" s="369"/>
      <c r="P33" s="683"/>
      <c r="R33" s="298"/>
    </row>
    <row r="34" spans="2:18">
      <c r="B34" s="890"/>
      <c r="C34" s="891"/>
      <c r="D34" s="891"/>
      <c r="E34" s="891"/>
      <c r="F34" s="891"/>
      <c r="G34" s="891"/>
      <c r="H34" s="891"/>
      <c r="I34" s="891"/>
      <c r="J34" s="877"/>
      <c r="K34" s="375"/>
      <c r="L34" s="372"/>
      <c r="M34" s="372"/>
      <c r="N34" s="372"/>
      <c r="O34" s="369"/>
      <c r="P34" s="683"/>
      <c r="R34" s="298"/>
    </row>
    <row r="35" spans="2:18" ht="14.25" customHeight="1">
      <c r="B35" s="890"/>
      <c r="C35" s="891"/>
      <c r="D35" s="891"/>
      <c r="E35" s="891"/>
      <c r="F35" s="891"/>
      <c r="G35" s="891"/>
      <c r="H35" s="891"/>
      <c r="I35" s="891"/>
      <c r="J35" s="877"/>
      <c r="K35" s="375"/>
      <c r="L35" s="372"/>
      <c r="M35" s="372"/>
      <c r="N35" s="372"/>
      <c r="O35" s="372"/>
      <c r="P35" s="684"/>
      <c r="R35" s="298"/>
    </row>
    <row r="36" spans="2:18" ht="14.25" customHeight="1" thickBot="1">
      <c r="B36" s="867"/>
      <c r="C36" s="871"/>
      <c r="D36" s="871"/>
      <c r="E36" s="871"/>
      <c r="F36" s="871"/>
      <c r="G36" s="871"/>
      <c r="H36" s="871"/>
      <c r="I36" s="871"/>
      <c r="J36" s="871"/>
      <c r="K36" s="650"/>
      <c r="L36" s="316"/>
      <c r="M36" s="316"/>
      <c r="N36" s="316"/>
      <c r="O36" s="316"/>
      <c r="P36" s="685"/>
      <c r="R36" s="298"/>
    </row>
    <row r="37" spans="2:18" ht="14.25" customHeight="1">
      <c r="B37" s="865" t="s">
        <v>245</v>
      </c>
      <c r="C37" s="866"/>
      <c r="D37" s="946" t="s">
        <v>309</v>
      </c>
      <c r="E37" s="870"/>
      <c r="F37" s="870"/>
      <c r="G37" s="870"/>
      <c r="H37" s="870"/>
      <c r="I37" s="870"/>
      <c r="J37" s="866"/>
      <c r="K37" s="872" t="s">
        <v>246</v>
      </c>
      <c r="L37" s="948">
        <f>P37</f>
        <v>1000</v>
      </c>
      <c r="M37" s="950" t="s">
        <v>247</v>
      </c>
      <c r="N37" s="951"/>
      <c r="O37" s="952"/>
      <c r="P37" s="956">
        <f>SUM(P13:P36)</f>
        <v>1000</v>
      </c>
      <c r="R37" s="298"/>
    </row>
    <row r="38" spans="2:18" ht="65.25" customHeight="1" thickBot="1">
      <c r="B38" s="867"/>
      <c r="C38" s="868"/>
      <c r="D38" s="867"/>
      <c r="E38" s="871"/>
      <c r="F38" s="871"/>
      <c r="G38" s="871"/>
      <c r="H38" s="871"/>
      <c r="I38" s="871"/>
      <c r="J38" s="868"/>
      <c r="K38" s="947"/>
      <c r="L38" s="949"/>
      <c r="M38" s="953"/>
      <c r="N38" s="954"/>
      <c r="O38" s="955"/>
      <c r="P38" s="957"/>
      <c r="R38" s="298"/>
    </row>
    <row r="39" spans="2:18" ht="14.25" customHeight="1">
      <c r="R39" s="298"/>
    </row>
    <row r="40" spans="2:18" ht="14.25" customHeight="1">
      <c r="R40" s="298"/>
    </row>
    <row r="41" spans="2:18" ht="14.25" customHeight="1">
      <c r="R41" s="298"/>
    </row>
    <row r="42" spans="2:18" ht="14.25" customHeight="1" thickBot="1">
      <c r="B42" s="380"/>
      <c r="C42" s="380"/>
      <c r="D42" s="380"/>
      <c r="E42" s="317"/>
      <c r="F42" s="317"/>
      <c r="G42" s="317"/>
      <c r="I42" s="317"/>
      <c r="J42" s="317"/>
      <c r="K42" s="651"/>
      <c r="L42" s="317"/>
      <c r="M42" s="317"/>
      <c r="N42" s="317"/>
      <c r="R42" s="298"/>
    </row>
    <row r="43" spans="2:18" ht="14.25" customHeight="1">
      <c r="B43" s="378"/>
      <c r="C43" s="379"/>
      <c r="I43" s="320"/>
      <c r="R43" s="298"/>
    </row>
    <row r="44" spans="2:18" ht="14.25" customHeight="1">
      <c r="B44" s="320"/>
      <c r="I44" s="320"/>
      <c r="R44" s="298"/>
    </row>
    <row r="45" spans="2:18" ht="14.25" customHeight="1">
      <c r="B45" s="320"/>
      <c r="R45" s="298"/>
    </row>
    <row r="46" spans="2:18" ht="14.25" customHeight="1"/>
    <row r="47" spans="2:18" ht="14.25" customHeight="1" thickBot="1"/>
    <row r="48" spans="2:18" ht="16.149999999999999" customHeight="1" thickBot="1">
      <c r="B48" s="912" t="s">
        <v>224</v>
      </c>
      <c r="C48" s="913"/>
      <c r="D48" s="913"/>
      <c r="E48" s="913"/>
      <c r="F48" s="913"/>
      <c r="G48" s="913"/>
      <c r="H48" s="913"/>
      <c r="I48" s="913"/>
      <c r="J48" s="913"/>
      <c r="K48" s="913"/>
      <c r="L48" s="913"/>
      <c r="M48" s="913"/>
      <c r="N48" s="913"/>
      <c r="O48" s="913"/>
      <c r="P48" s="914"/>
      <c r="R48" s="298"/>
    </row>
    <row r="49" spans="2:21" ht="14.25" customHeight="1" thickBot="1">
      <c r="R49" s="298"/>
    </row>
    <row r="50" spans="2:21" ht="14.25" customHeight="1" thickBot="1">
      <c r="B50" s="299" t="s">
        <v>225</v>
      </c>
      <c r="C50" s="300" t="s">
        <v>226</v>
      </c>
      <c r="D50" s="301">
        <f>'[6]1_PUENTE LA ESPERANZA'!E57</f>
        <v>0</v>
      </c>
      <c r="E50" s="300" t="s">
        <v>227</v>
      </c>
      <c r="F50" s="301" t="str">
        <f>'[6]1_PUENTE LA ESPERANZA'!G57</f>
        <v xml:space="preserve">Limpieza y protección con aceite de linaza mas  trementina proporción 2:1 elementos estructurales (guaduas y Mangles), inc cambio de piezas averidadas. Guadua sumistrada por el Jardin botanico  </v>
      </c>
      <c r="G50" s="300" t="s">
        <v>228</v>
      </c>
      <c r="H50" s="302">
        <f>'[6]1_PUENTE LA ESPERANZA'!I57</f>
        <v>0</v>
      </c>
      <c r="I50" s="303"/>
      <c r="J50" s="304" t="s">
        <v>229</v>
      </c>
      <c r="K50" s="302">
        <f>'[6]1_PUENTE LA ESPERANZA'!L57</f>
        <v>0</v>
      </c>
      <c r="L50" s="303"/>
      <c r="M50" s="304" t="s">
        <v>230</v>
      </c>
      <c r="N50" s="915">
        <f>N4</f>
        <v>0</v>
      </c>
      <c r="O50" s="916"/>
      <c r="P50" s="917"/>
      <c r="R50" s="298"/>
    </row>
    <row r="51" spans="2:21" ht="14.25" customHeight="1" thickBot="1">
      <c r="R51" s="298"/>
    </row>
    <row r="52" spans="2:21" ht="39" customHeight="1" thickBot="1">
      <c r="B52" s="918" t="s">
        <v>231</v>
      </c>
      <c r="C52" s="919"/>
      <c r="D52" s="919"/>
      <c r="E52" s="920" t="str">
        <f>E6</f>
        <v>IMPLEMENTACIÓN DE ACCIONES DE CONSERVACIÓN, PRODUCCCIÓN SOSTENIBLE Y CONSUMO RESPONSABLE EN AREAS DE INTERES AMBIENTAL DEL D.M.I GUASIMO EN EL MUNICIPIO DE LA VIRGINIA</v>
      </c>
      <c r="F52" s="921"/>
      <c r="G52" s="921"/>
      <c r="H52" s="921"/>
      <c r="I52" s="921"/>
      <c r="J52" s="921"/>
      <c r="K52" s="921"/>
      <c r="L52" s="921"/>
      <c r="M52" s="921"/>
      <c r="N52" s="921"/>
      <c r="O52" s="921"/>
      <c r="P52" s="922"/>
      <c r="R52" s="298"/>
    </row>
    <row r="53" spans="2:21" ht="14.25" customHeight="1">
      <c r="B53" s="923" t="s">
        <v>232</v>
      </c>
      <c r="C53" s="924"/>
      <c r="D53" s="924"/>
      <c r="E53" s="925">
        <f>E7</f>
        <v>0</v>
      </c>
      <c r="F53" s="924"/>
      <c r="G53" s="924"/>
      <c r="H53" s="924"/>
      <c r="I53" s="926" t="s">
        <v>233</v>
      </c>
      <c r="J53" s="927"/>
      <c r="K53" s="928">
        <f>K7</f>
        <v>0</v>
      </c>
      <c r="L53" s="929"/>
      <c r="M53" s="930" t="s">
        <v>234</v>
      </c>
      <c r="N53" s="931"/>
      <c r="O53" s="935">
        <f>O7</f>
        <v>0</v>
      </c>
      <c r="P53" s="936"/>
      <c r="R53" s="298"/>
    </row>
    <row r="54" spans="2:21" ht="14.25" customHeight="1" thickBot="1">
      <c r="B54" s="898" t="s">
        <v>235</v>
      </c>
      <c r="C54" s="899"/>
      <c r="D54" s="899"/>
      <c r="E54" s="900" t="str">
        <f>E8</f>
        <v xml:space="preserve">MUNICIPIO DE LA VIRGINIA </v>
      </c>
      <c r="F54" s="899"/>
      <c r="G54" s="899"/>
      <c r="H54" s="899"/>
      <c r="I54" s="901" t="s">
        <v>233</v>
      </c>
      <c r="J54" s="902"/>
      <c r="K54" s="903">
        <f>K8</f>
        <v>0</v>
      </c>
      <c r="L54" s="904"/>
      <c r="M54" s="932"/>
      <c r="N54" s="933"/>
      <c r="O54" s="937"/>
      <c r="P54" s="938"/>
      <c r="R54" s="298"/>
    </row>
    <row r="55" spans="2:21" ht="38.5" customHeight="1" thickBot="1">
      <c r="B55" s="907" t="s">
        <v>236</v>
      </c>
      <c r="C55" s="908"/>
      <c r="D55" s="908"/>
      <c r="E55" s="305" t="s">
        <v>5</v>
      </c>
      <c r="F55" s="909" t="s">
        <v>6</v>
      </c>
      <c r="G55" s="910"/>
      <c r="H55" s="910"/>
      <c r="I55" s="910"/>
      <c r="J55" s="911"/>
      <c r="K55" s="905"/>
      <c r="L55" s="906"/>
      <c r="M55" s="934"/>
      <c r="N55" s="885"/>
      <c r="O55" s="939"/>
      <c r="P55" s="940"/>
      <c r="R55" s="298"/>
    </row>
    <row r="56" spans="2:21" ht="33" customHeight="1" thickBot="1">
      <c r="B56" s="880" t="str">
        <f>+'PRESUPUESTO ESTUFA'!B34</f>
        <v>E</v>
      </c>
      <c r="C56" s="881"/>
      <c r="D56" s="881"/>
      <c r="E56" s="306" t="str">
        <f>+'PRESUPUESTO ESTUFA'!B36</f>
        <v>E.1.2</v>
      </c>
      <c r="F56" s="882" t="str">
        <f>+'PRESUPUESTO ESTUFA'!C36</f>
        <v>Recuperacion de caminos</v>
      </c>
      <c r="G56" s="883"/>
      <c r="H56" s="883"/>
      <c r="I56" s="883"/>
      <c r="J56" s="884"/>
      <c r="K56" s="885" t="s">
        <v>1</v>
      </c>
      <c r="L56" s="886"/>
      <c r="M56" s="887" t="str">
        <f>+'PRESUPUESTO ESTUFA'!D36</f>
        <v>ML</v>
      </c>
      <c r="N56" s="886"/>
      <c r="O56" s="307" t="s">
        <v>237</v>
      </c>
      <c r="P56" s="681" t="s">
        <v>251</v>
      </c>
      <c r="R56" s="298"/>
    </row>
    <row r="57" spans="2:21" ht="14.25" customHeight="1">
      <c r="B57" s="888"/>
      <c r="C57" s="870"/>
      <c r="D57" s="870"/>
      <c r="E57" s="870"/>
      <c r="F57" s="870"/>
      <c r="G57" s="870"/>
      <c r="H57" s="870"/>
      <c r="I57" s="870"/>
      <c r="J57" s="889"/>
      <c r="K57" s="893" t="s">
        <v>238</v>
      </c>
      <c r="L57" s="895" t="s">
        <v>239</v>
      </c>
      <c r="M57" s="896"/>
      <c r="N57" s="897"/>
      <c r="O57" s="861" t="s">
        <v>240</v>
      </c>
      <c r="P57" s="863" t="s">
        <v>241</v>
      </c>
      <c r="R57" s="298"/>
    </row>
    <row r="58" spans="2:21" ht="14.25" customHeight="1" thickBot="1">
      <c r="B58" s="890"/>
      <c r="C58" s="891"/>
      <c r="D58" s="891"/>
      <c r="E58" s="891"/>
      <c r="F58" s="891"/>
      <c r="G58" s="891"/>
      <c r="H58" s="891"/>
      <c r="I58" s="891"/>
      <c r="J58" s="892"/>
      <c r="K58" s="894"/>
      <c r="L58" s="308" t="s">
        <v>242</v>
      </c>
      <c r="M58" s="308" t="s">
        <v>243</v>
      </c>
      <c r="N58" s="308" t="s">
        <v>244</v>
      </c>
      <c r="O58" s="862"/>
      <c r="P58" s="864"/>
      <c r="R58" s="298"/>
    </row>
    <row r="59" spans="2:21" ht="36.75" customHeight="1">
      <c r="B59" s="890"/>
      <c r="C59" s="891"/>
      <c r="D59" s="891"/>
      <c r="E59" s="891"/>
      <c r="F59" s="891"/>
      <c r="G59" s="891"/>
      <c r="H59" s="891"/>
      <c r="I59" s="891"/>
      <c r="J59" s="877"/>
      <c r="K59" s="373" t="s">
        <v>289</v>
      </c>
      <c r="L59" s="310"/>
      <c r="M59" s="310"/>
      <c r="N59" s="310">
        <f>40*0.5</f>
        <v>20</v>
      </c>
      <c r="O59" s="310">
        <v>1</v>
      </c>
      <c r="P59" s="682">
        <f>+N59*O59</f>
        <v>20</v>
      </c>
      <c r="R59" s="298"/>
      <c r="U59">
        <v>95.160000000000011</v>
      </c>
    </row>
    <row r="60" spans="2:21" ht="33.75" customHeight="1">
      <c r="B60" s="890"/>
      <c r="C60" s="891"/>
      <c r="D60" s="891"/>
      <c r="E60" s="891"/>
      <c r="F60" s="891"/>
      <c r="G60" s="891"/>
      <c r="H60" s="891"/>
      <c r="I60" s="891"/>
      <c r="J60" s="877"/>
      <c r="K60" s="375" t="s">
        <v>290</v>
      </c>
      <c r="L60" s="313"/>
      <c r="M60" s="313"/>
      <c r="N60" s="313">
        <f>7*0.5</f>
        <v>3.5</v>
      </c>
      <c r="O60" s="313">
        <v>1</v>
      </c>
      <c r="P60" s="683">
        <f t="shared" ref="P60:P65" si="0">+N60*O60</f>
        <v>3.5</v>
      </c>
      <c r="R60" s="298"/>
      <c r="U60" s="315">
        <f>L82</f>
        <v>163.5</v>
      </c>
    </row>
    <row r="61" spans="2:21" ht="33" customHeight="1">
      <c r="B61" s="890"/>
      <c r="C61" s="891"/>
      <c r="D61" s="891"/>
      <c r="E61" s="891"/>
      <c r="F61" s="891"/>
      <c r="G61" s="891"/>
      <c r="H61" s="891"/>
      <c r="I61" s="891"/>
      <c r="J61" s="877"/>
      <c r="K61" s="375" t="s">
        <v>291</v>
      </c>
      <c r="L61" s="313"/>
      <c r="M61" s="313"/>
      <c r="N61" s="313">
        <f>50*0.5</f>
        <v>25</v>
      </c>
      <c r="O61" s="313">
        <v>1</v>
      </c>
      <c r="P61" s="683">
        <f t="shared" si="0"/>
        <v>25</v>
      </c>
      <c r="R61" s="298"/>
      <c r="U61" s="315">
        <f>U59-U60</f>
        <v>-68.339999999999989</v>
      </c>
    </row>
    <row r="62" spans="2:21" ht="33" customHeight="1">
      <c r="B62" s="890"/>
      <c r="C62" s="891"/>
      <c r="D62" s="891"/>
      <c r="E62" s="891"/>
      <c r="F62" s="891"/>
      <c r="G62" s="891"/>
      <c r="H62" s="891"/>
      <c r="I62" s="891"/>
      <c r="J62" s="877"/>
      <c r="K62" s="375" t="s">
        <v>292</v>
      </c>
      <c r="L62" s="313"/>
      <c r="M62" s="313"/>
      <c r="N62" s="313">
        <v>61</v>
      </c>
      <c r="O62" s="313">
        <v>1</v>
      </c>
      <c r="P62" s="683">
        <f t="shared" si="0"/>
        <v>61</v>
      </c>
      <c r="R62" s="298"/>
    </row>
    <row r="63" spans="2:21" ht="37.5" customHeight="1">
      <c r="B63" s="890"/>
      <c r="C63" s="891"/>
      <c r="D63" s="891"/>
      <c r="E63" s="891"/>
      <c r="F63" s="891"/>
      <c r="G63" s="891"/>
      <c r="H63" s="891"/>
      <c r="I63" s="891"/>
      <c r="J63" s="877"/>
      <c r="K63" s="375" t="s">
        <v>293</v>
      </c>
      <c r="L63" s="313"/>
      <c r="M63" s="313"/>
      <c r="N63" s="313">
        <v>23</v>
      </c>
      <c r="O63" s="313">
        <v>1</v>
      </c>
      <c r="P63" s="683">
        <f t="shared" si="0"/>
        <v>23</v>
      </c>
      <c r="R63" s="298"/>
    </row>
    <row r="64" spans="2:21" ht="30" customHeight="1">
      <c r="B64" s="890"/>
      <c r="C64" s="891"/>
      <c r="D64" s="891"/>
      <c r="E64" s="891"/>
      <c r="F64" s="891"/>
      <c r="G64" s="891"/>
      <c r="H64" s="891"/>
      <c r="I64" s="891"/>
      <c r="J64" s="877"/>
      <c r="K64" s="375" t="s">
        <v>295</v>
      </c>
      <c r="L64" s="314"/>
      <c r="M64" s="314"/>
      <c r="N64" s="314">
        <v>6</v>
      </c>
      <c r="O64" s="313">
        <v>1</v>
      </c>
      <c r="P64" s="683">
        <f t="shared" si="0"/>
        <v>6</v>
      </c>
      <c r="R64" s="298"/>
    </row>
    <row r="65" spans="2:18" ht="40.5" customHeight="1">
      <c r="B65" s="890"/>
      <c r="C65" s="891"/>
      <c r="D65" s="891"/>
      <c r="E65" s="891"/>
      <c r="F65" s="891"/>
      <c r="G65" s="891"/>
      <c r="H65" s="891"/>
      <c r="I65" s="891"/>
      <c r="J65" s="877"/>
      <c r="K65" s="375" t="s">
        <v>308</v>
      </c>
      <c r="L65" s="314"/>
      <c r="M65" s="314"/>
      <c r="N65" s="314">
        <v>25</v>
      </c>
      <c r="O65" s="313">
        <v>1</v>
      </c>
      <c r="P65" s="683">
        <f t="shared" si="0"/>
        <v>25</v>
      </c>
      <c r="R65" s="298"/>
    </row>
    <row r="66" spans="2:18">
      <c r="B66" s="890"/>
      <c r="C66" s="891"/>
      <c r="D66" s="891"/>
      <c r="E66" s="891"/>
      <c r="F66" s="891"/>
      <c r="G66" s="891"/>
      <c r="H66" s="891"/>
      <c r="I66" s="891"/>
      <c r="J66" s="877"/>
      <c r="K66" s="652"/>
      <c r="L66" s="314"/>
      <c r="M66" s="314"/>
      <c r="N66" s="314"/>
      <c r="O66" s="313"/>
      <c r="P66" s="683"/>
      <c r="R66" s="298"/>
    </row>
    <row r="67" spans="2:18" ht="14.25" customHeight="1">
      <c r="B67" s="890"/>
      <c r="C67" s="891"/>
      <c r="D67" s="891"/>
      <c r="E67" s="891"/>
      <c r="F67" s="891"/>
      <c r="G67" s="891"/>
      <c r="H67" s="891"/>
      <c r="I67" s="891"/>
      <c r="J67" s="877"/>
      <c r="K67" s="652"/>
      <c r="L67" s="314"/>
      <c r="M67" s="314"/>
      <c r="N67" s="314"/>
      <c r="O67" s="313"/>
      <c r="P67" s="683"/>
      <c r="R67" s="298"/>
    </row>
    <row r="68" spans="2:18" ht="14.25" customHeight="1">
      <c r="B68" s="890"/>
      <c r="C68" s="891"/>
      <c r="D68" s="891"/>
      <c r="E68" s="891"/>
      <c r="F68" s="891"/>
      <c r="G68" s="891"/>
      <c r="H68" s="891"/>
      <c r="I68" s="891"/>
      <c r="J68" s="877"/>
      <c r="K68" s="652"/>
      <c r="L68" s="314"/>
      <c r="M68" s="314"/>
      <c r="N68" s="314"/>
      <c r="O68" s="314"/>
      <c r="P68" s="683"/>
      <c r="R68" s="298"/>
    </row>
    <row r="69" spans="2:18" ht="14.25" customHeight="1">
      <c r="B69" s="890"/>
      <c r="C69" s="891"/>
      <c r="D69" s="891"/>
      <c r="E69" s="891"/>
      <c r="F69" s="891"/>
      <c r="G69" s="891"/>
      <c r="H69" s="891"/>
      <c r="I69" s="891"/>
      <c r="J69" s="877"/>
      <c r="K69" s="652"/>
      <c r="L69" s="314"/>
      <c r="M69" s="314"/>
      <c r="N69" s="314"/>
      <c r="O69" s="314"/>
      <c r="P69" s="683"/>
      <c r="R69" s="298"/>
    </row>
    <row r="70" spans="2:18" ht="14.25" customHeight="1">
      <c r="B70" s="890"/>
      <c r="C70" s="891"/>
      <c r="D70" s="891"/>
      <c r="E70" s="891"/>
      <c r="F70" s="891"/>
      <c r="G70" s="891"/>
      <c r="H70" s="891"/>
      <c r="I70" s="891"/>
      <c r="J70" s="877"/>
      <c r="K70" s="652"/>
      <c r="L70" s="314"/>
      <c r="M70" s="314"/>
      <c r="N70" s="314"/>
      <c r="O70" s="314"/>
      <c r="P70" s="684"/>
      <c r="R70" s="298"/>
    </row>
    <row r="71" spans="2:18" ht="14.25" customHeight="1">
      <c r="B71" s="890"/>
      <c r="C71" s="891"/>
      <c r="D71" s="891"/>
      <c r="E71" s="891"/>
      <c r="F71" s="891"/>
      <c r="G71" s="891"/>
      <c r="H71" s="891"/>
      <c r="I71" s="891"/>
      <c r="J71" s="877"/>
      <c r="K71" s="652"/>
      <c r="L71" s="314"/>
      <c r="M71" s="314"/>
      <c r="N71" s="314"/>
      <c r="O71" s="314"/>
      <c r="P71" s="684"/>
      <c r="R71" s="298"/>
    </row>
    <row r="72" spans="2:18" ht="14.25" customHeight="1">
      <c r="B72" s="890"/>
      <c r="C72" s="891"/>
      <c r="D72" s="891"/>
      <c r="E72" s="891"/>
      <c r="F72" s="891"/>
      <c r="G72" s="891"/>
      <c r="H72" s="891"/>
      <c r="I72" s="891"/>
      <c r="J72" s="877"/>
      <c r="K72" s="652"/>
      <c r="L72" s="314"/>
      <c r="M72" s="314"/>
      <c r="N72" s="314"/>
      <c r="O72" s="314"/>
      <c r="P72" s="684"/>
      <c r="R72" s="298"/>
    </row>
    <row r="73" spans="2:18" ht="14.25" customHeight="1">
      <c r="B73" s="890"/>
      <c r="C73" s="891"/>
      <c r="D73" s="891"/>
      <c r="E73" s="891"/>
      <c r="F73" s="891"/>
      <c r="G73" s="891"/>
      <c r="H73" s="891"/>
      <c r="I73" s="891"/>
      <c r="J73" s="877"/>
      <c r="K73" s="652"/>
      <c r="L73" s="314"/>
      <c r="M73" s="314"/>
      <c r="N73" s="314"/>
      <c r="O73" s="314"/>
      <c r="P73" s="684"/>
      <c r="R73" s="298"/>
    </row>
    <row r="74" spans="2:18" ht="14.25" customHeight="1">
      <c r="B74" s="890"/>
      <c r="C74" s="891"/>
      <c r="D74" s="891"/>
      <c r="E74" s="891"/>
      <c r="F74" s="891"/>
      <c r="G74" s="891"/>
      <c r="H74" s="891"/>
      <c r="I74" s="891"/>
      <c r="J74" s="877"/>
      <c r="K74" s="652"/>
      <c r="L74" s="314"/>
      <c r="M74" s="314"/>
      <c r="N74" s="314"/>
      <c r="O74" s="314"/>
      <c r="P74" s="684"/>
      <c r="R74" s="298"/>
    </row>
    <row r="75" spans="2:18" ht="14.25" customHeight="1">
      <c r="B75" s="890"/>
      <c r="C75" s="891"/>
      <c r="D75" s="891"/>
      <c r="E75" s="891"/>
      <c r="F75" s="891"/>
      <c r="G75" s="891"/>
      <c r="H75" s="891"/>
      <c r="I75" s="891"/>
      <c r="J75" s="877"/>
      <c r="K75" s="652"/>
      <c r="L75" s="314"/>
      <c r="M75" s="314"/>
      <c r="N75" s="314"/>
      <c r="O75" s="314"/>
      <c r="P75" s="684"/>
      <c r="R75" s="298"/>
    </row>
    <row r="76" spans="2:18" ht="14.25" customHeight="1">
      <c r="B76" s="890"/>
      <c r="C76" s="891"/>
      <c r="D76" s="891"/>
      <c r="E76" s="891"/>
      <c r="F76" s="891"/>
      <c r="G76" s="891"/>
      <c r="H76" s="891"/>
      <c r="I76" s="891"/>
      <c r="J76" s="877"/>
      <c r="K76" s="652"/>
      <c r="L76" s="314"/>
      <c r="M76" s="314"/>
      <c r="N76" s="314"/>
      <c r="O76" s="314"/>
      <c r="P76" s="684"/>
      <c r="R76" s="298"/>
    </row>
    <row r="77" spans="2:18" ht="14.25" customHeight="1">
      <c r="B77" s="890"/>
      <c r="C77" s="891"/>
      <c r="D77" s="891"/>
      <c r="E77" s="891"/>
      <c r="F77" s="891"/>
      <c r="G77" s="891"/>
      <c r="H77" s="891"/>
      <c r="I77" s="891"/>
      <c r="J77" s="877"/>
      <c r="K77" s="652"/>
      <c r="L77" s="314"/>
      <c r="M77" s="314"/>
      <c r="N77" s="314"/>
      <c r="O77" s="314"/>
      <c r="P77" s="684"/>
      <c r="R77" s="298"/>
    </row>
    <row r="78" spans="2:18" ht="14.25" customHeight="1">
      <c r="B78" s="890"/>
      <c r="C78" s="891"/>
      <c r="D78" s="891"/>
      <c r="E78" s="891"/>
      <c r="F78" s="891"/>
      <c r="G78" s="891"/>
      <c r="H78" s="891"/>
      <c r="I78" s="891"/>
      <c r="J78" s="877"/>
      <c r="K78" s="652"/>
      <c r="L78" s="314"/>
      <c r="M78" s="314"/>
      <c r="N78" s="314"/>
      <c r="O78" s="314"/>
      <c r="P78" s="684"/>
      <c r="R78" s="298"/>
    </row>
    <row r="79" spans="2:18" ht="14.25" customHeight="1">
      <c r="B79" s="890"/>
      <c r="C79" s="891"/>
      <c r="D79" s="891"/>
      <c r="E79" s="891"/>
      <c r="F79" s="891"/>
      <c r="G79" s="891"/>
      <c r="H79" s="891"/>
      <c r="I79" s="891"/>
      <c r="J79" s="877"/>
      <c r="K79" s="652"/>
      <c r="L79" s="314"/>
      <c r="M79" s="314"/>
      <c r="N79" s="314"/>
      <c r="O79" s="314"/>
      <c r="P79" s="684"/>
      <c r="R79" s="298"/>
    </row>
    <row r="80" spans="2:18" ht="14.25" customHeight="1">
      <c r="B80" s="890"/>
      <c r="C80" s="891"/>
      <c r="D80" s="891"/>
      <c r="E80" s="891"/>
      <c r="F80" s="891"/>
      <c r="G80" s="891"/>
      <c r="H80" s="891"/>
      <c r="I80" s="891"/>
      <c r="J80" s="877"/>
      <c r="K80" s="652"/>
      <c r="L80" s="314"/>
      <c r="M80" s="314"/>
      <c r="N80" s="314"/>
      <c r="O80" s="314"/>
      <c r="P80" s="684"/>
      <c r="R80" s="298"/>
    </row>
    <row r="81" spans="2:18" ht="14.25" customHeight="1" thickBot="1">
      <c r="B81" s="867"/>
      <c r="C81" s="871"/>
      <c r="D81" s="871"/>
      <c r="E81" s="871"/>
      <c r="F81" s="871"/>
      <c r="G81" s="871"/>
      <c r="H81" s="871"/>
      <c r="I81" s="871"/>
      <c r="J81" s="871"/>
      <c r="K81" s="650"/>
      <c r="L81" s="316"/>
      <c r="M81" s="316"/>
      <c r="N81" s="316"/>
      <c r="O81" s="316"/>
      <c r="P81" s="685"/>
      <c r="R81" s="298"/>
    </row>
    <row r="82" spans="2:18" ht="14.25" customHeight="1">
      <c r="B82" s="865" t="s">
        <v>248</v>
      </c>
      <c r="C82" s="866"/>
      <c r="D82" s="963" t="s">
        <v>294</v>
      </c>
      <c r="E82" s="870"/>
      <c r="F82" s="870"/>
      <c r="G82" s="870"/>
      <c r="H82" s="870"/>
      <c r="I82" s="870"/>
      <c r="J82" s="866"/>
      <c r="K82" s="872" t="s">
        <v>246</v>
      </c>
      <c r="L82" s="874">
        <f>P82</f>
        <v>163.5</v>
      </c>
      <c r="M82" s="876" t="s">
        <v>247</v>
      </c>
      <c r="N82" s="877"/>
      <c r="O82" s="878"/>
      <c r="P82" s="879">
        <f>SUM(P59:P81)</f>
        <v>163.5</v>
      </c>
      <c r="R82" s="298"/>
    </row>
    <row r="83" spans="2:18" ht="79.5" customHeight="1" thickBot="1">
      <c r="B83" s="867"/>
      <c r="C83" s="868"/>
      <c r="D83" s="867"/>
      <c r="E83" s="871"/>
      <c r="F83" s="871"/>
      <c r="G83" s="871"/>
      <c r="H83" s="871"/>
      <c r="I83" s="871"/>
      <c r="J83" s="868"/>
      <c r="K83" s="873"/>
      <c r="L83" s="875"/>
      <c r="M83" s="867"/>
      <c r="N83" s="871"/>
      <c r="O83" s="868"/>
      <c r="P83" s="942"/>
      <c r="R83" s="298"/>
    </row>
    <row r="84" spans="2:18" ht="14.25" customHeight="1">
      <c r="R84" s="298"/>
    </row>
    <row r="85" spans="2:18" ht="14.25" customHeight="1">
      <c r="R85" s="298"/>
    </row>
    <row r="86" spans="2:18" ht="14.25" customHeight="1">
      <c r="R86" s="298"/>
    </row>
    <row r="87" spans="2:18" ht="14.25" customHeight="1" thickBot="1">
      <c r="B87" s="317"/>
      <c r="C87" s="317"/>
      <c r="D87" s="317"/>
      <c r="E87" s="317"/>
      <c r="F87" s="317"/>
      <c r="G87" s="317"/>
      <c r="I87" s="317"/>
      <c r="J87" s="317"/>
      <c r="K87" s="651"/>
      <c r="L87" s="317"/>
      <c r="M87" s="317"/>
      <c r="N87" s="317"/>
      <c r="R87" s="298"/>
    </row>
    <row r="88" spans="2:18" ht="14.25" customHeight="1" thickBot="1">
      <c r="B88" s="318"/>
      <c r="C88" s="319"/>
      <c r="I88" s="320"/>
      <c r="R88" s="298"/>
    </row>
    <row r="89" spans="2:18" ht="14.25" customHeight="1">
      <c r="B89" s="320"/>
      <c r="I89" s="320"/>
      <c r="R89" s="298"/>
    </row>
    <row r="90" spans="2:18" ht="14.25" customHeight="1">
      <c r="B90" s="320"/>
      <c r="R90" s="298"/>
    </row>
    <row r="91" spans="2:18" ht="14.25" customHeight="1">
      <c r="B91" s="320"/>
    </row>
    <row r="92" spans="2:18" ht="14.25" customHeight="1" thickBot="1">
      <c r="B92" s="320"/>
    </row>
    <row r="93" spans="2:18" ht="16.149999999999999" customHeight="1" thickBot="1">
      <c r="B93" s="912" t="s">
        <v>250</v>
      </c>
      <c r="C93" s="913"/>
      <c r="D93" s="913"/>
      <c r="E93" s="913"/>
      <c r="F93" s="913"/>
      <c r="G93" s="913"/>
      <c r="H93" s="913"/>
      <c r="I93" s="913"/>
      <c r="J93" s="913"/>
      <c r="K93" s="913"/>
      <c r="L93" s="913"/>
      <c r="M93" s="913"/>
      <c r="N93" s="913"/>
      <c r="O93" s="913"/>
      <c r="P93" s="914"/>
      <c r="R93" s="298"/>
    </row>
    <row r="94" spans="2:18" ht="6.65" customHeight="1" thickBot="1">
      <c r="R94" s="298"/>
    </row>
    <row r="95" spans="2:18" ht="14.25" customHeight="1" thickBot="1">
      <c r="B95" s="299" t="s">
        <v>225</v>
      </c>
      <c r="C95" s="300" t="s">
        <v>226</v>
      </c>
      <c r="D95" s="301">
        <v>10</v>
      </c>
      <c r="E95" s="300" t="s">
        <v>227</v>
      </c>
      <c r="F95" s="301">
        <v>10</v>
      </c>
      <c r="G95" s="300" t="s">
        <v>228</v>
      </c>
      <c r="H95" s="302">
        <v>2024</v>
      </c>
      <c r="I95" s="303"/>
      <c r="J95" s="304" t="s">
        <v>229</v>
      </c>
      <c r="K95" s="302"/>
      <c r="L95" s="303"/>
      <c r="M95" s="304" t="s">
        <v>230</v>
      </c>
      <c r="N95" s="915"/>
      <c r="O95" s="916"/>
      <c r="P95" s="917"/>
      <c r="R95" s="298"/>
    </row>
    <row r="96" spans="2:18" ht="6.65" customHeight="1" thickBot="1">
      <c r="R96" s="298"/>
    </row>
    <row r="97" spans="2:21" ht="33.75" customHeight="1" thickBot="1">
      <c r="B97" s="918" t="s">
        <v>231</v>
      </c>
      <c r="C97" s="919"/>
      <c r="D97" s="919"/>
      <c r="E97" s="920" t="s">
        <v>187</v>
      </c>
      <c r="F97" s="921"/>
      <c r="G97" s="921"/>
      <c r="H97" s="921"/>
      <c r="I97" s="921"/>
      <c r="J97" s="921"/>
      <c r="K97" s="921"/>
      <c r="L97" s="921"/>
      <c r="M97" s="921"/>
      <c r="N97" s="921"/>
      <c r="O97" s="921"/>
      <c r="P97" s="922"/>
      <c r="R97" s="298"/>
    </row>
    <row r="98" spans="2:21" ht="14.25" customHeight="1">
      <c r="B98" s="923" t="s">
        <v>232</v>
      </c>
      <c r="C98" s="924"/>
      <c r="D98" s="924"/>
      <c r="E98" s="925"/>
      <c r="F98" s="924"/>
      <c r="G98" s="924"/>
      <c r="H98" s="924"/>
      <c r="I98" s="926" t="s">
        <v>233</v>
      </c>
      <c r="J98" s="927"/>
      <c r="K98" s="928"/>
      <c r="L98" s="929"/>
      <c r="M98" s="930" t="s">
        <v>234</v>
      </c>
      <c r="N98" s="931"/>
      <c r="O98" s="935"/>
      <c r="P98" s="936"/>
      <c r="R98" s="298"/>
    </row>
    <row r="99" spans="2:21" ht="32.25" customHeight="1" thickBot="1">
      <c r="B99" s="898" t="s">
        <v>235</v>
      </c>
      <c r="C99" s="899"/>
      <c r="D99" s="899"/>
      <c r="E99" s="900" t="s">
        <v>287</v>
      </c>
      <c r="F99" s="899"/>
      <c r="G99" s="899"/>
      <c r="H99" s="899"/>
      <c r="I99" s="901" t="s">
        <v>233</v>
      </c>
      <c r="J99" s="902"/>
      <c r="K99" s="903"/>
      <c r="L99" s="904"/>
      <c r="M99" s="932"/>
      <c r="N99" s="933"/>
      <c r="O99" s="937"/>
      <c r="P99" s="938"/>
      <c r="R99" s="298"/>
    </row>
    <row r="100" spans="2:21" ht="14.25" customHeight="1" thickBot="1">
      <c r="B100" s="907" t="s">
        <v>236</v>
      </c>
      <c r="C100" s="908"/>
      <c r="D100" s="908"/>
      <c r="E100" s="305" t="s">
        <v>5</v>
      </c>
      <c r="F100" s="909" t="s">
        <v>6</v>
      </c>
      <c r="G100" s="910"/>
      <c r="H100" s="910"/>
      <c r="I100" s="910"/>
      <c r="J100" s="911"/>
      <c r="K100" s="905"/>
      <c r="L100" s="906"/>
      <c r="M100" s="934"/>
      <c r="N100" s="885"/>
      <c r="O100" s="939"/>
      <c r="P100" s="940"/>
      <c r="R100" s="298"/>
    </row>
    <row r="101" spans="2:21" ht="42.75" customHeight="1" thickBot="1">
      <c r="B101" s="880" t="str">
        <f>+'PRESUPUESTO ESTUFA'!B34</f>
        <v>E</v>
      </c>
      <c r="C101" s="881"/>
      <c r="D101" s="881"/>
      <c r="E101" s="306" t="str">
        <f>+'PRESUPUESTO ESTUFA'!B37</f>
        <v>E.1.3</v>
      </c>
      <c r="F101" s="882" t="str">
        <f>+'PRESUPUESTO ESTUFA'!C37</f>
        <v xml:space="preserve">Suministro e instalacion de pasamanos en madera </v>
      </c>
      <c r="G101" s="883"/>
      <c r="H101" s="883"/>
      <c r="I101" s="883"/>
      <c r="J101" s="884"/>
      <c r="K101" s="885" t="s">
        <v>1</v>
      </c>
      <c r="L101" s="886"/>
      <c r="M101" s="887" t="str">
        <f>+'PRESUPUESTO ESTUFA'!D37</f>
        <v>ML</v>
      </c>
      <c r="N101" s="886"/>
      <c r="O101" s="307" t="s">
        <v>237</v>
      </c>
      <c r="P101" s="681" t="s">
        <v>251</v>
      </c>
      <c r="R101" s="298"/>
    </row>
    <row r="102" spans="2:21" ht="14.25" customHeight="1">
      <c r="B102" s="958"/>
      <c r="C102" s="877"/>
      <c r="D102" s="877"/>
      <c r="E102" s="877"/>
      <c r="F102" s="877"/>
      <c r="G102" s="877"/>
      <c r="H102" s="877"/>
      <c r="I102" s="877"/>
      <c r="J102" s="892"/>
      <c r="K102" s="959" t="s">
        <v>238</v>
      </c>
      <c r="L102" s="960" t="s">
        <v>239</v>
      </c>
      <c r="M102" s="961"/>
      <c r="N102" s="962"/>
      <c r="O102" s="944" t="s">
        <v>240</v>
      </c>
      <c r="P102" s="945" t="s">
        <v>241</v>
      </c>
      <c r="R102" s="298"/>
    </row>
    <row r="103" spans="2:21" ht="18.75" customHeight="1" thickBot="1">
      <c r="B103" s="890"/>
      <c r="C103" s="891"/>
      <c r="D103" s="891"/>
      <c r="E103" s="891"/>
      <c r="F103" s="891"/>
      <c r="G103" s="891"/>
      <c r="H103" s="891"/>
      <c r="I103" s="891"/>
      <c r="J103" s="892"/>
      <c r="K103" s="894"/>
      <c r="L103" s="308" t="s">
        <v>242</v>
      </c>
      <c r="M103" s="308" t="s">
        <v>243</v>
      </c>
      <c r="N103" s="308" t="s">
        <v>244</v>
      </c>
      <c r="O103" s="862"/>
      <c r="P103" s="864"/>
      <c r="R103" s="298"/>
    </row>
    <row r="104" spans="2:21" ht="40.5" customHeight="1">
      <c r="B104" s="890"/>
      <c r="C104" s="891"/>
      <c r="D104" s="891"/>
      <c r="E104" s="891"/>
      <c r="F104" s="891"/>
      <c r="G104" s="891"/>
      <c r="H104" s="891"/>
      <c r="I104" s="891"/>
      <c r="J104" s="877"/>
      <c r="K104" s="373" t="s">
        <v>296</v>
      </c>
      <c r="L104" s="310"/>
      <c r="M104" s="310"/>
      <c r="N104" s="310"/>
      <c r="O104" s="374"/>
      <c r="P104" s="682">
        <f>N104*O104</f>
        <v>0</v>
      </c>
      <c r="R104" s="298"/>
      <c r="U104" s="311"/>
    </row>
    <row r="105" spans="2:21" ht="29">
      <c r="B105" s="890"/>
      <c r="C105" s="891"/>
      <c r="D105" s="891"/>
      <c r="E105" s="891"/>
      <c r="F105" s="891"/>
      <c r="G105" s="891"/>
      <c r="H105" s="891"/>
      <c r="I105" s="891"/>
      <c r="J105" s="877"/>
      <c r="K105" s="375" t="s">
        <v>297</v>
      </c>
      <c r="L105" s="370"/>
      <c r="M105" s="370"/>
      <c r="N105" s="370">
        <v>42</v>
      </c>
      <c r="O105" s="369">
        <v>1</v>
      </c>
      <c r="P105" s="683">
        <f>N105*O105</f>
        <v>42</v>
      </c>
      <c r="R105" s="298"/>
      <c r="U105" s="311"/>
    </row>
    <row r="106" spans="2:21" ht="29">
      <c r="B106" s="890"/>
      <c r="C106" s="891"/>
      <c r="D106" s="891"/>
      <c r="E106" s="891"/>
      <c r="F106" s="891"/>
      <c r="G106" s="891"/>
      <c r="H106" s="891"/>
      <c r="I106" s="891"/>
      <c r="J106" s="877"/>
      <c r="K106" s="375" t="s">
        <v>298</v>
      </c>
      <c r="L106" s="371"/>
      <c r="M106" s="371"/>
      <c r="N106" s="371">
        <v>35</v>
      </c>
      <c r="O106" s="369">
        <v>1</v>
      </c>
      <c r="P106" s="683">
        <f>N106*O106</f>
        <v>35</v>
      </c>
      <c r="R106" s="298"/>
      <c r="U106" s="311"/>
    </row>
    <row r="107" spans="2:21" ht="29">
      <c r="B107" s="890"/>
      <c r="C107" s="891"/>
      <c r="D107" s="891"/>
      <c r="E107" s="891"/>
      <c r="F107" s="891"/>
      <c r="G107" s="891"/>
      <c r="H107" s="891"/>
      <c r="I107" s="891"/>
      <c r="J107" s="877"/>
      <c r="K107" s="375" t="s">
        <v>299</v>
      </c>
      <c r="L107" s="370"/>
      <c r="M107" s="370"/>
      <c r="N107" s="370">
        <v>20</v>
      </c>
      <c r="O107" s="369">
        <v>1</v>
      </c>
      <c r="P107" s="683">
        <f>N107*O107</f>
        <v>20</v>
      </c>
      <c r="R107" s="298"/>
    </row>
    <row r="108" spans="2:21" ht="29">
      <c r="B108" s="890"/>
      <c r="C108" s="891"/>
      <c r="D108" s="891"/>
      <c r="E108" s="891"/>
      <c r="F108" s="891"/>
      <c r="G108" s="891"/>
      <c r="H108" s="891"/>
      <c r="I108" s="891"/>
      <c r="J108" s="877"/>
      <c r="K108" s="375" t="s">
        <v>300</v>
      </c>
      <c r="L108" s="370"/>
      <c r="M108" s="370"/>
      <c r="N108" s="370">
        <v>13</v>
      </c>
      <c r="O108" s="369">
        <v>1</v>
      </c>
      <c r="P108" s="683">
        <f>N108*O108</f>
        <v>13</v>
      </c>
      <c r="R108" s="298"/>
    </row>
    <row r="109" spans="2:21" ht="29">
      <c r="B109" s="890"/>
      <c r="C109" s="891"/>
      <c r="D109" s="891"/>
      <c r="E109" s="891"/>
      <c r="F109" s="891"/>
      <c r="G109" s="891"/>
      <c r="H109" s="891"/>
      <c r="I109" s="891"/>
      <c r="J109" s="877"/>
      <c r="K109" s="375" t="s">
        <v>301</v>
      </c>
      <c r="L109" s="372"/>
      <c r="M109" s="372"/>
      <c r="N109" s="372">
        <v>18</v>
      </c>
      <c r="O109" s="369">
        <v>1</v>
      </c>
      <c r="P109" s="683">
        <f t="shared" ref="P109:P115" si="1">N109*O109</f>
        <v>18</v>
      </c>
      <c r="R109" s="298"/>
    </row>
    <row r="110" spans="2:21" ht="29">
      <c r="B110" s="890"/>
      <c r="C110" s="891"/>
      <c r="D110" s="891"/>
      <c r="E110" s="891"/>
      <c r="F110" s="891"/>
      <c r="G110" s="891"/>
      <c r="H110" s="891"/>
      <c r="I110" s="891"/>
      <c r="J110" s="877"/>
      <c r="K110" s="375" t="s">
        <v>302</v>
      </c>
      <c r="L110" s="372"/>
      <c r="M110" s="372"/>
      <c r="N110" s="372">
        <v>34</v>
      </c>
      <c r="O110" s="369">
        <v>1</v>
      </c>
      <c r="P110" s="683">
        <f t="shared" si="1"/>
        <v>34</v>
      </c>
      <c r="R110" s="298"/>
    </row>
    <row r="111" spans="2:21" ht="29">
      <c r="B111" s="890"/>
      <c r="C111" s="891"/>
      <c r="D111" s="891"/>
      <c r="E111" s="891"/>
      <c r="F111" s="891"/>
      <c r="G111" s="891"/>
      <c r="H111" s="891"/>
      <c r="I111" s="891"/>
      <c r="J111" s="877"/>
      <c r="K111" s="375" t="s">
        <v>303</v>
      </c>
      <c r="L111" s="372"/>
      <c r="M111" s="372"/>
      <c r="N111" s="372">
        <v>20</v>
      </c>
      <c r="O111" s="369">
        <v>1</v>
      </c>
      <c r="P111" s="683">
        <f t="shared" si="1"/>
        <v>20</v>
      </c>
      <c r="R111" s="298"/>
      <c r="U111" s="315"/>
    </row>
    <row r="112" spans="2:21" ht="29">
      <c r="B112" s="890"/>
      <c r="C112" s="891"/>
      <c r="D112" s="891"/>
      <c r="E112" s="891"/>
      <c r="F112" s="891"/>
      <c r="G112" s="891"/>
      <c r="H112" s="891"/>
      <c r="I112" s="891"/>
      <c r="J112" s="877"/>
      <c r="K112" s="375" t="s">
        <v>304</v>
      </c>
      <c r="L112" s="372"/>
      <c r="M112" s="372"/>
      <c r="N112" s="372">
        <v>35</v>
      </c>
      <c r="O112" s="369">
        <v>1</v>
      </c>
      <c r="P112" s="683">
        <f t="shared" si="1"/>
        <v>35</v>
      </c>
      <c r="R112" s="298"/>
      <c r="U112" s="315"/>
    </row>
    <row r="113" spans="2:18" ht="29">
      <c r="B113" s="890"/>
      <c r="C113" s="891"/>
      <c r="D113" s="891"/>
      <c r="E113" s="891"/>
      <c r="F113" s="891"/>
      <c r="G113" s="891"/>
      <c r="H113" s="891"/>
      <c r="I113" s="891"/>
      <c r="J113" s="877"/>
      <c r="K113" s="375" t="s">
        <v>305</v>
      </c>
      <c r="L113" s="372"/>
      <c r="M113" s="372"/>
      <c r="N113" s="372">
        <v>10</v>
      </c>
      <c r="O113" s="369">
        <v>1</v>
      </c>
      <c r="P113" s="683">
        <f t="shared" si="1"/>
        <v>10</v>
      </c>
      <c r="R113" s="298"/>
    </row>
    <row r="114" spans="2:18" ht="29">
      <c r="B114" s="890"/>
      <c r="C114" s="891"/>
      <c r="D114" s="891"/>
      <c r="E114" s="891"/>
      <c r="F114" s="891"/>
      <c r="G114" s="891"/>
      <c r="H114" s="891"/>
      <c r="I114" s="891"/>
      <c r="J114" s="877"/>
      <c r="K114" s="375" t="s">
        <v>306</v>
      </c>
      <c r="L114" s="372"/>
      <c r="M114" s="372"/>
      <c r="N114" s="372">
        <v>25</v>
      </c>
      <c r="O114" s="369">
        <v>1</v>
      </c>
      <c r="P114" s="683">
        <f t="shared" si="1"/>
        <v>25</v>
      </c>
      <c r="R114" s="298"/>
    </row>
    <row r="115" spans="2:18" ht="39" customHeight="1">
      <c r="B115" s="890"/>
      <c r="C115" s="891"/>
      <c r="D115" s="891"/>
      <c r="E115" s="891"/>
      <c r="F115" s="891"/>
      <c r="G115" s="891"/>
      <c r="H115" s="891"/>
      <c r="I115" s="891"/>
      <c r="J115" s="877"/>
      <c r="K115" s="375" t="s">
        <v>307</v>
      </c>
      <c r="L115" s="372"/>
      <c r="M115" s="372"/>
      <c r="N115" s="372">
        <v>50</v>
      </c>
      <c r="O115" s="372">
        <v>1</v>
      </c>
      <c r="P115" s="683">
        <f t="shared" si="1"/>
        <v>50</v>
      </c>
      <c r="R115" s="298"/>
    </row>
    <row r="116" spans="2:18" ht="14.25" customHeight="1">
      <c r="B116" s="890"/>
      <c r="C116" s="891"/>
      <c r="D116" s="891"/>
      <c r="E116" s="891"/>
      <c r="F116" s="891"/>
      <c r="G116" s="891"/>
      <c r="H116" s="891"/>
      <c r="I116" s="891"/>
      <c r="J116" s="877"/>
      <c r="K116" s="652"/>
      <c r="L116" s="372"/>
      <c r="M116" s="372"/>
      <c r="N116" s="372"/>
      <c r="O116" s="372"/>
      <c r="P116" s="684"/>
      <c r="R116" s="298"/>
    </row>
    <row r="117" spans="2:18" ht="14.25" customHeight="1">
      <c r="B117" s="890"/>
      <c r="C117" s="891"/>
      <c r="D117" s="891"/>
      <c r="E117" s="891"/>
      <c r="F117" s="891"/>
      <c r="G117" s="891"/>
      <c r="H117" s="891"/>
      <c r="I117" s="891"/>
      <c r="J117" s="877"/>
      <c r="K117" s="652"/>
      <c r="L117" s="372"/>
      <c r="M117" s="372"/>
      <c r="N117" s="372"/>
      <c r="O117" s="372"/>
      <c r="P117" s="684"/>
      <c r="R117" s="298"/>
    </row>
    <row r="118" spans="2:18" ht="14.25" customHeight="1">
      <c r="B118" s="890"/>
      <c r="C118" s="891"/>
      <c r="D118" s="891"/>
      <c r="E118" s="891"/>
      <c r="F118" s="891"/>
      <c r="G118" s="891"/>
      <c r="H118" s="891"/>
      <c r="I118" s="891"/>
      <c r="J118" s="877"/>
      <c r="K118" s="652"/>
      <c r="L118" s="372"/>
      <c r="M118" s="372"/>
      <c r="N118" s="372"/>
      <c r="O118" s="372"/>
      <c r="P118" s="684"/>
      <c r="R118" s="298"/>
    </row>
    <row r="119" spans="2:18" ht="14.25" customHeight="1">
      <c r="B119" s="890"/>
      <c r="C119" s="891"/>
      <c r="D119" s="891"/>
      <c r="E119" s="891"/>
      <c r="F119" s="891"/>
      <c r="G119" s="891"/>
      <c r="H119" s="891"/>
      <c r="I119" s="891"/>
      <c r="J119" s="877"/>
      <c r="K119" s="652"/>
      <c r="L119" s="372"/>
      <c r="M119" s="372"/>
      <c r="N119" s="372"/>
      <c r="O119" s="372"/>
      <c r="P119" s="684"/>
      <c r="R119" s="298"/>
    </row>
    <row r="120" spans="2:18" ht="14.25" customHeight="1">
      <c r="B120" s="890"/>
      <c r="C120" s="891"/>
      <c r="D120" s="891"/>
      <c r="E120" s="891"/>
      <c r="F120" s="891"/>
      <c r="G120" s="891"/>
      <c r="H120" s="891"/>
      <c r="I120" s="891"/>
      <c r="J120" s="877"/>
      <c r="K120" s="652"/>
      <c r="L120" s="372"/>
      <c r="M120" s="372"/>
      <c r="N120" s="372"/>
      <c r="O120" s="372"/>
      <c r="P120" s="684"/>
      <c r="R120" s="298"/>
    </row>
    <row r="121" spans="2:18" ht="14.25" customHeight="1">
      <c r="B121" s="890"/>
      <c r="C121" s="891"/>
      <c r="D121" s="891"/>
      <c r="E121" s="891"/>
      <c r="F121" s="891"/>
      <c r="G121" s="891"/>
      <c r="H121" s="891"/>
      <c r="I121" s="891"/>
      <c r="J121" s="877"/>
      <c r="K121" s="652"/>
      <c r="L121" s="372"/>
      <c r="M121" s="372"/>
      <c r="N121" s="372"/>
      <c r="O121" s="372"/>
      <c r="P121" s="684"/>
      <c r="R121" s="298"/>
    </row>
    <row r="122" spans="2:18" ht="14.25" customHeight="1">
      <c r="B122" s="890"/>
      <c r="C122" s="891"/>
      <c r="D122" s="891"/>
      <c r="E122" s="891"/>
      <c r="F122" s="891"/>
      <c r="G122" s="891"/>
      <c r="H122" s="891"/>
      <c r="I122" s="891"/>
      <c r="J122" s="877"/>
      <c r="K122" s="652"/>
      <c r="L122" s="372"/>
      <c r="M122" s="372"/>
      <c r="N122" s="372"/>
      <c r="O122" s="372"/>
      <c r="P122" s="684"/>
      <c r="R122" s="298"/>
    </row>
    <row r="123" spans="2:18" ht="14.25" customHeight="1">
      <c r="B123" s="890"/>
      <c r="C123" s="891"/>
      <c r="D123" s="891"/>
      <c r="E123" s="891"/>
      <c r="F123" s="891"/>
      <c r="G123" s="891"/>
      <c r="H123" s="891"/>
      <c r="I123" s="891"/>
      <c r="J123" s="877"/>
      <c r="K123" s="652"/>
      <c r="L123" s="372"/>
      <c r="M123" s="372"/>
      <c r="N123" s="372"/>
      <c r="O123" s="372"/>
      <c r="P123" s="684"/>
      <c r="R123" s="298"/>
    </row>
    <row r="124" spans="2:18" ht="14.25" customHeight="1">
      <c r="B124" s="890"/>
      <c r="C124" s="891"/>
      <c r="D124" s="891"/>
      <c r="E124" s="891"/>
      <c r="F124" s="891"/>
      <c r="G124" s="891"/>
      <c r="H124" s="891"/>
      <c r="I124" s="891"/>
      <c r="J124" s="877"/>
      <c r="K124" s="652"/>
      <c r="L124" s="372"/>
      <c r="M124" s="372"/>
      <c r="N124" s="372"/>
      <c r="O124" s="372"/>
      <c r="P124" s="684"/>
      <c r="R124" s="298"/>
    </row>
    <row r="125" spans="2:18" ht="14.25" customHeight="1">
      <c r="B125" s="890"/>
      <c r="C125" s="891"/>
      <c r="D125" s="891"/>
      <c r="E125" s="891"/>
      <c r="F125" s="891"/>
      <c r="G125" s="891"/>
      <c r="H125" s="891"/>
      <c r="I125" s="891"/>
      <c r="J125" s="877"/>
      <c r="K125" s="652"/>
      <c r="L125" s="372"/>
      <c r="M125" s="372"/>
      <c r="N125" s="372"/>
      <c r="O125" s="372"/>
      <c r="P125" s="684"/>
      <c r="R125" s="298"/>
    </row>
    <row r="126" spans="2:18" ht="14.25" customHeight="1" thickBot="1">
      <c r="B126" s="867"/>
      <c r="C126" s="871"/>
      <c r="D126" s="871"/>
      <c r="E126" s="871"/>
      <c r="F126" s="871"/>
      <c r="G126" s="871"/>
      <c r="H126" s="871"/>
      <c r="I126" s="871"/>
      <c r="J126" s="871"/>
      <c r="K126" s="650"/>
      <c r="L126" s="316"/>
      <c r="M126" s="316"/>
      <c r="N126" s="316"/>
      <c r="O126" s="316"/>
      <c r="P126" s="685"/>
      <c r="R126" s="298"/>
    </row>
    <row r="127" spans="2:18" ht="14.25" customHeight="1">
      <c r="B127" s="865" t="s">
        <v>245</v>
      </c>
      <c r="C127" s="866"/>
      <c r="D127" s="946" t="s">
        <v>288</v>
      </c>
      <c r="E127" s="870"/>
      <c r="F127" s="870"/>
      <c r="G127" s="870"/>
      <c r="H127" s="870"/>
      <c r="I127" s="870"/>
      <c r="J127" s="866"/>
      <c r="K127" s="872" t="s">
        <v>246</v>
      </c>
      <c r="L127" s="948">
        <f>P127</f>
        <v>302</v>
      </c>
      <c r="M127" s="950" t="s">
        <v>247</v>
      </c>
      <c r="N127" s="951"/>
      <c r="O127" s="952"/>
      <c r="P127" s="956">
        <f>SUM(P104:P126)</f>
        <v>302</v>
      </c>
      <c r="R127" s="298"/>
    </row>
    <row r="128" spans="2:18" ht="49.5" customHeight="1" thickBot="1">
      <c r="B128" s="867"/>
      <c r="C128" s="868"/>
      <c r="D128" s="867"/>
      <c r="E128" s="871"/>
      <c r="F128" s="871"/>
      <c r="G128" s="871"/>
      <c r="H128" s="871"/>
      <c r="I128" s="871"/>
      <c r="J128" s="868"/>
      <c r="K128" s="947"/>
      <c r="L128" s="949"/>
      <c r="M128" s="953"/>
      <c r="N128" s="954"/>
      <c r="O128" s="955"/>
      <c r="P128" s="957"/>
      <c r="R128" s="298"/>
    </row>
    <row r="129" spans="2:18" ht="14.25" customHeight="1">
      <c r="R129" s="298"/>
    </row>
    <row r="130" spans="2:18" ht="14.25" customHeight="1">
      <c r="R130" s="298"/>
    </row>
    <row r="131" spans="2:18" ht="14.25" customHeight="1">
      <c r="R131" s="298"/>
    </row>
    <row r="132" spans="2:18" ht="14.25" customHeight="1" thickBot="1">
      <c r="B132" s="380"/>
      <c r="C132" s="380"/>
      <c r="D132" s="380"/>
      <c r="E132" s="317"/>
      <c r="F132" s="317"/>
      <c r="G132" s="317"/>
      <c r="I132" s="317"/>
      <c r="J132" s="317"/>
      <c r="K132" s="651"/>
      <c r="L132" s="317"/>
      <c r="M132" s="317"/>
      <c r="N132" s="317"/>
      <c r="R132" s="298"/>
    </row>
    <row r="133" spans="2:18" ht="14.25" customHeight="1">
      <c r="B133" s="377"/>
      <c r="C133" s="377"/>
      <c r="D133" s="377"/>
      <c r="E133" s="377"/>
      <c r="F133" s="377"/>
      <c r="G133" s="377"/>
      <c r="I133" s="377"/>
      <c r="J133" s="377"/>
      <c r="K133" s="653"/>
      <c r="L133" s="377"/>
      <c r="M133" s="377"/>
      <c r="N133" s="377"/>
      <c r="R133" s="298"/>
    </row>
    <row r="134" spans="2:18" ht="14.25" customHeight="1" thickBot="1">
      <c r="B134" s="378"/>
      <c r="C134" s="379"/>
      <c r="I134" s="320"/>
      <c r="R134" s="298"/>
    </row>
    <row r="135" spans="2:18" ht="14.25" customHeight="1" thickBot="1">
      <c r="B135" s="912" t="s">
        <v>224</v>
      </c>
      <c r="C135" s="913"/>
      <c r="D135" s="913"/>
      <c r="E135" s="913"/>
      <c r="F135" s="913"/>
      <c r="G135" s="913"/>
      <c r="H135" s="913"/>
      <c r="I135" s="913"/>
      <c r="J135" s="913"/>
      <c r="K135" s="913"/>
      <c r="L135" s="913"/>
      <c r="M135" s="913"/>
      <c r="N135" s="913"/>
      <c r="O135" s="913"/>
      <c r="P135" s="914"/>
      <c r="R135" s="298"/>
    </row>
    <row r="136" spans="2:18" ht="14.25" customHeight="1" thickBot="1">
      <c r="R136" s="298"/>
    </row>
    <row r="137" spans="2:18" ht="14.25" customHeight="1" thickBot="1">
      <c r="B137" s="299" t="s">
        <v>225</v>
      </c>
      <c r="C137" s="300" t="s">
        <v>226</v>
      </c>
      <c r="D137" s="301">
        <f>'[6]1_PUENTE LA ESPERANZA'!E103</f>
        <v>0</v>
      </c>
      <c r="E137" s="300" t="s">
        <v>227</v>
      </c>
      <c r="F137" s="301"/>
      <c r="G137" s="300" t="s">
        <v>228</v>
      </c>
      <c r="H137" s="302">
        <f>'[6]1_PUENTE LA ESPERANZA'!I103</f>
        <v>0</v>
      </c>
      <c r="I137" s="303"/>
      <c r="J137" s="304" t="s">
        <v>229</v>
      </c>
      <c r="K137" s="302">
        <f>'[6]1_PUENTE LA ESPERANZA'!L103</f>
        <v>0</v>
      </c>
      <c r="L137" s="303"/>
      <c r="M137" s="304" t="s">
        <v>230</v>
      </c>
      <c r="N137" s="915">
        <f>N4</f>
        <v>0</v>
      </c>
      <c r="O137" s="916"/>
      <c r="P137" s="917"/>
      <c r="R137" s="298"/>
    </row>
    <row r="138" spans="2:18" ht="14.25" customHeight="1" thickBot="1">
      <c r="R138" s="298"/>
    </row>
    <row r="139" spans="2:18" ht="41.25" customHeight="1" thickBot="1">
      <c r="B139" s="918" t="s">
        <v>231</v>
      </c>
      <c r="C139" s="919"/>
      <c r="D139" s="919"/>
      <c r="E139" s="920" t="str">
        <f>E6</f>
        <v>IMPLEMENTACIÓN DE ACCIONES DE CONSERVACIÓN, PRODUCCCIÓN SOSTENIBLE Y CONSUMO RESPONSABLE EN AREAS DE INTERES AMBIENTAL DEL D.M.I GUASIMO EN EL MUNICIPIO DE LA VIRGINIA</v>
      </c>
      <c r="F139" s="921"/>
      <c r="G139" s="921"/>
      <c r="H139" s="921"/>
      <c r="I139" s="921"/>
      <c r="J139" s="921"/>
      <c r="K139" s="921"/>
      <c r="L139" s="921"/>
      <c r="M139" s="921"/>
      <c r="N139" s="921"/>
      <c r="O139" s="921"/>
      <c r="P139" s="922"/>
      <c r="R139" s="298"/>
    </row>
    <row r="140" spans="2:18" ht="14.25" customHeight="1">
      <c r="B140" s="923" t="s">
        <v>232</v>
      </c>
      <c r="C140" s="924"/>
      <c r="D140" s="924"/>
      <c r="E140" s="925">
        <f>E7</f>
        <v>0</v>
      </c>
      <c r="F140" s="924"/>
      <c r="G140" s="924"/>
      <c r="H140" s="924"/>
      <c r="I140" s="926" t="s">
        <v>233</v>
      </c>
      <c r="J140" s="927"/>
      <c r="K140" s="928">
        <f>K7</f>
        <v>0</v>
      </c>
      <c r="L140" s="929"/>
      <c r="M140" s="930" t="s">
        <v>234</v>
      </c>
      <c r="N140" s="931"/>
      <c r="O140" s="935">
        <f>O7</f>
        <v>0</v>
      </c>
      <c r="P140" s="936"/>
      <c r="R140" s="298"/>
    </row>
    <row r="141" spans="2:18" ht="27.75" customHeight="1" thickBot="1">
      <c r="B141" s="898" t="s">
        <v>235</v>
      </c>
      <c r="C141" s="899"/>
      <c r="D141" s="899"/>
      <c r="E141" s="900" t="str">
        <f>E8</f>
        <v xml:space="preserve">MUNICIPIO DE LA VIRGINIA </v>
      </c>
      <c r="F141" s="899"/>
      <c r="G141" s="899"/>
      <c r="H141" s="899"/>
      <c r="I141" s="901" t="s">
        <v>233</v>
      </c>
      <c r="J141" s="902"/>
      <c r="K141" s="903">
        <f>K8</f>
        <v>0</v>
      </c>
      <c r="L141" s="904"/>
      <c r="M141" s="932"/>
      <c r="N141" s="933"/>
      <c r="O141" s="937"/>
      <c r="P141" s="938"/>
      <c r="R141" s="298"/>
    </row>
    <row r="142" spans="2:18" ht="14.25" customHeight="1" thickBot="1">
      <c r="B142" s="907" t="s">
        <v>236</v>
      </c>
      <c r="C142" s="908"/>
      <c r="D142" s="908"/>
      <c r="E142" s="305" t="s">
        <v>5</v>
      </c>
      <c r="F142" s="909" t="s">
        <v>6</v>
      </c>
      <c r="G142" s="910"/>
      <c r="H142" s="910"/>
      <c r="I142" s="910"/>
      <c r="J142" s="911"/>
      <c r="K142" s="905"/>
      <c r="L142" s="906"/>
      <c r="M142" s="934"/>
      <c r="N142" s="885"/>
      <c r="O142" s="939"/>
      <c r="P142" s="940"/>
      <c r="R142" s="298"/>
    </row>
    <row r="143" spans="2:18" ht="29.5" customHeight="1" thickBot="1">
      <c r="B143" s="880" t="str">
        <f>+'PRESUPUESTO ESTUFA'!B34</f>
        <v>E</v>
      </c>
      <c r="C143" s="881"/>
      <c r="D143" s="881"/>
      <c r="E143" s="306" t="str">
        <f>+'PRESUPUESTO ESTUFA'!B39</f>
        <v>E.1.5</v>
      </c>
      <c r="F143" s="882" t="str">
        <f>+'PRESUPUESTO ESTUFA'!C39</f>
        <v>Trinchos doble en guadua h libre = 1,00 m</v>
      </c>
      <c r="G143" s="883"/>
      <c r="H143" s="883"/>
      <c r="I143" s="883"/>
      <c r="J143" s="884"/>
      <c r="K143" s="885" t="s">
        <v>1</v>
      </c>
      <c r="L143" s="886"/>
      <c r="M143" s="887" t="str">
        <f>'[6]ACTA PARCIAL 1'!E43</f>
        <v>M3</v>
      </c>
      <c r="N143" s="886"/>
      <c r="O143" s="307" t="s">
        <v>237</v>
      </c>
      <c r="P143" s="681" t="s">
        <v>251</v>
      </c>
      <c r="R143" s="298"/>
    </row>
    <row r="144" spans="2:18" ht="14.25" customHeight="1">
      <c r="B144" s="888"/>
      <c r="C144" s="870"/>
      <c r="D144" s="870"/>
      <c r="E144" s="870"/>
      <c r="F144" s="870"/>
      <c r="G144" s="870"/>
      <c r="H144" s="870"/>
      <c r="I144" s="870"/>
      <c r="J144" s="889"/>
      <c r="K144" s="893" t="s">
        <v>238</v>
      </c>
      <c r="L144" s="895" t="s">
        <v>239</v>
      </c>
      <c r="M144" s="896"/>
      <c r="N144" s="897"/>
      <c r="O144" s="861" t="s">
        <v>240</v>
      </c>
      <c r="P144" s="863" t="s">
        <v>241</v>
      </c>
      <c r="R144" s="298"/>
    </row>
    <row r="145" spans="2:18" ht="14.25" customHeight="1" thickBot="1">
      <c r="B145" s="890"/>
      <c r="C145" s="891"/>
      <c r="D145" s="891"/>
      <c r="E145" s="891"/>
      <c r="F145" s="891"/>
      <c r="G145" s="891"/>
      <c r="H145" s="891"/>
      <c r="I145" s="891"/>
      <c r="J145" s="892"/>
      <c r="K145" s="894"/>
      <c r="L145" s="308" t="s">
        <v>242</v>
      </c>
      <c r="M145" s="308" t="s">
        <v>243</v>
      </c>
      <c r="N145" s="308" t="s">
        <v>244</v>
      </c>
      <c r="O145" s="862"/>
      <c r="P145" s="864"/>
      <c r="R145" s="298"/>
    </row>
    <row r="146" spans="2:18" ht="14.25" customHeight="1" thickBot="1">
      <c r="B146" s="890"/>
      <c r="C146" s="891"/>
      <c r="D146" s="891"/>
      <c r="E146" s="891"/>
      <c r="F146" s="891"/>
      <c r="G146" s="891"/>
      <c r="H146" s="891"/>
      <c r="I146" s="891"/>
      <c r="J146" s="892"/>
      <c r="K146" s="321" t="str">
        <f>+F143</f>
        <v>Trinchos doble en guadua h libre = 1,00 m</v>
      </c>
      <c r="L146" s="322"/>
      <c r="M146" s="322"/>
      <c r="N146" s="322">
        <v>4</v>
      </c>
      <c r="O146" s="322">
        <v>1</v>
      </c>
      <c r="P146" s="686">
        <f>+N146*O146</f>
        <v>4</v>
      </c>
      <c r="R146" s="298"/>
    </row>
    <row r="147" spans="2:18" ht="14.25" customHeight="1" thickBot="1">
      <c r="B147" s="890"/>
      <c r="C147" s="891"/>
      <c r="D147" s="891"/>
      <c r="E147" s="891"/>
      <c r="F147" s="891"/>
      <c r="G147" s="891"/>
      <c r="H147" s="891"/>
      <c r="I147" s="891"/>
      <c r="J147" s="892"/>
      <c r="K147" s="323"/>
      <c r="L147" s="324"/>
      <c r="M147" s="324"/>
      <c r="N147" s="324">
        <v>6</v>
      </c>
      <c r="O147" s="324">
        <v>1</v>
      </c>
      <c r="P147" s="686">
        <f t="shared" ref="P147:P148" si="2">+N147*O147</f>
        <v>6</v>
      </c>
      <c r="R147" s="298"/>
    </row>
    <row r="148" spans="2:18" ht="14.25" customHeight="1">
      <c r="B148" s="890"/>
      <c r="C148" s="891"/>
      <c r="D148" s="891"/>
      <c r="E148" s="891"/>
      <c r="F148" s="891"/>
      <c r="G148" s="891"/>
      <c r="H148" s="891"/>
      <c r="I148" s="891"/>
      <c r="J148" s="892"/>
      <c r="K148" s="323"/>
      <c r="L148" s="324"/>
      <c r="M148" s="324"/>
      <c r="N148" s="324">
        <v>2</v>
      </c>
      <c r="O148" s="324">
        <v>1</v>
      </c>
      <c r="P148" s="686">
        <f t="shared" si="2"/>
        <v>2</v>
      </c>
      <c r="R148" s="298"/>
    </row>
    <row r="149" spans="2:18" ht="14.25" customHeight="1">
      <c r="B149" s="890"/>
      <c r="C149" s="891"/>
      <c r="D149" s="891"/>
      <c r="E149" s="891"/>
      <c r="F149" s="891"/>
      <c r="G149" s="891"/>
      <c r="H149" s="891"/>
      <c r="I149" s="891"/>
      <c r="J149" s="892"/>
      <c r="K149" s="323"/>
      <c r="L149" s="324"/>
      <c r="M149" s="324"/>
      <c r="N149" s="324"/>
      <c r="O149" s="324"/>
      <c r="P149" s="687"/>
      <c r="R149" s="298"/>
    </row>
    <row r="150" spans="2:18" ht="14.25" customHeight="1">
      <c r="B150" s="890"/>
      <c r="C150" s="891"/>
      <c r="D150" s="891"/>
      <c r="E150" s="891"/>
      <c r="F150" s="891"/>
      <c r="G150" s="891"/>
      <c r="H150" s="891"/>
      <c r="I150" s="891"/>
      <c r="J150" s="892"/>
      <c r="K150" s="323"/>
      <c r="L150" s="324"/>
      <c r="M150" s="324"/>
      <c r="N150" s="324"/>
      <c r="O150" s="324"/>
      <c r="P150" s="687"/>
      <c r="R150" s="298"/>
    </row>
    <row r="151" spans="2:18" ht="14.25" customHeight="1">
      <c r="B151" s="890"/>
      <c r="C151" s="891"/>
      <c r="D151" s="891"/>
      <c r="E151" s="891"/>
      <c r="F151" s="891"/>
      <c r="G151" s="891"/>
      <c r="H151" s="891"/>
      <c r="I151" s="891"/>
      <c r="J151" s="892"/>
      <c r="K151" s="323"/>
      <c r="L151" s="324"/>
      <c r="M151" s="324"/>
      <c r="N151" s="324"/>
      <c r="O151" s="324"/>
      <c r="P151" s="687"/>
      <c r="R151" s="298"/>
    </row>
    <row r="152" spans="2:18" ht="14.25" customHeight="1">
      <c r="B152" s="890"/>
      <c r="C152" s="891"/>
      <c r="D152" s="891"/>
      <c r="E152" s="891"/>
      <c r="F152" s="891"/>
      <c r="G152" s="891"/>
      <c r="H152" s="891"/>
      <c r="I152" s="891"/>
      <c r="J152" s="892"/>
      <c r="K152" s="323"/>
      <c r="L152" s="324"/>
      <c r="M152" s="324"/>
      <c r="N152" s="324"/>
      <c r="O152" s="324"/>
      <c r="P152" s="687"/>
      <c r="R152" s="298"/>
    </row>
    <row r="153" spans="2:18" ht="14.25" customHeight="1">
      <c r="B153" s="890"/>
      <c r="C153" s="891"/>
      <c r="D153" s="891"/>
      <c r="E153" s="891"/>
      <c r="F153" s="891"/>
      <c r="G153" s="891"/>
      <c r="H153" s="891"/>
      <c r="I153" s="891"/>
      <c r="J153" s="892"/>
      <c r="K153" s="323"/>
      <c r="L153" s="324"/>
      <c r="M153" s="324"/>
      <c r="N153" s="324"/>
      <c r="O153" s="324"/>
      <c r="P153" s="687"/>
      <c r="R153" s="298"/>
    </row>
    <row r="154" spans="2:18" ht="14.25" customHeight="1">
      <c r="B154" s="890"/>
      <c r="C154" s="891"/>
      <c r="D154" s="891"/>
      <c r="E154" s="891"/>
      <c r="F154" s="891"/>
      <c r="G154" s="891"/>
      <c r="H154" s="891"/>
      <c r="I154" s="891"/>
      <c r="J154" s="892"/>
      <c r="K154" s="323"/>
      <c r="L154" s="324"/>
      <c r="M154" s="324"/>
      <c r="N154" s="324"/>
      <c r="O154" s="324"/>
      <c r="P154" s="687"/>
      <c r="R154" s="298"/>
    </row>
    <row r="155" spans="2:18" ht="14.25" customHeight="1">
      <c r="B155" s="890"/>
      <c r="C155" s="891"/>
      <c r="D155" s="891"/>
      <c r="E155" s="891"/>
      <c r="F155" s="891"/>
      <c r="G155" s="891"/>
      <c r="H155" s="891"/>
      <c r="I155" s="891"/>
      <c r="J155" s="892"/>
      <c r="K155" s="323"/>
      <c r="L155" s="324"/>
      <c r="M155" s="324"/>
      <c r="N155" s="324"/>
      <c r="O155" s="324"/>
      <c r="P155" s="687"/>
      <c r="R155" s="298"/>
    </row>
    <row r="156" spans="2:18" ht="14.25" customHeight="1">
      <c r="B156" s="890"/>
      <c r="C156" s="891"/>
      <c r="D156" s="891"/>
      <c r="E156" s="891"/>
      <c r="F156" s="891"/>
      <c r="G156" s="891"/>
      <c r="H156" s="891"/>
      <c r="I156" s="891"/>
      <c r="J156" s="892"/>
      <c r="K156" s="323"/>
      <c r="L156" s="324"/>
      <c r="M156" s="324"/>
      <c r="N156" s="324"/>
      <c r="O156" s="324"/>
      <c r="P156" s="687"/>
      <c r="R156" s="298"/>
    </row>
    <row r="157" spans="2:18" ht="14.25" customHeight="1">
      <c r="B157" s="890"/>
      <c r="C157" s="891"/>
      <c r="D157" s="891"/>
      <c r="E157" s="891"/>
      <c r="F157" s="891"/>
      <c r="G157" s="891"/>
      <c r="H157" s="891"/>
      <c r="I157" s="891"/>
      <c r="J157" s="892"/>
      <c r="K157" s="654"/>
      <c r="L157" s="325"/>
      <c r="M157" s="325"/>
      <c r="N157" s="325"/>
      <c r="O157" s="325"/>
      <c r="P157" s="688"/>
      <c r="R157" s="298"/>
    </row>
    <row r="158" spans="2:18" ht="14.25" customHeight="1">
      <c r="B158" s="890"/>
      <c r="C158" s="891"/>
      <c r="D158" s="891"/>
      <c r="E158" s="891"/>
      <c r="F158" s="891"/>
      <c r="G158" s="891"/>
      <c r="H158" s="891"/>
      <c r="I158" s="891"/>
      <c r="J158" s="892"/>
      <c r="K158" s="654"/>
      <c r="L158" s="325"/>
      <c r="M158" s="325"/>
      <c r="N158" s="325"/>
      <c r="O158" s="325"/>
      <c r="P158" s="688"/>
      <c r="R158" s="298"/>
    </row>
    <row r="159" spans="2:18" ht="14.25" customHeight="1">
      <c r="B159" s="890"/>
      <c r="C159" s="891"/>
      <c r="D159" s="891"/>
      <c r="E159" s="891"/>
      <c r="F159" s="891"/>
      <c r="G159" s="891"/>
      <c r="H159" s="891"/>
      <c r="I159" s="891"/>
      <c r="J159" s="892"/>
      <c r="K159" s="654"/>
      <c r="L159" s="325"/>
      <c r="M159" s="325"/>
      <c r="N159" s="325"/>
      <c r="O159" s="325"/>
      <c r="P159" s="688"/>
      <c r="R159" s="298"/>
    </row>
    <row r="160" spans="2:18" ht="14.25" customHeight="1">
      <c r="B160" s="890"/>
      <c r="C160" s="891"/>
      <c r="D160" s="891"/>
      <c r="E160" s="891"/>
      <c r="F160" s="891"/>
      <c r="G160" s="891"/>
      <c r="H160" s="891"/>
      <c r="I160" s="891"/>
      <c r="J160" s="892"/>
      <c r="K160" s="654"/>
      <c r="L160" s="325"/>
      <c r="M160" s="325"/>
      <c r="N160" s="325"/>
      <c r="O160" s="325"/>
      <c r="P160" s="688"/>
      <c r="R160" s="298"/>
    </row>
    <row r="161" spans="2:18" ht="14.25" customHeight="1">
      <c r="B161" s="890"/>
      <c r="C161" s="891"/>
      <c r="D161" s="891"/>
      <c r="E161" s="891"/>
      <c r="F161" s="891"/>
      <c r="G161" s="891"/>
      <c r="H161" s="891"/>
      <c r="I161" s="891"/>
      <c r="J161" s="892"/>
      <c r="K161" s="654"/>
      <c r="L161" s="325"/>
      <c r="M161" s="325"/>
      <c r="N161" s="325"/>
      <c r="O161" s="325"/>
      <c r="P161" s="688"/>
      <c r="R161" s="298"/>
    </row>
    <row r="162" spans="2:18" ht="14.25" customHeight="1">
      <c r="B162" s="890"/>
      <c r="C162" s="891"/>
      <c r="D162" s="891"/>
      <c r="E162" s="891"/>
      <c r="F162" s="891"/>
      <c r="G162" s="891"/>
      <c r="H162" s="891"/>
      <c r="I162" s="891"/>
      <c r="J162" s="892"/>
      <c r="K162" s="654"/>
      <c r="L162" s="325"/>
      <c r="M162" s="325"/>
      <c r="N162" s="325"/>
      <c r="O162" s="325"/>
      <c r="P162" s="688"/>
      <c r="R162" s="298"/>
    </row>
    <row r="163" spans="2:18" ht="14.25" customHeight="1">
      <c r="B163" s="890"/>
      <c r="C163" s="891"/>
      <c r="D163" s="891"/>
      <c r="E163" s="891"/>
      <c r="F163" s="891"/>
      <c r="G163" s="891"/>
      <c r="H163" s="891"/>
      <c r="I163" s="891"/>
      <c r="J163" s="892"/>
      <c r="K163" s="654"/>
      <c r="L163" s="325"/>
      <c r="M163" s="325"/>
      <c r="N163" s="325"/>
      <c r="O163" s="325"/>
      <c r="P163" s="688"/>
      <c r="R163" s="298"/>
    </row>
    <row r="164" spans="2:18" ht="14.25" customHeight="1">
      <c r="B164" s="890"/>
      <c r="C164" s="891"/>
      <c r="D164" s="891"/>
      <c r="E164" s="891"/>
      <c r="F164" s="891"/>
      <c r="G164" s="891"/>
      <c r="H164" s="891"/>
      <c r="I164" s="891"/>
      <c r="J164" s="892"/>
      <c r="K164" s="654"/>
      <c r="L164" s="325"/>
      <c r="M164" s="325"/>
      <c r="N164" s="325"/>
      <c r="O164" s="325"/>
      <c r="P164" s="688"/>
      <c r="R164" s="298"/>
    </row>
    <row r="165" spans="2:18" ht="14.25" customHeight="1">
      <c r="B165" s="890"/>
      <c r="C165" s="891"/>
      <c r="D165" s="891"/>
      <c r="E165" s="891"/>
      <c r="F165" s="891"/>
      <c r="G165" s="891"/>
      <c r="H165" s="891"/>
      <c r="I165" s="891"/>
      <c r="J165" s="892"/>
      <c r="K165" s="654"/>
      <c r="L165" s="325"/>
      <c r="M165" s="325"/>
      <c r="N165" s="325"/>
      <c r="O165" s="325"/>
      <c r="P165" s="688"/>
      <c r="R165" s="298"/>
    </row>
    <row r="166" spans="2:18" ht="14.25" customHeight="1">
      <c r="B166" s="890"/>
      <c r="C166" s="891"/>
      <c r="D166" s="891"/>
      <c r="E166" s="891"/>
      <c r="F166" s="891"/>
      <c r="G166" s="891"/>
      <c r="H166" s="891"/>
      <c r="I166" s="891"/>
      <c r="J166" s="892"/>
      <c r="K166" s="654"/>
      <c r="L166" s="325"/>
      <c r="M166" s="325"/>
      <c r="N166" s="325"/>
      <c r="O166" s="325"/>
      <c r="P166" s="688"/>
      <c r="R166" s="298"/>
    </row>
    <row r="167" spans="2:18" ht="14.25" customHeight="1">
      <c r="B167" s="890"/>
      <c r="C167" s="891"/>
      <c r="D167" s="891"/>
      <c r="E167" s="891"/>
      <c r="F167" s="891"/>
      <c r="G167" s="891"/>
      <c r="H167" s="891"/>
      <c r="I167" s="891"/>
      <c r="J167" s="892"/>
      <c r="K167" s="654"/>
      <c r="L167" s="325"/>
      <c r="M167" s="325"/>
      <c r="N167" s="325"/>
      <c r="O167" s="325"/>
      <c r="P167" s="688"/>
      <c r="R167" s="298"/>
    </row>
    <row r="168" spans="2:18" ht="14.25" customHeight="1">
      <c r="B168" s="890"/>
      <c r="C168" s="891"/>
      <c r="D168" s="891"/>
      <c r="E168" s="891"/>
      <c r="F168" s="891"/>
      <c r="G168" s="891"/>
      <c r="H168" s="891"/>
      <c r="I168" s="891"/>
      <c r="J168" s="892"/>
      <c r="K168" s="654"/>
      <c r="L168" s="325"/>
      <c r="M168" s="325"/>
      <c r="N168" s="325"/>
      <c r="O168" s="325"/>
      <c r="P168" s="688"/>
      <c r="R168" s="298"/>
    </row>
    <row r="169" spans="2:18" ht="14.25" customHeight="1">
      <c r="B169" s="890"/>
      <c r="C169" s="891"/>
      <c r="D169" s="891"/>
      <c r="E169" s="891"/>
      <c r="F169" s="891"/>
      <c r="G169" s="891"/>
      <c r="H169" s="891"/>
      <c r="I169" s="891"/>
      <c r="J169" s="892"/>
      <c r="K169" s="654"/>
      <c r="L169" s="325"/>
      <c r="M169" s="325"/>
      <c r="N169" s="325"/>
      <c r="O169" s="325"/>
      <c r="P169" s="688"/>
      <c r="R169" s="298"/>
    </row>
    <row r="170" spans="2:18" ht="14.25" customHeight="1">
      <c r="B170" s="890"/>
      <c r="C170" s="891"/>
      <c r="D170" s="891"/>
      <c r="E170" s="891"/>
      <c r="F170" s="891"/>
      <c r="G170" s="891"/>
      <c r="H170" s="891"/>
      <c r="I170" s="891"/>
      <c r="J170" s="892"/>
      <c r="K170" s="654"/>
      <c r="L170" s="325"/>
      <c r="M170" s="325"/>
      <c r="N170" s="325"/>
      <c r="O170" s="325"/>
      <c r="P170" s="688"/>
      <c r="R170" s="298"/>
    </row>
    <row r="171" spans="2:18" ht="14.25" customHeight="1">
      <c r="B171" s="890"/>
      <c r="C171" s="891"/>
      <c r="D171" s="891"/>
      <c r="E171" s="891"/>
      <c r="F171" s="891"/>
      <c r="G171" s="891"/>
      <c r="H171" s="891"/>
      <c r="I171" s="891"/>
      <c r="J171" s="892"/>
      <c r="K171" s="654"/>
      <c r="L171" s="325"/>
      <c r="M171" s="325"/>
      <c r="N171" s="325"/>
      <c r="O171" s="325"/>
      <c r="P171" s="688"/>
      <c r="R171" s="298"/>
    </row>
    <row r="172" spans="2:18" ht="14.25" customHeight="1">
      <c r="B172" s="890"/>
      <c r="C172" s="891"/>
      <c r="D172" s="891"/>
      <c r="E172" s="891"/>
      <c r="F172" s="891"/>
      <c r="G172" s="891"/>
      <c r="H172" s="891"/>
      <c r="I172" s="891"/>
      <c r="J172" s="892"/>
      <c r="K172" s="654"/>
      <c r="L172" s="325"/>
      <c r="M172" s="325"/>
      <c r="N172" s="325"/>
      <c r="O172" s="325"/>
      <c r="P172" s="688"/>
      <c r="R172" s="298"/>
    </row>
    <row r="173" spans="2:18" ht="14.25" customHeight="1">
      <c r="B173" s="890"/>
      <c r="C173" s="891"/>
      <c r="D173" s="891"/>
      <c r="E173" s="891"/>
      <c r="F173" s="891"/>
      <c r="G173" s="891"/>
      <c r="H173" s="891"/>
      <c r="I173" s="891"/>
      <c r="J173" s="892"/>
      <c r="K173" s="654"/>
      <c r="L173" s="325"/>
      <c r="M173" s="325"/>
      <c r="N173" s="325"/>
      <c r="O173" s="325"/>
      <c r="P173" s="688"/>
      <c r="R173" s="298"/>
    </row>
    <row r="174" spans="2:18" ht="14.25" customHeight="1" thickBot="1">
      <c r="B174" s="867"/>
      <c r="C174" s="871"/>
      <c r="D174" s="871"/>
      <c r="E174" s="871"/>
      <c r="F174" s="871"/>
      <c r="G174" s="871"/>
      <c r="H174" s="871"/>
      <c r="I174" s="871"/>
      <c r="J174" s="943"/>
      <c r="K174" s="655"/>
      <c r="L174" s="326"/>
      <c r="M174" s="326"/>
      <c r="N174" s="326"/>
      <c r="O174" s="326"/>
      <c r="P174" s="689"/>
      <c r="R174" s="298"/>
    </row>
    <row r="175" spans="2:18" ht="14.25" customHeight="1">
      <c r="B175" s="865" t="s">
        <v>248</v>
      </c>
      <c r="C175" s="866"/>
      <c r="D175" s="869" t="s">
        <v>249</v>
      </c>
      <c r="E175" s="870"/>
      <c r="F175" s="870"/>
      <c r="G175" s="870"/>
      <c r="H175" s="870"/>
      <c r="I175" s="870"/>
      <c r="J175" s="866"/>
      <c r="K175" s="872" t="s">
        <v>246</v>
      </c>
      <c r="L175" s="874">
        <f>P175</f>
        <v>12</v>
      </c>
      <c r="M175" s="876" t="s">
        <v>247</v>
      </c>
      <c r="N175" s="877"/>
      <c r="O175" s="878"/>
      <c r="P175" s="941">
        <f>SUM(P146:P174)</f>
        <v>12</v>
      </c>
      <c r="R175" s="298"/>
    </row>
    <row r="176" spans="2:18" ht="14.25" customHeight="1" thickBot="1">
      <c r="B176" s="867"/>
      <c r="C176" s="868"/>
      <c r="D176" s="867"/>
      <c r="E176" s="871"/>
      <c r="F176" s="871"/>
      <c r="G176" s="871"/>
      <c r="H176" s="871"/>
      <c r="I176" s="871"/>
      <c r="J176" s="868"/>
      <c r="K176" s="873"/>
      <c r="L176" s="875"/>
      <c r="M176" s="867"/>
      <c r="N176" s="871"/>
      <c r="O176" s="868"/>
      <c r="P176" s="942"/>
      <c r="R176" s="298"/>
    </row>
    <row r="177" spans="2:18" ht="14.25" customHeight="1">
      <c r="R177" s="298"/>
    </row>
    <row r="178" spans="2:18" ht="14.25" customHeight="1">
      <c r="R178" s="298"/>
    </row>
    <row r="179" spans="2:18" ht="14.25" customHeight="1">
      <c r="R179" s="298"/>
    </row>
    <row r="180" spans="2:18" ht="14.25" customHeight="1" thickBot="1">
      <c r="B180" s="317"/>
      <c r="C180" s="317"/>
      <c r="D180" s="317"/>
      <c r="E180" s="317"/>
      <c r="F180" s="317"/>
      <c r="G180" s="317"/>
      <c r="I180" s="317"/>
      <c r="J180" s="317"/>
      <c r="K180" s="651"/>
      <c r="L180" s="317"/>
      <c r="M180" s="317"/>
      <c r="N180" s="317"/>
      <c r="R180" s="298"/>
    </row>
    <row r="181" spans="2:18" ht="14.25" customHeight="1" thickBot="1">
      <c r="B181" s="318"/>
      <c r="C181" s="319"/>
      <c r="I181" s="320"/>
      <c r="R181" s="298"/>
    </row>
    <row r="182" spans="2:18" ht="14.25" customHeight="1">
      <c r="B182" s="320"/>
      <c r="I182" s="320"/>
      <c r="R182" s="298"/>
    </row>
    <row r="183" spans="2:18" ht="14.25" customHeight="1">
      <c r="B183" s="320"/>
      <c r="I183" s="320"/>
      <c r="R183" s="298"/>
    </row>
    <row r="184" spans="2:18" ht="14.25" customHeight="1">
      <c r="B184" s="320"/>
      <c r="I184" s="320"/>
      <c r="R184" s="298"/>
    </row>
    <row r="185" spans="2:18" ht="14.25" customHeight="1" thickBot="1">
      <c r="B185" s="320"/>
      <c r="R185" s="298"/>
    </row>
    <row r="186" spans="2:18" ht="16" thickBot="1">
      <c r="B186" s="912" t="s">
        <v>224</v>
      </c>
      <c r="C186" s="913"/>
      <c r="D186" s="913"/>
      <c r="E186" s="913"/>
      <c r="F186" s="913"/>
      <c r="G186" s="913"/>
      <c r="H186" s="913"/>
      <c r="I186" s="913"/>
      <c r="J186" s="913"/>
      <c r="K186" s="913"/>
      <c r="L186" s="913"/>
      <c r="M186" s="913"/>
      <c r="N186" s="913"/>
      <c r="O186" s="913"/>
      <c r="P186" s="914"/>
    </row>
    <row r="187" spans="2:18" ht="15" thickBot="1"/>
    <row r="188" spans="2:18" ht="15" thickBot="1">
      <c r="B188" s="299" t="s">
        <v>225</v>
      </c>
      <c r="C188" s="300" t="s">
        <v>226</v>
      </c>
      <c r="D188" s="301"/>
      <c r="E188" s="300" t="s">
        <v>227</v>
      </c>
      <c r="F188" s="301"/>
      <c r="G188" s="300" t="s">
        <v>228</v>
      </c>
      <c r="H188" s="302"/>
      <c r="I188" s="303"/>
      <c r="J188" s="304" t="s">
        <v>229</v>
      </c>
      <c r="K188" s="302"/>
      <c r="L188" s="303"/>
      <c r="M188" s="304" t="s">
        <v>230</v>
      </c>
      <c r="N188" s="915">
        <f>N60</f>
        <v>3.5</v>
      </c>
      <c r="O188" s="916"/>
      <c r="P188" s="917"/>
    </row>
    <row r="189" spans="2:18" ht="15" thickBot="1"/>
    <row r="190" spans="2:18" ht="15" thickBot="1">
      <c r="B190" s="918" t="s">
        <v>231</v>
      </c>
      <c r="C190" s="919"/>
      <c r="D190" s="919"/>
      <c r="E190" s="920">
        <f>E62</f>
        <v>0</v>
      </c>
      <c r="F190" s="921"/>
      <c r="G190" s="921"/>
      <c r="H190" s="921"/>
      <c r="I190" s="921"/>
      <c r="J190" s="921"/>
      <c r="K190" s="921"/>
      <c r="L190" s="921"/>
      <c r="M190" s="921"/>
      <c r="N190" s="921"/>
      <c r="O190" s="921"/>
      <c r="P190" s="922"/>
    </row>
    <row r="191" spans="2:18">
      <c r="B191" s="923" t="s">
        <v>232</v>
      </c>
      <c r="C191" s="924"/>
      <c r="D191" s="924"/>
      <c r="E191" s="925">
        <f>E63</f>
        <v>0</v>
      </c>
      <c r="F191" s="924"/>
      <c r="G191" s="924"/>
      <c r="H191" s="924"/>
      <c r="I191" s="926" t="s">
        <v>233</v>
      </c>
      <c r="J191" s="927"/>
      <c r="K191" s="928"/>
      <c r="L191" s="929"/>
      <c r="M191" s="930" t="s">
        <v>234</v>
      </c>
      <c r="N191" s="931"/>
      <c r="O191" s="935"/>
      <c r="P191" s="936"/>
    </row>
    <row r="192" spans="2:18" ht="15" thickBot="1">
      <c r="B192" s="898" t="s">
        <v>235</v>
      </c>
      <c r="C192" s="899"/>
      <c r="D192" s="899"/>
      <c r="E192" s="900">
        <f>E64</f>
        <v>0</v>
      </c>
      <c r="F192" s="899"/>
      <c r="G192" s="899"/>
      <c r="H192" s="899"/>
      <c r="I192" s="901" t="s">
        <v>233</v>
      </c>
      <c r="J192" s="902"/>
      <c r="K192" s="903"/>
      <c r="L192" s="904"/>
      <c r="M192" s="932"/>
      <c r="N192" s="933"/>
      <c r="O192" s="937"/>
      <c r="P192" s="938"/>
    </row>
    <row r="193" spans="2:16" ht="15" thickBot="1">
      <c r="B193" s="907" t="s">
        <v>236</v>
      </c>
      <c r="C193" s="908"/>
      <c r="D193" s="908"/>
      <c r="E193" s="305" t="s">
        <v>5</v>
      </c>
      <c r="F193" s="909" t="s">
        <v>6</v>
      </c>
      <c r="G193" s="910"/>
      <c r="H193" s="910"/>
      <c r="I193" s="910"/>
      <c r="J193" s="911"/>
      <c r="K193" s="905"/>
      <c r="L193" s="906"/>
      <c r="M193" s="934"/>
      <c r="N193" s="885"/>
      <c r="O193" s="939"/>
      <c r="P193" s="940"/>
    </row>
    <row r="194" spans="2:16" ht="51" customHeight="1" thickBot="1">
      <c r="B194" s="880" t="str">
        <f>+'PRESUPUESTO ESTUFA'!B43</f>
        <v>F</v>
      </c>
      <c r="C194" s="881"/>
      <c r="D194" s="881"/>
      <c r="E194" s="306" t="str">
        <f>+'PRESUPUESTO ESTUFA'!B44</f>
        <v>F.1.1</v>
      </c>
      <c r="F194" s="882" t="str">
        <f>+'PRESUPUESTO ESTUFA'!C44</f>
        <v>Transporte materiales a la vereda el aguacate en JEEP, incluye cargue y descargue</v>
      </c>
      <c r="G194" s="883"/>
      <c r="H194" s="883"/>
      <c r="I194" s="883"/>
      <c r="J194" s="884"/>
      <c r="K194" s="885" t="s">
        <v>1</v>
      </c>
      <c r="L194" s="886"/>
      <c r="M194" s="887" t="str">
        <f>+'PRESUPUESTO ESTUFA'!D44</f>
        <v>Viaje/Ton</v>
      </c>
      <c r="N194" s="886"/>
      <c r="O194" s="307" t="s">
        <v>237</v>
      </c>
      <c r="P194" s="681" t="s">
        <v>251</v>
      </c>
    </row>
    <row r="195" spans="2:16">
      <c r="B195" s="888"/>
      <c r="C195" s="870"/>
      <c r="D195" s="870"/>
      <c r="E195" s="870"/>
      <c r="F195" s="870"/>
      <c r="G195" s="870"/>
      <c r="H195" s="870"/>
      <c r="I195" s="870"/>
      <c r="J195" s="889"/>
      <c r="K195" s="893" t="s">
        <v>238</v>
      </c>
      <c r="L195" s="895" t="s">
        <v>239</v>
      </c>
      <c r="M195" s="896"/>
      <c r="N195" s="897"/>
      <c r="O195" s="861" t="s">
        <v>240</v>
      </c>
      <c r="P195" s="863" t="s">
        <v>241</v>
      </c>
    </row>
    <row r="196" spans="2:16" ht="26.5" thickBot="1">
      <c r="B196" s="890"/>
      <c r="C196" s="891"/>
      <c r="D196" s="891"/>
      <c r="E196" s="891"/>
      <c r="F196" s="891"/>
      <c r="G196" s="891"/>
      <c r="H196" s="891"/>
      <c r="I196" s="891"/>
      <c r="J196" s="892"/>
      <c r="K196" s="894"/>
      <c r="L196" s="308" t="s">
        <v>242</v>
      </c>
      <c r="M196" s="308" t="s">
        <v>243</v>
      </c>
      <c r="N196" s="677" t="s">
        <v>551</v>
      </c>
      <c r="O196" s="862"/>
      <c r="P196" s="864"/>
    </row>
    <row r="197" spans="2:16" ht="49.5" customHeight="1">
      <c r="B197" s="890"/>
      <c r="C197" s="891"/>
      <c r="D197" s="891"/>
      <c r="E197" s="891"/>
      <c r="F197" s="891"/>
      <c r="G197" s="891"/>
      <c r="H197" s="891"/>
      <c r="I197" s="891"/>
      <c r="J197" s="877"/>
      <c r="K197" s="309" t="str">
        <f>+F194</f>
        <v>Transporte materiales a la vereda el aguacate en JEEP, incluye cargue y descargue</v>
      </c>
      <c r="L197" s="310"/>
      <c r="M197" s="310"/>
      <c r="N197" s="310"/>
      <c r="O197" s="310"/>
      <c r="P197" s="682"/>
    </row>
    <row r="198" spans="2:16">
      <c r="B198" s="890"/>
      <c r="C198" s="891"/>
      <c r="D198" s="891"/>
      <c r="E198" s="891"/>
      <c r="F198" s="891"/>
      <c r="G198" s="891"/>
      <c r="H198" s="891"/>
      <c r="I198" s="891"/>
      <c r="J198" s="877"/>
      <c r="K198" s="312"/>
      <c r="L198" s="370"/>
      <c r="M198" s="370"/>
      <c r="N198" s="370"/>
      <c r="O198" s="670"/>
      <c r="P198" s="683"/>
    </row>
    <row r="199" spans="2:16" ht="27.75" customHeight="1">
      <c r="B199" s="890"/>
      <c r="C199" s="891"/>
      <c r="D199" s="891"/>
      <c r="E199" s="891"/>
      <c r="F199" s="891"/>
      <c r="G199" s="891"/>
      <c r="H199" s="891"/>
      <c r="I199" s="891"/>
      <c r="J199" s="877"/>
      <c r="K199" s="652" t="str">
        <f>+'PRESUPUESTO ESTUFA'!C34</f>
        <v>MEJORAMIENTO DE SENDEROS</v>
      </c>
      <c r="L199" s="372"/>
      <c r="M199" s="372"/>
      <c r="N199" s="372"/>
      <c r="O199" s="372"/>
      <c r="P199" s="683"/>
    </row>
    <row r="200" spans="2:16" ht="25.5" customHeight="1">
      <c r="B200" s="890"/>
      <c r="C200" s="891"/>
      <c r="D200" s="891"/>
      <c r="E200" s="891"/>
      <c r="F200" s="891"/>
      <c r="G200" s="891"/>
      <c r="H200" s="891"/>
      <c r="I200" s="891"/>
      <c r="J200" s="877"/>
      <c r="K200" s="671" t="s">
        <v>175</v>
      </c>
      <c r="L200" s="365" t="s">
        <v>254</v>
      </c>
      <c r="M200" s="647"/>
      <c r="N200" s="372"/>
      <c r="O200" s="664">
        <f>+'PRESUPUESTO ESTUFA'!E16*'MEMORIAS DE CALCULO ESTUFAS '!M197</f>
        <v>0</v>
      </c>
      <c r="P200" s="684">
        <f>+O200*N200*M200</f>
        <v>0</v>
      </c>
    </row>
    <row r="201" spans="2:16" ht="30" customHeight="1">
      <c r="B201" s="890"/>
      <c r="C201" s="891"/>
      <c r="D201" s="891"/>
      <c r="E201" s="891"/>
      <c r="F201" s="891"/>
      <c r="G201" s="891"/>
      <c r="H201" s="891"/>
      <c r="I201" s="891"/>
      <c r="J201" s="877"/>
      <c r="K201" s="672" t="s">
        <v>314</v>
      </c>
      <c r="L201" s="358" t="s">
        <v>180</v>
      </c>
      <c r="M201" s="367">
        <v>2.4</v>
      </c>
      <c r="N201" s="372">
        <v>15</v>
      </c>
      <c r="O201" s="664">
        <f>+'PRESUPUESTO ESTUFA'!E36</f>
        <v>106</v>
      </c>
      <c r="P201" s="684">
        <f>+O201*N201*M201</f>
        <v>3816</v>
      </c>
    </row>
    <row r="202" spans="2:16" ht="39" customHeight="1">
      <c r="B202" s="890"/>
      <c r="C202" s="891"/>
      <c r="D202" s="891"/>
      <c r="E202" s="891"/>
      <c r="F202" s="891"/>
      <c r="G202" s="891"/>
      <c r="H202" s="891"/>
      <c r="I202" s="891"/>
      <c r="J202" s="877"/>
      <c r="K202" s="672" t="s">
        <v>315</v>
      </c>
      <c r="L202" s="358" t="s">
        <v>180</v>
      </c>
      <c r="M202" s="367">
        <v>1.6</v>
      </c>
      <c r="N202" s="372">
        <f>+M202*100/N201</f>
        <v>10.666666666666666</v>
      </c>
      <c r="O202" s="664">
        <f>+'PRESUPUESTO ESTUFA'!E36</f>
        <v>106</v>
      </c>
      <c r="P202" s="684">
        <f>+O202*N202*M202</f>
        <v>1809.0666666666666</v>
      </c>
    </row>
    <row r="203" spans="2:16" ht="25">
      <c r="B203" s="890"/>
      <c r="C203" s="891"/>
      <c r="D203" s="891"/>
      <c r="E203" s="891"/>
      <c r="F203" s="891"/>
      <c r="G203" s="891"/>
      <c r="H203" s="891"/>
      <c r="I203" s="891"/>
      <c r="J203" s="877"/>
      <c r="K203" s="672" t="s">
        <v>312</v>
      </c>
      <c r="L203" s="358" t="s">
        <v>313</v>
      </c>
      <c r="M203" s="648">
        <v>1</v>
      </c>
      <c r="N203" s="372">
        <v>0.15</v>
      </c>
      <c r="O203" s="664">
        <f>+'PRESUPUESTO ESTUFA'!E36</f>
        <v>106</v>
      </c>
      <c r="P203" s="684">
        <f>+O203*N203*M203</f>
        <v>15.899999999999999</v>
      </c>
    </row>
    <row r="204" spans="2:16">
      <c r="B204" s="890"/>
      <c r="C204" s="891"/>
      <c r="D204" s="891"/>
      <c r="E204" s="891"/>
      <c r="F204" s="891"/>
      <c r="G204" s="891"/>
      <c r="H204" s="891"/>
      <c r="I204" s="891"/>
      <c r="J204" s="877"/>
      <c r="K204" s="652"/>
      <c r="L204" s="372"/>
      <c r="M204" s="372"/>
      <c r="N204" s="372"/>
      <c r="O204" s="664">
        <f>+'PRESUPUESTO ESTUFA'!E15*'MEMORIAS DE CALCULO ESTUFAS '!M201</f>
        <v>0</v>
      </c>
      <c r="P204" s="684">
        <f t="shared" ref="P204:P233" si="3">+O204*N204*M204</f>
        <v>0</v>
      </c>
    </row>
    <row r="205" spans="2:16" ht="60.75" customHeight="1">
      <c r="B205" s="890"/>
      <c r="C205" s="891"/>
      <c r="D205" s="891"/>
      <c r="E205" s="891"/>
      <c r="F205" s="891"/>
      <c r="G205" s="891"/>
      <c r="H205" s="891"/>
      <c r="I205" s="891"/>
      <c r="J205" s="877"/>
      <c r="K205" s="671" t="s">
        <v>311</v>
      </c>
      <c r="L205" s="365" t="s">
        <v>254</v>
      </c>
      <c r="M205" s="647"/>
      <c r="N205" s="372"/>
      <c r="O205" s="372"/>
      <c r="P205" s="684">
        <f t="shared" si="3"/>
        <v>0</v>
      </c>
    </row>
    <row r="206" spans="2:16" ht="32.25" customHeight="1">
      <c r="B206" s="890"/>
      <c r="C206" s="891"/>
      <c r="D206" s="891"/>
      <c r="E206" s="891"/>
      <c r="F206" s="891"/>
      <c r="G206" s="891"/>
      <c r="H206" s="891"/>
      <c r="I206" s="891"/>
      <c r="J206" s="877"/>
      <c r="K206" s="672" t="s">
        <v>314</v>
      </c>
      <c r="L206" s="358" t="s">
        <v>258</v>
      </c>
      <c r="M206" s="367">
        <v>3</v>
      </c>
      <c r="N206" s="372">
        <v>16</v>
      </c>
      <c r="O206" s="664">
        <f>+'PRESUPUESTO ESTUFA'!E37</f>
        <v>98</v>
      </c>
      <c r="P206" s="684">
        <f>+O206*N206*M206</f>
        <v>4704</v>
      </c>
    </row>
    <row r="207" spans="2:16" ht="41.25" customHeight="1">
      <c r="B207" s="890"/>
      <c r="C207" s="891"/>
      <c r="D207" s="891"/>
      <c r="E207" s="891"/>
      <c r="F207" s="891"/>
      <c r="G207" s="891"/>
      <c r="H207" s="891"/>
      <c r="I207" s="891"/>
      <c r="J207" s="877"/>
      <c r="K207" s="672" t="s">
        <v>315</v>
      </c>
      <c r="L207" s="358" t="s">
        <v>258</v>
      </c>
      <c r="M207" s="367">
        <v>3</v>
      </c>
      <c r="N207" s="372">
        <v>8</v>
      </c>
      <c r="O207" s="664">
        <f>+'PRESUPUESTO ESTUFA'!E37</f>
        <v>98</v>
      </c>
      <c r="P207" s="684">
        <f t="shared" si="3"/>
        <v>2352</v>
      </c>
    </row>
    <row r="208" spans="2:16" ht="33.75" customHeight="1">
      <c r="B208" s="890"/>
      <c r="C208" s="891"/>
      <c r="D208" s="891"/>
      <c r="E208" s="891"/>
      <c r="F208" s="891"/>
      <c r="G208" s="891"/>
      <c r="H208" s="891"/>
      <c r="I208" s="891"/>
      <c r="J208" s="877"/>
      <c r="K208" s="672" t="s">
        <v>312</v>
      </c>
      <c r="L208" s="358" t="s">
        <v>313</v>
      </c>
      <c r="M208" s="648">
        <v>1</v>
      </c>
      <c r="N208" s="372">
        <v>0.2</v>
      </c>
      <c r="O208" s="664">
        <f>+'PRESUPUESTO ESTUFA'!E37</f>
        <v>98</v>
      </c>
      <c r="P208" s="684">
        <f t="shared" si="3"/>
        <v>19.600000000000001</v>
      </c>
    </row>
    <row r="209" spans="2:16">
      <c r="B209" s="890"/>
      <c r="C209" s="891"/>
      <c r="D209" s="891"/>
      <c r="E209" s="891"/>
      <c r="F209" s="891"/>
      <c r="G209" s="891"/>
      <c r="H209" s="891"/>
      <c r="I209" s="891"/>
      <c r="J209" s="877"/>
      <c r="K209" s="652"/>
      <c r="L209" s="372"/>
      <c r="M209" s="372"/>
      <c r="N209" s="372"/>
      <c r="O209" s="664"/>
      <c r="P209" s="684">
        <f t="shared" si="3"/>
        <v>0</v>
      </c>
    </row>
    <row r="210" spans="2:16">
      <c r="B210" s="890"/>
      <c r="C210" s="891"/>
      <c r="D210" s="891"/>
      <c r="E210" s="891"/>
      <c r="F210" s="891"/>
      <c r="G210" s="891"/>
      <c r="H210" s="891"/>
      <c r="I210" s="891"/>
      <c r="J210" s="877"/>
      <c r="K210" s="496"/>
      <c r="L210" s="371"/>
      <c r="M210" s="371"/>
      <c r="N210" s="371"/>
      <c r="O210" s="372"/>
      <c r="P210" s="684">
        <f t="shared" si="3"/>
        <v>0</v>
      </c>
    </row>
    <row r="211" spans="2:16">
      <c r="B211" s="890"/>
      <c r="C211" s="891"/>
      <c r="D211" s="891"/>
      <c r="E211" s="891"/>
      <c r="F211" s="891"/>
      <c r="G211" s="891"/>
      <c r="H211" s="891"/>
      <c r="I211" s="891"/>
      <c r="J211" s="877"/>
      <c r="K211" s="496"/>
      <c r="L211" s="371"/>
      <c r="M211" s="371"/>
      <c r="N211" s="371"/>
      <c r="O211" s="372"/>
      <c r="P211" s="684">
        <f t="shared" si="3"/>
        <v>0</v>
      </c>
    </row>
    <row r="212" spans="2:16">
      <c r="B212" s="890"/>
      <c r="C212" s="891"/>
      <c r="D212" s="891"/>
      <c r="E212" s="891"/>
      <c r="F212" s="891"/>
      <c r="G212" s="891"/>
      <c r="H212" s="891"/>
      <c r="I212" s="891"/>
      <c r="J212" s="877"/>
      <c r="K212" s="496"/>
      <c r="L212" s="371"/>
      <c r="M212" s="371"/>
      <c r="N212" s="371"/>
      <c r="O212" s="372"/>
      <c r="P212" s="684">
        <f t="shared" si="3"/>
        <v>0</v>
      </c>
    </row>
    <row r="213" spans="2:16" ht="29">
      <c r="B213" s="890"/>
      <c r="C213" s="891"/>
      <c r="D213" s="891"/>
      <c r="E213" s="891"/>
      <c r="F213" s="891"/>
      <c r="G213" s="891"/>
      <c r="H213" s="891"/>
      <c r="I213" s="891"/>
      <c r="J213" s="877"/>
      <c r="K213" s="673" t="s">
        <v>319</v>
      </c>
      <c r="L213" s="372" t="s">
        <v>254</v>
      </c>
      <c r="M213" s="372"/>
      <c r="N213" s="372"/>
      <c r="O213" s="372"/>
      <c r="P213" s="684">
        <f t="shared" si="3"/>
        <v>0</v>
      </c>
    </row>
    <row r="214" spans="2:16" ht="29">
      <c r="B214" s="890"/>
      <c r="C214" s="891"/>
      <c r="D214" s="891"/>
      <c r="E214" s="891"/>
      <c r="F214" s="891"/>
      <c r="G214" s="891"/>
      <c r="H214" s="891"/>
      <c r="I214" s="891"/>
      <c r="J214" s="877"/>
      <c r="K214" s="652" t="s">
        <v>321</v>
      </c>
      <c r="L214" s="372" t="s">
        <v>258</v>
      </c>
      <c r="M214" s="372">
        <v>0.62</v>
      </c>
      <c r="N214" s="372">
        <v>15</v>
      </c>
      <c r="O214" s="664">
        <f>+'PRESUPUESTO ESTUFA'!E38</f>
        <v>65</v>
      </c>
      <c r="P214" s="684">
        <f t="shared" si="3"/>
        <v>604.5</v>
      </c>
    </row>
    <row r="215" spans="2:16" ht="29">
      <c r="B215" s="890"/>
      <c r="C215" s="891"/>
      <c r="D215" s="891"/>
      <c r="E215" s="891"/>
      <c r="F215" s="891"/>
      <c r="G215" s="891"/>
      <c r="H215" s="891"/>
      <c r="I215" s="891"/>
      <c r="J215" s="877"/>
      <c r="K215" s="652" t="s">
        <v>323</v>
      </c>
      <c r="L215" s="372" t="s">
        <v>3</v>
      </c>
      <c r="M215" s="372">
        <v>2</v>
      </c>
      <c r="N215" s="372">
        <v>1</v>
      </c>
      <c r="O215" s="664">
        <f>+'PRESUPUESTO ESTUFA'!E38</f>
        <v>65</v>
      </c>
      <c r="P215" s="684">
        <f t="shared" si="3"/>
        <v>130</v>
      </c>
    </row>
    <row r="216" spans="2:16">
      <c r="B216" s="890"/>
      <c r="C216" s="891"/>
      <c r="D216" s="891"/>
      <c r="E216" s="891"/>
      <c r="F216" s="891"/>
      <c r="G216" s="891"/>
      <c r="H216" s="891"/>
      <c r="I216" s="891"/>
      <c r="J216" s="877"/>
      <c r="K216" s="496"/>
      <c r="L216" s="371"/>
      <c r="M216" s="371"/>
      <c r="N216" s="371"/>
      <c r="O216" s="371"/>
      <c r="P216" s="684">
        <f t="shared" si="3"/>
        <v>0</v>
      </c>
    </row>
    <row r="217" spans="2:16">
      <c r="B217" s="890"/>
      <c r="C217" s="891"/>
      <c r="D217" s="891"/>
      <c r="E217" s="891"/>
      <c r="F217" s="891"/>
      <c r="G217" s="891"/>
      <c r="H217" s="891"/>
      <c r="I217" s="891"/>
      <c r="J217" s="877"/>
      <c r="K217" s="496"/>
      <c r="L217" s="371"/>
      <c r="M217" s="371"/>
      <c r="N217" s="371"/>
      <c r="O217" s="371"/>
      <c r="P217" s="684">
        <f t="shared" si="3"/>
        <v>0</v>
      </c>
    </row>
    <row r="218" spans="2:16" ht="26">
      <c r="B218" s="890"/>
      <c r="C218" s="891"/>
      <c r="D218" s="891"/>
      <c r="E218" s="891"/>
      <c r="F218" s="891"/>
      <c r="G218" s="891"/>
      <c r="H218" s="891"/>
      <c r="I218" s="891"/>
      <c r="J218" s="877"/>
      <c r="K218" s="674" t="s">
        <v>371</v>
      </c>
      <c r="L218" s="365" t="s">
        <v>254</v>
      </c>
      <c r="M218" s="366"/>
      <c r="N218" s="371"/>
      <c r="O218" s="371"/>
      <c r="P218" s="684">
        <f t="shared" si="3"/>
        <v>0</v>
      </c>
    </row>
    <row r="219" spans="2:16">
      <c r="B219" s="890"/>
      <c r="C219" s="891"/>
      <c r="D219" s="891"/>
      <c r="E219" s="891"/>
      <c r="F219" s="891"/>
      <c r="G219" s="891"/>
      <c r="H219" s="891"/>
      <c r="I219" s="891"/>
      <c r="J219" s="877"/>
      <c r="K219" s="675" t="s">
        <v>272</v>
      </c>
      <c r="L219" s="358" t="s">
        <v>258</v>
      </c>
      <c r="M219" s="359">
        <v>2</v>
      </c>
      <c r="N219" s="371">
        <f>+M219*20</f>
        <v>40</v>
      </c>
      <c r="O219" s="679">
        <f>+'PRESUPUESTO ESTUFA'!E39</f>
        <v>12</v>
      </c>
      <c r="P219" s="684">
        <f t="shared" si="3"/>
        <v>960</v>
      </c>
    </row>
    <row r="220" spans="2:16">
      <c r="B220" s="890"/>
      <c r="C220" s="891"/>
      <c r="D220" s="891"/>
      <c r="E220" s="891"/>
      <c r="F220" s="891"/>
      <c r="G220" s="891"/>
      <c r="H220" s="891"/>
      <c r="I220" s="891"/>
      <c r="J220" s="877"/>
      <c r="K220" s="675" t="s">
        <v>373</v>
      </c>
      <c r="L220" s="358" t="s">
        <v>258</v>
      </c>
      <c r="M220" s="359">
        <v>5</v>
      </c>
      <c r="N220" s="371">
        <f>+M220*20</f>
        <v>100</v>
      </c>
      <c r="O220" s="679">
        <f>+'PRESUPUESTO ESTUFA'!E40</f>
        <v>12</v>
      </c>
      <c r="P220" s="684">
        <f t="shared" si="3"/>
        <v>6000</v>
      </c>
    </row>
    <row r="221" spans="2:16">
      <c r="B221" s="890"/>
      <c r="C221" s="891"/>
      <c r="D221" s="891"/>
      <c r="E221" s="891"/>
      <c r="F221" s="891"/>
      <c r="G221" s="891"/>
      <c r="H221" s="891"/>
      <c r="I221" s="891"/>
      <c r="J221" s="877"/>
      <c r="K221" s="675" t="s">
        <v>375</v>
      </c>
      <c r="L221" s="358" t="s">
        <v>260</v>
      </c>
      <c r="M221" s="359">
        <v>1</v>
      </c>
      <c r="N221" s="371"/>
      <c r="O221" s="371"/>
      <c r="P221" s="684">
        <f t="shared" si="3"/>
        <v>0</v>
      </c>
    </row>
    <row r="222" spans="2:16">
      <c r="B222" s="890"/>
      <c r="C222" s="891"/>
      <c r="D222" s="891"/>
      <c r="E222" s="891"/>
      <c r="F222" s="891"/>
      <c r="G222" s="891"/>
      <c r="H222" s="891"/>
      <c r="I222" s="891"/>
      <c r="J222" s="877"/>
      <c r="K222" s="496"/>
      <c r="L222" s="371"/>
      <c r="M222" s="371"/>
      <c r="N222" s="371"/>
      <c r="O222" s="371"/>
      <c r="P222" s="684">
        <f t="shared" si="3"/>
        <v>0</v>
      </c>
    </row>
    <row r="223" spans="2:16" ht="26">
      <c r="B223" s="890"/>
      <c r="C223" s="891"/>
      <c r="D223" s="891"/>
      <c r="E223" s="891"/>
      <c r="F223" s="891"/>
      <c r="G223" s="891"/>
      <c r="H223" s="891"/>
      <c r="I223" s="891"/>
      <c r="J223" s="877"/>
      <c r="K223" s="674" t="s">
        <v>359</v>
      </c>
      <c r="L223" s="365" t="s">
        <v>254</v>
      </c>
      <c r="M223" s="647"/>
      <c r="N223" s="371"/>
      <c r="O223" s="371"/>
      <c r="P223" s="684">
        <f t="shared" si="3"/>
        <v>0</v>
      </c>
    </row>
    <row r="224" spans="2:16" ht="30" customHeight="1">
      <c r="B224" s="890"/>
      <c r="C224" s="891"/>
      <c r="D224" s="891"/>
      <c r="E224" s="891"/>
      <c r="F224" s="891"/>
      <c r="G224" s="891"/>
      <c r="H224" s="891"/>
      <c r="I224" s="891"/>
      <c r="J224" s="877"/>
      <c r="K224" s="675" t="s">
        <v>361</v>
      </c>
      <c r="L224" s="358" t="s">
        <v>258</v>
      </c>
      <c r="M224" s="367">
        <v>15</v>
      </c>
      <c r="N224" s="371">
        <v>4</v>
      </c>
      <c r="O224" s="679">
        <f>+'PRESUPUESTO ESTUFA'!E40</f>
        <v>12</v>
      </c>
      <c r="P224" s="684">
        <f t="shared" si="3"/>
        <v>720</v>
      </c>
    </row>
    <row r="225" spans="2:16">
      <c r="B225" s="890"/>
      <c r="C225" s="891"/>
      <c r="D225" s="891"/>
      <c r="E225" s="891"/>
      <c r="F225" s="891"/>
      <c r="G225" s="891"/>
      <c r="H225" s="891"/>
      <c r="I225" s="891"/>
      <c r="J225" s="877"/>
      <c r="K225" s="675" t="s">
        <v>363</v>
      </c>
      <c r="L225" s="358" t="s">
        <v>260</v>
      </c>
      <c r="M225" s="367">
        <v>1.2E-2</v>
      </c>
      <c r="N225" s="371">
        <v>0.5</v>
      </c>
      <c r="O225" s="371"/>
      <c r="P225" s="684">
        <f t="shared" si="3"/>
        <v>0</v>
      </c>
    </row>
    <row r="226" spans="2:16">
      <c r="B226" s="890"/>
      <c r="C226" s="891"/>
      <c r="D226" s="891"/>
      <c r="E226" s="891"/>
      <c r="F226" s="891"/>
      <c r="G226" s="891"/>
      <c r="H226" s="891"/>
      <c r="I226" s="891"/>
      <c r="J226" s="877"/>
      <c r="K226" s="675" t="s">
        <v>365</v>
      </c>
      <c r="L226" s="358" t="s">
        <v>260</v>
      </c>
      <c r="M226" s="367">
        <v>1.2E-2</v>
      </c>
      <c r="N226" s="371"/>
      <c r="O226" s="371"/>
      <c r="P226" s="684">
        <f t="shared" si="3"/>
        <v>0</v>
      </c>
    </row>
    <row r="227" spans="2:16">
      <c r="B227" s="890"/>
      <c r="C227" s="891"/>
      <c r="D227" s="891"/>
      <c r="E227" s="891"/>
      <c r="F227" s="891"/>
      <c r="G227" s="891"/>
      <c r="H227" s="891"/>
      <c r="I227" s="891"/>
      <c r="J227" s="877"/>
      <c r="K227" s="675" t="s">
        <v>367</v>
      </c>
      <c r="L227" s="358" t="s">
        <v>260</v>
      </c>
      <c r="M227" s="648">
        <v>1E-3</v>
      </c>
      <c r="N227" s="371"/>
      <c r="O227" s="371"/>
      <c r="P227" s="684">
        <f t="shared" si="3"/>
        <v>0</v>
      </c>
    </row>
    <row r="228" spans="2:16">
      <c r="B228" s="890"/>
      <c r="C228" s="891"/>
      <c r="D228" s="891"/>
      <c r="E228" s="891"/>
      <c r="F228" s="891"/>
      <c r="G228" s="891"/>
      <c r="H228" s="891"/>
      <c r="I228" s="891"/>
      <c r="J228" s="877"/>
      <c r="K228" s="675" t="s">
        <v>369</v>
      </c>
      <c r="L228" s="358" t="s">
        <v>260</v>
      </c>
      <c r="M228" s="648">
        <v>2E-3</v>
      </c>
      <c r="N228" s="371"/>
      <c r="O228" s="371"/>
      <c r="P228" s="684">
        <f t="shared" si="3"/>
        <v>0</v>
      </c>
    </row>
    <row r="229" spans="2:16">
      <c r="B229" s="890"/>
      <c r="C229" s="891"/>
      <c r="D229" s="891"/>
      <c r="E229" s="891"/>
      <c r="F229" s="891"/>
      <c r="G229" s="891"/>
      <c r="H229" s="891"/>
      <c r="I229" s="891"/>
      <c r="J229" s="877"/>
      <c r="K229" s="496"/>
      <c r="L229" s="371"/>
      <c r="M229" s="371"/>
      <c r="N229" s="371"/>
      <c r="O229" s="371"/>
      <c r="P229" s="684">
        <f t="shared" si="3"/>
        <v>0</v>
      </c>
    </row>
    <row r="230" spans="2:16">
      <c r="B230" s="890"/>
      <c r="C230" s="891"/>
      <c r="D230" s="891"/>
      <c r="E230" s="891"/>
      <c r="F230" s="891"/>
      <c r="G230" s="891"/>
      <c r="H230" s="891"/>
      <c r="I230" s="891"/>
      <c r="J230" s="877"/>
      <c r="K230" s="652"/>
      <c r="L230" s="372"/>
      <c r="M230" s="372"/>
      <c r="N230" s="372"/>
      <c r="O230" s="372"/>
      <c r="P230" s="684">
        <f t="shared" si="3"/>
        <v>0</v>
      </c>
    </row>
    <row r="231" spans="2:16" ht="26">
      <c r="B231" s="890"/>
      <c r="C231" s="891"/>
      <c r="D231" s="891"/>
      <c r="E231" s="891"/>
      <c r="F231" s="891"/>
      <c r="G231" s="891"/>
      <c r="H231" s="891"/>
      <c r="I231" s="891"/>
      <c r="J231" s="877"/>
      <c r="K231" s="676" t="s">
        <v>550</v>
      </c>
      <c r="L231" s="363" t="s">
        <v>186</v>
      </c>
      <c r="M231" s="364"/>
      <c r="N231" s="372"/>
      <c r="O231" s="372"/>
      <c r="P231" s="684">
        <f t="shared" si="3"/>
        <v>0</v>
      </c>
    </row>
    <row r="232" spans="2:16" ht="37.5">
      <c r="B232" s="890"/>
      <c r="C232" s="891"/>
      <c r="D232" s="891"/>
      <c r="E232" s="891"/>
      <c r="F232" s="891"/>
      <c r="G232" s="891"/>
      <c r="H232" s="891"/>
      <c r="I232" s="891"/>
      <c r="J232" s="877"/>
      <c r="K232" s="675" t="s">
        <v>553</v>
      </c>
      <c r="L232" s="358"/>
      <c r="M232" s="359">
        <f>+O201</f>
        <v>106</v>
      </c>
      <c r="N232" s="372">
        <f>+M232*1*0.2</f>
        <v>21.200000000000003</v>
      </c>
      <c r="O232" s="372">
        <v>1</v>
      </c>
      <c r="P232" s="684">
        <f>+O232*N232*M232</f>
        <v>2247.2000000000003</v>
      </c>
    </row>
    <row r="233" spans="2:16" ht="37.5">
      <c r="B233" s="890"/>
      <c r="C233" s="891"/>
      <c r="D233" s="891"/>
      <c r="E233" s="891"/>
      <c r="F233" s="891"/>
      <c r="G233" s="891"/>
      <c r="H233" s="891"/>
      <c r="I233" s="891"/>
      <c r="J233" s="877"/>
      <c r="K233" s="675" t="s">
        <v>552</v>
      </c>
      <c r="L233" s="372"/>
      <c r="M233" s="678">
        <f>+P175</f>
        <v>12</v>
      </c>
      <c r="N233" s="372">
        <f>+M233*1.5</f>
        <v>18</v>
      </c>
      <c r="O233" s="372">
        <v>1</v>
      </c>
      <c r="P233" s="684">
        <f t="shared" si="3"/>
        <v>216</v>
      </c>
    </row>
    <row r="234" spans="2:16">
      <c r="B234" s="890"/>
      <c r="C234" s="891"/>
      <c r="D234" s="891"/>
      <c r="E234" s="891"/>
      <c r="F234" s="891"/>
      <c r="G234" s="891"/>
      <c r="H234" s="891"/>
      <c r="I234" s="891"/>
      <c r="J234" s="877"/>
      <c r="K234" s="652"/>
      <c r="L234" s="372"/>
      <c r="M234" s="372"/>
      <c r="N234" s="372"/>
      <c r="O234" s="372"/>
      <c r="P234" s="684"/>
    </row>
    <row r="235" spans="2:16">
      <c r="B235" s="890"/>
      <c r="C235" s="891"/>
      <c r="D235" s="891"/>
      <c r="E235" s="891"/>
      <c r="F235" s="891"/>
      <c r="G235" s="891"/>
      <c r="H235" s="891"/>
      <c r="I235" s="891"/>
      <c r="J235" s="877"/>
      <c r="K235" s="652"/>
      <c r="L235" s="372"/>
      <c r="M235" s="372"/>
      <c r="N235" s="372"/>
      <c r="O235" s="372"/>
      <c r="P235" s="684"/>
    </row>
    <row r="236" spans="2:16">
      <c r="B236" s="890"/>
      <c r="C236" s="891"/>
      <c r="D236" s="891"/>
      <c r="E236" s="891"/>
      <c r="F236" s="891"/>
      <c r="G236" s="891"/>
      <c r="H236" s="891"/>
      <c r="I236" s="891"/>
      <c r="J236" s="877"/>
      <c r="K236" s="496"/>
      <c r="L236" s="371"/>
      <c r="M236" s="371"/>
      <c r="N236" s="371"/>
      <c r="O236" s="371"/>
      <c r="P236" s="684"/>
    </row>
    <row r="237" spans="2:16">
      <c r="B237" s="890"/>
      <c r="C237" s="891"/>
      <c r="D237" s="891"/>
      <c r="E237" s="891"/>
      <c r="F237" s="891"/>
      <c r="G237" s="891"/>
      <c r="H237" s="891"/>
      <c r="I237" s="891"/>
      <c r="J237" s="877"/>
      <c r="K237" s="496"/>
      <c r="L237" s="371"/>
      <c r="M237" s="371"/>
      <c r="N237" s="371"/>
      <c r="O237" s="371"/>
      <c r="P237" s="684"/>
    </row>
    <row r="238" spans="2:16">
      <c r="B238" s="890"/>
      <c r="C238" s="891"/>
      <c r="D238" s="891"/>
      <c r="E238" s="891"/>
      <c r="F238" s="891"/>
      <c r="G238" s="891"/>
      <c r="H238" s="891"/>
      <c r="I238" s="891"/>
      <c r="J238" s="877"/>
      <c r="K238" s="496"/>
      <c r="L238" s="371"/>
      <c r="M238" s="371"/>
      <c r="N238" s="371"/>
      <c r="O238" s="371"/>
      <c r="P238" s="684"/>
    </row>
    <row r="239" spans="2:16">
      <c r="B239" s="890"/>
      <c r="C239" s="891"/>
      <c r="D239" s="891"/>
      <c r="E239" s="891"/>
      <c r="F239" s="891"/>
      <c r="G239" s="891"/>
      <c r="H239" s="891"/>
      <c r="I239" s="891"/>
      <c r="J239" s="877"/>
      <c r="K239" s="496"/>
      <c r="L239" s="371"/>
      <c r="M239" s="371"/>
      <c r="N239" s="371"/>
      <c r="O239" s="371"/>
      <c r="P239" s="684"/>
    </row>
    <row r="240" spans="2:16">
      <c r="B240" s="890"/>
      <c r="C240" s="891"/>
      <c r="D240" s="891"/>
      <c r="E240" s="891"/>
      <c r="F240" s="891"/>
      <c r="G240" s="891"/>
      <c r="H240" s="891"/>
      <c r="I240" s="891"/>
      <c r="J240" s="877"/>
      <c r="K240" s="652"/>
      <c r="L240" s="372"/>
      <c r="M240" s="372"/>
      <c r="N240" s="372"/>
      <c r="O240" s="372"/>
      <c r="P240" s="684"/>
    </row>
    <row r="241" spans="2:16">
      <c r="B241" s="890"/>
      <c r="C241" s="891"/>
      <c r="D241" s="891"/>
      <c r="E241" s="891"/>
      <c r="F241" s="891"/>
      <c r="G241" s="891"/>
      <c r="H241" s="891"/>
      <c r="I241" s="891"/>
      <c r="J241" s="877"/>
      <c r="K241" s="652"/>
      <c r="L241" s="372"/>
      <c r="M241" s="372"/>
      <c r="N241" s="372"/>
      <c r="O241" s="372"/>
      <c r="P241" s="684"/>
    </row>
    <row r="242" spans="2:16">
      <c r="B242" s="890"/>
      <c r="C242" s="891"/>
      <c r="D242" s="891"/>
      <c r="E242" s="891"/>
      <c r="F242" s="891"/>
      <c r="G242" s="891"/>
      <c r="H242" s="891"/>
      <c r="I242" s="891"/>
      <c r="J242" s="877"/>
      <c r="K242" s="652"/>
      <c r="L242" s="372"/>
      <c r="M242" s="372"/>
      <c r="N242" s="372"/>
      <c r="O242" s="372"/>
      <c r="P242" s="684"/>
    </row>
    <row r="243" spans="2:16">
      <c r="B243" s="890"/>
      <c r="C243" s="891"/>
      <c r="D243" s="891"/>
      <c r="E243" s="891"/>
      <c r="F243" s="891"/>
      <c r="G243" s="891"/>
      <c r="H243" s="891"/>
      <c r="I243" s="891"/>
      <c r="J243" s="877"/>
      <c r="K243" s="652"/>
      <c r="L243" s="372"/>
      <c r="M243" s="372"/>
      <c r="N243" s="372"/>
      <c r="O243" s="372"/>
      <c r="P243" s="684"/>
    </row>
    <row r="244" spans="2:16">
      <c r="B244" s="890"/>
      <c r="C244" s="891"/>
      <c r="D244" s="891"/>
      <c r="E244" s="891"/>
      <c r="F244" s="891"/>
      <c r="G244" s="891"/>
      <c r="H244" s="891"/>
      <c r="I244" s="891"/>
      <c r="J244" s="877"/>
      <c r="K244" s="652"/>
      <c r="L244" s="372"/>
      <c r="M244" s="372"/>
      <c r="N244" s="372"/>
      <c r="O244" s="372"/>
      <c r="P244" s="684"/>
    </row>
    <row r="245" spans="2:16">
      <c r="B245" s="890"/>
      <c r="C245" s="891"/>
      <c r="D245" s="891"/>
      <c r="E245" s="891"/>
      <c r="F245" s="891"/>
      <c r="G245" s="891"/>
      <c r="H245" s="891"/>
      <c r="I245" s="891"/>
      <c r="J245" s="877"/>
      <c r="K245" s="652"/>
      <c r="L245" s="372"/>
      <c r="M245" s="372"/>
      <c r="N245" s="372"/>
      <c r="O245" s="372"/>
      <c r="P245" s="684"/>
    </row>
    <row r="246" spans="2:16">
      <c r="B246" s="890"/>
      <c r="C246" s="891"/>
      <c r="D246" s="891"/>
      <c r="E246" s="891"/>
      <c r="F246" s="891"/>
      <c r="G246" s="891"/>
      <c r="H246" s="891"/>
      <c r="I246" s="891"/>
      <c r="J246" s="877"/>
      <c r="K246" s="652"/>
      <c r="L246" s="372"/>
      <c r="M246" s="372"/>
      <c r="N246" s="372"/>
      <c r="O246" s="372"/>
      <c r="P246" s="684"/>
    </row>
    <row r="247" spans="2:16">
      <c r="B247" s="890"/>
      <c r="C247" s="891"/>
      <c r="D247" s="891"/>
      <c r="E247" s="891"/>
      <c r="F247" s="891"/>
      <c r="G247" s="891"/>
      <c r="H247" s="891"/>
      <c r="I247" s="891"/>
      <c r="J247" s="877"/>
      <c r="K247" s="652"/>
      <c r="L247" s="372"/>
      <c r="M247" s="372"/>
      <c r="N247" s="372"/>
      <c r="O247" s="372"/>
      <c r="P247" s="684"/>
    </row>
    <row r="248" spans="2:16">
      <c r="B248" s="890"/>
      <c r="C248" s="891"/>
      <c r="D248" s="891"/>
      <c r="E248" s="891"/>
      <c r="F248" s="891"/>
      <c r="G248" s="891"/>
      <c r="H248" s="891"/>
      <c r="I248" s="891"/>
      <c r="J248" s="877"/>
      <c r="K248" s="652"/>
      <c r="L248" s="372"/>
      <c r="M248" s="372"/>
      <c r="N248" s="372"/>
      <c r="O248" s="372"/>
      <c r="P248" s="684"/>
    </row>
    <row r="249" spans="2:16">
      <c r="B249" s="890"/>
      <c r="C249" s="891"/>
      <c r="D249" s="891"/>
      <c r="E249" s="891"/>
      <c r="F249" s="891"/>
      <c r="G249" s="891"/>
      <c r="H249" s="891"/>
      <c r="I249" s="891"/>
      <c r="J249" s="877"/>
      <c r="K249" s="652"/>
      <c r="L249" s="372"/>
      <c r="M249" s="372"/>
      <c r="N249" s="372"/>
      <c r="O249" s="372"/>
      <c r="P249" s="684"/>
    </row>
    <row r="250" spans="2:16">
      <c r="B250" s="890"/>
      <c r="C250" s="891"/>
      <c r="D250" s="891"/>
      <c r="E250" s="891"/>
      <c r="F250" s="891"/>
      <c r="G250" s="891"/>
      <c r="H250" s="891"/>
      <c r="I250" s="891"/>
      <c r="J250" s="877"/>
      <c r="K250" s="652"/>
      <c r="L250" s="372"/>
      <c r="M250" s="372"/>
      <c r="N250" s="372"/>
      <c r="O250" s="372"/>
      <c r="P250" s="684"/>
    </row>
    <row r="251" spans="2:16">
      <c r="B251" s="890"/>
      <c r="C251" s="891"/>
      <c r="D251" s="891"/>
      <c r="E251" s="891"/>
      <c r="F251" s="891"/>
      <c r="G251" s="891"/>
      <c r="H251" s="891"/>
      <c r="I251" s="891"/>
      <c r="J251" s="877"/>
      <c r="K251" s="652"/>
      <c r="L251" s="372"/>
      <c r="M251" s="372"/>
      <c r="N251" s="372"/>
      <c r="O251" s="372"/>
      <c r="P251" s="684"/>
    </row>
    <row r="252" spans="2:16">
      <c r="B252" s="890"/>
      <c r="C252" s="891"/>
      <c r="D252" s="891"/>
      <c r="E252" s="891"/>
      <c r="F252" s="891"/>
      <c r="G252" s="891"/>
      <c r="H252" s="891"/>
      <c r="I252" s="891"/>
      <c r="J252" s="877"/>
      <c r="K252" s="652"/>
      <c r="L252" s="372"/>
      <c r="M252" s="372"/>
      <c r="N252" s="372"/>
      <c r="O252" s="372"/>
      <c r="P252" s="684"/>
    </row>
    <row r="253" spans="2:16">
      <c r="B253" s="890"/>
      <c r="C253" s="891"/>
      <c r="D253" s="891"/>
      <c r="E253" s="891"/>
      <c r="F253" s="891"/>
      <c r="G253" s="891"/>
      <c r="H253" s="891"/>
      <c r="I253" s="891"/>
      <c r="J253" s="877"/>
      <c r="K253" s="652"/>
      <c r="L253" s="372"/>
      <c r="M253" s="372"/>
      <c r="N253" s="372"/>
      <c r="O253" s="372"/>
      <c r="P253" s="684"/>
    </row>
    <row r="254" spans="2:16">
      <c r="B254" s="890"/>
      <c r="C254" s="891"/>
      <c r="D254" s="891"/>
      <c r="E254" s="891"/>
      <c r="F254" s="891"/>
      <c r="G254" s="891"/>
      <c r="H254" s="891"/>
      <c r="I254" s="891"/>
      <c r="J254" s="877"/>
      <c r="K254" s="652"/>
      <c r="L254" s="372"/>
      <c r="M254" s="372"/>
      <c r="N254" s="372"/>
      <c r="O254" s="372"/>
      <c r="P254" s="684"/>
    </row>
    <row r="255" spans="2:16">
      <c r="B255" s="890"/>
      <c r="C255" s="891"/>
      <c r="D255" s="891"/>
      <c r="E255" s="891"/>
      <c r="F255" s="891"/>
      <c r="G255" s="891"/>
      <c r="H255" s="891"/>
      <c r="I255" s="891"/>
      <c r="J255" s="877"/>
      <c r="K255" s="652"/>
      <c r="L255" s="372"/>
      <c r="M255" s="372"/>
      <c r="N255" s="372"/>
      <c r="O255" s="372"/>
      <c r="P255" s="684"/>
    </row>
    <row r="256" spans="2:16">
      <c r="B256" s="890"/>
      <c r="C256" s="891"/>
      <c r="D256" s="891"/>
      <c r="E256" s="891"/>
      <c r="F256" s="891"/>
      <c r="G256" s="891"/>
      <c r="H256" s="891"/>
      <c r="I256" s="891"/>
      <c r="J256" s="877"/>
      <c r="K256" s="652"/>
      <c r="L256" s="372"/>
      <c r="M256" s="372"/>
      <c r="N256" s="372"/>
      <c r="O256" s="372"/>
      <c r="P256" s="684"/>
    </row>
    <row r="257" spans="2:16">
      <c r="B257" s="890"/>
      <c r="C257" s="891"/>
      <c r="D257" s="891"/>
      <c r="E257" s="891"/>
      <c r="F257" s="891"/>
      <c r="G257" s="891"/>
      <c r="H257" s="891"/>
      <c r="I257" s="891"/>
      <c r="J257" s="877"/>
      <c r="K257" s="652"/>
      <c r="L257" s="372"/>
      <c r="M257" s="372"/>
      <c r="N257" s="372"/>
      <c r="O257" s="372"/>
      <c r="P257" s="684"/>
    </row>
    <row r="258" spans="2:16">
      <c r="B258" s="890"/>
      <c r="C258" s="891"/>
      <c r="D258" s="891"/>
      <c r="E258" s="891"/>
      <c r="F258" s="891"/>
      <c r="G258" s="891"/>
      <c r="H258" s="891"/>
      <c r="I258" s="891"/>
      <c r="J258" s="877"/>
      <c r="K258" s="652"/>
      <c r="L258" s="372"/>
      <c r="M258" s="372"/>
      <c r="N258" s="372"/>
      <c r="O258" s="372"/>
      <c r="P258" s="684"/>
    </row>
    <row r="259" spans="2:16">
      <c r="B259" s="890"/>
      <c r="C259" s="891"/>
      <c r="D259" s="891"/>
      <c r="E259" s="891"/>
      <c r="F259" s="891"/>
      <c r="G259" s="891"/>
      <c r="H259" s="891"/>
      <c r="I259" s="891"/>
      <c r="J259" s="877"/>
      <c r="K259" s="652"/>
      <c r="L259" s="372"/>
      <c r="M259" s="372"/>
      <c r="N259" s="372"/>
      <c r="O259" s="372"/>
      <c r="P259" s="684"/>
    </row>
    <row r="260" spans="2:16">
      <c r="B260" s="890"/>
      <c r="C260" s="891"/>
      <c r="D260" s="891"/>
      <c r="E260" s="891"/>
      <c r="F260" s="891"/>
      <c r="G260" s="891"/>
      <c r="H260" s="891"/>
      <c r="I260" s="891"/>
      <c r="J260" s="877"/>
      <c r="K260" s="652"/>
      <c r="L260" s="372"/>
      <c r="M260" s="372"/>
      <c r="N260" s="372"/>
      <c r="O260" s="372"/>
      <c r="P260" s="684"/>
    </row>
    <row r="261" spans="2:16">
      <c r="B261" s="890"/>
      <c r="C261" s="891"/>
      <c r="D261" s="891"/>
      <c r="E261" s="891"/>
      <c r="F261" s="891"/>
      <c r="G261" s="891"/>
      <c r="H261" s="891"/>
      <c r="I261" s="891"/>
      <c r="J261" s="877"/>
      <c r="K261" s="652"/>
      <c r="L261" s="372"/>
      <c r="M261" s="372"/>
      <c r="N261" s="372"/>
      <c r="O261" s="372"/>
      <c r="P261" s="684"/>
    </row>
    <row r="262" spans="2:16">
      <c r="B262" s="890"/>
      <c r="C262" s="891"/>
      <c r="D262" s="891"/>
      <c r="E262" s="891"/>
      <c r="F262" s="891"/>
      <c r="G262" s="891"/>
      <c r="H262" s="891"/>
      <c r="I262" s="891"/>
      <c r="J262" s="877"/>
      <c r="K262" s="652"/>
      <c r="L262" s="372"/>
      <c r="M262" s="372"/>
      <c r="N262" s="372"/>
      <c r="O262" s="372"/>
      <c r="P262" s="684"/>
    </row>
    <row r="263" spans="2:16">
      <c r="B263" s="890"/>
      <c r="C263" s="891"/>
      <c r="D263" s="891"/>
      <c r="E263" s="891"/>
      <c r="F263" s="891"/>
      <c r="G263" s="891"/>
      <c r="H263" s="891"/>
      <c r="I263" s="891"/>
      <c r="J263" s="877"/>
      <c r="K263" s="652"/>
      <c r="L263" s="372"/>
      <c r="M263" s="372"/>
      <c r="N263" s="372"/>
      <c r="O263" s="372"/>
      <c r="P263" s="684"/>
    </row>
    <row r="264" spans="2:16">
      <c r="B264" s="890"/>
      <c r="C264" s="891"/>
      <c r="D264" s="891"/>
      <c r="E264" s="891"/>
      <c r="F264" s="891"/>
      <c r="G264" s="891"/>
      <c r="H264" s="891"/>
      <c r="I264" s="891"/>
      <c r="J264" s="877"/>
      <c r="K264" s="652"/>
      <c r="L264" s="372"/>
      <c r="M264" s="372"/>
      <c r="N264" s="372"/>
      <c r="O264" s="372"/>
      <c r="P264" s="684"/>
    </row>
    <row r="265" spans="2:16" ht="15" thickBot="1">
      <c r="B265" s="867"/>
      <c r="C265" s="871"/>
      <c r="D265" s="871"/>
      <c r="E265" s="871"/>
      <c r="F265" s="871"/>
      <c r="G265" s="871"/>
      <c r="H265" s="871"/>
      <c r="I265" s="871"/>
      <c r="J265" s="871"/>
      <c r="K265" s="650"/>
      <c r="L265" s="316"/>
      <c r="M265" s="316"/>
      <c r="N265" s="316"/>
      <c r="O265" s="316"/>
      <c r="P265" s="685"/>
    </row>
    <row r="266" spans="2:16">
      <c r="B266" s="865" t="s">
        <v>248</v>
      </c>
      <c r="C266" s="866"/>
      <c r="D266" s="869" t="s">
        <v>557</v>
      </c>
      <c r="E266" s="870"/>
      <c r="F266" s="870"/>
      <c r="G266" s="870"/>
      <c r="H266" s="870"/>
      <c r="I266" s="870"/>
      <c r="J266" s="866"/>
      <c r="K266" s="872" t="s">
        <v>246</v>
      </c>
      <c r="L266" s="874">
        <f>P266</f>
        <v>23594.266666666666</v>
      </c>
      <c r="M266" s="876" t="s">
        <v>247</v>
      </c>
      <c r="N266" s="877"/>
      <c r="O266" s="878"/>
      <c r="P266" s="879">
        <f>SUM(P197:P265)</f>
        <v>23594.266666666666</v>
      </c>
    </row>
    <row r="267" spans="2:16" ht="98.25" customHeight="1" thickBot="1">
      <c r="B267" s="867"/>
      <c r="C267" s="868"/>
      <c r="D267" s="867"/>
      <c r="E267" s="871"/>
      <c r="F267" s="871"/>
      <c r="G267" s="871"/>
      <c r="H267" s="871"/>
      <c r="I267" s="871"/>
      <c r="J267" s="868"/>
      <c r="K267" s="873"/>
      <c r="L267" s="875"/>
      <c r="M267" s="867"/>
      <c r="N267" s="871"/>
      <c r="O267" s="868"/>
      <c r="P267" s="879"/>
    </row>
    <row r="268" spans="2:16" ht="15" thickBot="1">
      <c r="P268" s="712">
        <f>+P266</f>
        <v>23594.266666666666</v>
      </c>
    </row>
    <row r="271" spans="2:16" ht="15" thickBot="1">
      <c r="B271" s="317"/>
      <c r="C271" s="317"/>
      <c r="D271" s="317"/>
      <c r="E271" s="317"/>
      <c r="F271" s="317"/>
      <c r="G271" s="317"/>
      <c r="I271" s="317"/>
      <c r="J271" s="317"/>
      <c r="K271" s="651"/>
      <c r="L271" s="317"/>
      <c r="M271" s="317"/>
      <c r="N271" s="317"/>
    </row>
    <row r="272" spans="2:16" ht="15" thickBot="1">
      <c r="B272" s="318"/>
      <c r="C272" s="319"/>
      <c r="I272" s="320"/>
    </row>
    <row r="273" spans="2:9">
      <c r="B273" s="320"/>
      <c r="I273" s="320"/>
    </row>
  </sheetData>
  <mergeCells count="155">
    <mergeCell ref="B8:D8"/>
    <mergeCell ref="E8:H8"/>
    <mergeCell ref="I8:J8"/>
    <mergeCell ref="K8:L9"/>
    <mergeCell ref="B9:D9"/>
    <mergeCell ref="F9:J9"/>
    <mergeCell ref="B2:P2"/>
    <mergeCell ref="N4:P4"/>
    <mergeCell ref="B6:D6"/>
    <mergeCell ref="E6:P6"/>
    <mergeCell ref="B7:D7"/>
    <mergeCell ref="E7:H7"/>
    <mergeCell ref="I7:J7"/>
    <mergeCell ref="K7:L7"/>
    <mergeCell ref="M7:N9"/>
    <mergeCell ref="O7:P9"/>
    <mergeCell ref="O11:O12"/>
    <mergeCell ref="P11:P12"/>
    <mergeCell ref="B37:C38"/>
    <mergeCell ref="D37:J38"/>
    <mergeCell ref="K37:K38"/>
    <mergeCell ref="L37:L38"/>
    <mergeCell ref="M37:O38"/>
    <mergeCell ref="P37:P38"/>
    <mergeCell ref="B10:D10"/>
    <mergeCell ref="F10:J10"/>
    <mergeCell ref="K10:L10"/>
    <mergeCell ref="M10:N10"/>
    <mergeCell ref="B11:J36"/>
    <mergeCell ref="K11:K12"/>
    <mergeCell ref="L11:N11"/>
    <mergeCell ref="B54:D54"/>
    <mergeCell ref="E54:H54"/>
    <mergeCell ref="I54:J54"/>
    <mergeCell ref="K54:L55"/>
    <mergeCell ref="B55:D55"/>
    <mergeCell ref="F55:J55"/>
    <mergeCell ref="B48:P48"/>
    <mergeCell ref="N50:P50"/>
    <mergeCell ref="B52:D52"/>
    <mergeCell ref="E52:P52"/>
    <mergeCell ref="B53:D53"/>
    <mergeCell ref="E53:H53"/>
    <mergeCell ref="I53:J53"/>
    <mergeCell ref="K53:L53"/>
    <mergeCell ref="M53:N55"/>
    <mergeCell ref="O53:P55"/>
    <mergeCell ref="O57:O58"/>
    <mergeCell ref="P57:P58"/>
    <mergeCell ref="B82:C83"/>
    <mergeCell ref="D82:J83"/>
    <mergeCell ref="K82:K83"/>
    <mergeCell ref="L82:L83"/>
    <mergeCell ref="M82:O83"/>
    <mergeCell ref="P82:P83"/>
    <mergeCell ref="B56:D56"/>
    <mergeCell ref="F56:J56"/>
    <mergeCell ref="K56:L56"/>
    <mergeCell ref="M56:N56"/>
    <mergeCell ref="B57:J81"/>
    <mergeCell ref="K57:K58"/>
    <mergeCell ref="L57:N57"/>
    <mergeCell ref="B99:D99"/>
    <mergeCell ref="E99:H99"/>
    <mergeCell ref="I99:J99"/>
    <mergeCell ref="K99:L100"/>
    <mergeCell ref="B100:D100"/>
    <mergeCell ref="F100:J100"/>
    <mergeCell ref="B93:P93"/>
    <mergeCell ref="N95:P95"/>
    <mergeCell ref="B97:D97"/>
    <mergeCell ref="E97:P97"/>
    <mergeCell ref="B98:D98"/>
    <mergeCell ref="E98:H98"/>
    <mergeCell ref="I98:J98"/>
    <mergeCell ref="K98:L98"/>
    <mergeCell ref="M98:N100"/>
    <mergeCell ref="O98:P100"/>
    <mergeCell ref="O102:O103"/>
    <mergeCell ref="P102:P103"/>
    <mergeCell ref="B127:C128"/>
    <mergeCell ref="D127:J128"/>
    <mergeCell ref="K127:K128"/>
    <mergeCell ref="L127:L128"/>
    <mergeCell ref="M127:O128"/>
    <mergeCell ref="P127:P128"/>
    <mergeCell ref="B101:D101"/>
    <mergeCell ref="F101:J101"/>
    <mergeCell ref="K101:L101"/>
    <mergeCell ref="M101:N101"/>
    <mergeCell ref="B102:J126"/>
    <mergeCell ref="K102:K103"/>
    <mergeCell ref="L102:N102"/>
    <mergeCell ref="B141:D141"/>
    <mergeCell ref="E141:H141"/>
    <mergeCell ref="I141:J141"/>
    <mergeCell ref="K141:L142"/>
    <mergeCell ref="B142:D142"/>
    <mergeCell ref="F142:J142"/>
    <mergeCell ref="B135:P135"/>
    <mergeCell ref="N137:P137"/>
    <mergeCell ref="B139:D139"/>
    <mergeCell ref="E139:P139"/>
    <mergeCell ref="B140:D140"/>
    <mergeCell ref="E140:H140"/>
    <mergeCell ref="I140:J140"/>
    <mergeCell ref="K140:L140"/>
    <mergeCell ref="M140:N142"/>
    <mergeCell ref="O140:P142"/>
    <mergeCell ref="O144:O145"/>
    <mergeCell ref="P144:P145"/>
    <mergeCell ref="B175:C176"/>
    <mergeCell ref="D175:J176"/>
    <mergeCell ref="K175:K176"/>
    <mergeCell ref="L175:L176"/>
    <mergeCell ref="M175:O176"/>
    <mergeCell ref="P175:P176"/>
    <mergeCell ref="B143:D143"/>
    <mergeCell ref="F143:J143"/>
    <mergeCell ref="K143:L143"/>
    <mergeCell ref="M143:N143"/>
    <mergeCell ref="B144:J174"/>
    <mergeCell ref="K144:K145"/>
    <mergeCell ref="L144:N144"/>
    <mergeCell ref="B192:D192"/>
    <mergeCell ref="E192:H192"/>
    <mergeCell ref="I192:J192"/>
    <mergeCell ref="K192:L193"/>
    <mergeCell ref="B193:D193"/>
    <mergeCell ref="F193:J193"/>
    <mergeCell ref="B186:P186"/>
    <mergeCell ref="N188:P188"/>
    <mergeCell ref="B190:D190"/>
    <mergeCell ref="E190:P190"/>
    <mergeCell ref="B191:D191"/>
    <mergeCell ref="E191:H191"/>
    <mergeCell ref="I191:J191"/>
    <mergeCell ref="K191:L191"/>
    <mergeCell ref="M191:N193"/>
    <mergeCell ref="O191:P193"/>
    <mergeCell ref="O195:O196"/>
    <mergeCell ref="P195:P196"/>
    <mergeCell ref="B266:C267"/>
    <mergeCell ref="D266:J267"/>
    <mergeCell ref="K266:K267"/>
    <mergeCell ref="L266:L267"/>
    <mergeCell ref="M266:O267"/>
    <mergeCell ref="P266:P267"/>
    <mergeCell ref="B194:D194"/>
    <mergeCell ref="F194:J194"/>
    <mergeCell ref="K194:L194"/>
    <mergeCell ref="M194:N194"/>
    <mergeCell ref="B195:J265"/>
    <mergeCell ref="K195:K196"/>
    <mergeCell ref="L195:N19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59733-1791-4D7B-8811-8A6A07B46623}">
  <dimension ref="B1:U245"/>
  <sheetViews>
    <sheetView topLeftCell="A217" zoomScale="80" zoomScaleNormal="80" workbookViewId="0">
      <selection activeCell="P241" sqref="P241"/>
    </sheetView>
  </sheetViews>
  <sheetFormatPr baseColWidth="10" defaultColWidth="14.453125" defaultRowHeight="14.5"/>
  <cols>
    <col min="1" max="1" width="1.7265625" customWidth="1"/>
    <col min="2" max="9" width="10.7265625" customWidth="1"/>
    <col min="10" max="10" width="8" bestFit="1" customWidth="1"/>
    <col min="11" max="11" width="35.7265625" style="589" customWidth="1"/>
    <col min="12" max="12" width="10.7265625" customWidth="1"/>
    <col min="13" max="13" width="9.26953125" bestFit="1" customWidth="1"/>
    <col min="14" max="14" width="10.7265625" customWidth="1"/>
    <col min="15" max="15" width="12.81640625" customWidth="1"/>
    <col min="16" max="16" width="28.26953125" style="680" customWidth="1"/>
    <col min="17" max="17" width="1.7265625" customWidth="1"/>
    <col min="18" max="18" width="1.1796875" customWidth="1"/>
    <col min="19" max="19" width="2.7265625" customWidth="1"/>
    <col min="20" max="20" width="10.7265625" customWidth="1"/>
    <col min="21" max="21" width="9.81640625" customWidth="1"/>
  </cols>
  <sheetData>
    <row r="1" spans="2:21" ht="14.25" customHeight="1" thickBot="1">
      <c r="B1" s="297"/>
      <c r="R1" s="298"/>
    </row>
    <row r="2" spans="2:21" ht="16.149999999999999" customHeight="1" thickBot="1">
      <c r="B2" s="912" t="s">
        <v>250</v>
      </c>
      <c r="C2" s="913"/>
      <c r="D2" s="913"/>
      <c r="E2" s="913"/>
      <c r="F2" s="913"/>
      <c r="G2" s="913"/>
      <c r="H2" s="913"/>
      <c r="I2" s="913"/>
      <c r="J2" s="913"/>
      <c r="K2" s="913"/>
      <c r="L2" s="913"/>
      <c r="M2" s="913"/>
      <c r="N2" s="913"/>
      <c r="O2" s="913"/>
      <c r="P2" s="914"/>
      <c r="R2" s="298"/>
    </row>
    <row r="3" spans="2:21" ht="6.65" customHeight="1" thickBot="1">
      <c r="R3" s="298"/>
    </row>
    <row r="4" spans="2:21" ht="14.25" customHeight="1" thickBot="1">
      <c r="B4" s="299" t="s">
        <v>225</v>
      </c>
      <c r="C4" s="300" t="s">
        <v>226</v>
      </c>
      <c r="D4" s="301">
        <v>10</v>
      </c>
      <c r="E4" s="300" t="s">
        <v>227</v>
      </c>
      <c r="F4" s="301">
        <v>10</v>
      </c>
      <c r="G4" s="300" t="s">
        <v>228</v>
      </c>
      <c r="H4" s="302">
        <v>2024</v>
      </c>
      <c r="I4" s="303"/>
      <c r="J4" s="304" t="s">
        <v>229</v>
      </c>
      <c r="K4" s="302">
        <f>'[6]1_PUENTE LA ESPERANZA'!L5</f>
        <v>1</v>
      </c>
      <c r="L4" s="303"/>
      <c r="M4" s="304" t="s">
        <v>230</v>
      </c>
      <c r="N4" s="915"/>
      <c r="O4" s="916"/>
      <c r="P4" s="917"/>
      <c r="R4" s="298"/>
    </row>
    <row r="5" spans="2:21" ht="6.65" customHeight="1" thickBot="1">
      <c r="R5" s="298"/>
    </row>
    <row r="6" spans="2:21" ht="33.75" customHeight="1" thickBot="1">
      <c r="B6" s="918" t="s">
        <v>231</v>
      </c>
      <c r="C6" s="919"/>
      <c r="D6" s="919"/>
      <c r="E6" s="920" t="s">
        <v>187</v>
      </c>
      <c r="F6" s="921"/>
      <c r="G6" s="921"/>
      <c r="H6" s="921"/>
      <c r="I6" s="921"/>
      <c r="J6" s="921"/>
      <c r="K6" s="921"/>
      <c r="L6" s="921"/>
      <c r="M6" s="921"/>
      <c r="N6" s="921"/>
      <c r="O6" s="921"/>
      <c r="P6" s="922"/>
      <c r="R6" s="298"/>
    </row>
    <row r="7" spans="2:21" ht="14.25" customHeight="1">
      <c r="B7" s="923" t="s">
        <v>232</v>
      </c>
      <c r="C7" s="924"/>
      <c r="D7" s="924"/>
      <c r="E7" s="925"/>
      <c r="F7" s="924"/>
      <c r="G7" s="924"/>
      <c r="H7" s="924"/>
      <c r="I7" s="926" t="s">
        <v>233</v>
      </c>
      <c r="J7" s="927"/>
      <c r="K7" s="928"/>
      <c r="L7" s="929"/>
      <c r="M7" s="930" t="s">
        <v>234</v>
      </c>
      <c r="N7" s="931"/>
      <c r="O7" s="935"/>
      <c r="P7" s="936"/>
      <c r="R7" s="298"/>
    </row>
    <row r="8" spans="2:21" ht="14.25" customHeight="1" thickBot="1">
      <c r="B8" s="898" t="s">
        <v>235</v>
      </c>
      <c r="C8" s="899"/>
      <c r="D8" s="899"/>
      <c r="E8" s="900" t="s">
        <v>287</v>
      </c>
      <c r="F8" s="899"/>
      <c r="G8" s="899"/>
      <c r="H8" s="899"/>
      <c r="I8" s="901" t="s">
        <v>233</v>
      </c>
      <c r="J8" s="902"/>
      <c r="K8" s="903"/>
      <c r="L8" s="904"/>
      <c r="M8" s="932"/>
      <c r="N8" s="933"/>
      <c r="O8" s="937"/>
      <c r="P8" s="938"/>
      <c r="R8" s="298"/>
    </row>
    <row r="9" spans="2:21" ht="14.25" customHeight="1" thickBot="1">
      <c r="B9" s="907" t="s">
        <v>236</v>
      </c>
      <c r="C9" s="908"/>
      <c r="D9" s="908"/>
      <c r="E9" s="305" t="s">
        <v>5</v>
      </c>
      <c r="F9" s="909" t="s">
        <v>6</v>
      </c>
      <c r="G9" s="910"/>
      <c r="H9" s="910"/>
      <c r="I9" s="910"/>
      <c r="J9" s="911"/>
      <c r="K9" s="905"/>
      <c r="L9" s="906"/>
      <c r="M9" s="934"/>
      <c r="N9" s="885"/>
      <c r="O9" s="939"/>
      <c r="P9" s="940"/>
      <c r="R9" s="298"/>
    </row>
    <row r="10" spans="2:21" ht="15" thickBot="1">
      <c r="B10" s="880" t="str">
        <f>+'PRESUPUESTO ESTUFA'!B34</f>
        <v>E</v>
      </c>
      <c r="C10" s="881"/>
      <c r="D10" s="881"/>
      <c r="E10" s="306" t="str">
        <f>+'PRESUPUESTO ESTUFA'!B35</f>
        <v>E.1.1</v>
      </c>
      <c r="F10" s="882" t="str">
        <f>+'PRESUPUESTO ESTUFA'!C35</f>
        <v>Poda y Desmonte</v>
      </c>
      <c r="G10" s="883"/>
      <c r="H10" s="883"/>
      <c r="I10" s="883"/>
      <c r="J10" s="884"/>
      <c r="K10" s="885" t="s">
        <v>1</v>
      </c>
      <c r="L10" s="886"/>
      <c r="M10" s="887" t="str">
        <f>+'PRESUPUESTO ESTUFA'!D35</f>
        <v>UND</v>
      </c>
      <c r="N10" s="886"/>
      <c r="O10" s="307" t="s">
        <v>237</v>
      </c>
      <c r="P10" s="681" t="s">
        <v>251</v>
      </c>
      <c r="R10" s="298"/>
    </row>
    <row r="11" spans="2:21" ht="14.25" customHeight="1">
      <c r="B11" s="958"/>
      <c r="C11" s="877"/>
      <c r="D11" s="877"/>
      <c r="E11" s="877"/>
      <c r="F11" s="877"/>
      <c r="G11" s="877"/>
      <c r="H11" s="877"/>
      <c r="I11" s="877"/>
      <c r="J11" s="892"/>
      <c r="K11" s="959" t="s">
        <v>238</v>
      </c>
      <c r="L11" s="960" t="s">
        <v>239</v>
      </c>
      <c r="M11" s="961"/>
      <c r="N11" s="962"/>
      <c r="O11" s="944" t="s">
        <v>240</v>
      </c>
      <c r="P11" s="945" t="s">
        <v>241</v>
      </c>
      <c r="R11" s="298"/>
    </row>
    <row r="12" spans="2:21" ht="14.25" customHeight="1" thickBot="1">
      <c r="B12" s="890"/>
      <c r="C12" s="891"/>
      <c r="D12" s="891"/>
      <c r="E12" s="891"/>
      <c r="F12" s="891"/>
      <c r="G12" s="891"/>
      <c r="H12" s="891"/>
      <c r="I12" s="891"/>
      <c r="J12" s="892"/>
      <c r="K12" s="894"/>
      <c r="L12" s="308" t="s">
        <v>242</v>
      </c>
      <c r="M12" s="308" t="s">
        <v>243</v>
      </c>
      <c r="N12" s="308" t="s">
        <v>244</v>
      </c>
      <c r="O12" s="862"/>
      <c r="P12" s="864"/>
      <c r="R12" s="298"/>
    </row>
    <row r="13" spans="2:21" ht="27" customHeight="1">
      <c r="B13" s="890"/>
      <c r="C13" s="891"/>
      <c r="D13" s="891"/>
      <c r="E13" s="891"/>
      <c r="F13" s="891"/>
      <c r="G13" s="891"/>
      <c r="H13" s="891"/>
      <c r="I13" s="891"/>
      <c r="J13" s="877"/>
      <c r="K13" s="373" t="str">
        <f>+F10</f>
        <v>Poda y Desmonte</v>
      </c>
      <c r="L13" s="310"/>
      <c r="M13" s="310"/>
      <c r="N13" s="310">
        <v>1000</v>
      </c>
      <c r="O13" s="374">
        <v>1</v>
      </c>
      <c r="P13" s="682">
        <f>N13*O13</f>
        <v>1000</v>
      </c>
      <c r="R13" s="298"/>
      <c r="U13" s="311"/>
    </row>
    <row r="14" spans="2:21">
      <c r="B14" s="890"/>
      <c r="C14" s="891"/>
      <c r="D14" s="891"/>
      <c r="E14" s="891"/>
      <c r="F14" s="891"/>
      <c r="G14" s="891"/>
      <c r="H14" s="891"/>
      <c r="I14" s="891"/>
      <c r="J14" s="877"/>
      <c r="K14" s="375"/>
      <c r="L14" s="313"/>
      <c r="M14" s="313"/>
      <c r="N14" s="313"/>
      <c r="O14" s="376"/>
      <c r="P14" s="683"/>
      <c r="R14" s="298"/>
      <c r="U14" s="311"/>
    </row>
    <row r="15" spans="2:21">
      <c r="B15" s="890"/>
      <c r="C15" s="891"/>
      <c r="D15" s="891"/>
      <c r="E15" s="891"/>
      <c r="F15" s="891"/>
      <c r="G15" s="891"/>
      <c r="H15" s="891"/>
      <c r="I15" s="891"/>
      <c r="J15" s="877"/>
      <c r="K15" s="375"/>
      <c r="L15" s="111"/>
      <c r="M15" s="111"/>
      <c r="N15" s="111"/>
      <c r="O15" s="376"/>
      <c r="P15" s="683"/>
      <c r="R15" s="298"/>
      <c r="U15" s="311"/>
    </row>
    <row r="16" spans="2:21">
      <c r="B16" s="890"/>
      <c r="C16" s="891"/>
      <c r="D16" s="891"/>
      <c r="E16" s="891"/>
      <c r="F16" s="891"/>
      <c r="G16" s="891"/>
      <c r="H16" s="891"/>
      <c r="I16" s="891"/>
      <c r="J16" s="877"/>
      <c r="K16" s="375"/>
      <c r="L16" s="313"/>
      <c r="M16" s="313"/>
      <c r="N16" s="313"/>
      <c r="O16" s="376"/>
      <c r="P16" s="683"/>
      <c r="R16" s="298"/>
    </row>
    <row r="17" spans="2:21">
      <c r="B17" s="890"/>
      <c r="C17" s="891"/>
      <c r="D17" s="891"/>
      <c r="E17" s="891"/>
      <c r="F17" s="891"/>
      <c r="G17" s="891"/>
      <c r="H17" s="891"/>
      <c r="I17" s="891"/>
      <c r="J17" s="877"/>
      <c r="K17" s="375"/>
      <c r="L17" s="313"/>
      <c r="M17" s="313"/>
      <c r="N17" s="313"/>
      <c r="O17" s="376"/>
      <c r="P17" s="683"/>
      <c r="R17" s="298"/>
    </row>
    <row r="18" spans="2:21">
      <c r="B18" s="890"/>
      <c r="C18" s="891"/>
      <c r="D18" s="891"/>
      <c r="E18" s="891"/>
      <c r="F18" s="891"/>
      <c r="G18" s="891"/>
      <c r="H18" s="891"/>
      <c r="I18" s="891"/>
      <c r="J18" s="877"/>
      <c r="K18" s="375"/>
      <c r="L18" s="314"/>
      <c r="M18" s="314"/>
      <c r="N18" s="314"/>
      <c r="O18" s="376"/>
      <c r="P18" s="683"/>
      <c r="R18" s="298"/>
    </row>
    <row r="19" spans="2:21">
      <c r="B19" s="890"/>
      <c r="C19" s="891"/>
      <c r="D19" s="891"/>
      <c r="E19" s="891"/>
      <c r="F19" s="891"/>
      <c r="G19" s="891"/>
      <c r="H19" s="891"/>
      <c r="I19" s="891"/>
      <c r="J19" s="877"/>
      <c r="K19" s="375"/>
      <c r="L19" s="314"/>
      <c r="M19" s="314"/>
      <c r="N19" s="314"/>
      <c r="O19" s="376"/>
      <c r="P19" s="683"/>
      <c r="R19" s="298"/>
    </row>
    <row r="20" spans="2:21">
      <c r="B20" s="890"/>
      <c r="C20" s="891"/>
      <c r="D20" s="891"/>
      <c r="E20" s="891"/>
      <c r="F20" s="891"/>
      <c r="G20" s="891"/>
      <c r="H20" s="891"/>
      <c r="I20" s="891"/>
      <c r="J20" s="877"/>
      <c r="K20" s="375"/>
      <c r="L20" s="314"/>
      <c r="M20" s="314"/>
      <c r="N20" s="314"/>
      <c r="O20" s="376"/>
      <c r="P20" s="683"/>
      <c r="R20" s="298"/>
      <c r="U20" s="315"/>
    </row>
    <row r="21" spans="2:21">
      <c r="B21" s="890"/>
      <c r="C21" s="891"/>
      <c r="D21" s="891"/>
      <c r="E21" s="891"/>
      <c r="F21" s="891"/>
      <c r="G21" s="891"/>
      <c r="H21" s="891"/>
      <c r="I21" s="891"/>
      <c r="J21" s="877"/>
      <c r="K21" s="375"/>
      <c r="L21" s="314"/>
      <c r="M21" s="314"/>
      <c r="N21" s="314"/>
      <c r="O21" s="376"/>
      <c r="P21" s="683"/>
      <c r="R21" s="298"/>
      <c r="U21" s="315"/>
    </row>
    <row r="22" spans="2:21">
      <c r="B22" s="890"/>
      <c r="C22" s="891"/>
      <c r="D22" s="891"/>
      <c r="E22" s="891"/>
      <c r="F22" s="891"/>
      <c r="G22" s="891"/>
      <c r="H22" s="891"/>
      <c r="I22" s="891"/>
      <c r="J22" s="877"/>
      <c r="K22" s="375"/>
      <c r="L22" s="314"/>
      <c r="M22" s="314"/>
      <c r="N22" s="314"/>
      <c r="O22" s="376"/>
      <c r="P22" s="683"/>
      <c r="R22" s="298"/>
    </row>
    <row r="23" spans="2:21">
      <c r="B23" s="890"/>
      <c r="C23" s="891"/>
      <c r="D23" s="891"/>
      <c r="E23" s="891"/>
      <c r="F23" s="891"/>
      <c r="G23" s="891"/>
      <c r="H23" s="891"/>
      <c r="I23" s="891"/>
      <c r="J23" s="877"/>
      <c r="K23" s="375"/>
      <c r="L23" s="314"/>
      <c r="M23" s="314"/>
      <c r="N23" s="314"/>
      <c r="O23" s="376"/>
      <c r="P23" s="683"/>
      <c r="R23" s="298"/>
    </row>
    <row r="24" spans="2:21" ht="14.25" customHeight="1">
      <c r="B24" s="890"/>
      <c r="C24" s="891"/>
      <c r="D24" s="891"/>
      <c r="E24" s="891"/>
      <c r="F24" s="891"/>
      <c r="G24" s="891"/>
      <c r="H24" s="891"/>
      <c r="I24" s="891"/>
      <c r="J24" s="877"/>
      <c r="K24" s="375"/>
      <c r="L24" s="314"/>
      <c r="M24" s="314"/>
      <c r="N24" s="314"/>
      <c r="O24" s="314"/>
      <c r="P24" s="684"/>
      <c r="R24" s="298"/>
    </row>
    <row r="25" spans="2:21" ht="14.25" customHeight="1" thickBot="1">
      <c r="B25" s="867"/>
      <c r="C25" s="871"/>
      <c r="D25" s="871"/>
      <c r="E25" s="871"/>
      <c r="F25" s="871"/>
      <c r="G25" s="871"/>
      <c r="H25" s="871"/>
      <c r="I25" s="871"/>
      <c r="J25" s="871"/>
      <c r="K25" s="650"/>
      <c r="L25" s="316"/>
      <c r="M25" s="316"/>
      <c r="N25" s="316"/>
      <c r="O25" s="316"/>
      <c r="P25" s="685"/>
      <c r="R25" s="298"/>
    </row>
    <row r="26" spans="2:21" ht="14.25" customHeight="1">
      <c r="B26" s="865" t="s">
        <v>245</v>
      </c>
      <c r="C26" s="866"/>
      <c r="D26" s="946" t="s">
        <v>309</v>
      </c>
      <c r="E26" s="870"/>
      <c r="F26" s="870"/>
      <c r="G26" s="870"/>
      <c r="H26" s="870"/>
      <c r="I26" s="870"/>
      <c r="J26" s="866"/>
      <c r="K26" s="872" t="s">
        <v>246</v>
      </c>
      <c r="L26" s="948">
        <f>P26</f>
        <v>1000</v>
      </c>
      <c r="M26" s="950" t="s">
        <v>247</v>
      </c>
      <c r="N26" s="951"/>
      <c r="O26" s="952"/>
      <c r="P26" s="956">
        <f>SUM(P13:P25)</f>
        <v>1000</v>
      </c>
      <c r="R26" s="298"/>
    </row>
    <row r="27" spans="2:21" ht="65.25" customHeight="1" thickBot="1">
      <c r="B27" s="867"/>
      <c r="C27" s="868"/>
      <c r="D27" s="867"/>
      <c r="E27" s="871"/>
      <c r="F27" s="871"/>
      <c r="G27" s="871"/>
      <c r="H27" s="871"/>
      <c r="I27" s="871"/>
      <c r="J27" s="868"/>
      <c r="K27" s="947"/>
      <c r="L27" s="949"/>
      <c r="M27" s="953"/>
      <c r="N27" s="954"/>
      <c r="O27" s="955"/>
      <c r="P27" s="957"/>
      <c r="R27" s="298"/>
    </row>
    <row r="28" spans="2:21" ht="14.25" customHeight="1">
      <c r="R28" s="298"/>
    </row>
    <row r="29" spans="2:21" ht="14.25" customHeight="1">
      <c r="R29" s="298"/>
    </row>
    <row r="30" spans="2:21" ht="14.25" customHeight="1">
      <c r="R30" s="298"/>
    </row>
    <row r="31" spans="2:21" ht="14.25" customHeight="1" thickBot="1">
      <c r="B31" s="380"/>
      <c r="C31" s="380"/>
      <c r="D31" s="380"/>
      <c r="E31" s="317"/>
      <c r="F31" s="317"/>
      <c r="G31" s="317"/>
      <c r="I31" s="317"/>
      <c r="J31" s="317"/>
      <c r="K31" s="651"/>
      <c r="L31" s="317"/>
      <c r="M31" s="317"/>
      <c r="N31" s="317"/>
      <c r="R31" s="298"/>
    </row>
    <row r="32" spans="2:21" ht="14.25" customHeight="1">
      <c r="B32" s="378"/>
      <c r="C32" s="379"/>
      <c r="I32" s="320"/>
      <c r="R32" s="298"/>
    </row>
    <row r="33" spans="2:21" ht="14.25" customHeight="1">
      <c r="B33" s="320"/>
      <c r="I33" s="320"/>
      <c r="R33" s="298"/>
    </row>
    <row r="34" spans="2:21" ht="14.25" customHeight="1">
      <c r="B34" s="320"/>
      <c r="R34" s="298"/>
    </row>
    <row r="35" spans="2:21" ht="14.25" customHeight="1"/>
    <row r="36" spans="2:21" ht="14.25" customHeight="1" thickBot="1"/>
    <row r="37" spans="2:21" ht="16.149999999999999" customHeight="1" thickBot="1">
      <c r="B37" s="912" t="s">
        <v>224</v>
      </c>
      <c r="C37" s="913"/>
      <c r="D37" s="913"/>
      <c r="E37" s="913"/>
      <c r="F37" s="913"/>
      <c r="G37" s="913"/>
      <c r="H37" s="913"/>
      <c r="I37" s="913"/>
      <c r="J37" s="913"/>
      <c r="K37" s="913"/>
      <c r="L37" s="913"/>
      <c r="M37" s="913"/>
      <c r="N37" s="913"/>
      <c r="O37" s="913"/>
      <c r="P37" s="914"/>
      <c r="R37" s="298"/>
    </row>
    <row r="38" spans="2:21" ht="14.25" customHeight="1" thickBot="1">
      <c r="R38" s="298"/>
    </row>
    <row r="39" spans="2:21" ht="14.25" customHeight="1" thickBot="1">
      <c r="B39" s="299" t="s">
        <v>225</v>
      </c>
      <c r="C39" s="300" t="s">
        <v>226</v>
      </c>
      <c r="D39" s="301">
        <f>'[6]1_PUENTE LA ESPERANZA'!E57</f>
        <v>0</v>
      </c>
      <c r="E39" s="300" t="s">
        <v>227</v>
      </c>
      <c r="F39" s="301" t="str">
        <f>'[6]1_PUENTE LA ESPERANZA'!G57</f>
        <v xml:space="preserve">Limpieza y protección con aceite de linaza mas  trementina proporción 2:1 elementos estructurales (guaduas y Mangles), inc cambio de piezas averidadas. Guadua sumistrada por el Jardin botanico  </v>
      </c>
      <c r="G39" s="300" t="s">
        <v>228</v>
      </c>
      <c r="H39" s="302">
        <f>'[6]1_PUENTE LA ESPERANZA'!I57</f>
        <v>0</v>
      </c>
      <c r="I39" s="303"/>
      <c r="J39" s="304" t="s">
        <v>229</v>
      </c>
      <c r="K39" s="302">
        <f>'[6]1_PUENTE LA ESPERANZA'!L57</f>
        <v>0</v>
      </c>
      <c r="L39" s="303"/>
      <c r="M39" s="304" t="s">
        <v>230</v>
      </c>
      <c r="N39" s="915">
        <f>N4</f>
        <v>0</v>
      </c>
      <c r="O39" s="916"/>
      <c r="P39" s="917"/>
      <c r="R39" s="298"/>
    </row>
    <row r="40" spans="2:21" ht="14.25" customHeight="1" thickBot="1">
      <c r="R40" s="298"/>
    </row>
    <row r="41" spans="2:21" ht="14.25" customHeight="1" thickBot="1">
      <c r="B41" s="918" t="s">
        <v>231</v>
      </c>
      <c r="C41" s="919"/>
      <c r="D41" s="919"/>
      <c r="E41" s="920" t="str">
        <f>E6</f>
        <v>IMPLEMENTACIÓN DE ACCIONES DE CONSERVACIÓN, PRODUCCCIÓN SOSTENIBLE Y CONSUMO RESPONSABLE EN AREAS DE INTERES AMBIENTAL DEL D.M.I GUASIMO EN EL MUNICIPIO DE LA VIRGINIA</v>
      </c>
      <c r="F41" s="921"/>
      <c r="G41" s="921"/>
      <c r="H41" s="921"/>
      <c r="I41" s="921"/>
      <c r="J41" s="921"/>
      <c r="K41" s="921"/>
      <c r="L41" s="921"/>
      <c r="M41" s="921"/>
      <c r="N41" s="921"/>
      <c r="O41" s="921"/>
      <c r="P41" s="922"/>
      <c r="R41" s="298"/>
    </row>
    <row r="42" spans="2:21" ht="14.25" customHeight="1">
      <c r="B42" s="923" t="s">
        <v>232</v>
      </c>
      <c r="C42" s="924"/>
      <c r="D42" s="924"/>
      <c r="E42" s="925">
        <f>E7</f>
        <v>0</v>
      </c>
      <c r="F42" s="924"/>
      <c r="G42" s="924"/>
      <c r="H42" s="924"/>
      <c r="I42" s="926" t="s">
        <v>233</v>
      </c>
      <c r="J42" s="927"/>
      <c r="K42" s="928">
        <f>K7</f>
        <v>0</v>
      </c>
      <c r="L42" s="929"/>
      <c r="M42" s="930" t="s">
        <v>234</v>
      </c>
      <c r="N42" s="931"/>
      <c r="O42" s="935">
        <f>O7</f>
        <v>0</v>
      </c>
      <c r="P42" s="936"/>
      <c r="R42" s="298"/>
    </row>
    <row r="43" spans="2:21" ht="14.25" customHeight="1" thickBot="1">
      <c r="B43" s="898" t="s">
        <v>235</v>
      </c>
      <c r="C43" s="899"/>
      <c r="D43" s="899"/>
      <c r="E43" s="900" t="str">
        <f>E8</f>
        <v xml:space="preserve">MUNICIPIO DE LA VIRGINIA </v>
      </c>
      <c r="F43" s="899"/>
      <c r="G43" s="899"/>
      <c r="H43" s="899"/>
      <c r="I43" s="901" t="s">
        <v>233</v>
      </c>
      <c r="J43" s="902"/>
      <c r="K43" s="903">
        <f>K8</f>
        <v>0</v>
      </c>
      <c r="L43" s="904"/>
      <c r="M43" s="932"/>
      <c r="N43" s="933"/>
      <c r="O43" s="937"/>
      <c r="P43" s="938"/>
      <c r="R43" s="298"/>
    </row>
    <row r="44" spans="2:21" ht="38.5" customHeight="1" thickBot="1">
      <c r="B44" s="907" t="s">
        <v>236</v>
      </c>
      <c r="C44" s="908"/>
      <c r="D44" s="908"/>
      <c r="E44" s="305" t="s">
        <v>5</v>
      </c>
      <c r="F44" s="909" t="s">
        <v>6</v>
      </c>
      <c r="G44" s="910"/>
      <c r="H44" s="910"/>
      <c r="I44" s="910"/>
      <c r="J44" s="911"/>
      <c r="K44" s="905"/>
      <c r="L44" s="906"/>
      <c r="M44" s="934"/>
      <c r="N44" s="885"/>
      <c r="O44" s="939"/>
      <c r="P44" s="940"/>
      <c r="R44" s="298"/>
    </row>
    <row r="45" spans="2:21" ht="33" customHeight="1" thickBot="1">
      <c r="B45" s="880" t="str">
        <f>+'PRESUPUESTO ESTUFA'!B34</f>
        <v>E</v>
      </c>
      <c r="C45" s="881"/>
      <c r="D45" s="881"/>
      <c r="E45" s="306" t="str">
        <f>+'PRESUPUESTO ESTUFA'!B36</f>
        <v>E.1.2</v>
      </c>
      <c r="F45" s="882" t="str">
        <f>+'PRESUPUESTO ESTUFA'!C36</f>
        <v>Recuperacion de caminos</v>
      </c>
      <c r="G45" s="883"/>
      <c r="H45" s="883"/>
      <c r="I45" s="883"/>
      <c r="J45" s="884"/>
      <c r="K45" s="885" t="s">
        <v>1</v>
      </c>
      <c r="L45" s="886"/>
      <c r="M45" s="887" t="str">
        <f>+'PRESUPUESTO ESTUFA'!D36</f>
        <v>ML</v>
      </c>
      <c r="N45" s="886"/>
      <c r="O45" s="307" t="s">
        <v>237</v>
      </c>
      <c r="P45" s="681" t="s">
        <v>251</v>
      </c>
      <c r="R45" s="298"/>
    </row>
    <row r="46" spans="2:21" ht="14.25" customHeight="1">
      <c r="B46" s="888"/>
      <c r="C46" s="870"/>
      <c r="D46" s="870"/>
      <c r="E46" s="870"/>
      <c r="F46" s="870"/>
      <c r="G46" s="870"/>
      <c r="H46" s="870"/>
      <c r="I46" s="870"/>
      <c r="J46" s="889"/>
      <c r="K46" s="893" t="s">
        <v>238</v>
      </c>
      <c r="L46" s="895" t="s">
        <v>239</v>
      </c>
      <c r="M46" s="896"/>
      <c r="N46" s="897"/>
      <c r="O46" s="861" t="s">
        <v>240</v>
      </c>
      <c r="P46" s="863" t="s">
        <v>241</v>
      </c>
      <c r="R46" s="298"/>
    </row>
    <row r="47" spans="2:21" ht="14.25" customHeight="1" thickBot="1">
      <c r="B47" s="890"/>
      <c r="C47" s="891"/>
      <c r="D47" s="891"/>
      <c r="E47" s="891"/>
      <c r="F47" s="891"/>
      <c r="G47" s="891"/>
      <c r="H47" s="891"/>
      <c r="I47" s="891"/>
      <c r="J47" s="892"/>
      <c r="K47" s="894"/>
      <c r="L47" s="308" t="s">
        <v>242</v>
      </c>
      <c r="M47" s="308" t="s">
        <v>243</v>
      </c>
      <c r="N47" s="308" t="s">
        <v>244</v>
      </c>
      <c r="O47" s="862"/>
      <c r="P47" s="864"/>
      <c r="R47" s="298"/>
    </row>
    <row r="48" spans="2:21" ht="36.75" customHeight="1">
      <c r="B48" s="890"/>
      <c r="C48" s="891"/>
      <c r="D48" s="891"/>
      <c r="E48" s="891"/>
      <c r="F48" s="891"/>
      <c r="G48" s="891"/>
      <c r="H48" s="891"/>
      <c r="I48" s="891"/>
      <c r="J48" s="877"/>
      <c r="K48" s="373" t="s">
        <v>289</v>
      </c>
      <c r="L48" s="310"/>
      <c r="M48" s="310"/>
      <c r="N48" s="310">
        <f>40*0.5</f>
        <v>20</v>
      </c>
      <c r="O48" s="310">
        <v>1</v>
      </c>
      <c r="P48" s="682">
        <f>+N48*O48</f>
        <v>20</v>
      </c>
      <c r="R48" s="298"/>
      <c r="U48">
        <v>95.160000000000011</v>
      </c>
    </row>
    <row r="49" spans="2:21" ht="33.75" customHeight="1">
      <c r="B49" s="890"/>
      <c r="C49" s="891"/>
      <c r="D49" s="891"/>
      <c r="E49" s="891"/>
      <c r="F49" s="891"/>
      <c r="G49" s="891"/>
      <c r="H49" s="891"/>
      <c r="I49" s="891"/>
      <c r="J49" s="877"/>
      <c r="K49" s="375" t="s">
        <v>290</v>
      </c>
      <c r="L49" s="313"/>
      <c r="M49" s="313"/>
      <c r="N49" s="313">
        <f>7*0.5</f>
        <v>3.5</v>
      </c>
      <c r="O49" s="313">
        <v>1</v>
      </c>
      <c r="P49" s="683">
        <f t="shared" ref="P49:P54" si="0">+N49*O49</f>
        <v>3.5</v>
      </c>
      <c r="R49" s="298"/>
      <c r="U49" s="315">
        <f>L71</f>
        <v>163.5</v>
      </c>
    </row>
    <row r="50" spans="2:21" ht="33" customHeight="1">
      <c r="B50" s="890"/>
      <c r="C50" s="891"/>
      <c r="D50" s="891"/>
      <c r="E50" s="891"/>
      <c r="F50" s="891"/>
      <c r="G50" s="891"/>
      <c r="H50" s="891"/>
      <c r="I50" s="891"/>
      <c r="J50" s="877"/>
      <c r="K50" s="375" t="s">
        <v>291</v>
      </c>
      <c r="L50" s="313"/>
      <c r="M50" s="313"/>
      <c r="N50" s="313">
        <f>50*0.5</f>
        <v>25</v>
      </c>
      <c r="O50" s="313">
        <v>1</v>
      </c>
      <c r="P50" s="683">
        <f t="shared" si="0"/>
        <v>25</v>
      </c>
      <c r="R50" s="298"/>
      <c r="U50" s="315">
        <f>U48-U49</f>
        <v>-68.339999999999989</v>
      </c>
    </row>
    <row r="51" spans="2:21" ht="33" customHeight="1">
      <c r="B51" s="890"/>
      <c r="C51" s="891"/>
      <c r="D51" s="891"/>
      <c r="E51" s="891"/>
      <c r="F51" s="891"/>
      <c r="G51" s="891"/>
      <c r="H51" s="891"/>
      <c r="I51" s="891"/>
      <c r="J51" s="877"/>
      <c r="K51" s="375" t="s">
        <v>292</v>
      </c>
      <c r="L51" s="313"/>
      <c r="M51" s="313"/>
      <c r="N51" s="313">
        <v>61</v>
      </c>
      <c r="O51" s="313">
        <v>1</v>
      </c>
      <c r="P51" s="683">
        <f t="shared" si="0"/>
        <v>61</v>
      </c>
      <c r="R51" s="298"/>
    </row>
    <row r="52" spans="2:21" ht="37.5" customHeight="1">
      <c r="B52" s="890"/>
      <c r="C52" s="891"/>
      <c r="D52" s="891"/>
      <c r="E52" s="891"/>
      <c r="F52" s="891"/>
      <c r="G52" s="891"/>
      <c r="H52" s="891"/>
      <c r="I52" s="891"/>
      <c r="J52" s="877"/>
      <c r="K52" s="375" t="s">
        <v>293</v>
      </c>
      <c r="L52" s="313"/>
      <c r="M52" s="313"/>
      <c r="N52" s="313">
        <v>23</v>
      </c>
      <c r="O52" s="313">
        <v>1</v>
      </c>
      <c r="P52" s="683">
        <f t="shared" si="0"/>
        <v>23</v>
      </c>
      <c r="R52" s="298"/>
    </row>
    <row r="53" spans="2:21" ht="30" customHeight="1">
      <c r="B53" s="890"/>
      <c r="C53" s="891"/>
      <c r="D53" s="891"/>
      <c r="E53" s="891"/>
      <c r="F53" s="891"/>
      <c r="G53" s="891"/>
      <c r="H53" s="891"/>
      <c r="I53" s="891"/>
      <c r="J53" s="877"/>
      <c r="K53" s="375" t="s">
        <v>295</v>
      </c>
      <c r="L53" s="314"/>
      <c r="M53" s="314"/>
      <c r="N53" s="314">
        <v>6</v>
      </c>
      <c r="O53" s="313">
        <v>1</v>
      </c>
      <c r="P53" s="683">
        <f t="shared" si="0"/>
        <v>6</v>
      </c>
      <c r="R53" s="298"/>
    </row>
    <row r="54" spans="2:21" ht="40.5" customHeight="1">
      <c r="B54" s="890"/>
      <c r="C54" s="891"/>
      <c r="D54" s="891"/>
      <c r="E54" s="891"/>
      <c r="F54" s="891"/>
      <c r="G54" s="891"/>
      <c r="H54" s="891"/>
      <c r="I54" s="891"/>
      <c r="J54" s="877"/>
      <c r="K54" s="375" t="s">
        <v>308</v>
      </c>
      <c r="L54" s="314"/>
      <c r="M54" s="314"/>
      <c r="N54" s="314">
        <v>25</v>
      </c>
      <c r="O54" s="313">
        <v>1</v>
      </c>
      <c r="P54" s="683">
        <f t="shared" si="0"/>
        <v>25</v>
      </c>
      <c r="R54" s="298"/>
    </row>
    <row r="55" spans="2:21">
      <c r="B55" s="890"/>
      <c r="C55" s="891"/>
      <c r="D55" s="891"/>
      <c r="E55" s="891"/>
      <c r="F55" s="891"/>
      <c r="G55" s="891"/>
      <c r="H55" s="891"/>
      <c r="I55" s="891"/>
      <c r="J55" s="877"/>
      <c r="K55" s="652"/>
      <c r="L55" s="314"/>
      <c r="M55" s="314"/>
      <c r="N55" s="314"/>
      <c r="O55" s="313"/>
      <c r="P55" s="683"/>
      <c r="R55" s="298"/>
    </row>
    <row r="56" spans="2:21" ht="14.25" customHeight="1">
      <c r="B56" s="890"/>
      <c r="C56" s="891"/>
      <c r="D56" s="891"/>
      <c r="E56" s="891"/>
      <c r="F56" s="891"/>
      <c r="G56" s="891"/>
      <c r="H56" s="891"/>
      <c r="I56" s="891"/>
      <c r="J56" s="877"/>
      <c r="K56" s="652"/>
      <c r="L56" s="314"/>
      <c r="M56" s="314"/>
      <c r="N56" s="314"/>
      <c r="O56" s="313"/>
      <c r="P56" s="683"/>
      <c r="R56" s="298"/>
    </row>
    <row r="57" spans="2:21" ht="14.25" customHeight="1">
      <c r="B57" s="890"/>
      <c r="C57" s="891"/>
      <c r="D57" s="891"/>
      <c r="E57" s="891"/>
      <c r="F57" s="891"/>
      <c r="G57" s="891"/>
      <c r="H57" s="891"/>
      <c r="I57" s="891"/>
      <c r="J57" s="877"/>
      <c r="K57" s="652"/>
      <c r="L57" s="314"/>
      <c r="M57" s="314"/>
      <c r="N57" s="314"/>
      <c r="O57" s="314"/>
      <c r="P57" s="683"/>
      <c r="R57" s="298"/>
    </row>
    <row r="58" spans="2:21" ht="14.25" customHeight="1">
      <c r="B58" s="890"/>
      <c r="C58" s="891"/>
      <c r="D58" s="891"/>
      <c r="E58" s="891"/>
      <c r="F58" s="891"/>
      <c r="G58" s="891"/>
      <c r="H58" s="891"/>
      <c r="I58" s="891"/>
      <c r="J58" s="877"/>
      <c r="K58" s="652"/>
      <c r="L58" s="314"/>
      <c r="M58" s="314"/>
      <c r="N58" s="314"/>
      <c r="O58" s="314"/>
      <c r="P58" s="683"/>
      <c r="R58" s="298"/>
    </row>
    <row r="59" spans="2:21" ht="14.25" customHeight="1">
      <c r="B59" s="890"/>
      <c r="C59" s="891"/>
      <c r="D59" s="891"/>
      <c r="E59" s="891"/>
      <c r="F59" s="891"/>
      <c r="G59" s="891"/>
      <c r="H59" s="891"/>
      <c r="I59" s="891"/>
      <c r="J59" s="877"/>
      <c r="K59" s="652"/>
      <c r="L59" s="314"/>
      <c r="M59" s="314"/>
      <c r="N59" s="314"/>
      <c r="O59" s="314"/>
      <c r="P59" s="684"/>
      <c r="R59" s="298"/>
    </row>
    <row r="60" spans="2:21" ht="14.25" customHeight="1">
      <c r="B60" s="890"/>
      <c r="C60" s="891"/>
      <c r="D60" s="891"/>
      <c r="E60" s="891"/>
      <c r="F60" s="891"/>
      <c r="G60" s="891"/>
      <c r="H60" s="891"/>
      <c r="I60" s="891"/>
      <c r="J60" s="877"/>
      <c r="K60" s="652"/>
      <c r="L60" s="314"/>
      <c r="M60" s="314"/>
      <c r="N60" s="314"/>
      <c r="O60" s="314"/>
      <c r="P60" s="684"/>
      <c r="R60" s="298"/>
    </row>
    <row r="61" spans="2:21" ht="14.25" customHeight="1">
      <c r="B61" s="890"/>
      <c r="C61" s="891"/>
      <c r="D61" s="891"/>
      <c r="E61" s="891"/>
      <c r="F61" s="891"/>
      <c r="G61" s="891"/>
      <c r="H61" s="891"/>
      <c r="I61" s="891"/>
      <c r="J61" s="877"/>
      <c r="K61" s="652"/>
      <c r="L61" s="314"/>
      <c r="M61" s="314"/>
      <c r="N61" s="314"/>
      <c r="O61" s="314"/>
      <c r="P61" s="684"/>
      <c r="R61" s="298"/>
    </row>
    <row r="62" spans="2:21" ht="14.25" customHeight="1">
      <c r="B62" s="890"/>
      <c r="C62" s="891"/>
      <c r="D62" s="891"/>
      <c r="E62" s="891"/>
      <c r="F62" s="891"/>
      <c r="G62" s="891"/>
      <c r="H62" s="891"/>
      <c r="I62" s="891"/>
      <c r="J62" s="877"/>
      <c r="K62" s="652"/>
      <c r="L62" s="314"/>
      <c r="M62" s="314"/>
      <c r="N62" s="314"/>
      <c r="O62" s="314"/>
      <c r="P62" s="684"/>
      <c r="R62" s="298"/>
    </row>
    <row r="63" spans="2:21" ht="14.25" customHeight="1">
      <c r="B63" s="890"/>
      <c r="C63" s="891"/>
      <c r="D63" s="891"/>
      <c r="E63" s="891"/>
      <c r="F63" s="891"/>
      <c r="G63" s="891"/>
      <c r="H63" s="891"/>
      <c r="I63" s="891"/>
      <c r="J63" s="877"/>
      <c r="K63" s="652"/>
      <c r="L63" s="314"/>
      <c r="M63" s="314"/>
      <c r="N63" s="314"/>
      <c r="O63" s="314"/>
      <c r="P63" s="684"/>
      <c r="R63" s="298"/>
    </row>
    <row r="64" spans="2:21" ht="14.25" customHeight="1">
      <c r="B64" s="890"/>
      <c r="C64" s="891"/>
      <c r="D64" s="891"/>
      <c r="E64" s="891"/>
      <c r="F64" s="891"/>
      <c r="G64" s="891"/>
      <c r="H64" s="891"/>
      <c r="I64" s="891"/>
      <c r="J64" s="877"/>
      <c r="K64" s="652"/>
      <c r="L64" s="314"/>
      <c r="M64" s="314"/>
      <c r="N64" s="314"/>
      <c r="O64" s="314"/>
      <c r="P64" s="684"/>
      <c r="R64" s="298"/>
    </row>
    <row r="65" spans="2:18" ht="14.25" customHeight="1">
      <c r="B65" s="890"/>
      <c r="C65" s="891"/>
      <c r="D65" s="891"/>
      <c r="E65" s="891"/>
      <c r="F65" s="891"/>
      <c r="G65" s="891"/>
      <c r="H65" s="891"/>
      <c r="I65" s="891"/>
      <c r="J65" s="877"/>
      <c r="K65" s="652"/>
      <c r="L65" s="314"/>
      <c r="M65" s="314"/>
      <c r="N65" s="314"/>
      <c r="O65" s="314"/>
      <c r="P65" s="684"/>
      <c r="R65" s="298"/>
    </row>
    <row r="66" spans="2:18" ht="14.25" customHeight="1">
      <c r="B66" s="890"/>
      <c r="C66" s="891"/>
      <c r="D66" s="891"/>
      <c r="E66" s="891"/>
      <c r="F66" s="891"/>
      <c r="G66" s="891"/>
      <c r="H66" s="891"/>
      <c r="I66" s="891"/>
      <c r="J66" s="877"/>
      <c r="K66" s="652"/>
      <c r="L66" s="314"/>
      <c r="M66" s="314"/>
      <c r="N66" s="314"/>
      <c r="O66" s="314"/>
      <c r="P66" s="684"/>
      <c r="R66" s="298"/>
    </row>
    <row r="67" spans="2:18" ht="14.25" customHeight="1">
      <c r="B67" s="890"/>
      <c r="C67" s="891"/>
      <c r="D67" s="891"/>
      <c r="E67" s="891"/>
      <c r="F67" s="891"/>
      <c r="G67" s="891"/>
      <c r="H67" s="891"/>
      <c r="I67" s="891"/>
      <c r="J67" s="877"/>
      <c r="K67" s="652"/>
      <c r="L67" s="314"/>
      <c r="M67" s="314"/>
      <c r="N67" s="314"/>
      <c r="O67" s="314"/>
      <c r="P67" s="684"/>
      <c r="R67" s="298"/>
    </row>
    <row r="68" spans="2:18" ht="14.25" customHeight="1">
      <c r="B68" s="890"/>
      <c r="C68" s="891"/>
      <c r="D68" s="891"/>
      <c r="E68" s="891"/>
      <c r="F68" s="891"/>
      <c r="G68" s="891"/>
      <c r="H68" s="891"/>
      <c r="I68" s="891"/>
      <c r="J68" s="877"/>
      <c r="K68" s="652"/>
      <c r="L68" s="314"/>
      <c r="M68" s="314"/>
      <c r="N68" s="314"/>
      <c r="O68" s="314"/>
      <c r="P68" s="684"/>
      <c r="R68" s="298"/>
    </row>
    <row r="69" spans="2:18" ht="14.25" customHeight="1">
      <c r="B69" s="890"/>
      <c r="C69" s="891"/>
      <c r="D69" s="891"/>
      <c r="E69" s="891"/>
      <c r="F69" s="891"/>
      <c r="G69" s="891"/>
      <c r="H69" s="891"/>
      <c r="I69" s="891"/>
      <c r="J69" s="877"/>
      <c r="K69" s="652"/>
      <c r="L69" s="314"/>
      <c r="M69" s="314"/>
      <c r="N69" s="314"/>
      <c r="O69" s="314"/>
      <c r="P69" s="684"/>
      <c r="R69" s="298"/>
    </row>
    <row r="70" spans="2:18" ht="14.25" customHeight="1" thickBot="1">
      <c r="B70" s="867"/>
      <c r="C70" s="871"/>
      <c r="D70" s="871"/>
      <c r="E70" s="871"/>
      <c r="F70" s="871"/>
      <c r="G70" s="871"/>
      <c r="H70" s="871"/>
      <c r="I70" s="871"/>
      <c r="J70" s="871"/>
      <c r="K70" s="650"/>
      <c r="L70" s="316"/>
      <c r="M70" s="316"/>
      <c r="N70" s="316"/>
      <c r="O70" s="316"/>
      <c r="P70" s="685"/>
      <c r="R70" s="298"/>
    </row>
    <row r="71" spans="2:18" ht="14.25" customHeight="1">
      <c r="B71" s="865" t="s">
        <v>248</v>
      </c>
      <c r="C71" s="866"/>
      <c r="D71" s="963" t="s">
        <v>294</v>
      </c>
      <c r="E71" s="870"/>
      <c r="F71" s="870"/>
      <c r="G71" s="870"/>
      <c r="H71" s="870"/>
      <c r="I71" s="870"/>
      <c r="J71" s="866"/>
      <c r="K71" s="872" t="s">
        <v>246</v>
      </c>
      <c r="L71" s="874">
        <f>P71</f>
        <v>163.5</v>
      </c>
      <c r="M71" s="876" t="s">
        <v>247</v>
      </c>
      <c r="N71" s="877"/>
      <c r="O71" s="878"/>
      <c r="P71" s="879">
        <f>SUM(P48:P70)</f>
        <v>163.5</v>
      </c>
      <c r="R71" s="298"/>
    </row>
    <row r="72" spans="2:18" ht="79.5" customHeight="1" thickBot="1">
      <c r="B72" s="867"/>
      <c r="C72" s="868"/>
      <c r="D72" s="867"/>
      <c r="E72" s="871"/>
      <c r="F72" s="871"/>
      <c r="G72" s="871"/>
      <c r="H72" s="871"/>
      <c r="I72" s="871"/>
      <c r="J72" s="868"/>
      <c r="K72" s="873"/>
      <c r="L72" s="875"/>
      <c r="M72" s="867"/>
      <c r="N72" s="871"/>
      <c r="O72" s="868"/>
      <c r="P72" s="942"/>
      <c r="R72" s="298"/>
    </row>
    <row r="73" spans="2:18" ht="14.25" customHeight="1">
      <c r="R73" s="298"/>
    </row>
    <row r="74" spans="2:18" ht="14.25" customHeight="1">
      <c r="R74" s="298"/>
    </row>
    <row r="75" spans="2:18" ht="14.25" customHeight="1">
      <c r="R75" s="298"/>
    </row>
    <row r="76" spans="2:18" ht="14.25" customHeight="1" thickBot="1">
      <c r="B76" s="317"/>
      <c r="C76" s="317"/>
      <c r="D76" s="317"/>
      <c r="E76" s="317"/>
      <c r="F76" s="317"/>
      <c r="G76" s="317"/>
      <c r="I76" s="317"/>
      <c r="J76" s="317"/>
      <c r="K76" s="651"/>
      <c r="L76" s="317"/>
      <c r="M76" s="317"/>
      <c r="N76" s="317"/>
      <c r="R76" s="298"/>
    </row>
    <row r="77" spans="2:18" ht="14.25" customHeight="1" thickBot="1">
      <c r="B77" s="318"/>
      <c r="C77" s="319"/>
      <c r="I77" s="320"/>
      <c r="R77" s="298"/>
    </row>
    <row r="78" spans="2:18" ht="14.25" customHeight="1">
      <c r="B78" s="320"/>
      <c r="I78" s="320"/>
      <c r="R78" s="298"/>
    </row>
    <row r="79" spans="2:18" ht="14.25" customHeight="1">
      <c r="B79" s="320"/>
      <c r="R79" s="298"/>
    </row>
    <row r="80" spans="2:18" ht="14.25" customHeight="1">
      <c r="B80" s="320"/>
    </row>
    <row r="81" spans="2:21" ht="14.25" customHeight="1" thickBot="1">
      <c r="B81" s="320"/>
    </row>
    <row r="82" spans="2:21" ht="16.149999999999999" customHeight="1" thickBot="1">
      <c r="B82" s="912" t="s">
        <v>250</v>
      </c>
      <c r="C82" s="913"/>
      <c r="D82" s="913"/>
      <c r="E82" s="913"/>
      <c r="F82" s="913"/>
      <c r="G82" s="913"/>
      <c r="H82" s="913"/>
      <c r="I82" s="913"/>
      <c r="J82" s="913"/>
      <c r="K82" s="913"/>
      <c r="L82" s="913"/>
      <c r="M82" s="913"/>
      <c r="N82" s="913"/>
      <c r="O82" s="913"/>
      <c r="P82" s="914"/>
      <c r="R82" s="298"/>
    </row>
    <row r="83" spans="2:21" ht="6.65" customHeight="1" thickBot="1">
      <c r="R83" s="298"/>
    </row>
    <row r="84" spans="2:21" ht="14.25" customHeight="1" thickBot="1">
      <c r="B84" s="299" t="s">
        <v>225</v>
      </c>
      <c r="C84" s="300" t="s">
        <v>226</v>
      </c>
      <c r="D84" s="301">
        <v>10</v>
      </c>
      <c r="E84" s="300" t="s">
        <v>227</v>
      </c>
      <c r="F84" s="301">
        <v>10</v>
      </c>
      <c r="G84" s="300" t="s">
        <v>228</v>
      </c>
      <c r="H84" s="302">
        <v>2024</v>
      </c>
      <c r="I84" s="303"/>
      <c r="J84" s="304" t="s">
        <v>229</v>
      </c>
      <c r="K84" s="302"/>
      <c r="L84" s="303"/>
      <c r="M84" s="304" t="s">
        <v>230</v>
      </c>
      <c r="N84" s="915"/>
      <c r="O84" s="916"/>
      <c r="P84" s="917"/>
      <c r="R84" s="298"/>
    </row>
    <row r="85" spans="2:21" ht="6.65" customHeight="1" thickBot="1">
      <c r="R85" s="298"/>
    </row>
    <row r="86" spans="2:21" ht="33.75" customHeight="1" thickBot="1">
      <c r="B86" s="918" t="s">
        <v>231</v>
      </c>
      <c r="C86" s="919"/>
      <c r="D86" s="919"/>
      <c r="E86" s="920" t="s">
        <v>187</v>
      </c>
      <c r="F86" s="921"/>
      <c r="G86" s="921"/>
      <c r="H86" s="921"/>
      <c r="I86" s="921"/>
      <c r="J86" s="921"/>
      <c r="K86" s="921"/>
      <c r="L86" s="921"/>
      <c r="M86" s="921"/>
      <c r="N86" s="921"/>
      <c r="O86" s="921"/>
      <c r="P86" s="922"/>
      <c r="R86" s="298"/>
    </row>
    <row r="87" spans="2:21" ht="14.25" customHeight="1">
      <c r="B87" s="923" t="s">
        <v>232</v>
      </c>
      <c r="C87" s="924"/>
      <c r="D87" s="924"/>
      <c r="E87" s="925"/>
      <c r="F87" s="924"/>
      <c r="G87" s="924"/>
      <c r="H87" s="924"/>
      <c r="I87" s="926" t="s">
        <v>233</v>
      </c>
      <c r="J87" s="927"/>
      <c r="K87" s="928"/>
      <c r="L87" s="929"/>
      <c r="M87" s="930" t="s">
        <v>234</v>
      </c>
      <c r="N87" s="931"/>
      <c r="O87" s="935"/>
      <c r="P87" s="936"/>
      <c r="R87" s="298"/>
    </row>
    <row r="88" spans="2:21" ht="14.25" customHeight="1" thickBot="1">
      <c r="B88" s="898" t="s">
        <v>235</v>
      </c>
      <c r="C88" s="899"/>
      <c r="D88" s="899"/>
      <c r="E88" s="900" t="s">
        <v>287</v>
      </c>
      <c r="F88" s="899"/>
      <c r="G88" s="899"/>
      <c r="H88" s="899"/>
      <c r="I88" s="901" t="s">
        <v>233</v>
      </c>
      <c r="J88" s="902"/>
      <c r="K88" s="903"/>
      <c r="L88" s="904"/>
      <c r="M88" s="932"/>
      <c r="N88" s="933"/>
      <c r="O88" s="937"/>
      <c r="P88" s="938"/>
      <c r="R88" s="298"/>
    </row>
    <row r="89" spans="2:21" ht="14.25" customHeight="1" thickBot="1">
      <c r="B89" s="907" t="s">
        <v>236</v>
      </c>
      <c r="C89" s="908"/>
      <c r="D89" s="908"/>
      <c r="E89" s="305" t="s">
        <v>5</v>
      </c>
      <c r="F89" s="909" t="s">
        <v>6</v>
      </c>
      <c r="G89" s="910"/>
      <c r="H89" s="910"/>
      <c r="I89" s="910"/>
      <c r="J89" s="911"/>
      <c r="K89" s="905"/>
      <c r="L89" s="906"/>
      <c r="M89" s="934"/>
      <c r="N89" s="885"/>
      <c r="O89" s="939"/>
      <c r="P89" s="940"/>
      <c r="R89" s="298"/>
    </row>
    <row r="90" spans="2:21" ht="85.5" customHeight="1" thickBot="1">
      <c r="B90" s="880" t="str">
        <f>+'PRESUPUESTO ESTUFA'!B34</f>
        <v>E</v>
      </c>
      <c r="C90" s="881"/>
      <c r="D90" s="881"/>
      <c r="E90" s="306" t="str">
        <f>+'PRESUPUESTO ESTUFA'!B37</f>
        <v>E.1.3</v>
      </c>
      <c r="F90" s="964" t="str">
        <f>+'PRESUPUESTO ESTUFA'!C37</f>
        <v xml:space="preserve">Suministro e instalacion de pasamanos en madera </v>
      </c>
      <c r="G90" s="965"/>
      <c r="H90" s="965"/>
      <c r="I90" s="965"/>
      <c r="J90" s="966"/>
      <c r="K90" s="885" t="s">
        <v>1</v>
      </c>
      <c r="L90" s="886"/>
      <c r="M90" s="887" t="str">
        <f>+'PRESUPUESTO ESTUFA'!D37</f>
        <v>ML</v>
      </c>
      <c r="N90" s="886"/>
      <c r="O90" s="307" t="s">
        <v>237</v>
      </c>
      <c r="P90" s="681" t="s">
        <v>251</v>
      </c>
      <c r="R90" s="298"/>
    </row>
    <row r="91" spans="2:21" ht="14.25" customHeight="1">
      <c r="B91" s="958"/>
      <c r="C91" s="877"/>
      <c r="D91" s="877"/>
      <c r="E91" s="877"/>
      <c r="F91" s="877"/>
      <c r="G91" s="877"/>
      <c r="H91" s="877"/>
      <c r="I91" s="877"/>
      <c r="J91" s="892"/>
      <c r="K91" s="959" t="s">
        <v>238</v>
      </c>
      <c r="L91" s="960" t="s">
        <v>239</v>
      </c>
      <c r="M91" s="961"/>
      <c r="N91" s="962"/>
      <c r="O91" s="944" t="s">
        <v>240</v>
      </c>
      <c r="P91" s="945" t="s">
        <v>241</v>
      </c>
      <c r="R91" s="298"/>
    </row>
    <row r="92" spans="2:21" ht="18.75" customHeight="1" thickBot="1">
      <c r="B92" s="890"/>
      <c r="C92" s="891"/>
      <c r="D92" s="891"/>
      <c r="E92" s="891"/>
      <c r="F92" s="891"/>
      <c r="G92" s="891"/>
      <c r="H92" s="891"/>
      <c r="I92" s="891"/>
      <c r="J92" s="892"/>
      <c r="K92" s="894"/>
      <c r="L92" s="308" t="s">
        <v>242</v>
      </c>
      <c r="M92" s="308" t="s">
        <v>243</v>
      </c>
      <c r="N92" s="308" t="s">
        <v>244</v>
      </c>
      <c r="O92" s="862"/>
      <c r="P92" s="864"/>
      <c r="R92" s="298"/>
    </row>
    <row r="93" spans="2:21" ht="40.5" customHeight="1" thickBot="1">
      <c r="B93" s="890"/>
      <c r="C93" s="891"/>
      <c r="D93" s="891"/>
      <c r="E93" s="891"/>
      <c r="F93" s="891"/>
      <c r="G93" s="891"/>
      <c r="H93" s="891"/>
      <c r="I93" s="891"/>
      <c r="J93" s="877"/>
      <c r="K93" s="373" t="s">
        <v>296</v>
      </c>
      <c r="L93" s="310"/>
      <c r="M93" s="310"/>
      <c r="N93" s="310"/>
      <c r="O93" s="374"/>
      <c r="P93" s="682">
        <f>N93*O93</f>
        <v>0</v>
      </c>
      <c r="R93" s="298"/>
      <c r="U93" s="311"/>
    </row>
    <row r="94" spans="2:21" ht="29.5" thickBot="1">
      <c r="B94" s="890"/>
      <c r="C94" s="891"/>
      <c r="D94" s="891"/>
      <c r="E94" s="891"/>
      <c r="F94" s="891"/>
      <c r="G94" s="891"/>
      <c r="H94" s="891"/>
      <c r="I94" s="891"/>
      <c r="J94" s="877"/>
      <c r="K94" s="373" t="s">
        <v>297</v>
      </c>
      <c r="L94" s="313"/>
      <c r="M94" s="313"/>
      <c r="N94" s="313">
        <v>42</v>
      </c>
      <c r="O94" s="376">
        <v>1</v>
      </c>
      <c r="P94" s="683">
        <f>N94*O94</f>
        <v>42</v>
      </c>
      <c r="R94" s="298"/>
      <c r="U94" s="311"/>
    </row>
    <row r="95" spans="2:21" ht="29.5" thickBot="1">
      <c r="B95" s="890"/>
      <c r="C95" s="891"/>
      <c r="D95" s="891"/>
      <c r="E95" s="891"/>
      <c r="F95" s="891"/>
      <c r="G95" s="891"/>
      <c r="H95" s="891"/>
      <c r="I95" s="891"/>
      <c r="J95" s="877"/>
      <c r="K95" s="373" t="s">
        <v>298</v>
      </c>
      <c r="L95" s="111"/>
      <c r="M95" s="111"/>
      <c r="N95" s="111">
        <v>35</v>
      </c>
      <c r="O95" s="376">
        <v>1</v>
      </c>
      <c r="P95" s="683">
        <f>N95*O95</f>
        <v>35</v>
      </c>
      <c r="R95" s="298"/>
      <c r="U95" s="311"/>
    </row>
    <row r="96" spans="2:21" ht="29.5" thickBot="1">
      <c r="B96" s="890"/>
      <c r="C96" s="891"/>
      <c r="D96" s="891"/>
      <c r="E96" s="891"/>
      <c r="F96" s="891"/>
      <c r="G96" s="891"/>
      <c r="H96" s="891"/>
      <c r="I96" s="891"/>
      <c r="J96" s="877"/>
      <c r="K96" s="373" t="s">
        <v>299</v>
      </c>
      <c r="L96" s="313"/>
      <c r="M96" s="313"/>
      <c r="N96" s="313">
        <v>20</v>
      </c>
      <c r="O96" s="376">
        <v>1</v>
      </c>
      <c r="P96" s="683">
        <f>N96*O96</f>
        <v>20</v>
      </c>
      <c r="R96" s="298"/>
    </row>
    <row r="97" spans="2:21" ht="29.5" thickBot="1">
      <c r="B97" s="890"/>
      <c r="C97" s="891"/>
      <c r="D97" s="891"/>
      <c r="E97" s="891"/>
      <c r="F97" s="891"/>
      <c r="G97" s="891"/>
      <c r="H97" s="891"/>
      <c r="I97" s="891"/>
      <c r="J97" s="877"/>
      <c r="K97" s="373" t="s">
        <v>300</v>
      </c>
      <c r="L97" s="313"/>
      <c r="M97" s="313"/>
      <c r="N97" s="313">
        <v>13</v>
      </c>
      <c r="O97" s="376">
        <v>1</v>
      </c>
      <c r="P97" s="683">
        <f>N97*O97</f>
        <v>13</v>
      </c>
      <c r="R97" s="298"/>
    </row>
    <row r="98" spans="2:21" ht="29.5" thickBot="1">
      <c r="B98" s="890"/>
      <c r="C98" s="891"/>
      <c r="D98" s="891"/>
      <c r="E98" s="891"/>
      <c r="F98" s="891"/>
      <c r="G98" s="891"/>
      <c r="H98" s="891"/>
      <c r="I98" s="891"/>
      <c r="J98" s="877"/>
      <c r="K98" s="373" t="s">
        <v>301</v>
      </c>
      <c r="L98" s="314"/>
      <c r="M98" s="314"/>
      <c r="N98" s="314">
        <v>18</v>
      </c>
      <c r="O98" s="376">
        <v>1</v>
      </c>
      <c r="P98" s="683">
        <f t="shared" ref="P98:P103" si="1">N98*O98</f>
        <v>18</v>
      </c>
      <c r="R98" s="298"/>
    </row>
    <row r="99" spans="2:21" ht="29.5" thickBot="1">
      <c r="B99" s="890"/>
      <c r="C99" s="891"/>
      <c r="D99" s="891"/>
      <c r="E99" s="891"/>
      <c r="F99" s="891"/>
      <c r="G99" s="891"/>
      <c r="H99" s="891"/>
      <c r="I99" s="891"/>
      <c r="J99" s="877"/>
      <c r="K99" s="373" t="s">
        <v>302</v>
      </c>
      <c r="L99" s="314"/>
      <c r="M99" s="314"/>
      <c r="N99" s="314">
        <v>34</v>
      </c>
      <c r="O99" s="376">
        <v>1</v>
      </c>
      <c r="P99" s="683">
        <f t="shared" si="1"/>
        <v>34</v>
      </c>
      <c r="R99" s="298"/>
    </row>
    <row r="100" spans="2:21" ht="29.5" thickBot="1">
      <c r="B100" s="890"/>
      <c r="C100" s="891"/>
      <c r="D100" s="891"/>
      <c r="E100" s="891"/>
      <c r="F100" s="891"/>
      <c r="G100" s="891"/>
      <c r="H100" s="891"/>
      <c r="I100" s="891"/>
      <c r="J100" s="877"/>
      <c r="K100" s="373" t="s">
        <v>303</v>
      </c>
      <c r="L100" s="314"/>
      <c r="M100" s="314"/>
      <c r="N100" s="314">
        <v>20</v>
      </c>
      <c r="O100" s="376">
        <v>1</v>
      </c>
      <c r="P100" s="683">
        <f t="shared" si="1"/>
        <v>20</v>
      </c>
      <c r="R100" s="298"/>
      <c r="U100" s="315"/>
    </row>
    <row r="101" spans="2:21" ht="29.5" thickBot="1">
      <c r="B101" s="890"/>
      <c r="C101" s="891"/>
      <c r="D101" s="891"/>
      <c r="E101" s="891"/>
      <c r="F101" s="891"/>
      <c r="G101" s="891"/>
      <c r="H101" s="891"/>
      <c r="I101" s="891"/>
      <c r="J101" s="877"/>
      <c r="K101" s="373" t="s">
        <v>304</v>
      </c>
      <c r="L101" s="314"/>
      <c r="M101" s="314"/>
      <c r="N101" s="314">
        <v>35</v>
      </c>
      <c r="O101" s="376">
        <v>1</v>
      </c>
      <c r="P101" s="683">
        <f t="shared" si="1"/>
        <v>35</v>
      </c>
      <c r="R101" s="298"/>
      <c r="U101" s="315"/>
    </row>
    <row r="102" spans="2:21" ht="29.5" thickBot="1">
      <c r="B102" s="890"/>
      <c r="C102" s="891"/>
      <c r="D102" s="891"/>
      <c r="E102" s="891"/>
      <c r="F102" s="891"/>
      <c r="G102" s="891"/>
      <c r="H102" s="891"/>
      <c r="I102" s="891"/>
      <c r="J102" s="877"/>
      <c r="K102" s="373" t="s">
        <v>305</v>
      </c>
      <c r="L102" s="314"/>
      <c r="M102" s="314"/>
      <c r="N102" s="314">
        <v>10</v>
      </c>
      <c r="O102" s="376">
        <v>1</v>
      </c>
      <c r="P102" s="683">
        <f t="shared" si="1"/>
        <v>10</v>
      </c>
      <c r="R102" s="298"/>
    </row>
    <row r="103" spans="2:21" ht="29.5" thickBot="1">
      <c r="B103" s="890"/>
      <c r="C103" s="891"/>
      <c r="D103" s="891"/>
      <c r="E103" s="891"/>
      <c r="F103" s="891"/>
      <c r="G103" s="891"/>
      <c r="H103" s="891"/>
      <c r="I103" s="891"/>
      <c r="J103" s="877"/>
      <c r="K103" s="373" t="s">
        <v>306</v>
      </c>
      <c r="L103" s="314"/>
      <c r="M103" s="314"/>
      <c r="N103" s="314">
        <v>25</v>
      </c>
      <c r="O103" s="376">
        <v>1</v>
      </c>
      <c r="P103" s="683">
        <f t="shared" si="1"/>
        <v>25</v>
      </c>
      <c r="R103" s="298"/>
    </row>
    <row r="104" spans="2:21" ht="14.25" customHeight="1">
      <c r="B104" s="890"/>
      <c r="C104" s="891"/>
      <c r="D104" s="891"/>
      <c r="E104" s="891"/>
      <c r="F104" s="891"/>
      <c r="G104" s="891"/>
      <c r="H104" s="891"/>
      <c r="I104" s="891"/>
      <c r="J104" s="877"/>
      <c r="K104" s="373" t="s">
        <v>307</v>
      </c>
      <c r="L104" s="314"/>
      <c r="M104" s="314"/>
      <c r="N104" s="314">
        <v>50</v>
      </c>
      <c r="O104" s="314"/>
      <c r="P104" s="684"/>
      <c r="R104" s="298"/>
    </row>
    <row r="105" spans="2:21" ht="14.25" customHeight="1">
      <c r="B105" s="890"/>
      <c r="C105" s="891"/>
      <c r="D105" s="891"/>
      <c r="E105" s="891"/>
      <c r="F105" s="891"/>
      <c r="G105" s="891"/>
      <c r="H105" s="891"/>
      <c r="I105" s="891"/>
      <c r="J105" s="877"/>
      <c r="K105" s="652"/>
      <c r="L105" s="314"/>
      <c r="M105" s="314"/>
      <c r="N105" s="314"/>
      <c r="O105" s="314"/>
      <c r="P105" s="684"/>
      <c r="R105" s="298"/>
    </row>
    <row r="106" spans="2:21" ht="14.25" customHeight="1">
      <c r="B106" s="890"/>
      <c r="C106" s="891"/>
      <c r="D106" s="891"/>
      <c r="E106" s="891"/>
      <c r="F106" s="891"/>
      <c r="G106" s="891"/>
      <c r="H106" s="891"/>
      <c r="I106" s="891"/>
      <c r="J106" s="877"/>
      <c r="K106" s="652"/>
      <c r="L106" s="314"/>
      <c r="M106" s="314"/>
      <c r="N106" s="314"/>
      <c r="O106" s="314"/>
      <c r="P106" s="684"/>
      <c r="R106" s="298"/>
    </row>
    <row r="107" spans="2:21" ht="14.25" customHeight="1">
      <c r="B107" s="890"/>
      <c r="C107" s="891"/>
      <c r="D107" s="891"/>
      <c r="E107" s="891"/>
      <c r="F107" s="891"/>
      <c r="G107" s="891"/>
      <c r="H107" s="891"/>
      <c r="I107" s="891"/>
      <c r="J107" s="877"/>
      <c r="K107" s="652"/>
      <c r="L107" s="314"/>
      <c r="M107" s="314"/>
      <c r="N107" s="314"/>
      <c r="O107" s="314"/>
      <c r="P107" s="684"/>
      <c r="R107" s="298"/>
    </row>
    <row r="108" spans="2:21" ht="14.25" customHeight="1">
      <c r="B108" s="890"/>
      <c r="C108" s="891"/>
      <c r="D108" s="891"/>
      <c r="E108" s="891"/>
      <c r="F108" s="891"/>
      <c r="G108" s="891"/>
      <c r="H108" s="891"/>
      <c r="I108" s="891"/>
      <c r="J108" s="877"/>
      <c r="K108" s="652"/>
      <c r="L108" s="314"/>
      <c r="M108" s="314"/>
      <c r="N108" s="314"/>
      <c r="O108" s="314"/>
      <c r="P108" s="684"/>
      <c r="R108" s="298"/>
    </row>
    <row r="109" spans="2:21" ht="14.25" customHeight="1">
      <c r="B109" s="890"/>
      <c r="C109" s="891"/>
      <c r="D109" s="891"/>
      <c r="E109" s="891"/>
      <c r="F109" s="891"/>
      <c r="G109" s="891"/>
      <c r="H109" s="891"/>
      <c r="I109" s="891"/>
      <c r="J109" s="877"/>
      <c r="K109" s="652"/>
      <c r="L109" s="314"/>
      <c r="M109" s="314"/>
      <c r="N109" s="314"/>
      <c r="O109" s="314"/>
      <c r="P109" s="684"/>
      <c r="R109" s="298"/>
    </row>
    <row r="110" spans="2:21" ht="14.25" customHeight="1">
      <c r="B110" s="890"/>
      <c r="C110" s="891"/>
      <c r="D110" s="891"/>
      <c r="E110" s="891"/>
      <c r="F110" s="891"/>
      <c r="G110" s="891"/>
      <c r="H110" s="891"/>
      <c r="I110" s="891"/>
      <c r="J110" s="877"/>
      <c r="K110" s="652"/>
      <c r="L110" s="314"/>
      <c r="M110" s="314"/>
      <c r="N110" s="314"/>
      <c r="O110" s="314"/>
      <c r="P110" s="684"/>
      <c r="R110" s="298"/>
    </row>
    <row r="111" spans="2:21" ht="14.25" customHeight="1">
      <c r="B111" s="890"/>
      <c r="C111" s="891"/>
      <c r="D111" s="891"/>
      <c r="E111" s="891"/>
      <c r="F111" s="891"/>
      <c r="G111" s="891"/>
      <c r="H111" s="891"/>
      <c r="I111" s="891"/>
      <c r="J111" s="877"/>
      <c r="K111" s="652"/>
      <c r="L111" s="314"/>
      <c r="M111" s="314"/>
      <c r="N111" s="314"/>
      <c r="O111" s="314"/>
      <c r="P111" s="684"/>
      <c r="R111" s="298"/>
    </row>
    <row r="112" spans="2:21" ht="14.25" customHeight="1">
      <c r="B112" s="890"/>
      <c r="C112" s="891"/>
      <c r="D112" s="891"/>
      <c r="E112" s="891"/>
      <c r="F112" s="891"/>
      <c r="G112" s="891"/>
      <c r="H112" s="891"/>
      <c r="I112" s="891"/>
      <c r="J112" s="877"/>
      <c r="K112" s="652"/>
      <c r="L112" s="314"/>
      <c r="M112" s="314"/>
      <c r="N112" s="314"/>
      <c r="O112" s="314"/>
      <c r="P112" s="684"/>
      <c r="R112" s="298"/>
    </row>
    <row r="113" spans="2:18" ht="14.25" customHeight="1">
      <c r="B113" s="890"/>
      <c r="C113" s="891"/>
      <c r="D113" s="891"/>
      <c r="E113" s="891"/>
      <c r="F113" s="891"/>
      <c r="G113" s="891"/>
      <c r="H113" s="891"/>
      <c r="I113" s="891"/>
      <c r="J113" s="877"/>
      <c r="K113" s="652"/>
      <c r="L113" s="314"/>
      <c r="M113" s="314"/>
      <c r="N113" s="314"/>
      <c r="O113" s="314"/>
      <c r="P113" s="684"/>
      <c r="R113" s="298"/>
    </row>
    <row r="114" spans="2:18" ht="14.25" customHeight="1">
      <c r="B114" s="890"/>
      <c r="C114" s="891"/>
      <c r="D114" s="891"/>
      <c r="E114" s="891"/>
      <c r="F114" s="891"/>
      <c r="G114" s="891"/>
      <c r="H114" s="891"/>
      <c r="I114" s="891"/>
      <c r="J114" s="877"/>
      <c r="K114" s="652"/>
      <c r="L114" s="314"/>
      <c r="M114" s="314"/>
      <c r="N114" s="314"/>
      <c r="O114" s="314"/>
      <c r="P114" s="684"/>
      <c r="R114" s="298"/>
    </row>
    <row r="115" spans="2:18" ht="14.25" customHeight="1" thickBot="1">
      <c r="B115" s="867"/>
      <c r="C115" s="871"/>
      <c r="D115" s="871"/>
      <c r="E115" s="871"/>
      <c r="F115" s="871"/>
      <c r="G115" s="871"/>
      <c r="H115" s="871"/>
      <c r="I115" s="871"/>
      <c r="J115" s="871"/>
      <c r="K115" s="650"/>
      <c r="L115" s="316"/>
      <c r="M115" s="316"/>
      <c r="N115" s="316"/>
      <c r="O115" s="316"/>
      <c r="P115" s="685"/>
      <c r="R115" s="298"/>
    </row>
    <row r="116" spans="2:18" ht="14.25" customHeight="1">
      <c r="B116" s="865" t="s">
        <v>245</v>
      </c>
      <c r="C116" s="866"/>
      <c r="D116" s="946" t="s">
        <v>288</v>
      </c>
      <c r="E116" s="870"/>
      <c r="F116" s="870"/>
      <c r="G116" s="870"/>
      <c r="H116" s="870"/>
      <c r="I116" s="870"/>
      <c r="J116" s="866"/>
      <c r="K116" s="872" t="s">
        <v>246</v>
      </c>
      <c r="L116" s="948">
        <f>P116</f>
        <v>252</v>
      </c>
      <c r="M116" s="950" t="s">
        <v>247</v>
      </c>
      <c r="N116" s="951"/>
      <c r="O116" s="952"/>
      <c r="P116" s="956">
        <f>SUM(P93:P115)</f>
        <v>252</v>
      </c>
      <c r="R116" s="298"/>
    </row>
    <row r="117" spans="2:18" ht="49.5" customHeight="1" thickBot="1">
      <c r="B117" s="867"/>
      <c r="C117" s="868"/>
      <c r="D117" s="867"/>
      <c r="E117" s="871"/>
      <c r="F117" s="871"/>
      <c r="G117" s="871"/>
      <c r="H117" s="871"/>
      <c r="I117" s="871"/>
      <c r="J117" s="868"/>
      <c r="K117" s="947"/>
      <c r="L117" s="949"/>
      <c r="M117" s="953"/>
      <c r="N117" s="954"/>
      <c r="O117" s="955"/>
      <c r="P117" s="957"/>
      <c r="R117" s="298"/>
    </row>
    <row r="118" spans="2:18" ht="14.25" customHeight="1">
      <c r="R118" s="298"/>
    </row>
    <row r="119" spans="2:18" ht="14.25" customHeight="1">
      <c r="R119" s="298"/>
    </row>
    <row r="120" spans="2:18" ht="14.25" customHeight="1">
      <c r="R120" s="298"/>
    </row>
    <row r="121" spans="2:18" ht="14.25" customHeight="1" thickBot="1">
      <c r="B121" s="380"/>
      <c r="C121" s="380"/>
      <c r="D121" s="380"/>
      <c r="E121" s="317"/>
      <c r="F121" s="317"/>
      <c r="G121" s="317"/>
      <c r="I121" s="317"/>
      <c r="J121" s="317"/>
      <c r="K121" s="651"/>
      <c r="L121" s="317"/>
      <c r="M121" s="317"/>
      <c r="N121" s="317"/>
      <c r="R121" s="298"/>
    </row>
    <row r="122" spans="2:18" ht="14.25" customHeight="1">
      <c r="B122" s="377"/>
      <c r="C122" s="377"/>
      <c r="D122" s="377"/>
      <c r="E122" s="377"/>
      <c r="F122" s="377"/>
      <c r="G122" s="377"/>
      <c r="I122" s="377"/>
      <c r="J122" s="377"/>
      <c r="K122" s="653"/>
      <c r="L122" s="377"/>
      <c r="M122" s="377"/>
      <c r="N122" s="377"/>
      <c r="R122" s="298"/>
    </row>
    <row r="123" spans="2:18" ht="14.25" customHeight="1" thickBot="1">
      <c r="B123" s="378"/>
      <c r="C123" s="379"/>
      <c r="I123" s="320"/>
      <c r="R123" s="298"/>
    </row>
    <row r="124" spans="2:18" ht="14.25" customHeight="1" thickBot="1">
      <c r="B124" s="912" t="s">
        <v>224</v>
      </c>
      <c r="C124" s="913"/>
      <c r="D124" s="913"/>
      <c r="E124" s="913"/>
      <c r="F124" s="913"/>
      <c r="G124" s="913"/>
      <c r="H124" s="913"/>
      <c r="I124" s="913"/>
      <c r="J124" s="913"/>
      <c r="K124" s="913"/>
      <c r="L124" s="913"/>
      <c r="M124" s="913"/>
      <c r="N124" s="913"/>
      <c r="O124" s="913"/>
      <c r="P124" s="914"/>
      <c r="R124" s="298"/>
    </row>
    <row r="125" spans="2:18" ht="14.25" customHeight="1" thickBot="1">
      <c r="R125" s="298"/>
    </row>
    <row r="126" spans="2:18" ht="14.25" customHeight="1" thickBot="1">
      <c r="B126" s="299" t="s">
        <v>225</v>
      </c>
      <c r="C126" s="300" t="s">
        <v>226</v>
      </c>
      <c r="D126" s="301">
        <f>'[6]1_PUENTE LA ESPERANZA'!E103</f>
        <v>0</v>
      </c>
      <c r="E126" s="300" t="s">
        <v>227</v>
      </c>
      <c r="F126" s="301"/>
      <c r="G126" s="300" t="s">
        <v>228</v>
      </c>
      <c r="H126" s="302">
        <f>'[6]1_PUENTE LA ESPERANZA'!I103</f>
        <v>0</v>
      </c>
      <c r="I126" s="303"/>
      <c r="J126" s="304" t="s">
        <v>229</v>
      </c>
      <c r="K126" s="302">
        <f>'[6]1_PUENTE LA ESPERANZA'!L103</f>
        <v>0</v>
      </c>
      <c r="L126" s="303"/>
      <c r="M126" s="304" t="s">
        <v>230</v>
      </c>
      <c r="N126" s="915">
        <f>N4</f>
        <v>0</v>
      </c>
      <c r="O126" s="916"/>
      <c r="P126" s="917"/>
      <c r="R126" s="298"/>
    </row>
    <row r="127" spans="2:18" ht="14.25" customHeight="1" thickBot="1">
      <c r="R127" s="298"/>
    </row>
    <row r="128" spans="2:18" ht="29.25" customHeight="1" thickBot="1">
      <c r="B128" s="918" t="s">
        <v>231</v>
      </c>
      <c r="C128" s="919"/>
      <c r="D128" s="919"/>
      <c r="E128" s="920" t="str">
        <f>E6</f>
        <v>IMPLEMENTACIÓN DE ACCIONES DE CONSERVACIÓN, PRODUCCCIÓN SOSTENIBLE Y CONSUMO RESPONSABLE EN AREAS DE INTERES AMBIENTAL DEL D.M.I GUASIMO EN EL MUNICIPIO DE LA VIRGINIA</v>
      </c>
      <c r="F128" s="921"/>
      <c r="G128" s="921"/>
      <c r="H128" s="921"/>
      <c r="I128" s="921"/>
      <c r="J128" s="921"/>
      <c r="K128" s="921"/>
      <c r="L128" s="921"/>
      <c r="M128" s="921"/>
      <c r="N128" s="921"/>
      <c r="O128" s="921"/>
      <c r="P128" s="922"/>
      <c r="R128" s="298"/>
    </row>
    <row r="129" spans="2:18" ht="14.25" customHeight="1">
      <c r="B129" s="923" t="s">
        <v>232</v>
      </c>
      <c r="C129" s="924"/>
      <c r="D129" s="924"/>
      <c r="E129" s="925">
        <f>E7</f>
        <v>0</v>
      </c>
      <c r="F129" s="924"/>
      <c r="G129" s="924"/>
      <c r="H129" s="924"/>
      <c r="I129" s="926" t="s">
        <v>233</v>
      </c>
      <c r="J129" s="927"/>
      <c r="K129" s="928">
        <f>K7</f>
        <v>0</v>
      </c>
      <c r="L129" s="929"/>
      <c r="M129" s="930" t="s">
        <v>234</v>
      </c>
      <c r="N129" s="931"/>
      <c r="O129" s="935">
        <f>O7</f>
        <v>0</v>
      </c>
      <c r="P129" s="936"/>
      <c r="R129" s="298"/>
    </row>
    <row r="130" spans="2:18" ht="14.25" customHeight="1" thickBot="1">
      <c r="B130" s="898" t="s">
        <v>235</v>
      </c>
      <c r="C130" s="899"/>
      <c r="D130" s="899"/>
      <c r="E130" s="900" t="str">
        <f>E8</f>
        <v xml:space="preserve">MUNICIPIO DE LA VIRGINIA </v>
      </c>
      <c r="F130" s="899"/>
      <c r="G130" s="899"/>
      <c r="H130" s="899"/>
      <c r="I130" s="901" t="s">
        <v>233</v>
      </c>
      <c r="J130" s="902"/>
      <c r="K130" s="903">
        <f>K8</f>
        <v>0</v>
      </c>
      <c r="L130" s="904"/>
      <c r="M130" s="932"/>
      <c r="N130" s="933"/>
      <c r="O130" s="937"/>
      <c r="P130" s="938"/>
      <c r="R130" s="298"/>
    </row>
    <row r="131" spans="2:18" ht="14.25" customHeight="1" thickBot="1">
      <c r="B131" s="907" t="s">
        <v>236</v>
      </c>
      <c r="C131" s="908"/>
      <c r="D131" s="908"/>
      <c r="E131" s="305" t="s">
        <v>5</v>
      </c>
      <c r="F131" s="909" t="s">
        <v>6</v>
      </c>
      <c r="G131" s="910"/>
      <c r="H131" s="910"/>
      <c r="I131" s="910"/>
      <c r="J131" s="911"/>
      <c r="K131" s="905"/>
      <c r="L131" s="906"/>
      <c r="M131" s="934"/>
      <c r="N131" s="885"/>
      <c r="O131" s="939"/>
      <c r="P131" s="940"/>
      <c r="R131" s="298"/>
    </row>
    <row r="132" spans="2:18" ht="29.5" customHeight="1" thickBot="1">
      <c r="B132" s="880" t="str">
        <f>+'PRESUPUESTO ESTUFA'!B34</f>
        <v>E</v>
      </c>
      <c r="C132" s="881"/>
      <c r="D132" s="881"/>
      <c r="E132" s="306" t="str">
        <f>+'PRESUPUESTO ESTUFA'!B39</f>
        <v>E.1.5</v>
      </c>
      <c r="F132" s="882" t="str">
        <f>+'PRESUPUESTO ESTUFA'!C39</f>
        <v>Trinchos doble en guadua h libre = 1,00 m</v>
      </c>
      <c r="G132" s="883"/>
      <c r="H132" s="883"/>
      <c r="I132" s="883"/>
      <c r="J132" s="884"/>
      <c r="K132" s="885" t="s">
        <v>1</v>
      </c>
      <c r="L132" s="886"/>
      <c r="M132" s="887" t="str">
        <f>'[6]ACTA PARCIAL 1'!E43</f>
        <v>M3</v>
      </c>
      <c r="N132" s="886"/>
      <c r="O132" s="307" t="s">
        <v>237</v>
      </c>
      <c r="P132" s="681" t="s">
        <v>251</v>
      </c>
      <c r="R132" s="298"/>
    </row>
    <row r="133" spans="2:18" ht="14.25" customHeight="1">
      <c r="B133" s="888"/>
      <c r="C133" s="870"/>
      <c r="D133" s="870"/>
      <c r="E133" s="870"/>
      <c r="F133" s="870"/>
      <c r="G133" s="870"/>
      <c r="H133" s="870"/>
      <c r="I133" s="870"/>
      <c r="J133" s="889"/>
      <c r="K133" s="893" t="s">
        <v>238</v>
      </c>
      <c r="L133" s="895" t="s">
        <v>239</v>
      </c>
      <c r="M133" s="896"/>
      <c r="N133" s="897"/>
      <c r="O133" s="861" t="s">
        <v>240</v>
      </c>
      <c r="P133" s="863" t="s">
        <v>241</v>
      </c>
      <c r="R133" s="298"/>
    </row>
    <row r="134" spans="2:18" ht="24" customHeight="1" thickBot="1">
      <c r="B134" s="890"/>
      <c r="C134" s="891"/>
      <c r="D134" s="891"/>
      <c r="E134" s="891"/>
      <c r="F134" s="891"/>
      <c r="G134" s="891"/>
      <c r="H134" s="891"/>
      <c r="I134" s="891"/>
      <c r="J134" s="892"/>
      <c r="K134" s="894"/>
      <c r="L134" s="308" t="s">
        <v>242</v>
      </c>
      <c r="M134" s="308" t="s">
        <v>243</v>
      </c>
      <c r="N134" s="308" t="s">
        <v>244</v>
      </c>
      <c r="O134" s="862"/>
      <c r="P134" s="864"/>
      <c r="R134" s="298"/>
    </row>
    <row r="135" spans="2:18" ht="33.75" customHeight="1" thickBot="1">
      <c r="B135" s="890"/>
      <c r="C135" s="891"/>
      <c r="D135" s="891"/>
      <c r="E135" s="891"/>
      <c r="F135" s="891"/>
      <c r="G135" s="891"/>
      <c r="H135" s="891"/>
      <c r="I135" s="891"/>
      <c r="J135" s="892"/>
      <c r="K135" s="321" t="str">
        <f>+F132</f>
        <v>Trinchos doble en guadua h libre = 1,00 m</v>
      </c>
      <c r="L135" s="322"/>
      <c r="M135" s="322"/>
      <c r="N135" s="322">
        <v>4</v>
      </c>
      <c r="O135" s="322">
        <v>1</v>
      </c>
      <c r="P135" s="686">
        <f>+N135*O135</f>
        <v>4</v>
      </c>
      <c r="R135" s="298"/>
    </row>
    <row r="136" spans="2:18" ht="14.25" customHeight="1" thickBot="1">
      <c r="B136" s="890"/>
      <c r="C136" s="891"/>
      <c r="D136" s="891"/>
      <c r="E136" s="891"/>
      <c r="F136" s="891"/>
      <c r="G136" s="891"/>
      <c r="H136" s="891"/>
      <c r="I136" s="891"/>
      <c r="J136" s="892"/>
      <c r="K136" s="323"/>
      <c r="L136" s="324"/>
      <c r="M136" s="324"/>
      <c r="N136" s="324">
        <v>6</v>
      </c>
      <c r="O136" s="324">
        <v>1</v>
      </c>
      <c r="P136" s="686">
        <f t="shared" ref="P136:P137" si="2">+N136*O136</f>
        <v>6</v>
      </c>
      <c r="R136" s="298"/>
    </row>
    <row r="137" spans="2:18" ht="14.25" customHeight="1">
      <c r="B137" s="890"/>
      <c r="C137" s="891"/>
      <c r="D137" s="891"/>
      <c r="E137" s="891"/>
      <c r="F137" s="891"/>
      <c r="G137" s="891"/>
      <c r="H137" s="891"/>
      <c r="I137" s="891"/>
      <c r="J137" s="892"/>
      <c r="K137" s="323"/>
      <c r="L137" s="324"/>
      <c r="M137" s="324"/>
      <c r="N137" s="324">
        <v>2</v>
      </c>
      <c r="O137" s="324">
        <v>1</v>
      </c>
      <c r="P137" s="686">
        <f t="shared" si="2"/>
        <v>2</v>
      </c>
      <c r="R137" s="298"/>
    </row>
    <row r="138" spans="2:18" ht="14.25" customHeight="1">
      <c r="B138" s="890"/>
      <c r="C138" s="891"/>
      <c r="D138" s="891"/>
      <c r="E138" s="891"/>
      <c r="F138" s="891"/>
      <c r="G138" s="891"/>
      <c r="H138" s="891"/>
      <c r="I138" s="891"/>
      <c r="J138" s="892"/>
      <c r="K138" s="323"/>
      <c r="L138" s="324"/>
      <c r="M138" s="324"/>
      <c r="N138" s="324"/>
      <c r="O138" s="324"/>
      <c r="P138" s="687"/>
      <c r="R138" s="298"/>
    </row>
    <row r="139" spans="2:18" ht="14.25" customHeight="1">
      <c r="B139" s="890"/>
      <c r="C139" s="891"/>
      <c r="D139" s="891"/>
      <c r="E139" s="891"/>
      <c r="F139" s="891"/>
      <c r="G139" s="891"/>
      <c r="H139" s="891"/>
      <c r="I139" s="891"/>
      <c r="J139" s="892"/>
      <c r="K139" s="323"/>
      <c r="L139" s="324"/>
      <c r="M139" s="324"/>
      <c r="N139" s="324"/>
      <c r="O139" s="324"/>
      <c r="P139" s="687"/>
      <c r="R139" s="298"/>
    </row>
    <row r="140" spans="2:18" ht="14.25" customHeight="1">
      <c r="B140" s="890"/>
      <c r="C140" s="891"/>
      <c r="D140" s="891"/>
      <c r="E140" s="891"/>
      <c r="F140" s="891"/>
      <c r="G140" s="891"/>
      <c r="H140" s="891"/>
      <c r="I140" s="891"/>
      <c r="J140" s="892"/>
      <c r="K140" s="654"/>
      <c r="L140" s="325"/>
      <c r="M140" s="325"/>
      <c r="N140" s="325"/>
      <c r="O140" s="325"/>
      <c r="P140" s="688"/>
      <c r="R140" s="298"/>
    </row>
    <row r="141" spans="2:18" ht="14.25" customHeight="1">
      <c r="B141" s="890"/>
      <c r="C141" s="891"/>
      <c r="D141" s="891"/>
      <c r="E141" s="891"/>
      <c r="F141" s="891"/>
      <c r="G141" s="891"/>
      <c r="H141" s="891"/>
      <c r="I141" s="891"/>
      <c r="J141" s="892"/>
      <c r="K141" s="654"/>
      <c r="L141" s="325"/>
      <c r="M141" s="325"/>
      <c r="N141" s="325"/>
      <c r="O141" s="325"/>
      <c r="P141" s="688"/>
      <c r="R141" s="298"/>
    </row>
    <row r="142" spans="2:18" ht="14.25" customHeight="1">
      <c r="B142" s="890"/>
      <c r="C142" s="891"/>
      <c r="D142" s="891"/>
      <c r="E142" s="891"/>
      <c r="F142" s="891"/>
      <c r="G142" s="891"/>
      <c r="H142" s="891"/>
      <c r="I142" s="891"/>
      <c r="J142" s="892"/>
      <c r="K142" s="654"/>
      <c r="L142" s="325"/>
      <c r="M142" s="325"/>
      <c r="N142" s="325"/>
      <c r="O142" s="325"/>
      <c r="P142" s="688"/>
      <c r="R142" s="298"/>
    </row>
    <row r="143" spans="2:18" ht="14.25" customHeight="1">
      <c r="B143" s="890"/>
      <c r="C143" s="891"/>
      <c r="D143" s="891"/>
      <c r="E143" s="891"/>
      <c r="F143" s="891"/>
      <c r="G143" s="891"/>
      <c r="H143" s="891"/>
      <c r="I143" s="891"/>
      <c r="J143" s="892"/>
      <c r="K143" s="654"/>
      <c r="L143" s="325"/>
      <c r="M143" s="325"/>
      <c r="N143" s="325"/>
      <c r="O143" s="325"/>
      <c r="P143" s="688"/>
      <c r="R143" s="298"/>
    </row>
    <row r="144" spans="2:18" ht="14.25" customHeight="1">
      <c r="B144" s="890"/>
      <c r="C144" s="891"/>
      <c r="D144" s="891"/>
      <c r="E144" s="891"/>
      <c r="F144" s="891"/>
      <c r="G144" s="891"/>
      <c r="H144" s="891"/>
      <c r="I144" s="891"/>
      <c r="J144" s="892"/>
      <c r="K144" s="654"/>
      <c r="L144" s="325"/>
      <c r="M144" s="325"/>
      <c r="N144" s="325"/>
      <c r="O144" s="325"/>
      <c r="P144" s="688"/>
      <c r="R144" s="298"/>
    </row>
    <row r="145" spans="2:18" ht="14.25" customHeight="1">
      <c r="B145" s="890"/>
      <c r="C145" s="891"/>
      <c r="D145" s="891"/>
      <c r="E145" s="891"/>
      <c r="F145" s="891"/>
      <c r="G145" s="891"/>
      <c r="H145" s="891"/>
      <c r="I145" s="891"/>
      <c r="J145" s="892"/>
      <c r="K145" s="654"/>
      <c r="L145" s="325"/>
      <c r="M145" s="325"/>
      <c r="N145" s="325"/>
      <c r="O145" s="325"/>
      <c r="P145" s="688"/>
      <c r="R145" s="298"/>
    </row>
    <row r="146" spans="2:18" ht="14.25" customHeight="1">
      <c r="B146" s="890"/>
      <c r="C146" s="891"/>
      <c r="D146" s="891"/>
      <c r="E146" s="891"/>
      <c r="F146" s="891"/>
      <c r="G146" s="891"/>
      <c r="H146" s="891"/>
      <c r="I146" s="891"/>
      <c r="J146" s="892"/>
      <c r="K146" s="654"/>
      <c r="L146" s="325"/>
      <c r="M146" s="325"/>
      <c r="N146" s="325"/>
      <c r="O146" s="325"/>
      <c r="P146" s="688"/>
      <c r="R146" s="298"/>
    </row>
    <row r="147" spans="2:18" ht="14.25" customHeight="1">
      <c r="B147" s="890"/>
      <c r="C147" s="891"/>
      <c r="D147" s="891"/>
      <c r="E147" s="891"/>
      <c r="F147" s="891"/>
      <c r="G147" s="891"/>
      <c r="H147" s="891"/>
      <c r="I147" s="891"/>
      <c r="J147" s="892"/>
      <c r="K147" s="654"/>
      <c r="L147" s="325"/>
      <c r="M147" s="325"/>
      <c r="N147" s="325"/>
      <c r="O147" s="325"/>
      <c r="P147" s="688"/>
      <c r="R147" s="298"/>
    </row>
    <row r="148" spans="2:18" ht="14.25" customHeight="1">
      <c r="B148" s="890"/>
      <c r="C148" s="891"/>
      <c r="D148" s="891"/>
      <c r="E148" s="891"/>
      <c r="F148" s="891"/>
      <c r="G148" s="891"/>
      <c r="H148" s="891"/>
      <c r="I148" s="891"/>
      <c r="J148" s="892"/>
      <c r="K148" s="654"/>
      <c r="L148" s="325"/>
      <c r="M148" s="325"/>
      <c r="N148" s="325"/>
      <c r="O148" s="325"/>
      <c r="P148" s="688"/>
      <c r="R148" s="298"/>
    </row>
    <row r="149" spans="2:18" ht="14.25" customHeight="1">
      <c r="B149" s="890"/>
      <c r="C149" s="891"/>
      <c r="D149" s="891"/>
      <c r="E149" s="891"/>
      <c r="F149" s="891"/>
      <c r="G149" s="891"/>
      <c r="H149" s="891"/>
      <c r="I149" s="891"/>
      <c r="J149" s="892"/>
      <c r="K149" s="654"/>
      <c r="L149" s="325"/>
      <c r="M149" s="325"/>
      <c r="N149" s="325"/>
      <c r="O149" s="325"/>
      <c r="P149" s="688"/>
      <c r="R149" s="298"/>
    </row>
    <row r="150" spans="2:18" ht="14.25" customHeight="1">
      <c r="B150" s="890"/>
      <c r="C150" s="891"/>
      <c r="D150" s="891"/>
      <c r="E150" s="891"/>
      <c r="F150" s="891"/>
      <c r="G150" s="891"/>
      <c r="H150" s="891"/>
      <c r="I150" s="891"/>
      <c r="J150" s="892"/>
      <c r="K150" s="654"/>
      <c r="L150" s="325"/>
      <c r="M150" s="325"/>
      <c r="N150" s="325"/>
      <c r="O150" s="325"/>
      <c r="P150" s="688"/>
      <c r="R150" s="298"/>
    </row>
    <row r="151" spans="2:18" ht="14.25" customHeight="1">
      <c r="B151" s="890"/>
      <c r="C151" s="891"/>
      <c r="D151" s="891"/>
      <c r="E151" s="891"/>
      <c r="F151" s="891"/>
      <c r="G151" s="891"/>
      <c r="H151" s="891"/>
      <c r="I151" s="891"/>
      <c r="J151" s="892"/>
      <c r="K151" s="654"/>
      <c r="L151" s="325"/>
      <c r="M151" s="325"/>
      <c r="N151" s="325"/>
      <c r="O151" s="325"/>
      <c r="P151" s="688"/>
      <c r="R151" s="298"/>
    </row>
    <row r="152" spans="2:18" ht="14.25" customHeight="1">
      <c r="B152" s="890"/>
      <c r="C152" s="891"/>
      <c r="D152" s="891"/>
      <c r="E152" s="891"/>
      <c r="F152" s="891"/>
      <c r="G152" s="891"/>
      <c r="H152" s="891"/>
      <c r="I152" s="891"/>
      <c r="J152" s="892"/>
      <c r="K152" s="654"/>
      <c r="L152" s="325"/>
      <c r="M152" s="325"/>
      <c r="N152" s="325"/>
      <c r="O152" s="325"/>
      <c r="P152" s="688"/>
      <c r="R152" s="298"/>
    </row>
    <row r="153" spans="2:18" ht="14.25" customHeight="1">
      <c r="B153" s="890"/>
      <c r="C153" s="891"/>
      <c r="D153" s="891"/>
      <c r="E153" s="891"/>
      <c r="F153" s="891"/>
      <c r="G153" s="891"/>
      <c r="H153" s="891"/>
      <c r="I153" s="891"/>
      <c r="J153" s="892"/>
      <c r="K153" s="654"/>
      <c r="L153" s="325"/>
      <c r="M153" s="325"/>
      <c r="N153" s="325"/>
      <c r="O153" s="325"/>
      <c r="P153" s="688"/>
      <c r="R153" s="298"/>
    </row>
    <row r="154" spans="2:18" ht="14.25" customHeight="1">
      <c r="B154" s="890"/>
      <c r="C154" s="891"/>
      <c r="D154" s="891"/>
      <c r="E154" s="891"/>
      <c r="F154" s="891"/>
      <c r="G154" s="891"/>
      <c r="H154" s="891"/>
      <c r="I154" s="891"/>
      <c r="J154" s="892"/>
      <c r="K154" s="654"/>
      <c r="L154" s="325"/>
      <c r="M154" s="325"/>
      <c r="N154" s="325"/>
      <c r="O154" s="325"/>
      <c r="P154" s="688"/>
      <c r="R154" s="298"/>
    </row>
    <row r="155" spans="2:18" ht="14.25" customHeight="1">
      <c r="B155" s="890"/>
      <c r="C155" s="891"/>
      <c r="D155" s="891"/>
      <c r="E155" s="891"/>
      <c r="F155" s="891"/>
      <c r="G155" s="891"/>
      <c r="H155" s="891"/>
      <c r="I155" s="891"/>
      <c r="J155" s="892"/>
      <c r="K155" s="654"/>
      <c r="L155" s="325"/>
      <c r="M155" s="325"/>
      <c r="N155" s="325"/>
      <c r="O155" s="325"/>
      <c r="P155" s="688"/>
      <c r="R155" s="298"/>
    </row>
    <row r="156" spans="2:18" ht="14.25" customHeight="1">
      <c r="B156" s="890"/>
      <c r="C156" s="891"/>
      <c r="D156" s="891"/>
      <c r="E156" s="891"/>
      <c r="F156" s="891"/>
      <c r="G156" s="891"/>
      <c r="H156" s="891"/>
      <c r="I156" s="891"/>
      <c r="J156" s="892"/>
      <c r="K156" s="654"/>
      <c r="L156" s="325"/>
      <c r="M156" s="325"/>
      <c r="N156" s="325"/>
      <c r="O156" s="325"/>
      <c r="P156" s="688"/>
      <c r="R156" s="298"/>
    </row>
    <row r="157" spans="2:18" ht="14.25" customHeight="1" thickBot="1">
      <c r="B157" s="867"/>
      <c r="C157" s="871"/>
      <c r="D157" s="871"/>
      <c r="E157" s="871"/>
      <c r="F157" s="871"/>
      <c r="G157" s="871"/>
      <c r="H157" s="871"/>
      <c r="I157" s="871"/>
      <c r="J157" s="943"/>
      <c r="K157" s="655"/>
      <c r="L157" s="326"/>
      <c r="M157" s="326"/>
      <c r="N157" s="326"/>
      <c r="O157" s="326"/>
      <c r="P157" s="689"/>
      <c r="R157" s="298"/>
    </row>
    <row r="158" spans="2:18" ht="14.25" customHeight="1">
      <c r="B158" s="865" t="s">
        <v>248</v>
      </c>
      <c r="C158" s="866"/>
      <c r="D158" s="869" t="s">
        <v>555</v>
      </c>
      <c r="E158" s="870"/>
      <c r="F158" s="870"/>
      <c r="G158" s="870"/>
      <c r="H158" s="870"/>
      <c r="I158" s="870"/>
      <c r="J158" s="866"/>
      <c r="K158" s="872" t="s">
        <v>246</v>
      </c>
      <c r="L158" s="874">
        <f>P158</f>
        <v>12</v>
      </c>
      <c r="M158" s="876" t="s">
        <v>247</v>
      </c>
      <c r="N158" s="877"/>
      <c r="O158" s="878"/>
      <c r="P158" s="941">
        <f>SUM(P135:P157)</f>
        <v>12</v>
      </c>
      <c r="R158" s="298"/>
    </row>
    <row r="159" spans="2:18" ht="57" customHeight="1" thickBot="1">
      <c r="B159" s="867"/>
      <c r="C159" s="868"/>
      <c r="D159" s="867"/>
      <c r="E159" s="871"/>
      <c r="F159" s="871"/>
      <c r="G159" s="871"/>
      <c r="H159" s="871"/>
      <c r="I159" s="871"/>
      <c r="J159" s="868"/>
      <c r="K159" s="873"/>
      <c r="L159" s="875"/>
      <c r="M159" s="867"/>
      <c r="N159" s="871"/>
      <c r="O159" s="868"/>
      <c r="P159" s="942"/>
      <c r="R159" s="298"/>
    </row>
    <row r="160" spans="2:18" ht="14.25" customHeight="1">
      <c r="R160" s="298"/>
    </row>
    <row r="161" spans="2:18" ht="14.25" customHeight="1">
      <c r="R161" s="298"/>
    </row>
    <row r="162" spans="2:18" ht="14.25" customHeight="1">
      <c r="R162" s="298"/>
    </row>
    <row r="163" spans="2:18" ht="14.25" customHeight="1" thickBot="1">
      <c r="B163" s="317"/>
      <c r="C163" s="317"/>
      <c r="D163" s="317"/>
      <c r="E163" s="317"/>
      <c r="F163" s="317"/>
      <c r="G163" s="317"/>
      <c r="I163" s="317"/>
      <c r="J163" s="317"/>
      <c r="K163" s="651"/>
      <c r="L163" s="317"/>
      <c r="M163" s="317"/>
      <c r="N163" s="317"/>
      <c r="R163" s="298"/>
    </row>
    <row r="164" spans="2:18" ht="14.25" customHeight="1" thickBot="1">
      <c r="B164" s="318"/>
      <c r="C164" s="319"/>
      <c r="I164" s="320"/>
      <c r="R164" s="298"/>
    </row>
    <row r="165" spans="2:18" ht="14.25" customHeight="1">
      <c r="B165" s="320"/>
      <c r="I165" s="320"/>
      <c r="R165" s="298"/>
    </row>
    <row r="166" spans="2:18" ht="14.25" customHeight="1">
      <c r="B166" s="320"/>
      <c r="I166" s="320"/>
      <c r="R166" s="298"/>
    </row>
    <row r="167" spans="2:18" ht="14.25" customHeight="1">
      <c r="B167" s="320"/>
      <c r="I167" s="320"/>
      <c r="R167" s="298"/>
    </row>
    <row r="168" spans="2:18" ht="14.25" customHeight="1" thickBot="1">
      <c r="B168" s="320"/>
      <c r="R168" s="298"/>
    </row>
    <row r="169" spans="2:18" ht="16" thickBot="1">
      <c r="B169" s="912" t="s">
        <v>224</v>
      </c>
      <c r="C169" s="913"/>
      <c r="D169" s="913"/>
      <c r="E169" s="913"/>
      <c r="F169" s="913"/>
      <c r="G169" s="913"/>
      <c r="H169" s="913"/>
      <c r="I169" s="913"/>
      <c r="J169" s="913"/>
      <c r="K169" s="913"/>
      <c r="L169" s="913"/>
      <c r="M169" s="913"/>
      <c r="N169" s="913"/>
      <c r="O169" s="913"/>
      <c r="P169" s="914"/>
    </row>
    <row r="170" spans="2:18" ht="15" thickBot="1"/>
    <row r="171" spans="2:18" ht="15" thickBot="1">
      <c r="B171" s="299" t="s">
        <v>225</v>
      </c>
      <c r="C171" s="300" t="s">
        <v>226</v>
      </c>
      <c r="D171" s="301"/>
      <c r="E171" s="300" t="s">
        <v>227</v>
      </c>
      <c r="F171" s="301"/>
      <c r="G171" s="300" t="s">
        <v>228</v>
      </c>
      <c r="H171" s="302"/>
      <c r="I171" s="303"/>
      <c r="J171" s="304" t="s">
        <v>229</v>
      </c>
      <c r="K171" s="302"/>
      <c r="L171" s="303"/>
      <c r="M171" s="304" t="s">
        <v>230</v>
      </c>
      <c r="N171" s="915">
        <f>N49</f>
        <v>3.5</v>
      </c>
      <c r="O171" s="916"/>
      <c r="P171" s="917"/>
    </row>
    <row r="172" spans="2:18" ht="15" thickBot="1"/>
    <row r="173" spans="2:18" ht="15" thickBot="1">
      <c r="B173" s="918" t="s">
        <v>231</v>
      </c>
      <c r="C173" s="919"/>
      <c r="D173" s="919"/>
      <c r="E173" s="920">
        <f>E51</f>
        <v>0</v>
      </c>
      <c r="F173" s="921"/>
      <c r="G173" s="921"/>
      <c r="H173" s="921"/>
      <c r="I173" s="921"/>
      <c r="J173" s="921"/>
      <c r="K173" s="921"/>
      <c r="L173" s="921"/>
      <c r="M173" s="921"/>
      <c r="N173" s="921"/>
      <c r="O173" s="921"/>
      <c r="P173" s="922"/>
    </row>
    <row r="174" spans="2:18">
      <c r="B174" s="923" t="s">
        <v>232</v>
      </c>
      <c r="C174" s="924"/>
      <c r="D174" s="924"/>
      <c r="E174" s="925">
        <f>E52</f>
        <v>0</v>
      </c>
      <c r="F174" s="924"/>
      <c r="G174" s="924"/>
      <c r="H174" s="924"/>
      <c r="I174" s="926" t="s">
        <v>233</v>
      </c>
      <c r="J174" s="927"/>
      <c r="K174" s="928"/>
      <c r="L174" s="929"/>
      <c r="M174" s="930" t="s">
        <v>234</v>
      </c>
      <c r="N174" s="931"/>
      <c r="O174" s="935"/>
      <c r="P174" s="936"/>
    </row>
    <row r="175" spans="2:18" ht="15" thickBot="1">
      <c r="B175" s="898" t="s">
        <v>235</v>
      </c>
      <c r="C175" s="899"/>
      <c r="D175" s="899"/>
      <c r="E175" s="900">
        <f>E53</f>
        <v>0</v>
      </c>
      <c r="F175" s="899"/>
      <c r="G175" s="899"/>
      <c r="H175" s="899"/>
      <c r="I175" s="901" t="s">
        <v>233</v>
      </c>
      <c r="J175" s="902"/>
      <c r="K175" s="903" t="s">
        <v>554</v>
      </c>
      <c r="L175" s="904"/>
      <c r="M175" s="932"/>
      <c r="N175" s="933"/>
      <c r="O175" s="937"/>
      <c r="P175" s="938"/>
    </row>
    <row r="176" spans="2:18" ht="15" thickBot="1">
      <c r="B176" s="907" t="s">
        <v>236</v>
      </c>
      <c r="C176" s="908"/>
      <c r="D176" s="908"/>
      <c r="E176" s="305" t="s">
        <v>5</v>
      </c>
      <c r="F176" s="909" t="s">
        <v>6</v>
      </c>
      <c r="G176" s="910"/>
      <c r="H176" s="910"/>
      <c r="I176" s="910"/>
      <c r="J176" s="911"/>
      <c r="K176" s="905"/>
      <c r="L176" s="906"/>
      <c r="M176" s="934"/>
      <c r="N176" s="885"/>
      <c r="O176" s="939"/>
      <c r="P176" s="940"/>
    </row>
    <row r="177" spans="2:16" ht="51" customHeight="1" thickBot="1">
      <c r="B177" s="880" t="str">
        <f>+'PRESUPUESTO ESTUFA'!B43</f>
        <v>F</v>
      </c>
      <c r="C177" s="881"/>
      <c r="D177" s="881"/>
      <c r="E177" s="306" t="str">
        <f>+'PRESUPUESTO ESTUFA'!B44</f>
        <v>F.1.1</v>
      </c>
      <c r="F177" s="882" t="str">
        <f>+'PRESUPUESTO ESTUFA'!C44</f>
        <v>Transporte materiales a la vereda el aguacate en JEEP, incluye cargue y descargue</v>
      </c>
      <c r="G177" s="883"/>
      <c r="H177" s="883"/>
      <c r="I177" s="883"/>
      <c r="J177" s="884"/>
      <c r="K177" s="885" t="s">
        <v>1</v>
      </c>
      <c r="L177" s="886"/>
      <c r="M177" s="887" t="str">
        <f>+'PRESUPUESTO ESTUFA'!D44</f>
        <v>Viaje/Ton</v>
      </c>
      <c r="N177" s="886"/>
      <c r="O177" s="307" t="s">
        <v>237</v>
      </c>
      <c r="P177" s="681" t="s">
        <v>251</v>
      </c>
    </row>
    <row r="178" spans="2:16">
      <c r="B178" s="888"/>
      <c r="C178" s="870"/>
      <c r="D178" s="870"/>
      <c r="E178" s="870"/>
      <c r="F178" s="870"/>
      <c r="G178" s="870"/>
      <c r="H178" s="870"/>
      <c r="I178" s="870"/>
      <c r="J178" s="889"/>
      <c r="K178" s="893" t="s">
        <v>238</v>
      </c>
      <c r="L178" s="895" t="s">
        <v>239</v>
      </c>
      <c r="M178" s="896"/>
      <c r="N178" s="897"/>
      <c r="O178" s="861" t="s">
        <v>240</v>
      </c>
      <c r="P178" s="863" t="s">
        <v>241</v>
      </c>
    </row>
    <row r="179" spans="2:16" ht="15" thickBot="1">
      <c r="B179" s="890"/>
      <c r="C179" s="891"/>
      <c r="D179" s="891"/>
      <c r="E179" s="891"/>
      <c r="F179" s="891"/>
      <c r="G179" s="891"/>
      <c r="H179" s="891"/>
      <c r="I179" s="891"/>
      <c r="J179" s="892"/>
      <c r="K179" s="894"/>
      <c r="L179" s="308" t="s">
        <v>242</v>
      </c>
      <c r="M179" s="308" t="s">
        <v>243</v>
      </c>
      <c r="N179" s="308" t="s">
        <v>539</v>
      </c>
      <c r="O179" s="862"/>
      <c r="P179" s="864"/>
    </row>
    <row r="180" spans="2:16" ht="49.5" customHeight="1" thickBot="1">
      <c r="B180" s="890"/>
      <c r="C180" s="891"/>
      <c r="D180" s="891"/>
      <c r="E180" s="891"/>
      <c r="F180" s="891"/>
      <c r="G180" s="891"/>
      <c r="H180" s="891"/>
      <c r="I180" s="891"/>
      <c r="J180" s="892"/>
      <c r="K180" s="321" t="str">
        <f>+F177</f>
        <v>Transporte materiales a la vereda el aguacate en JEEP, incluye cargue y descargue</v>
      </c>
      <c r="L180" s="322"/>
      <c r="M180" s="322"/>
      <c r="N180" s="322"/>
      <c r="O180" s="322"/>
      <c r="P180" s="686"/>
    </row>
    <row r="181" spans="2:16" ht="15" thickBot="1">
      <c r="B181" s="890"/>
      <c r="C181" s="891"/>
      <c r="D181" s="891"/>
      <c r="E181" s="891"/>
      <c r="F181" s="891"/>
      <c r="G181" s="891"/>
      <c r="H181" s="891"/>
      <c r="I181" s="891"/>
      <c r="J181" s="892"/>
      <c r="K181" s="323" t="s">
        <v>520</v>
      </c>
      <c r="L181" s="324"/>
      <c r="M181" s="324"/>
      <c r="N181" s="324"/>
      <c r="O181" s="645"/>
      <c r="P181" s="686">
        <f t="shared" ref="P181" si="3">+N181*O181</f>
        <v>0</v>
      </c>
    </row>
    <row r="182" spans="2:16" ht="15" thickBot="1">
      <c r="B182" s="890"/>
      <c r="C182" s="891"/>
      <c r="D182" s="891"/>
      <c r="E182" s="891"/>
      <c r="F182" s="891"/>
      <c r="G182" s="891"/>
      <c r="H182" s="891"/>
      <c r="I182" s="891"/>
      <c r="J182" s="892"/>
      <c r="K182" s="323" t="s">
        <v>538</v>
      </c>
      <c r="L182" s="324"/>
      <c r="M182" s="324"/>
      <c r="N182" s="324">
        <v>2.5</v>
      </c>
      <c r="O182" s="645">
        <f>70*'PRESUPUESTO ESTUFA'!E12</f>
        <v>3500</v>
      </c>
      <c r="P182" s="686">
        <f>+N182*O182</f>
        <v>8750</v>
      </c>
    </row>
    <row r="183" spans="2:16" ht="15" thickBot="1">
      <c r="B183" s="890"/>
      <c r="C183" s="891"/>
      <c r="D183" s="891"/>
      <c r="E183" s="891"/>
      <c r="F183" s="891"/>
      <c r="G183" s="891"/>
      <c r="H183" s="891"/>
      <c r="I183" s="891"/>
      <c r="J183" s="892"/>
      <c r="K183" s="323" t="s">
        <v>540</v>
      </c>
      <c r="L183" s="324"/>
      <c r="M183" s="324"/>
      <c r="N183" s="324">
        <v>12</v>
      </c>
      <c r="O183" s="645">
        <f>10*'PRESUPUESTO ESTUFA'!E12</f>
        <v>500</v>
      </c>
      <c r="P183" s="686">
        <f>+N183*O183</f>
        <v>6000</v>
      </c>
    </row>
    <row r="184" spans="2:16" ht="15" thickBot="1">
      <c r="B184" s="890"/>
      <c r="C184" s="891"/>
      <c r="D184" s="891"/>
      <c r="E184" s="891"/>
      <c r="F184" s="891"/>
      <c r="G184" s="891"/>
      <c r="H184" s="891"/>
      <c r="I184" s="891"/>
      <c r="J184" s="892"/>
      <c r="K184" s="323" t="s">
        <v>541</v>
      </c>
      <c r="L184" s="324"/>
      <c r="M184" s="324"/>
      <c r="N184" s="324">
        <v>4</v>
      </c>
      <c r="O184" s="645">
        <f>35*'PRESUPUESTO ESTUFA'!E12</f>
        <v>1750</v>
      </c>
      <c r="P184" s="686">
        <f t="shared" ref="P184:P196" si="4">+N184*O184</f>
        <v>7000</v>
      </c>
    </row>
    <row r="185" spans="2:16" ht="15" thickBot="1">
      <c r="B185" s="890"/>
      <c r="C185" s="891"/>
      <c r="D185" s="891"/>
      <c r="E185" s="891"/>
      <c r="F185" s="891"/>
      <c r="G185" s="891"/>
      <c r="H185" s="891"/>
      <c r="I185" s="891"/>
      <c r="J185" s="892"/>
      <c r="K185" s="654" t="s">
        <v>542</v>
      </c>
      <c r="L185" s="325"/>
      <c r="M185" s="325"/>
      <c r="N185" s="325">
        <v>250</v>
      </c>
      <c r="O185" s="646">
        <f>+'PRESUPUESTO ESTUFA'!E12</f>
        <v>50</v>
      </c>
      <c r="P185" s="686">
        <f t="shared" si="4"/>
        <v>12500</v>
      </c>
    </row>
    <row r="186" spans="2:16" ht="15" thickBot="1">
      <c r="B186" s="890"/>
      <c r="C186" s="891"/>
      <c r="D186" s="891"/>
      <c r="E186" s="891"/>
      <c r="F186" s="891"/>
      <c r="G186" s="891"/>
      <c r="H186" s="891"/>
      <c r="I186" s="891"/>
      <c r="J186" s="892"/>
      <c r="K186" s="654" t="s">
        <v>543</v>
      </c>
      <c r="L186" s="325"/>
      <c r="M186" s="325"/>
      <c r="N186" s="325">
        <v>65</v>
      </c>
      <c r="O186" s="646">
        <f>+'PRESUPUESTO ESTUFA'!E13</f>
        <v>50</v>
      </c>
      <c r="P186" s="686">
        <f t="shared" si="4"/>
        <v>3250</v>
      </c>
    </row>
    <row r="187" spans="2:16" ht="29.5" thickBot="1">
      <c r="B187" s="890"/>
      <c r="C187" s="891"/>
      <c r="D187" s="891"/>
      <c r="E187" s="891"/>
      <c r="F187" s="891"/>
      <c r="G187" s="891"/>
      <c r="H187" s="891"/>
      <c r="I187" s="891"/>
      <c r="J187" s="892"/>
      <c r="K187" s="654" t="s">
        <v>544</v>
      </c>
      <c r="L187" s="325"/>
      <c r="M187" s="325"/>
      <c r="N187" s="325">
        <v>12.5</v>
      </c>
      <c r="O187" s="646">
        <f>+'PRESUPUESTO ESTUFA'!E12</f>
        <v>50</v>
      </c>
      <c r="P187" s="686">
        <f t="shared" si="4"/>
        <v>625</v>
      </c>
    </row>
    <row r="188" spans="2:16" ht="15" thickBot="1">
      <c r="B188" s="890"/>
      <c r="C188" s="891"/>
      <c r="D188" s="891"/>
      <c r="E188" s="891"/>
      <c r="F188" s="891"/>
      <c r="G188" s="891"/>
      <c r="H188" s="891"/>
      <c r="I188" s="891"/>
      <c r="J188" s="892"/>
      <c r="K188" s="656"/>
      <c r="L188" s="641"/>
      <c r="M188" s="641"/>
      <c r="N188" s="325"/>
      <c r="O188" s="646"/>
      <c r="P188" s="686">
        <f t="shared" si="4"/>
        <v>0</v>
      </c>
    </row>
    <row r="189" spans="2:16" ht="15" thickBot="1">
      <c r="B189" s="890"/>
      <c r="C189" s="891"/>
      <c r="D189" s="891"/>
      <c r="E189" s="891"/>
      <c r="F189" s="891"/>
      <c r="G189" s="891"/>
      <c r="H189" s="891"/>
      <c r="I189" s="891"/>
      <c r="J189" s="877"/>
      <c r="K189" s="657" t="s">
        <v>524</v>
      </c>
      <c r="L189" s="358" t="s">
        <v>254</v>
      </c>
      <c r="M189" s="359">
        <v>1</v>
      </c>
      <c r="N189" s="640">
        <v>5</v>
      </c>
      <c r="O189" s="646">
        <f>+'PRESUPUESTO ESTUFA'!E12</f>
        <v>50</v>
      </c>
      <c r="P189" s="686">
        <f t="shared" si="4"/>
        <v>250</v>
      </c>
    </row>
    <row r="190" spans="2:16" ht="15" thickBot="1">
      <c r="B190" s="890"/>
      <c r="C190" s="891"/>
      <c r="D190" s="891"/>
      <c r="E190" s="891"/>
      <c r="F190" s="891"/>
      <c r="G190" s="891"/>
      <c r="H190" s="891"/>
      <c r="I190" s="891"/>
      <c r="J190" s="877"/>
      <c r="K190" s="643" t="s">
        <v>526</v>
      </c>
      <c r="L190" s="358" t="s">
        <v>254</v>
      </c>
      <c r="M190" s="359">
        <v>2</v>
      </c>
      <c r="N190" s="640">
        <v>0.5</v>
      </c>
      <c r="O190" s="646">
        <f>+'PRESUPUESTO ESTUFA'!E13</f>
        <v>50</v>
      </c>
      <c r="P190" s="686">
        <f t="shared" si="4"/>
        <v>25</v>
      </c>
    </row>
    <row r="191" spans="2:16" ht="15" thickBot="1">
      <c r="B191" s="890"/>
      <c r="C191" s="891"/>
      <c r="D191" s="891"/>
      <c r="E191" s="891"/>
      <c r="F191" s="891"/>
      <c r="G191" s="891"/>
      <c r="H191" s="891"/>
      <c r="I191" s="891"/>
      <c r="J191" s="877"/>
      <c r="K191" s="657" t="s">
        <v>528</v>
      </c>
      <c r="L191" s="358" t="s">
        <v>274</v>
      </c>
      <c r="M191" s="359">
        <v>0.03</v>
      </c>
      <c r="N191" s="640"/>
      <c r="O191" s="646">
        <f>+'PRESUPUESTO ESTUFA'!E13</f>
        <v>50</v>
      </c>
      <c r="P191" s="686">
        <f t="shared" si="4"/>
        <v>0</v>
      </c>
    </row>
    <row r="192" spans="2:16" ht="15" thickBot="1">
      <c r="B192" s="890"/>
      <c r="C192" s="891"/>
      <c r="D192" s="891"/>
      <c r="E192" s="891"/>
      <c r="F192" s="891"/>
      <c r="G192" s="891"/>
      <c r="H192" s="891"/>
      <c r="I192" s="891"/>
      <c r="J192" s="877"/>
      <c r="K192" s="657" t="s">
        <v>530</v>
      </c>
      <c r="L192" s="358" t="s">
        <v>260</v>
      </c>
      <c r="M192" s="359">
        <v>0.2</v>
      </c>
      <c r="N192" s="640">
        <v>0.2</v>
      </c>
      <c r="O192" s="646">
        <f>+'PRESUPUESTO ESTUFA'!E13</f>
        <v>50</v>
      </c>
      <c r="P192" s="686">
        <f t="shared" si="4"/>
        <v>10</v>
      </c>
    </row>
    <row r="193" spans="2:16" ht="15" thickBot="1">
      <c r="B193" s="890"/>
      <c r="C193" s="891"/>
      <c r="D193" s="891"/>
      <c r="E193" s="891"/>
      <c r="F193" s="891"/>
      <c r="G193" s="891"/>
      <c r="H193" s="891"/>
      <c r="I193" s="891"/>
      <c r="J193" s="877"/>
      <c r="K193" s="657" t="s">
        <v>532</v>
      </c>
      <c r="L193" s="358" t="s">
        <v>273</v>
      </c>
      <c r="M193" s="359">
        <v>0.05</v>
      </c>
      <c r="N193" s="640">
        <v>0.05</v>
      </c>
      <c r="O193" s="646">
        <f>+'PRESUPUESTO ESTUFA'!E16</f>
        <v>50</v>
      </c>
      <c r="P193" s="686">
        <f t="shared" si="4"/>
        <v>2.5</v>
      </c>
    </row>
    <row r="194" spans="2:16" ht="15" thickBot="1">
      <c r="B194" s="890"/>
      <c r="C194" s="891"/>
      <c r="D194" s="891"/>
      <c r="E194" s="891"/>
      <c r="F194" s="891"/>
      <c r="G194" s="891"/>
      <c r="H194" s="891"/>
      <c r="I194" s="891"/>
      <c r="J194" s="892"/>
      <c r="K194" s="658" t="s">
        <v>535</v>
      </c>
      <c r="L194" s="391" t="s">
        <v>275</v>
      </c>
      <c r="M194" s="332">
        <v>0.08</v>
      </c>
      <c r="N194" s="325">
        <f>+M194*1000</f>
        <v>80</v>
      </c>
      <c r="O194" s="646">
        <f>+'PRESUPUESTO ESTUFA'!E17</f>
        <v>50</v>
      </c>
      <c r="P194" s="686">
        <f t="shared" si="4"/>
        <v>4000</v>
      </c>
    </row>
    <row r="195" spans="2:16" ht="15" thickBot="1">
      <c r="B195" s="890"/>
      <c r="C195" s="891"/>
      <c r="D195" s="891"/>
      <c r="E195" s="891"/>
      <c r="F195" s="891"/>
      <c r="G195" s="891"/>
      <c r="H195" s="891"/>
      <c r="I195" s="891"/>
      <c r="J195" s="892"/>
      <c r="K195" s="654"/>
      <c r="L195" s="325"/>
      <c r="M195" s="325"/>
      <c r="N195" s="325"/>
      <c r="O195" s="325"/>
      <c r="P195" s="686">
        <f t="shared" si="4"/>
        <v>0</v>
      </c>
    </row>
    <row r="196" spans="2:16">
      <c r="B196" s="890"/>
      <c r="C196" s="891"/>
      <c r="D196" s="891"/>
      <c r="E196" s="891"/>
      <c r="F196" s="891"/>
      <c r="G196" s="891"/>
      <c r="H196" s="891"/>
      <c r="I196" s="891"/>
      <c r="J196" s="892"/>
      <c r="K196" s="656" t="str">
        <f>+'PRESUPUESTO ESTUFA'!C34</f>
        <v>MEJORAMIENTO DE SENDEROS</v>
      </c>
      <c r="L196" s="641"/>
      <c r="M196" s="641"/>
      <c r="N196" s="325"/>
      <c r="O196" s="325"/>
      <c r="P196" s="686">
        <f t="shared" si="4"/>
        <v>0</v>
      </c>
    </row>
    <row r="197" spans="2:16">
      <c r="B197" s="890"/>
      <c r="C197" s="891"/>
      <c r="D197" s="891"/>
      <c r="E197" s="891"/>
      <c r="F197" s="891"/>
      <c r="G197" s="891"/>
      <c r="H197" s="891"/>
      <c r="I197" s="891"/>
      <c r="J197" s="877"/>
      <c r="K197" s="659" t="s">
        <v>175</v>
      </c>
      <c r="L197" s="365" t="s">
        <v>254</v>
      </c>
      <c r="M197" s="647"/>
      <c r="N197" s="640"/>
      <c r="O197" s="644">
        <f>+'PRESUPUESTO ESTUFA'!E16*'MEMORIAS DE CALCULO ESTUFAS '!M197</f>
        <v>0</v>
      </c>
      <c r="P197" s="688">
        <f>+O197*N197*M197</f>
        <v>0</v>
      </c>
    </row>
    <row r="198" spans="2:16">
      <c r="B198" s="890"/>
      <c r="C198" s="891"/>
      <c r="D198" s="891"/>
      <c r="E198" s="891"/>
      <c r="F198" s="891"/>
      <c r="G198" s="891"/>
      <c r="H198" s="891"/>
      <c r="I198" s="891"/>
      <c r="J198" s="877"/>
      <c r="K198" s="657" t="s">
        <v>314</v>
      </c>
      <c r="L198" s="358" t="s">
        <v>180</v>
      </c>
      <c r="M198" s="367">
        <v>2.4</v>
      </c>
      <c r="N198" s="640">
        <v>15</v>
      </c>
      <c r="O198" s="644">
        <f>+'PRESUPUESTO ESTUFA'!E36</f>
        <v>106</v>
      </c>
      <c r="P198" s="688">
        <f>+O198*N198*M198</f>
        <v>3816</v>
      </c>
    </row>
    <row r="199" spans="2:16" ht="25">
      <c r="B199" s="890"/>
      <c r="C199" s="891"/>
      <c r="D199" s="891"/>
      <c r="E199" s="891"/>
      <c r="F199" s="891"/>
      <c r="G199" s="891"/>
      <c r="H199" s="891"/>
      <c r="I199" s="891"/>
      <c r="J199" s="877"/>
      <c r="K199" s="657" t="s">
        <v>315</v>
      </c>
      <c r="L199" s="358" t="s">
        <v>180</v>
      </c>
      <c r="M199" s="367">
        <v>1.6</v>
      </c>
      <c r="N199" s="640">
        <f>+M199*100/N198</f>
        <v>10.666666666666666</v>
      </c>
      <c r="O199" s="644">
        <f>+'PRESUPUESTO ESTUFA'!E36</f>
        <v>106</v>
      </c>
      <c r="P199" s="688">
        <f>+O199*N199*M199</f>
        <v>1809.0666666666666</v>
      </c>
    </row>
    <row r="200" spans="2:16" ht="25">
      <c r="B200" s="890"/>
      <c r="C200" s="891"/>
      <c r="D200" s="891"/>
      <c r="E200" s="891"/>
      <c r="F200" s="891"/>
      <c r="G200" s="891"/>
      <c r="H200" s="891"/>
      <c r="I200" s="891"/>
      <c r="J200" s="877"/>
      <c r="K200" s="657" t="s">
        <v>312</v>
      </c>
      <c r="L200" s="358" t="s">
        <v>313</v>
      </c>
      <c r="M200" s="648">
        <v>1</v>
      </c>
      <c r="N200" s="640">
        <v>0.15</v>
      </c>
      <c r="O200" s="644">
        <f>+'PRESUPUESTO ESTUFA'!E36</f>
        <v>106</v>
      </c>
      <c r="P200" s="688">
        <f>+O200*N200*M200</f>
        <v>15.899999999999999</v>
      </c>
    </row>
    <row r="201" spans="2:16">
      <c r="B201" s="890"/>
      <c r="C201" s="891"/>
      <c r="D201" s="891"/>
      <c r="E201" s="891"/>
      <c r="F201" s="891"/>
      <c r="G201" s="891"/>
      <c r="H201" s="891"/>
      <c r="I201" s="891"/>
      <c r="J201" s="892"/>
      <c r="K201" s="660"/>
      <c r="L201" s="649"/>
      <c r="M201" s="649"/>
      <c r="N201" s="325"/>
      <c r="O201" s="644">
        <f>+'PRESUPUESTO ESTUFA'!E15*'MEMORIAS DE CALCULO ESTUFAS '!M201</f>
        <v>0</v>
      </c>
      <c r="P201" s="688">
        <f t="shared" ref="P201:P218" si="5">+O201*N201*M201</f>
        <v>0</v>
      </c>
    </row>
    <row r="202" spans="2:16" ht="39">
      <c r="B202" s="890"/>
      <c r="C202" s="891"/>
      <c r="D202" s="891"/>
      <c r="E202" s="891"/>
      <c r="F202" s="891"/>
      <c r="G202" s="891"/>
      <c r="H202" s="891"/>
      <c r="I202" s="891"/>
      <c r="J202" s="877"/>
      <c r="K202" s="659" t="s">
        <v>311</v>
      </c>
      <c r="L202" s="365" t="s">
        <v>254</v>
      </c>
      <c r="M202" s="647"/>
      <c r="N202" s="640"/>
      <c r="O202" s="325"/>
      <c r="P202" s="688">
        <f t="shared" si="5"/>
        <v>0</v>
      </c>
    </row>
    <row r="203" spans="2:16">
      <c r="B203" s="890"/>
      <c r="C203" s="891"/>
      <c r="D203" s="891"/>
      <c r="E203" s="891"/>
      <c r="F203" s="891"/>
      <c r="G203" s="891"/>
      <c r="H203" s="891"/>
      <c r="I203" s="891"/>
      <c r="J203" s="877"/>
      <c r="K203" s="657" t="s">
        <v>314</v>
      </c>
      <c r="L203" s="358" t="s">
        <v>258</v>
      </c>
      <c r="M203" s="367">
        <v>3</v>
      </c>
      <c r="N203" s="640">
        <v>16</v>
      </c>
      <c r="O203" s="644">
        <f>+'PRESUPUESTO ESTUFA'!E37</f>
        <v>98</v>
      </c>
      <c r="P203" s="688">
        <f>+O203*N203*M203</f>
        <v>4704</v>
      </c>
    </row>
    <row r="204" spans="2:16" ht="25">
      <c r="B204" s="890"/>
      <c r="C204" s="891"/>
      <c r="D204" s="891"/>
      <c r="E204" s="891"/>
      <c r="F204" s="891"/>
      <c r="G204" s="891"/>
      <c r="H204" s="891"/>
      <c r="I204" s="891"/>
      <c r="J204" s="877"/>
      <c r="K204" s="657" t="s">
        <v>315</v>
      </c>
      <c r="L204" s="358" t="s">
        <v>258</v>
      </c>
      <c r="M204" s="367">
        <v>3</v>
      </c>
      <c r="N204" s="640">
        <v>8</v>
      </c>
      <c r="O204" s="644">
        <f>+'PRESUPUESTO ESTUFA'!E37</f>
        <v>98</v>
      </c>
      <c r="P204" s="688">
        <f t="shared" si="5"/>
        <v>2352</v>
      </c>
    </row>
    <row r="205" spans="2:16" ht="25">
      <c r="B205" s="890"/>
      <c r="C205" s="891"/>
      <c r="D205" s="891"/>
      <c r="E205" s="891"/>
      <c r="F205" s="891"/>
      <c r="G205" s="891"/>
      <c r="H205" s="891"/>
      <c r="I205" s="891"/>
      <c r="J205" s="877"/>
      <c r="K205" s="657" t="s">
        <v>312</v>
      </c>
      <c r="L205" s="358" t="s">
        <v>313</v>
      </c>
      <c r="M205" s="648">
        <v>1</v>
      </c>
      <c r="N205" s="640">
        <v>0.2</v>
      </c>
      <c r="O205" s="644">
        <f>+'PRESUPUESTO ESTUFA'!E37</f>
        <v>98</v>
      </c>
      <c r="P205" s="688">
        <f t="shared" si="5"/>
        <v>19.600000000000001</v>
      </c>
    </row>
    <row r="206" spans="2:16">
      <c r="B206" s="890"/>
      <c r="C206" s="891"/>
      <c r="D206" s="891"/>
      <c r="E206" s="891"/>
      <c r="F206" s="891"/>
      <c r="G206" s="891"/>
      <c r="H206" s="891"/>
      <c r="I206" s="891"/>
      <c r="J206" s="877"/>
      <c r="K206" s="690"/>
      <c r="L206" s="691"/>
      <c r="M206" s="691"/>
      <c r="N206" s="692"/>
      <c r="O206" s="693"/>
      <c r="P206" s="688">
        <f t="shared" si="5"/>
        <v>0</v>
      </c>
    </row>
    <row r="207" spans="2:16">
      <c r="B207" s="890"/>
      <c r="C207" s="891"/>
      <c r="D207" s="891"/>
      <c r="E207" s="891"/>
      <c r="F207" s="891"/>
      <c r="G207" s="891"/>
      <c r="H207" s="891"/>
      <c r="I207" s="891"/>
      <c r="J207" s="877"/>
      <c r="K207" s="482"/>
      <c r="L207" s="371"/>
      <c r="M207" s="371"/>
      <c r="N207" s="371"/>
      <c r="O207" s="372"/>
      <c r="P207" s="694">
        <f t="shared" si="5"/>
        <v>0</v>
      </c>
    </row>
    <row r="208" spans="2:16">
      <c r="B208" s="890"/>
      <c r="C208" s="891"/>
      <c r="D208" s="891"/>
      <c r="E208" s="891"/>
      <c r="F208" s="891"/>
      <c r="G208" s="891"/>
      <c r="H208" s="891"/>
      <c r="I208" s="891"/>
      <c r="J208" s="877"/>
      <c r="K208" s="482"/>
      <c r="L208" s="371"/>
      <c r="M208" s="371"/>
      <c r="N208" s="371"/>
      <c r="O208" s="372"/>
      <c r="P208" s="694">
        <f t="shared" si="5"/>
        <v>0</v>
      </c>
    </row>
    <row r="209" spans="2:16">
      <c r="B209" s="890"/>
      <c r="C209" s="891"/>
      <c r="D209" s="891"/>
      <c r="E209" s="891"/>
      <c r="F209" s="891"/>
      <c r="G209" s="891"/>
      <c r="H209" s="891"/>
      <c r="I209" s="891"/>
      <c r="J209" s="877"/>
      <c r="K209" s="482"/>
      <c r="L209" s="371"/>
      <c r="M209" s="371"/>
      <c r="N209" s="371"/>
      <c r="O209" s="372"/>
      <c r="P209" s="695">
        <f t="shared" si="5"/>
        <v>0</v>
      </c>
    </row>
    <row r="210" spans="2:16" ht="29">
      <c r="B210" s="890"/>
      <c r="C210" s="891"/>
      <c r="D210" s="891"/>
      <c r="E210" s="891"/>
      <c r="F210" s="891"/>
      <c r="G210" s="891"/>
      <c r="H210" s="891"/>
      <c r="I210" s="891"/>
      <c r="J210" s="877"/>
      <c r="K210" s="663" t="s">
        <v>319</v>
      </c>
      <c r="L210" s="372" t="s">
        <v>254</v>
      </c>
      <c r="M210" s="372"/>
      <c r="N210" s="372"/>
      <c r="O210" s="372"/>
      <c r="P210" s="696">
        <f t="shared" si="5"/>
        <v>0</v>
      </c>
    </row>
    <row r="211" spans="2:16" ht="29">
      <c r="B211" s="890"/>
      <c r="C211" s="891"/>
      <c r="D211" s="891"/>
      <c r="E211" s="891"/>
      <c r="F211" s="891"/>
      <c r="G211" s="891"/>
      <c r="H211" s="891"/>
      <c r="I211" s="891"/>
      <c r="J211" s="877"/>
      <c r="K211" s="661" t="s">
        <v>321</v>
      </c>
      <c r="L211" s="372" t="s">
        <v>258</v>
      </c>
      <c r="M211" s="372">
        <v>0.62</v>
      </c>
      <c r="N211" s="372">
        <v>15</v>
      </c>
      <c r="O211" s="664">
        <f>+'PRESUPUESTO ESTUFA'!E38</f>
        <v>65</v>
      </c>
      <c r="P211" s="696">
        <f t="shared" si="5"/>
        <v>604.5</v>
      </c>
    </row>
    <row r="212" spans="2:16" ht="29">
      <c r="B212" s="890"/>
      <c r="C212" s="891"/>
      <c r="D212" s="891"/>
      <c r="E212" s="891"/>
      <c r="F212" s="891"/>
      <c r="G212" s="891"/>
      <c r="H212" s="891"/>
      <c r="I212" s="891"/>
      <c r="J212" s="877"/>
      <c r="K212" s="661" t="s">
        <v>323</v>
      </c>
      <c r="L212" s="372" t="s">
        <v>3</v>
      </c>
      <c r="M212" s="372">
        <v>2</v>
      </c>
      <c r="N212" s="372">
        <v>0.1</v>
      </c>
      <c r="O212" s="664">
        <f>+'PRESUPUESTO ESTUFA'!E38</f>
        <v>65</v>
      </c>
      <c r="P212" s="696">
        <f t="shared" si="5"/>
        <v>13</v>
      </c>
    </row>
    <row r="213" spans="2:16">
      <c r="B213" s="890"/>
      <c r="C213" s="891"/>
      <c r="D213" s="891"/>
      <c r="E213" s="891"/>
      <c r="F213" s="891"/>
      <c r="G213" s="891"/>
      <c r="H213" s="891"/>
      <c r="I213" s="891"/>
      <c r="J213" s="892"/>
      <c r="K213" s="662"/>
      <c r="L213" s="642"/>
      <c r="M213" s="642"/>
      <c r="N213" s="642"/>
      <c r="O213" s="642"/>
      <c r="P213" s="696">
        <f t="shared" si="5"/>
        <v>0</v>
      </c>
    </row>
    <row r="214" spans="2:16">
      <c r="B214" s="890"/>
      <c r="C214" s="891"/>
      <c r="D214" s="891"/>
      <c r="E214" s="891"/>
      <c r="F214" s="891"/>
      <c r="G214" s="891"/>
      <c r="H214" s="891"/>
      <c r="I214" s="891"/>
      <c r="J214" s="892"/>
      <c r="K214" s="656" t="str">
        <f>+'PRESUPUESTO ESTUFA'!C25</f>
        <v>Material Vegetal - Plantulas</v>
      </c>
      <c r="L214" s="641"/>
      <c r="M214" s="641"/>
      <c r="N214" s="641"/>
      <c r="O214" s="641"/>
      <c r="P214" s="696">
        <f t="shared" si="5"/>
        <v>0</v>
      </c>
    </row>
    <row r="215" spans="2:16" ht="25">
      <c r="B215" s="890"/>
      <c r="C215" s="891"/>
      <c r="D215" s="891"/>
      <c r="E215" s="891"/>
      <c r="F215" s="891"/>
      <c r="G215" s="891"/>
      <c r="H215" s="891"/>
      <c r="I215" s="891"/>
      <c r="J215" s="877"/>
      <c r="K215" s="357" t="s">
        <v>386</v>
      </c>
      <c r="L215" s="358" t="s">
        <v>258</v>
      </c>
      <c r="M215" s="367">
        <v>0.4</v>
      </c>
      <c r="N215" s="372">
        <v>2</v>
      </c>
      <c r="O215" s="664">
        <f>+'PRESUPUESTO ESTUFA'!E25</f>
        <v>1000</v>
      </c>
      <c r="P215" s="696">
        <f t="shared" si="5"/>
        <v>800</v>
      </c>
    </row>
    <row r="216" spans="2:16">
      <c r="B216" s="890"/>
      <c r="C216" s="891"/>
      <c r="D216" s="891"/>
      <c r="E216" s="891"/>
      <c r="F216" s="891"/>
      <c r="G216" s="891"/>
      <c r="H216" s="891"/>
      <c r="I216" s="891"/>
      <c r="J216" s="892"/>
      <c r="K216" s="662"/>
      <c r="L216" s="642"/>
      <c r="M216" s="642"/>
      <c r="N216" s="642"/>
      <c r="O216" s="642"/>
      <c r="P216" s="696">
        <f t="shared" si="5"/>
        <v>0</v>
      </c>
    </row>
    <row r="217" spans="2:16">
      <c r="B217" s="890"/>
      <c r="C217" s="891"/>
      <c r="D217" s="891"/>
      <c r="E217" s="891"/>
      <c r="F217" s="891"/>
      <c r="G217" s="891"/>
      <c r="H217" s="891"/>
      <c r="I217" s="891"/>
      <c r="J217" s="892"/>
      <c r="K217" s="654"/>
      <c r="L217" s="325"/>
      <c r="M217" s="325"/>
      <c r="N217" s="325"/>
      <c r="O217" s="325"/>
      <c r="P217" s="696">
        <f t="shared" si="5"/>
        <v>0</v>
      </c>
    </row>
    <row r="218" spans="2:16">
      <c r="B218" s="890"/>
      <c r="C218" s="891"/>
      <c r="D218" s="891"/>
      <c r="E218" s="891"/>
      <c r="F218" s="891"/>
      <c r="G218" s="891"/>
      <c r="H218" s="891"/>
      <c r="I218" s="891"/>
      <c r="J218" s="892"/>
      <c r="K218" s="654"/>
      <c r="L218" s="325"/>
      <c r="M218" s="325"/>
      <c r="N218" s="325"/>
      <c r="O218" s="325"/>
      <c r="P218" s="696">
        <f t="shared" si="5"/>
        <v>0</v>
      </c>
    </row>
    <row r="219" spans="2:16">
      <c r="B219" s="890"/>
      <c r="C219" s="891"/>
      <c r="D219" s="891"/>
      <c r="E219" s="891"/>
      <c r="F219" s="891"/>
      <c r="G219" s="891"/>
      <c r="H219" s="891"/>
      <c r="I219" s="891"/>
      <c r="J219" s="892"/>
      <c r="K219" s="656"/>
      <c r="L219" s="641"/>
      <c r="M219" s="641"/>
      <c r="N219" s="641"/>
      <c r="O219" s="641"/>
      <c r="P219" s="688"/>
    </row>
    <row r="220" spans="2:16">
      <c r="B220" s="890"/>
      <c r="C220" s="891"/>
      <c r="D220" s="891"/>
      <c r="E220" s="891"/>
      <c r="F220" s="891"/>
      <c r="G220" s="891"/>
      <c r="H220" s="891"/>
      <c r="I220" s="891"/>
      <c r="J220" s="877"/>
      <c r="K220" s="482"/>
      <c r="L220" s="371"/>
      <c r="M220" s="371"/>
      <c r="N220" s="371"/>
      <c r="O220" s="371"/>
      <c r="P220" s="694"/>
    </row>
    <row r="221" spans="2:16">
      <c r="B221" s="890"/>
      <c r="C221" s="891"/>
      <c r="D221" s="891"/>
      <c r="E221" s="891"/>
      <c r="F221" s="891"/>
      <c r="G221" s="891"/>
      <c r="H221" s="891"/>
      <c r="I221" s="891"/>
      <c r="J221" s="877"/>
      <c r="K221" s="482"/>
      <c r="L221" s="371"/>
      <c r="M221" s="371"/>
      <c r="N221" s="371"/>
      <c r="O221" s="371"/>
      <c r="P221" s="694"/>
    </row>
    <row r="222" spans="2:16">
      <c r="B222" s="890"/>
      <c r="C222" s="891"/>
      <c r="D222" s="891"/>
      <c r="E222" s="891"/>
      <c r="F222" s="891"/>
      <c r="G222" s="891"/>
      <c r="H222" s="891"/>
      <c r="I222" s="891"/>
      <c r="J222" s="877"/>
      <c r="K222" s="482"/>
      <c r="L222" s="371"/>
      <c r="M222" s="371"/>
      <c r="N222" s="371"/>
      <c r="O222" s="371"/>
      <c r="P222" s="694"/>
    </row>
    <row r="223" spans="2:16">
      <c r="B223" s="890"/>
      <c r="C223" s="891"/>
      <c r="D223" s="891"/>
      <c r="E223" s="891"/>
      <c r="F223" s="891"/>
      <c r="G223" s="891"/>
      <c r="H223" s="891"/>
      <c r="I223" s="891"/>
      <c r="J223" s="877"/>
      <c r="K223" s="482"/>
      <c r="L223" s="371"/>
      <c r="M223" s="371"/>
      <c r="N223" s="371"/>
      <c r="O223" s="371"/>
      <c r="P223" s="694"/>
    </row>
    <row r="224" spans="2:16">
      <c r="B224" s="890"/>
      <c r="C224" s="891"/>
      <c r="D224" s="891"/>
      <c r="E224" s="891"/>
      <c r="F224" s="891"/>
      <c r="G224" s="891"/>
      <c r="H224" s="891"/>
      <c r="I224" s="891"/>
      <c r="J224" s="892"/>
      <c r="K224" s="662"/>
      <c r="L224" s="642"/>
      <c r="M224" s="642"/>
      <c r="N224" s="642"/>
      <c r="O224" s="642"/>
      <c r="P224" s="688"/>
    </row>
    <row r="225" spans="2:16">
      <c r="B225" s="890"/>
      <c r="C225" s="891"/>
      <c r="D225" s="891"/>
      <c r="E225" s="891"/>
      <c r="F225" s="891"/>
      <c r="G225" s="891"/>
      <c r="H225" s="891"/>
      <c r="I225" s="891"/>
      <c r="J225" s="892"/>
      <c r="K225" s="654"/>
      <c r="L225" s="325"/>
      <c r="M225" s="325"/>
      <c r="N225" s="325"/>
      <c r="O225" s="325"/>
      <c r="P225" s="688"/>
    </row>
    <row r="226" spans="2:16">
      <c r="B226" s="890"/>
      <c r="C226" s="891"/>
      <c r="D226" s="891"/>
      <c r="E226" s="891"/>
      <c r="F226" s="891"/>
      <c r="G226" s="891"/>
      <c r="H226" s="891"/>
      <c r="I226" s="891"/>
      <c r="J226" s="892"/>
      <c r="K226" s="654"/>
      <c r="L226" s="325"/>
      <c r="M226" s="325"/>
      <c r="N226" s="325"/>
      <c r="O226" s="325"/>
      <c r="P226" s="688"/>
    </row>
    <row r="227" spans="2:16">
      <c r="B227" s="890"/>
      <c r="C227" s="891"/>
      <c r="D227" s="891"/>
      <c r="E227" s="891"/>
      <c r="F227" s="891"/>
      <c r="G227" s="891"/>
      <c r="H227" s="891"/>
      <c r="I227" s="891"/>
      <c r="J227" s="892"/>
      <c r="K227" s="654"/>
      <c r="L227" s="325"/>
      <c r="M227" s="325"/>
      <c r="N227" s="325"/>
      <c r="O227" s="325"/>
      <c r="P227" s="688"/>
    </row>
    <row r="228" spans="2:16">
      <c r="B228" s="890"/>
      <c r="C228" s="891"/>
      <c r="D228" s="891"/>
      <c r="E228" s="891"/>
      <c r="F228" s="891"/>
      <c r="G228" s="891"/>
      <c r="H228" s="891"/>
      <c r="I228" s="891"/>
      <c r="J228" s="892"/>
      <c r="K228" s="654"/>
      <c r="L228" s="325"/>
      <c r="M228" s="325"/>
      <c r="N228" s="325"/>
      <c r="O228" s="325"/>
      <c r="P228" s="688"/>
    </row>
    <row r="229" spans="2:16">
      <c r="B229" s="890"/>
      <c r="C229" s="891"/>
      <c r="D229" s="891"/>
      <c r="E229" s="891"/>
      <c r="F229" s="891"/>
      <c r="G229" s="891"/>
      <c r="H229" s="891"/>
      <c r="I229" s="891"/>
      <c r="J229" s="892"/>
      <c r="K229" s="654"/>
      <c r="L229" s="325"/>
      <c r="M229" s="325"/>
      <c r="N229" s="325"/>
      <c r="O229" s="325"/>
      <c r="P229" s="688"/>
    </row>
    <row r="230" spans="2:16">
      <c r="B230" s="890"/>
      <c r="C230" s="891"/>
      <c r="D230" s="891"/>
      <c r="E230" s="891"/>
      <c r="F230" s="891"/>
      <c r="G230" s="891"/>
      <c r="H230" s="891"/>
      <c r="I230" s="891"/>
      <c r="J230" s="892"/>
      <c r="K230" s="654"/>
      <c r="L230" s="325"/>
      <c r="M230" s="325"/>
      <c r="N230" s="325"/>
      <c r="O230" s="325"/>
      <c r="P230" s="688"/>
    </row>
    <row r="231" spans="2:16">
      <c r="B231" s="890"/>
      <c r="C231" s="891"/>
      <c r="D231" s="891"/>
      <c r="E231" s="891"/>
      <c r="F231" s="891"/>
      <c r="G231" s="891"/>
      <c r="H231" s="891"/>
      <c r="I231" s="891"/>
      <c r="J231" s="892"/>
      <c r="K231" s="654"/>
      <c r="L231" s="325"/>
      <c r="M231" s="325"/>
      <c r="N231" s="325"/>
      <c r="O231" s="325"/>
      <c r="P231" s="688"/>
    </row>
    <row r="232" spans="2:16">
      <c r="B232" s="890"/>
      <c r="C232" s="891"/>
      <c r="D232" s="891"/>
      <c r="E232" s="891"/>
      <c r="F232" s="891"/>
      <c r="G232" s="891"/>
      <c r="H232" s="891"/>
      <c r="I232" s="891"/>
      <c r="J232" s="892"/>
      <c r="K232" s="654"/>
      <c r="L232" s="325"/>
      <c r="M232" s="325"/>
      <c r="N232" s="325"/>
      <c r="O232" s="325"/>
      <c r="P232" s="688"/>
    </row>
    <row r="233" spans="2:16">
      <c r="B233" s="890"/>
      <c r="C233" s="891"/>
      <c r="D233" s="891"/>
      <c r="E233" s="891"/>
      <c r="F233" s="891"/>
      <c r="G233" s="891"/>
      <c r="H233" s="891"/>
      <c r="I233" s="891"/>
      <c r="J233" s="892"/>
      <c r="K233" s="654"/>
      <c r="L233" s="325"/>
      <c r="M233" s="325"/>
      <c r="N233" s="325"/>
      <c r="O233" s="325"/>
      <c r="P233" s="688"/>
    </row>
    <row r="234" spans="2:16">
      <c r="B234" s="890"/>
      <c r="C234" s="891"/>
      <c r="D234" s="891"/>
      <c r="E234" s="891"/>
      <c r="F234" s="891"/>
      <c r="G234" s="891"/>
      <c r="H234" s="891"/>
      <c r="I234" s="891"/>
      <c r="J234" s="892"/>
      <c r="K234" s="654"/>
      <c r="L234" s="325"/>
      <c r="M234" s="325"/>
      <c r="N234" s="325"/>
      <c r="O234" s="325"/>
      <c r="P234" s="688"/>
    </row>
    <row r="235" spans="2:16">
      <c r="B235" s="890"/>
      <c r="C235" s="891"/>
      <c r="D235" s="891"/>
      <c r="E235" s="891"/>
      <c r="F235" s="891"/>
      <c r="G235" s="891"/>
      <c r="H235" s="891"/>
      <c r="I235" s="891"/>
      <c r="J235" s="892"/>
      <c r="K235" s="654"/>
      <c r="L235" s="325"/>
      <c r="M235" s="325"/>
      <c r="N235" s="325"/>
      <c r="O235" s="325"/>
      <c r="P235" s="688"/>
    </row>
    <row r="236" spans="2:16">
      <c r="B236" s="890"/>
      <c r="C236" s="891"/>
      <c r="D236" s="891"/>
      <c r="E236" s="891"/>
      <c r="F236" s="891"/>
      <c r="G236" s="891"/>
      <c r="H236" s="891"/>
      <c r="I236" s="891"/>
      <c r="J236" s="892"/>
      <c r="K236" s="654"/>
      <c r="L236" s="325"/>
      <c r="M236" s="325"/>
      <c r="N236" s="325"/>
      <c r="O236" s="325"/>
      <c r="P236" s="688"/>
    </row>
    <row r="237" spans="2:16" ht="15" thickBot="1">
      <c r="B237" s="867"/>
      <c r="C237" s="871"/>
      <c r="D237" s="871"/>
      <c r="E237" s="871"/>
      <c r="F237" s="871"/>
      <c r="G237" s="871"/>
      <c r="H237" s="871"/>
      <c r="I237" s="871"/>
      <c r="J237" s="943"/>
      <c r="K237" s="655"/>
      <c r="L237" s="326"/>
      <c r="M237" s="326"/>
      <c r="N237" s="326"/>
      <c r="O237" s="326"/>
      <c r="P237" s="689"/>
    </row>
    <row r="238" spans="2:16" ht="15" customHeight="1">
      <c r="B238" s="865" t="s">
        <v>248</v>
      </c>
      <c r="C238" s="866"/>
      <c r="D238" s="869" t="s">
        <v>556</v>
      </c>
      <c r="E238" s="870"/>
      <c r="F238" s="870"/>
      <c r="G238" s="870"/>
      <c r="H238" s="870"/>
      <c r="I238" s="870"/>
      <c r="J238" s="866"/>
      <c r="K238" s="872" t="s">
        <v>246</v>
      </c>
      <c r="L238" s="874">
        <f>P238</f>
        <v>56546.566666666666</v>
      </c>
      <c r="M238" s="876" t="s">
        <v>247</v>
      </c>
      <c r="N238" s="877"/>
      <c r="O238" s="878"/>
      <c r="P238" s="941">
        <f>SUM(P180:P237)</f>
        <v>56546.566666666666</v>
      </c>
    </row>
    <row r="239" spans="2:16" ht="46.5" customHeight="1" thickBot="1">
      <c r="B239" s="867"/>
      <c r="C239" s="868"/>
      <c r="D239" s="867"/>
      <c r="E239" s="871"/>
      <c r="F239" s="871"/>
      <c r="G239" s="871"/>
      <c r="H239" s="871"/>
      <c r="I239" s="871"/>
      <c r="J239" s="868"/>
      <c r="K239" s="873"/>
      <c r="L239" s="875"/>
      <c r="M239" s="867"/>
      <c r="N239" s="871"/>
      <c r="O239" s="868"/>
      <c r="P239" s="942"/>
    </row>
    <row r="240" spans="2:16">
      <c r="P240" s="680">
        <f>+P238</f>
        <v>56546.566666666666</v>
      </c>
    </row>
    <row r="243" spans="2:14" ht="15" thickBot="1">
      <c r="B243" s="317"/>
      <c r="C243" s="317"/>
      <c r="D243" s="317"/>
      <c r="E243" s="317"/>
      <c r="F243" s="317"/>
      <c r="G243" s="317"/>
      <c r="I243" s="317"/>
      <c r="J243" s="317"/>
      <c r="K243" s="651"/>
      <c r="L243" s="317"/>
      <c r="M243" s="317"/>
      <c r="N243" s="317"/>
    </row>
    <row r="244" spans="2:14" ht="15" thickBot="1">
      <c r="B244" s="318"/>
      <c r="C244" s="319"/>
      <c r="I244" s="320"/>
    </row>
    <row r="245" spans="2:14">
      <c r="B245" s="320"/>
      <c r="I245" s="320"/>
    </row>
  </sheetData>
  <mergeCells count="155">
    <mergeCell ref="B158:C159"/>
    <mergeCell ref="D158:J159"/>
    <mergeCell ref="K158:K159"/>
    <mergeCell ref="L158:L159"/>
    <mergeCell ref="M158:O159"/>
    <mergeCell ref="P158:P159"/>
    <mergeCell ref="B132:D132"/>
    <mergeCell ref="F132:J132"/>
    <mergeCell ref="K132:L132"/>
    <mergeCell ref="M132:N132"/>
    <mergeCell ref="B133:J157"/>
    <mergeCell ref="K133:K134"/>
    <mergeCell ref="L133:N133"/>
    <mergeCell ref="O133:O134"/>
    <mergeCell ref="P133:P134"/>
    <mergeCell ref="B129:D129"/>
    <mergeCell ref="E129:H129"/>
    <mergeCell ref="I129:J129"/>
    <mergeCell ref="K129:L129"/>
    <mergeCell ref="M129:N131"/>
    <mergeCell ref="O129:P131"/>
    <mergeCell ref="B130:D130"/>
    <mergeCell ref="E130:H130"/>
    <mergeCell ref="I130:J130"/>
    <mergeCell ref="K130:L131"/>
    <mergeCell ref="B131:D131"/>
    <mergeCell ref="F131:J131"/>
    <mergeCell ref="B71:C72"/>
    <mergeCell ref="D71:J72"/>
    <mergeCell ref="K71:K72"/>
    <mergeCell ref="L71:L72"/>
    <mergeCell ref="M71:O72"/>
    <mergeCell ref="P71:P72"/>
    <mergeCell ref="B124:P124"/>
    <mergeCell ref="N126:P126"/>
    <mergeCell ref="B128:D128"/>
    <mergeCell ref="E128:P128"/>
    <mergeCell ref="B82:P82"/>
    <mergeCell ref="N84:P84"/>
    <mergeCell ref="B86:D86"/>
    <mergeCell ref="E86:P86"/>
    <mergeCell ref="B87:D87"/>
    <mergeCell ref="E87:H87"/>
    <mergeCell ref="I87:J87"/>
    <mergeCell ref="K87:L87"/>
    <mergeCell ref="M87:N89"/>
    <mergeCell ref="O87:P89"/>
    <mergeCell ref="B88:D88"/>
    <mergeCell ref="E88:H88"/>
    <mergeCell ref="I88:J88"/>
    <mergeCell ref="K88:L89"/>
    <mergeCell ref="B45:D45"/>
    <mergeCell ref="F45:J45"/>
    <mergeCell ref="K45:L45"/>
    <mergeCell ref="M45:N45"/>
    <mergeCell ref="B46:J70"/>
    <mergeCell ref="K46:K47"/>
    <mergeCell ref="L46:N46"/>
    <mergeCell ref="O46:O47"/>
    <mergeCell ref="P46:P47"/>
    <mergeCell ref="B42:D42"/>
    <mergeCell ref="E42:H42"/>
    <mergeCell ref="I42:J42"/>
    <mergeCell ref="K42:L42"/>
    <mergeCell ref="M42:N44"/>
    <mergeCell ref="O42:P44"/>
    <mergeCell ref="B43:D43"/>
    <mergeCell ref="E43:H43"/>
    <mergeCell ref="I43:J43"/>
    <mergeCell ref="K43:L44"/>
    <mergeCell ref="B44:D44"/>
    <mergeCell ref="F44:J44"/>
    <mergeCell ref="B26:C27"/>
    <mergeCell ref="D26:J27"/>
    <mergeCell ref="K26:K27"/>
    <mergeCell ref="L26:L27"/>
    <mergeCell ref="M26:O27"/>
    <mergeCell ref="P26:P27"/>
    <mergeCell ref="B37:P37"/>
    <mergeCell ref="N39:P39"/>
    <mergeCell ref="B41:D41"/>
    <mergeCell ref="E41:P41"/>
    <mergeCell ref="B10:D10"/>
    <mergeCell ref="F10:J10"/>
    <mergeCell ref="K10:L10"/>
    <mergeCell ref="M10:N10"/>
    <mergeCell ref="B11:J25"/>
    <mergeCell ref="K11:K12"/>
    <mergeCell ref="L11:N11"/>
    <mergeCell ref="O11:O12"/>
    <mergeCell ref="P11:P12"/>
    <mergeCell ref="B2:P2"/>
    <mergeCell ref="N4:P4"/>
    <mergeCell ref="B6:D6"/>
    <mergeCell ref="E6:P6"/>
    <mergeCell ref="B7:D7"/>
    <mergeCell ref="E7:H7"/>
    <mergeCell ref="I7:J7"/>
    <mergeCell ref="K7:L7"/>
    <mergeCell ref="M7:N9"/>
    <mergeCell ref="O7:P9"/>
    <mergeCell ref="B8:D8"/>
    <mergeCell ref="E8:H8"/>
    <mergeCell ref="I8:J8"/>
    <mergeCell ref="K8:L9"/>
    <mergeCell ref="B9:D9"/>
    <mergeCell ref="F9:J9"/>
    <mergeCell ref="B89:D89"/>
    <mergeCell ref="F89:J89"/>
    <mergeCell ref="O91:O92"/>
    <mergeCell ref="P91:P92"/>
    <mergeCell ref="B116:C117"/>
    <mergeCell ref="D116:J117"/>
    <mergeCell ref="K116:K117"/>
    <mergeCell ref="L116:L117"/>
    <mergeCell ref="M116:O117"/>
    <mergeCell ref="P116:P117"/>
    <mergeCell ref="B90:D90"/>
    <mergeCell ref="F90:J90"/>
    <mergeCell ref="K90:L90"/>
    <mergeCell ref="M90:N90"/>
    <mergeCell ref="B91:J115"/>
    <mergeCell ref="K91:K92"/>
    <mergeCell ref="L91:N91"/>
    <mergeCell ref="B169:P169"/>
    <mergeCell ref="N171:P171"/>
    <mergeCell ref="B173:D173"/>
    <mergeCell ref="E173:P173"/>
    <mergeCell ref="B174:D174"/>
    <mergeCell ref="E174:H174"/>
    <mergeCell ref="I174:J174"/>
    <mergeCell ref="K174:L174"/>
    <mergeCell ref="M174:N176"/>
    <mergeCell ref="O174:P176"/>
    <mergeCell ref="B175:D175"/>
    <mergeCell ref="E175:H175"/>
    <mergeCell ref="I175:J175"/>
    <mergeCell ref="K175:L176"/>
    <mergeCell ref="B176:D176"/>
    <mergeCell ref="F176:J176"/>
    <mergeCell ref="O178:O179"/>
    <mergeCell ref="P178:P179"/>
    <mergeCell ref="B238:C239"/>
    <mergeCell ref="D238:J239"/>
    <mergeCell ref="K238:K239"/>
    <mergeCell ref="L238:L239"/>
    <mergeCell ref="M238:O239"/>
    <mergeCell ref="P238:P239"/>
    <mergeCell ref="B177:D177"/>
    <mergeCell ref="F177:J177"/>
    <mergeCell ref="K177:L177"/>
    <mergeCell ref="M177:N177"/>
    <mergeCell ref="B178:J237"/>
    <mergeCell ref="K178:K179"/>
    <mergeCell ref="L178:N178"/>
  </mergeCells>
  <phoneticPr fontId="6"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3"/>
  <sheetViews>
    <sheetView workbookViewId="0">
      <selection activeCell="D8" sqref="D8"/>
    </sheetView>
  </sheetViews>
  <sheetFormatPr baseColWidth="10" defaultRowHeight="14.5"/>
  <cols>
    <col min="1" max="1" width="29.54296875" customWidth="1"/>
    <col min="2" max="2" width="19.81640625" customWidth="1"/>
    <col min="3" max="3" width="31.453125" bestFit="1" customWidth="1"/>
    <col min="4" max="4" width="17.26953125" customWidth="1"/>
    <col min="5" max="5" width="28.7265625" customWidth="1"/>
    <col min="6" max="6" width="17.81640625" customWidth="1"/>
  </cols>
  <sheetData>
    <row r="1" spans="1:6">
      <c r="A1" s="487"/>
      <c r="B1" s="967" t="s">
        <v>165</v>
      </c>
      <c r="C1" s="967"/>
      <c r="D1" s="488"/>
      <c r="E1" s="488"/>
      <c r="F1" s="489"/>
    </row>
    <row r="2" spans="1:6" ht="15" thickBot="1">
      <c r="A2" s="490"/>
      <c r="B2" s="491"/>
      <c r="C2" s="491"/>
      <c r="D2" s="491"/>
      <c r="E2" s="491"/>
      <c r="F2" s="492"/>
    </row>
    <row r="3" spans="1:6" ht="15" thickBot="1">
      <c r="A3" s="509" t="s">
        <v>164</v>
      </c>
      <c r="B3" s="510" t="s">
        <v>74</v>
      </c>
      <c r="C3" s="510" t="s">
        <v>163</v>
      </c>
      <c r="D3" s="510" t="s">
        <v>74</v>
      </c>
      <c r="E3" s="510" t="s">
        <v>168</v>
      </c>
      <c r="F3" s="511" t="s">
        <v>74</v>
      </c>
    </row>
    <row r="4" spans="1:6" ht="43.5">
      <c r="A4" s="505" t="s">
        <v>380</v>
      </c>
      <c r="B4" s="506">
        <v>4850</v>
      </c>
      <c r="C4" s="507" t="s">
        <v>147</v>
      </c>
      <c r="D4" s="506">
        <v>5650</v>
      </c>
      <c r="E4" s="507" t="s">
        <v>147</v>
      </c>
      <c r="F4" s="508">
        <f>+(B4+D4)/2</f>
        <v>5250</v>
      </c>
    </row>
    <row r="5" spans="1:6">
      <c r="A5" s="498" t="s">
        <v>161</v>
      </c>
      <c r="B5" s="483">
        <v>24900</v>
      </c>
      <c r="C5" s="371" t="s">
        <v>161</v>
      </c>
      <c r="D5" s="483">
        <v>10900</v>
      </c>
      <c r="E5" s="371" t="s">
        <v>161</v>
      </c>
      <c r="F5" s="497">
        <f t="shared" ref="F5:F6" si="0">+(B5+D5)/2</f>
        <v>17900</v>
      </c>
    </row>
    <row r="6" spans="1:6">
      <c r="A6" s="498" t="s">
        <v>160</v>
      </c>
      <c r="B6" s="483">
        <v>29900</v>
      </c>
      <c r="C6" s="371" t="s">
        <v>160</v>
      </c>
      <c r="D6" s="483">
        <v>29900</v>
      </c>
      <c r="E6" s="371" t="s">
        <v>160</v>
      </c>
      <c r="F6" s="497">
        <f t="shared" si="0"/>
        <v>29900</v>
      </c>
    </row>
    <row r="7" spans="1:6" ht="15" thickBot="1">
      <c r="A7" s="499" t="str">
        <f>+[7]APUS!A51</f>
        <v xml:space="preserve">Inseticida control hormiga </v>
      </c>
      <c r="B7" s="500">
        <v>98990</v>
      </c>
      <c r="C7" s="501" t="s">
        <v>160</v>
      </c>
      <c r="D7" s="502">
        <v>132500</v>
      </c>
      <c r="E7" s="501" t="s">
        <v>160</v>
      </c>
      <c r="F7" s="503">
        <f>+(B7+D7)/2</f>
        <v>115745</v>
      </c>
    </row>
    <row r="8" spans="1:6" ht="15" thickBot="1">
      <c r="A8" s="484"/>
      <c r="B8" s="968" t="s">
        <v>166</v>
      </c>
      <c r="C8" s="968"/>
      <c r="D8" s="485"/>
      <c r="E8" s="485"/>
      <c r="F8" s="486"/>
    </row>
    <row r="9" spans="1:6" ht="15" thickBot="1"/>
    <row r="10" spans="1:6">
      <c r="A10" s="493" t="s">
        <v>167</v>
      </c>
      <c r="B10" s="494" t="s">
        <v>74</v>
      </c>
      <c r="C10" s="494" t="s">
        <v>163</v>
      </c>
      <c r="D10" s="494" t="s">
        <v>74</v>
      </c>
      <c r="E10" s="494" t="s">
        <v>168</v>
      </c>
      <c r="F10" s="495" t="s">
        <v>74</v>
      </c>
    </row>
    <row r="11" spans="1:6" ht="15" thickBot="1">
      <c r="A11" s="499" t="s">
        <v>381</v>
      </c>
      <c r="B11" s="504">
        <v>1900000</v>
      </c>
      <c r="C11" s="501" t="s">
        <v>381</v>
      </c>
      <c r="D11" s="500">
        <v>2000000</v>
      </c>
      <c r="E11" s="501" t="s">
        <v>381</v>
      </c>
      <c r="F11" s="503">
        <f>+(B11+D11)/2</f>
        <v>1950000</v>
      </c>
    </row>
    <row r="12" spans="1:6" ht="15" thickBot="1"/>
    <row r="13" spans="1:6" ht="15" thickBot="1">
      <c r="A13" s="484"/>
      <c r="B13" s="485" t="s">
        <v>382</v>
      </c>
      <c r="C13" s="485"/>
      <c r="D13" s="485"/>
      <c r="E13" s="485"/>
      <c r="F13" s="486"/>
    </row>
  </sheetData>
  <mergeCells count="2">
    <mergeCell ref="B1:C1"/>
    <mergeCell ref="B8:C8"/>
  </mergeCell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7F563-4A51-495E-B598-C3546A92DB11}">
  <dimension ref="A1:H31"/>
  <sheetViews>
    <sheetView zoomScale="80" zoomScaleNormal="80" workbookViewId="0">
      <selection activeCell="C5" sqref="C5:C6"/>
    </sheetView>
  </sheetViews>
  <sheetFormatPr baseColWidth="10" defaultColWidth="11.453125" defaultRowHeight="14.5"/>
  <cols>
    <col min="7" max="7" width="16.54296875" customWidth="1"/>
    <col min="8" max="8" width="44" customWidth="1"/>
  </cols>
  <sheetData>
    <row r="1" spans="1:8" ht="45.65" customHeight="1">
      <c r="A1" s="728"/>
      <c r="B1" s="728"/>
      <c r="C1" s="728"/>
      <c r="D1" s="728"/>
      <c r="E1" s="728"/>
      <c r="F1" s="728"/>
      <c r="G1" s="728"/>
      <c r="H1" s="728"/>
    </row>
    <row r="2" spans="1:8">
      <c r="A2" s="729"/>
      <c r="B2" s="729"/>
      <c r="C2" s="729"/>
      <c r="D2" s="729"/>
      <c r="E2" s="729"/>
      <c r="F2" s="729"/>
      <c r="G2" s="729"/>
      <c r="H2" s="729"/>
    </row>
    <row r="3" spans="1:8">
      <c r="A3" s="729"/>
      <c r="B3" s="729"/>
      <c r="C3" s="729"/>
      <c r="D3" s="729"/>
      <c r="E3" s="729"/>
      <c r="F3" s="729"/>
      <c r="G3" s="729"/>
      <c r="H3" s="729"/>
    </row>
    <row r="4" spans="1:8">
      <c r="A4" s="729"/>
      <c r="B4" s="729"/>
      <c r="C4" s="729"/>
      <c r="D4" s="729"/>
      <c r="E4" s="729"/>
      <c r="F4" s="729"/>
      <c r="G4" s="729"/>
      <c r="H4" s="729"/>
    </row>
    <row r="5" spans="1:8">
      <c r="A5" s="729"/>
      <c r="B5" s="729"/>
      <c r="C5" s="729"/>
      <c r="D5" s="729"/>
      <c r="E5" s="729"/>
      <c r="F5" s="729"/>
      <c r="G5" s="729"/>
      <c r="H5" s="729"/>
    </row>
    <row r="6" spans="1:8">
      <c r="A6" s="729"/>
      <c r="B6" s="729"/>
      <c r="C6" s="729"/>
      <c r="D6" s="729"/>
      <c r="E6" s="729"/>
      <c r="F6" s="729"/>
      <c r="G6" s="729"/>
      <c r="H6" s="729"/>
    </row>
    <row r="7" spans="1:8">
      <c r="A7" s="729"/>
      <c r="B7" s="729"/>
      <c r="C7" s="729"/>
      <c r="D7" s="729"/>
      <c r="E7" s="729"/>
      <c r="F7" s="729"/>
      <c r="G7" s="729"/>
      <c r="H7" s="729"/>
    </row>
    <row r="8" spans="1:8">
      <c r="A8" s="729"/>
      <c r="B8" s="729"/>
      <c r="C8" s="729"/>
      <c r="D8" s="729"/>
      <c r="E8" s="729"/>
      <c r="F8" s="729"/>
      <c r="G8" s="729"/>
      <c r="H8" s="729"/>
    </row>
    <row r="9" spans="1:8">
      <c r="A9" s="729"/>
      <c r="B9" s="729"/>
      <c r="C9" s="729"/>
      <c r="D9" s="729"/>
      <c r="E9" s="729"/>
      <c r="F9" s="729"/>
      <c r="G9" s="729"/>
      <c r="H9" s="729"/>
    </row>
    <row r="10" spans="1:8">
      <c r="A10" s="729"/>
      <c r="B10" s="729"/>
      <c r="C10" s="729"/>
      <c r="D10" s="729"/>
      <c r="E10" s="729"/>
      <c r="F10" s="729"/>
      <c r="G10" s="729"/>
      <c r="H10" s="729"/>
    </row>
    <row r="11" spans="1:8">
      <c r="A11" s="729"/>
      <c r="B11" s="729"/>
      <c r="C11" s="729"/>
      <c r="D11" s="729"/>
      <c r="E11" s="729"/>
      <c r="F11" s="729"/>
      <c r="G11" s="729"/>
      <c r="H11" s="729"/>
    </row>
    <row r="12" spans="1:8">
      <c r="A12" s="729"/>
      <c r="B12" s="729"/>
      <c r="C12" s="729"/>
      <c r="D12" s="729"/>
      <c r="E12" s="729"/>
      <c r="F12" s="729"/>
      <c r="G12" s="729"/>
      <c r="H12" s="729"/>
    </row>
    <row r="13" spans="1:8">
      <c r="A13" s="729"/>
      <c r="B13" s="729"/>
      <c r="C13" s="729"/>
      <c r="D13" s="729"/>
      <c r="E13" s="729"/>
      <c r="F13" s="729"/>
      <c r="G13" s="729"/>
      <c r="H13" s="729"/>
    </row>
    <row r="14" spans="1:8">
      <c r="A14" s="729"/>
      <c r="B14" s="729"/>
      <c r="C14" s="729"/>
      <c r="D14" s="729"/>
      <c r="E14" s="729"/>
      <c r="F14" s="729"/>
      <c r="G14" s="729"/>
      <c r="H14" s="729"/>
    </row>
    <row r="15" spans="1:8">
      <c r="A15" s="729"/>
      <c r="B15" s="729"/>
      <c r="C15" s="729"/>
      <c r="D15" s="729"/>
      <c r="E15" s="729"/>
      <c r="F15" s="729"/>
      <c r="G15" s="729"/>
      <c r="H15" s="729"/>
    </row>
    <row r="16" spans="1:8">
      <c r="A16" s="729"/>
      <c r="B16" s="729"/>
      <c r="C16" s="729"/>
      <c r="D16" s="729"/>
      <c r="E16" s="729"/>
      <c r="F16" s="729"/>
      <c r="G16" s="729"/>
      <c r="H16" s="729"/>
    </row>
    <row r="17" spans="1:8">
      <c r="A17" s="729"/>
      <c r="B17" s="729"/>
      <c r="C17" s="729"/>
      <c r="D17" s="729"/>
      <c r="E17" s="729"/>
      <c r="F17" s="729"/>
      <c r="G17" s="729"/>
      <c r="H17" s="729"/>
    </row>
    <row r="18" spans="1:8">
      <c r="A18" s="729"/>
      <c r="B18" s="729"/>
      <c r="C18" s="729"/>
      <c r="D18" s="729"/>
      <c r="E18" s="729"/>
      <c r="F18" s="729"/>
      <c r="G18" s="729"/>
      <c r="H18" s="729"/>
    </row>
    <row r="19" spans="1:8">
      <c r="A19" s="729"/>
      <c r="B19" s="729"/>
      <c r="C19" s="729"/>
      <c r="D19" s="729"/>
      <c r="E19" s="729"/>
      <c r="F19" s="729"/>
      <c r="G19" s="729"/>
      <c r="H19" s="729"/>
    </row>
    <row r="20" spans="1:8">
      <c r="A20" s="729"/>
      <c r="B20" s="729"/>
      <c r="C20" s="729"/>
      <c r="D20" s="729"/>
      <c r="E20" s="729"/>
      <c r="F20" s="729"/>
      <c r="G20" s="729"/>
      <c r="H20" s="729"/>
    </row>
    <row r="21" spans="1:8">
      <c r="A21" s="969"/>
      <c r="B21" s="969"/>
      <c r="C21" s="969"/>
      <c r="D21" s="969"/>
      <c r="E21" s="969"/>
      <c r="F21" s="969"/>
      <c r="G21" s="969"/>
      <c r="H21" s="969"/>
    </row>
    <row r="22" spans="1:8">
      <c r="A22" s="970"/>
      <c r="B22" s="970"/>
      <c r="C22" s="970"/>
      <c r="D22" s="970"/>
      <c r="E22" s="970"/>
      <c r="F22" s="970"/>
      <c r="G22" s="970"/>
      <c r="H22" s="970"/>
    </row>
    <row r="23" spans="1:8" ht="30.65" customHeight="1">
      <c r="A23" s="971"/>
      <c r="B23" s="971"/>
      <c r="C23" s="971"/>
      <c r="D23" s="972"/>
      <c r="E23" s="972"/>
      <c r="F23" s="972"/>
      <c r="G23" s="971"/>
      <c r="H23" s="971"/>
    </row>
    <row r="24" spans="1:8">
      <c r="A24" s="971"/>
      <c r="B24" s="971"/>
      <c r="C24" s="971"/>
      <c r="D24" s="974"/>
      <c r="E24" s="974"/>
      <c r="F24" s="974"/>
      <c r="G24" s="971"/>
      <c r="H24" s="971"/>
    </row>
    <row r="25" spans="1:8" ht="30.65" customHeight="1">
      <c r="A25" s="973"/>
      <c r="B25" s="973"/>
      <c r="C25" s="973"/>
      <c r="D25" s="972"/>
      <c r="E25" s="972"/>
      <c r="F25" s="972"/>
      <c r="G25" s="971"/>
      <c r="H25" s="971"/>
    </row>
    <row r="26" spans="1:8" ht="17.5" customHeight="1">
      <c r="A26" s="973"/>
      <c r="B26" s="973"/>
      <c r="C26" s="973"/>
      <c r="D26" s="972"/>
      <c r="E26" s="972"/>
      <c r="F26" s="972"/>
      <c r="G26" s="971"/>
      <c r="H26" s="971"/>
    </row>
    <row r="27" spans="1:8" ht="27" customHeight="1">
      <c r="A27" s="973"/>
      <c r="B27" s="973"/>
      <c r="C27" s="973"/>
      <c r="D27" s="972"/>
      <c r="E27" s="972"/>
      <c r="F27" s="972"/>
      <c r="G27" s="970"/>
      <c r="H27" s="970"/>
    </row>
    <row r="28" spans="1:8" ht="43" customHeight="1">
      <c r="A28" s="731"/>
      <c r="B28" s="731"/>
      <c r="C28" s="731"/>
      <c r="D28" s="730"/>
      <c r="E28" s="730"/>
      <c r="F28" s="730"/>
      <c r="G28" s="732"/>
    </row>
    <row r="29" spans="1:8">
      <c r="A29" s="733"/>
      <c r="B29" s="733"/>
      <c r="C29" s="733"/>
      <c r="D29" s="733"/>
      <c r="E29" s="733"/>
      <c r="F29" s="733"/>
      <c r="G29" s="732"/>
    </row>
    <row r="30" spans="1:8" ht="18.649999999999999" customHeight="1">
      <c r="A30" s="733"/>
      <c r="B30" s="733"/>
      <c r="C30" s="733"/>
      <c r="D30" s="733"/>
      <c r="E30" s="733"/>
      <c r="F30" s="733"/>
      <c r="G30" s="732"/>
    </row>
    <row r="31" spans="1:8" ht="32.15" customHeight="1">
      <c r="A31" s="975"/>
      <c r="B31" s="975"/>
      <c r="C31" s="975"/>
      <c r="D31" s="975"/>
      <c r="E31" s="975"/>
      <c r="F31" s="975"/>
      <c r="G31" s="975"/>
      <c r="H31" s="975"/>
    </row>
  </sheetData>
  <mergeCells count="20">
    <mergeCell ref="D23:F23"/>
    <mergeCell ref="D24:F24"/>
    <mergeCell ref="D26:F26"/>
    <mergeCell ref="A31:H31"/>
    <mergeCell ref="A21:H21"/>
    <mergeCell ref="G22:H22"/>
    <mergeCell ref="G27:H27"/>
    <mergeCell ref="G23:H23"/>
    <mergeCell ref="G24:H24"/>
    <mergeCell ref="G25:H25"/>
    <mergeCell ref="A22:C22"/>
    <mergeCell ref="D22:F22"/>
    <mergeCell ref="D25:F25"/>
    <mergeCell ref="D27:F27"/>
    <mergeCell ref="A27:C27"/>
    <mergeCell ref="G26:H26"/>
    <mergeCell ref="A23:C23"/>
    <mergeCell ref="A24:C24"/>
    <mergeCell ref="A26:C26"/>
    <mergeCell ref="A25:C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3704E-1C51-4A39-AE2E-D46AFDEF5688}">
  <dimension ref="A1:D27"/>
  <sheetViews>
    <sheetView topLeftCell="A13" workbookViewId="0">
      <selection activeCell="A7" sqref="A7:A8"/>
    </sheetView>
  </sheetViews>
  <sheetFormatPr baseColWidth="10" defaultRowHeight="14.5"/>
  <cols>
    <col min="1" max="1" width="60.453125" customWidth="1"/>
    <col min="2" max="2" width="27.54296875" customWidth="1"/>
    <col min="3" max="3" width="21.81640625" customWidth="1"/>
    <col min="4" max="4" width="19.1796875" customWidth="1"/>
  </cols>
  <sheetData>
    <row r="1" spans="1:4" ht="15" thickBot="1"/>
    <row r="2" spans="1:4" ht="15.5">
      <c r="A2" s="152" t="s">
        <v>192</v>
      </c>
      <c r="B2" s="153"/>
      <c r="C2" s="153"/>
      <c r="D2" s="154"/>
    </row>
    <row r="3" spans="1:4" ht="15.5">
      <c r="A3" s="155" t="s">
        <v>193</v>
      </c>
      <c r="B3" s="156">
        <v>1300000</v>
      </c>
      <c r="C3" s="157"/>
      <c r="D3" s="158"/>
    </row>
    <row r="4" spans="1:4" ht="15.5">
      <c r="A4" s="155" t="s">
        <v>194</v>
      </c>
      <c r="B4" s="156">
        <v>162000</v>
      </c>
      <c r="C4" s="157"/>
      <c r="D4" s="158"/>
    </row>
    <row r="5" spans="1:4" ht="16" thickBot="1">
      <c r="A5" s="155"/>
      <c r="B5" s="156"/>
      <c r="C5" s="157"/>
      <c r="D5" s="158"/>
    </row>
    <row r="6" spans="1:4" ht="15" thickBot="1">
      <c r="A6" s="159" t="s">
        <v>195</v>
      </c>
      <c r="B6" s="160"/>
      <c r="C6" s="161"/>
      <c r="D6" s="162"/>
    </row>
    <row r="7" spans="1:4" ht="15" thickBot="1">
      <c r="A7" s="976" t="s">
        <v>69</v>
      </c>
      <c r="B7" s="145" t="s">
        <v>196</v>
      </c>
      <c r="C7" s="145" t="s">
        <v>197</v>
      </c>
      <c r="D7" s="145" t="s">
        <v>196</v>
      </c>
    </row>
    <row r="8" spans="1:4" ht="34.5">
      <c r="A8" s="977"/>
      <c r="B8" s="146" t="s">
        <v>198</v>
      </c>
      <c r="C8" s="146" t="s">
        <v>198</v>
      </c>
      <c r="D8" s="146" t="s">
        <v>199</v>
      </c>
    </row>
    <row r="9" spans="1:4" ht="15.5">
      <c r="A9" s="147" t="s">
        <v>98</v>
      </c>
      <c r="B9" s="148"/>
      <c r="C9" s="148"/>
      <c r="D9" s="148"/>
    </row>
    <row r="10" spans="1:4" ht="15.5">
      <c r="A10" s="149" t="s">
        <v>200</v>
      </c>
      <c r="B10" s="150">
        <v>8.3299999999999999E-2</v>
      </c>
      <c r="C10" s="150">
        <v>8.3299999999999999E-2</v>
      </c>
      <c r="D10" s="150">
        <v>8.3299999999999999E-2</v>
      </c>
    </row>
    <row r="11" spans="1:4" ht="15.5">
      <c r="A11" s="149" t="s">
        <v>201</v>
      </c>
      <c r="B11" s="150">
        <v>0.01</v>
      </c>
      <c r="C11" s="150">
        <v>0.01</v>
      </c>
      <c r="D11" s="150">
        <v>0.01</v>
      </c>
    </row>
    <row r="12" spans="1:4" ht="15.5">
      <c r="A12" s="149" t="s">
        <v>115</v>
      </c>
      <c r="B12" s="150">
        <v>4.7199999999999999E-2</v>
      </c>
      <c r="C12" s="150">
        <v>4.7199999999999999E-2</v>
      </c>
      <c r="D12" s="150">
        <v>4.7199999999999999E-2</v>
      </c>
    </row>
    <row r="13" spans="1:4" ht="15.5">
      <c r="A13" s="149" t="s">
        <v>202</v>
      </c>
      <c r="B13" s="150">
        <v>8.3299999999999999E-2</v>
      </c>
      <c r="C13" s="150">
        <v>8.3299999999999999E-2</v>
      </c>
      <c r="D13" s="150">
        <v>8.3299999999999999E-2</v>
      </c>
    </row>
    <row r="14" spans="1:4" ht="15.5">
      <c r="A14" s="149" t="s">
        <v>116</v>
      </c>
      <c r="B14" s="150">
        <v>0.08</v>
      </c>
      <c r="C14" s="150">
        <v>0.06</v>
      </c>
      <c r="D14" s="150">
        <v>0.06</v>
      </c>
    </row>
    <row r="15" spans="1:4" ht="15.5">
      <c r="A15" s="147" t="s">
        <v>203</v>
      </c>
      <c r="B15" s="150"/>
      <c r="C15" s="150"/>
      <c r="D15" s="150"/>
    </row>
    <row r="16" spans="1:4" ht="15.5">
      <c r="A16" s="149" t="s">
        <v>204</v>
      </c>
      <c r="B16" s="150">
        <v>0.12</v>
      </c>
      <c r="C16" s="150">
        <v>0.12</v>
      </c>
      <c r="D16" s="150">
        <v>0.12</v>
      </c>
    </row>
    <row r="17" spans="1:4" ht="15.5">
      <c r="A17" s="149" t="s">
        <v>205</v>
      </c>
      <c r="B17" s="150">
        <v>6.9599999999999995E-2</v>
      </c>
      <c r="C17" s="150">
        <v>6.9599999999999995E-2</v>
      </c>
      <c r="D17" s="150">
        <v>0.01</v>
      </c>
    </row>
    <row r="18" spans="1:4" ht="15.5">
      <c r="A18" s="149" t="s">
        <v>206</v>
      </c>
      <c r="B18" s="150">
        <v>8.5000000000000006E-2</v>
      </c>
      <c r="C18" s="150">
        <v>8.5000000000000006E-2</v>
      </c>
      <c r="D18" s="150">
        <v>8.5000000000000006E-2</v>
      </c>
    </row>
    <row r="19" spans="1:4" ht="15.5">
      <c r="A19" s="149" t="s">
        <v>207</v>
      </c>
      <c r="B19" s="150">
        <v>0.01</v>
      </c>
      <c r="C19" s="150">
        <v>0.01</v>
      </c>
      <c r="D19" s="150">
        <v>0.01</v>
      </c>
    </row>
    <row r="20" spans="1:4" ht="15.5">
      <c r="A20" s="147" t="s">
        <v>208</v>
      </c>
      <c r="B20" s="150"/>
      <c r="C20" s="150"/>
      <c r="D20" s="150"/>
    </row>
    <row r="21" spans="1:4" ht="15.5">
      <c r="A21" s="149" t="s">
        <v>209</v>
      </c>
      <c r="B21" s="150">
        <v>2.5000000000000001E-2</v>
      </c>
      <c r="C21" s="150">
        <v>2.5000000000000001E-2</v>
      </c>
      <c r="D21" s="150">
        <v>2.5000000000000001E-2</v>
      </c>
    </row>
    <row r="22" spans="1:4" ht="15.5">
      <c r="A22" s="149" t="s">
        <v>210</v>
      </c>
      <c r="B22" s="150">
        <v>0.03</v>
      </c>
      <c r="C22" s="150">
        <v>0.03</v>
      </c>
      <c r="D22" s="150">
        <v>0.03</v>
      </c>
    </row>
    <row r="23" spans="1:4" ht="15.5">
      <c r="A23" s="149" t="s">
        <v>211</v>
      </c>
      <c r="B23" s="150">
        <v>0.04</v>
      </c>
      <c r="C23" s="150">
        <v>0.04</v>
      </c>
      <c r="D23" s="150">
        <v>0.04</v>
      </c>
    </row>
    <row r="24" spans="1:4" ht="15.5">
      <c r="A24" s="149" t="s">
        <v>212</v>
      </c>
      <c r="B24" s="150">
        <f>B4/B3</f>
        <v>0.12461538461538461</v>
      </c>
      <c r="C24" s="150"/>
      <c r="D24" s="150"/>
    </row>
    <row r="25" spans="1:4" ht="15.5">
      <c r="A25" s="149" t="s">
        <v>213</v>
      </c>
      <c r="B25" s="150">
        <v>0.05</v>
      </c>
      <c r="C25" s="150">
        <v>0.05</v>
      </c>
      <c r="D25" s="150">
        <v>0.05</v>
      </c>
    </row>
    <row r="26" spans="1:4" ht="15.5">
      <c r="A26" s="149" t="s">
        <v>214</v>
      </c>
      <c r="B26" s="150">
        <v>0.01</v>
      </c>
      <c r="C26" s="150">
        <v>0.01</v>
      </c>
      <c r="D26" s="150">
        <v>0.01</v>
      </c>
    </row>
    <row r="27" spans="1:4" ht="18">
      <c r="A27" s="144"/>
      <c r="B27" s="151">
        <f>SUM(B9:B26)</f>
        <v>0.86801538461538474</v>
      </c>
      <c r="C27" s="151">
        <f>SUM(C9:C26)</f>
        <v>0.72340000000000015</v>
      </c>
      <c r="D27" s="151">
        <f>SUM(D9:D26)</f>
        <v>0.66380000000000017</v>
      </c>
    </row>
  </sheetData>
  <mergeCells count="1">
    <mergeCell ref="A7:A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9"/>
  <sheetViews>
    <sheetView showGridLines="0" view="pageBreakPreview" topLeftCell="A41" zoomScaleNormal="100" zoomScaleSheetLayoutView="100" workbookViewId="0">
      <selection activeCell="N7" sqref="N7"/>
    </sheetView>
  </sheetViews>
  <sheetFormatPr baseColWidth="10" defaultRowHeight="12.5" outlineLevelCol="1"/>
  <cols>
    <col min="1" max="1" width="1.81640625" style="86" customWidth="1"/>
    <col min="2" max="2" width="10.81640625" style="86"/>
    <col min="3" max="3" width="25.1796875" style="86" customWidth="1"/>
    <col min="4" max="4" width="16.7265625" style="86" customWidth="1"/>
    <col min="5" max="5" width="7.453125" style="86" customWidth="1"/>
    <col min="6" max="6" width="16.26953125" style="86" customWidth="1"/>
    <col min="7" max="7" width="12.54296875" style="86" customWidth="1"/>
    <col min="8" max="8" width="16.1796875" style="222" customWidth="1"/>
    <col min="9" max="9" width="29.54296875" style="222" customWidth="1"/>
    <col min="10" max="11" width="0" style="86" hidden="1" customWidth="1" outlineLevel="1"/>
    <col min="12" max="12" width="3" style="86" customWidth="1" collapsed="1"/>
    <col min="13" max="14" width="13.81640625" style="86" bestFit="1" customWidth="1"/>
    <col min="15" max="256" width="10.81640625" style="86"/>
    <col min="257" max="257" width="1.81640625" style="86" customWidth="1"/>
    <col min="258" max="258" width="10.81640625" style="86"/>
    <col min="259" max="259" width="29.1796875" style="86" customWidth="1"/>
    <col min="260" max="260" width="28.453125" style="86" customWidth="1"/>
    <col min="261" max="261" width="7.453125" style="86" customWidth="1"/>
    <col min="262" max="262" width="12.453125" style="86" customWidth="1"/>
    <col min="263" max="263" width="19.453125" style="86" customWidth="1"/>
    <col min="264" max="264" width="25.1796875" style="86" customWidth="1"/>
    <col min="265" max="265" width="2.1796875" style="86" customWidth="1"/>
    <col min="266" max="267" width="0" style="86" hidden="1" customWidth="1"/>
    <col min="268" max="268" width="3" style="86" customWidth="1"/>
    <col min="269" max="270" width="13.81640625" style="86" bestFit="1" customWidth="1"/>
    <col min="271" max="512" width="10.81640625" style="86"/>
    <col min="513" max="513" width="1.81640625" style="86" customWidth="1"/>
    <col min="514" max="514" width="10.81640625" style="86"/>
    <col min="515" max="515" width="29.1796875" style="86" customWidth="1"/>
    <col min="516" max="516" width="28.453125" style="86" customWidth="1"/>
    <col min="517" max="517" width="7.453125" style="86" customWidth="1"/>
    <col min="518" max="518" width="12.453125" style="86" customWidth="1"/>
    <col min="519" max="519" width="19.453125" style="86" customWidth="1"/>
    <col min="520" max="520" width="25.1796875" style="86" customWidth="1"/>
    <col min="521" max="521" width="2.1796875" style="86" customWidth="1"/>
    <col min="522" max="523" width="0" style="86" hidden="1" customWidth="1"/>
    <col min="524" max="524" width="3" style="86" customWidth="1"/>
    <col min="525" max="526" width="13.81640625" style="86" bestFit="1" customWidth="1"/>
    <col min="527" max="768" width="10.81640625" style="86"/>
    <col min="769" max="769" width="1.81640625" style="86" customWidth="1"/>
    <col min="770" max="770" width="10.81640625" style="86"/>
    <col min="771" max="771" width="29.1796875" style="86" customWidth="1"/>
    <col min="772" max="772" width="28.453125" style="86" customWidth="1"/>
    <col min="773" max="773" width="7.453125" style="86" customWidth="1"/>
    <col min="774" max="774" width="12.453125" style="86" customWidth="1"/>
    <col min="775" max="775" width="19.453125" style="86" customWidth="1"/>
    <col min="776" max="776" width="25.1796875" style="86" customWidth="1"/>
    <col min="777" max="777" width="2.1796875" style="86" customWidth="1"/>
    <col min="778" max="779" width="0" style="86" hidden="1" customWidth="1"/>
    <col min="780" max="780" width="3" style="86" customWidth="1"/>
    <col min="781" max="782" width="13.81640625" style="86" bestFit="1" customWidth="1"/>
    <col min="783" max="1024" width="10.81640625" style="86"/>
    <col min="1025" max="1025" width="1.81640625" style="86" customWidth="1"/>
    <col min="1026" max="1026" width="10.81640625" style="86"/>
    <col min="1027" max="1027" width="29.1796875" style="86" customWidth="1"/>
    <col min="1028" max="1028" width="28.453125" style="86" customWidth="1"/>
    <col min="1029" max="1029" width="7.453125" style="86" customWidth="1"/>
    <col min="1030" max="1030" width="12.453125" style="86" customWidth="1"/>
    <col min="1031" max="1031" width="19.453125" style="86" customWidth="1"/>
    <col min="1032" max="1032" width="25.1796875" style="86" customWidth="1"/>
    <col min="1033" max="1033" width="2.1796875" style="86" customWidth="1"/>
    <col min="1034" max="1035" width="0" style="86" hidden="1" customWidth="1"/>
    <col min="1036" max="1036" width="3" style="86" customWidth="1"/>
    <col min="1037" max="1038" width="13.81640625" style="86" bestFit="1" customWidth="1"/>
    <col min="1039" max="1280" width="10.81640625" style="86"/>
    <col min="1281" max="1281" width="1.81640625" style="86" customWidth="1"/>
    <col min="1282" max="1282" width="10.81640625" style="86"/>
    <col min="1283" max="1283" width="29.1796875" style="86" customWidth="1"/>
    <col min="1284" max="1284" width="28.453125" style="86" customWidth="1"/>
    <col min="1285" max="1285" width="7.453125" style="86" customWidth="1"/>
    <col min="1286" max="1286" width="12.453125" style="86" customWidth="1"/>
    <col min="1287" max="1287" width="19.453125" style="86" customWidth="1"/>
    <col min="1288" max="1288" width="25.1796875" style="86" customWidth="1"/>
    <col min="1289" max="1289" width="2.1796875" style="86" customWidth="1"/>
    <col min="1290" max="1291" width="0" style="86" hidden="1" customWidth="1"/>
    <col min="1292" max="1292" width="3" style="86" customWidth="1"/>
    <col min="1293" max="1294" width="13.81640625" style="86" bestFit="1" customWidth="1"/>
    <col min="1295" max="1536" width="10.81640625" style="86"/>
    <col min="1537" max="1537" width="1.81640625" style="86" customWidth="1"/>
    <col min="1538" max="1538" width="10.81640625" style="86"/>
    <col min="1539" max="1539" width="29.1796875" style="86" customWidth="1"/>
    <col min="1540" max="1540" width="28.453125" style="86" customWidth="1"/>
    <col min="1541" max="1541" width="7.453125" style="86" customWidth="1"/>
    <col min="1542" max="1542" width="12.453125" style="86" customWidth="1"/>
    <col min="1543" max="1543" width="19.453125" style="86" customWidth="1"/>
    <col min="1544" max="1544" width="25.1796875" style="86" customWidth="1"/>
    <col min="1545" max="1545" width="2.1796875" style="86" customWidth="1"/>
    <col min="1546" max="1547" width="0" style="86" hidden="1" customWidth="1"/>
    <col min="1548" max="1548" width="3" style="86" customWidth="1"/>
    <col min="1549" max="1550" width="13.81640625" style="86" bestFit="1" customWidth="1"/>
    <col min="1551" max="1792" width="10.81640625" style="86"/>
    <col min="1793" max="1793" width="1.81640625" style="86" customWidth="1"/>
    <col min="1794" max="1794" width="10.81640625" style="86"/>
    <col min="1795" max="1795" width="29.1796875" style="86" customWidth="1"/>
    <col min="1796" max="1796" width="28.453125" style="86" customWidth="1"/>
    <col min="1797" max="1797" width="7.453125" style="86" customWidth="1"/>
    <col min="1798" max="1798" width="12.453125" style="86" customWidth="1"/>
    <col min="1799" max="1799" width="19.453125" style="86" customWidth="1"/>
    <col min="1800" max="1800" width="25.1796875" style="86" customWidth="1"/>
    <col min="1801" max="1801" width="2.1796875" style="86" customWidth="1"/>
    <col min="1802" max="1803" width="0" style="86" hidden="1" customWidth="1"/>
    <col min="1804" max="1804" width="3" style="86" customWidth="1"/>
    <col min="1805" max="1806" width="13.81640625" style="86" bestFit="1" customWidth="1"/>
    <col min="1807" max="2048" width="10.81640625" style="86"/>
    <col min="2049" max="2049" width="1.81640625" style="86" customWidth="1"/>
    <col min="2050" max="2050" width="10.81640625" style="86"/>
    <col min="2051" max="2051" width="29.1796875" style="86" customWidth="1"/>
    <col min="2052" max="2052" width="28.453125" style="86" customWidth="1"/>
    <col min="2053" max="2053" width="7.453125" style="86" customWidth="1"/>
    <col min="2054" max="2054" width="12.453125" style="86" customWidth="1"/>
    <col min="2055" max="2055" width="19.453125" style="86" customWidth="1"/>
    <col min="2056" max="2056" width="25.1796875" style="86" customWidth="1"/>
    <col min="2057" max="2057" width="2.1796875" style="86" customWidth="1"/>
    <col min="2058" max="2059" width="0" style="86" hidden="1" customWidth="1"/>
    <col min="2060" max="2060" width="3" style="86" customWidth="1"/>
    <col min="2061" max="2062" width="13.81640625" style="86" bestFit="1" customWidth="1"/>
    <col min="2063" max="2304" width="10.81640625" style="86"/>
    <col min="2305" max="2305" width="1.81640625" style="86" customWidth="1"/>
    <col min="2306" max="2306" width="10.81640625" style="86"/>
    <col min="2307" max="2307" width="29.1796875" style="86" customWidth="1"/>
    <col min="2308" max="2308" width="28.453125" style="86" customWidth="1"/>
    <col min="2309" max="2309" width="7.453125" style="86" customWidth="1"/>
    <col min="2310" max="2310" width="12.453125" style="86" customWidth="1"/>
    <col min="2311" max="2311" width="19.453125" style="86" customWidth="1"/>
    <col min="2312" max="2312" width="25.1796875" style="86" customWidth="1"/>
    <col min="2313" max="2313" width="2.1796875" style="86" customWidth="1"/>
    <col min="2314" max="2315" width="0" style="86" hidden="1" customWidth="1"/>
    <col min="2316" max="2316" width="3" style="86" customWidth="1"/>
    <col min="2317" max="2318" width="13.81640625" style="86" bestFit="1" customWidth="1"/>
    <col min="2319" max="2560" width="10.81640625" style="86"/>
    <col min="2561" max="2561" width="1.81640625" style="86" customWidth="1"/>
    <col min="2562" max="2562" width="10.81640625" style="86"/>
    <col min="2563" max="2563" width="29.1796875" style="86" customWidth="1"/>
    <col min="2564" max="2564" width="28.453125" style="86" customWidth="1"/>
    <col min="2565" max="2565" width="7.453125" style="86" customWidth="1"/>
    <col min="2566" max="2566" width="12.453125" style="86" customWidth="1"/>
    <col min="2567" max="2567" width="19.453125" style="86" customWidth="1"/>
    <col min="2568" max="2568" width="25.1796875" style="86" customWidth="1"/>
    <col min="2569" max="2569" width="2.1796875" style="86" customWidth="1"/>
    <col min="2570" max="2571" width="0" style="86" hidden="1" customWidth="1"/>
    <col min="2572" max="2572" width="3" style="86" customWidth="1"/>
    <col min="2573" max="2574" width="13.81640625" style="86" bestFit="1" customWidth="1"/>
    <col min="2575" max="2816" width="10.81640625" style="86"/>
    <col min="2817" max="2817" width="1.81640625" style="86" customWidth="1"/>
    <col min="2818" max="2818" width="10.81640625" style="86"/>
    <col min="2819" max="2819" width="29.1796875" style="86" customWidth="1"/>
    <col min="2820" max="2820" width="28.453125" style="86" customWidth="1"/>
    <col min="2821" max="2821" width="7.453125" style="86" customWidth="1"/>
    <col min="2822" max="2822" width="12.453125" style="86" customWidth="1"/>
    <col min="2823" max="2823" width="19.453125" style="86" customWidth="1"/>
    <col min="2824" max="2824" width="25.1796875" style="86" customWidth="1"/>
    <col min="2825" max="2825" width="2.1796875" style="86" customWidth="1"/>
    <col min="2826" max="2827" width="0" style="86" hidden="1" customWidth="1"/>
    <col min="2828" max="2828" width="3" style="86" customWidth="1"/>
    <col min="2829" max="2830" width="13.81640625" style="86" bestFit="1" customWidth="1"/>
    <col min="2831" max="3072" width="10.81640625" style="86"/>
    <col min="3073" max="3073" width="1.81640625" style="86" customWidth="1"/>
    <col min="3074" max="3074" width="10.81640625" style="86"/>
    <col min="3075" max="3075" width="29.1796875" style="86" customWidth="1"/>
    <col min="3076" max="3076" width="28.453125" style="86" customWidth="1"/>
    <col min="3077" max="3077" width="7.453125" style="86" customWidth="1"/>
    <col min="3078" max="3078" width="12.453125" style="86" customWidth="1"/>
    <col min="3079" max="3079" width="19.453125" style="86" customWidth="1"/>
    <col min="3080" max="3080" width="25.1796875" style="86" customWidth="1"/>
    <col min="3081" max="3081" width="2.1796875" style="86" customWidth="1"/>
    <col min="3082" max="3083" width="0" style="86" hidden="1" customWidth="1"/>
    <col min="3084" max="3084" width="3" style="86" customWidth="1"/>
    <col min="3085" max="3086" width="13.81640625" style="86" bestFit="1" customWidth="1"/>
    <col min="3087" max="3328" width="10.81640625" style="86"/>
    <col min="3329" max="3329" width="1.81640625" style="86" customWidth="1"/>
    <col min="3330" max="3330" width="10.81640625" style="86"/>
    <col min="3331" max="3331" width="29.1796875" style="86" customWidth="1"/>
    <col min="3332" max="3332" width="28.453125" style="86" customWidth="1"/>
    <col min="3333" max="3333" width="7.453125" style="86" customWidth="1"/>
    <col min="3334" max="3334" width="12.453125" style="86" customWidth="1"/>
    <col min="3335" max="3335" width="19.453125" style="86" customWidth="1"/>
    <col min="3336" max="3336" width="25.1796875" style="86" customWidth="1"/>
    <col min="3337" max="3337" width="2.1796875" style="86" customWidth="1"/>
    <col min="3338" max="3339" width="0" style="86" hidden="1" customWidth="1"/>
    <col min="3340" max="3340" width="3" style="86" customWidth="1"/>
    <col min="3341" max="3342" width="13.81640625" style="86" bestFit="1" customWidth="1"/>
    <col min="3343" max="3584" width="10.81640625" style="86"/>
    <col min="3585" max="3585" width="1.81640625" style="86" customWidth="1"/>
    <col min="3586" max="3586" width="10.81640625" style="86"/>
    <col min="3587" max="3587" width="29.1796875" style="86" customWidth="1"/>
    <col min="3588" max="3588" width="28.453125" style="86" customWidth="1"/>
    <col min="3589" max="3589" width="7.453125" style="86" customWidth="1"/>
    <col min="3590" max="3590" width="12.453125" style="86" customWidth="1"/>
    <col min="3591" max="3591" width="19.453125" style="86" customWidth="1"/>
    <col min="3592" max="3592" width="25.1796875" style="86" customWidth="1"/>
    <col min="3593" max="3593" width="2.1796875" style="86" customWidth="1"/>
    <col min="3594" max="3595" width="0" style="86" hidden="1" customWidth="1"/>
    <col min="3596" max="3596" width="3" style="86" customWidth="1"/>
    <col min="3597" max="3598" width="13.81640625" style="86" bestFit="1" customWidth="1"/>
    <col min="3599" max="3840" width="10.81640625" style="86"/>
    <col min="3841" max="3841" width="1.81640625" style="86" customWidth="1"/>
    <col min="3842" max="3842" width="10.81640625" style="86"/>
    <col min="3843" max="3843" width="29.1796875" style="86" customWidth="1"/>
    <col min="3844" max="3844" width="28.453125" style="86" customWidth="1"/>
    <col min="3845" max="3845" width="7.453125" style="86" customWidth="1"/>
    <col min="3846" max="3846" width="12.453125" style="86" customWidth="1"/>
    <col min="3847" max="3847" width="19.453125" style="86" customWidth="1"/>
    <col min="3848" max="3848" width="25.1796875" style="86" customWidth="1"/>
    <col min="3849" max="3849" width="2.1796875" style="86" customWidth="1"/>
    <col min="3850" max="3851" width="0" style="86" hidden="1" customWidth="1"/>
    <col min="3852" max="3852" width="3" style="86" customWidth="1"/>
    <col min="3853" max="3854" width="13.81640625" style="86" bestFit="1" customWidth="1"/>
    <col min="3855" max="4096" width="10.81640625" style="86"/>
    <col min="4097" max="4097" width="1.81640625" style="86" customWidth="1"/>
    <col min="4098" max="4098" width="10.81640625" style="86"/>
    <col min="4099" max="4099" width="29.1796875" style="86" customWidth="1"/>
    <col min="4100" max="4100" width="28.453125" style="86" customWidth="1"/>
    <col min="4101" max="4101" width="7.453125" style="86" customWidth="1"/>
    <col min="4102" max="4102" width="12.453125" style="86" customWidth="1"/>
    <col min="4103" max="4103" width="19.453125" style="86" customWidth="1"/>
    <col min="4104" max="4104" width="25.1796875" style="86" customWidth="1"/>
    <col min="4105" max="4105" width="2.1796875" style="86" customWidth="1"/>
    <col min="4106" max="4107" width="0" style="86" hidden="1" customWidth="1"/>
    <col min="4108" max="4108" width="3" style="86" customWidth="1"/>
    <col min="4109" max="4110" width="13.81640625" style="86" bestFit="1" customWidth="1"/>
    <col min="4111" max="4352" width="10.81640625" style="86"/>
    <col min="4353" max="4353" width="1.81640625" style="86" customWidth="1"/>
    <col min="4354" max="4354" width="10.81640625" style="86"/>
    <col min="4355" max="4355" width="29.1796875" style="86" customWidth="1"/>
    <col min="4356" max="4356" width="28.453125" style="86" customWidth="1"/>
    <col min="4357" max="4357" width="7.453125" style="86" customWidth="1"/>
    <col min="4358" max="4358" width="12.453125" style="86" customWidth="1"/>
    <col min="4359" max="4359" width="19.453125" style="86" customWidth="1"/>
    <col min="4360" max="4360" width="25.1796875" style="86" customWidth="1"/>
    <col min="4361" max="4361" width="2.1796875" style="86" customWidth="1"/>
    <col min="4362" max="4363" width="0" style="86" hidden="1" customWidth="1"/>
    <col min="4364" max="4364" width="3" style="86" customWidth="1"/>
    <col min="4365" max="4366" width="13.81640625" style="86" bestFit="1" customWidth="1"/>
    <col min="4367" max="4608" width="10.81640625" style="86"/>
    <col min="4609" max="4609" width="1.81640625" style="86" customWidth="1"/>
    <col min="4610" max="4610" width="10.81640625" style="86"/>
    <col min="4611" max="4611" width="29.1796875" style="86" customWidth="1"/>
    <col min="4612" max="4612" width="28.453125" style="86" customWidth="1"/>
    <col min="4613" max="4613" width="7.453125" style="86" customWidth="1"/>
    <col min="4614" max="4614" width="12.453125" style="86" customWidth="1"/>
    <col min="4615" max="4615" width="19.453125" style="86" customWidth="1"/>
    <col min="4616" max="4616" width="25.1796875" style="86" customWidth="1"/>
    <col min="4617" max="4617" width="2.1796875" style="86" customWidth="1"/>
    <col min="4618" max="4619" width="0" style="86" hidden="1" customWidth="1"/>
    <col min="4620" max="4620" width="3" style="86" customWidth="1"/>
    <col min="4621" max="4622" width="13.81640625" style="86" bestFit="1" customWidth="1"/>
    <col min="4623" max="4864" width="10.81640625" style="86"/>
    <col min="4865" max="4865" width="1.81640625" style="86" customWidth="1"/>
    <col min="4866" max="4866" width="10.81640625" style="86"/>
    <col min="4867" max="4867" width="29.1796875" style="86" customWidth="1"/>
    <col min="4868" max="4868" width="28.453125" style="86" customWidth="1"/>
    <col min="4869" max="4869" width="7.453125" style="86" customWidth="1"/>
    <col min="4870" max="4870" width="12.453125" style="86" customWidth="1"/>
    <col min="4871" max="4871" width="19.453125" style="86" customWidth="1"/>
    <col min="4872" max="4872" width="25.1796875" style="86" customWidth="1"/>
    <col min="4873" max="4873" width="2.1796875" style="86" customWidth="1"/>
    <col min="4874" max="4875" width="0" style="86" hidden="1" customWidth="1"/>
    <col min="4876" max="4876" width="3" style="86" customWidth="1"/>
    <col min="4877" max="4878" width="13.81640625" style="86" bestFit="1" customWidth="1"/>
    <col min="4879" max="5120" width="10.81640625" style="86"/>
    <col min="5121" max="5121" width="1.81640625" style="86" customWidth="1"/>
    <col min="5122" max="5122" width="10.81640625" style="86"/>
    <col min="5123" max="5123" width="29.1796875" style="86" customWidth="1"/>
    <col min="5124" max="5124" width="28.453125" style="86" customWidth="1"/>
    <col min="5125" max="5125" width="7.453125" style="86" customWidth="1"/>
    <col min="5126" max="5126" width="12.453125" style="86" customWidth="1"/>
    <col min="5127" max="5127" width="19.453125" style="86" customWidth="1"/>
    <col min="5128" max="5128" width="25.1796875" style="86" customWidth="1"/>
    <col min="5129" max="5129" width="2.1796875" style="86" customWidth="1"/>
    <col min="5130" max="5131" width="0" style="86" hidden="1" customWidth="1"/>
    <col min="5132" max="5132" width="3" style="86" customWidth="1"/>
    <col min="5133" max="5134" width="13.81640625" style="86" bestFit="1" customWidth="1"/>
    <col min="5135" max="5376" width="10.81640625" style="86"/>
    <col min="5377" max="5377" width="1.81640625" style="86" customWidth="1"/>
    <col min="5378" max="5378" width="10.81640625" style="86"/>
    <col min="5379" max="5379" width="29.1796875" style="86" customWidth="1"/>
    <col min="5380" max="5380" width="28.453125" style="86" customWidth="1"/>
    <col min="5381" max="5381" width="7.453125" style="86" customWidth="1"/>
    <col min="5382" max="5382" width="12.453125" style="86" customWidth="1"/>
    <col min="5383" max="5383" width="19.453125" style="86" customWidth="1"/>
    <col min="5384" max="5384" width="25.1796875" style="86" customWidth="1"/>
    <col min="5385" max="5385" width="2.1796875" style="86" customWidth="1"/>
    <col min="5386" max="5387" width="0" style="86" hidden="1" customWidth="1"/>
    <col min="5388" max="5388" width="3" style="86" customWidth="1"/>
    <col min="5389" max="5390" width="13.81640625" style="86" bestFit="1" customWidth="1"/>
    <col min="5391" max="5632" width="10.81640625" style="86"/>
    <col min="5633" max="5633" width="1.81640625" style="86" customWidth="1"/>
    <col min="5634" max="5634" width="10.81640625" style="86"/>
    <col min="5635" max="5635" width="29.1796875" style="86" customWidth="1"/>
    <col min="5636" max="5636" width="28.453125" style="86" customWidth="1"/>
    <col min="5637" max="5637" width="7.453125" style="86" customWidth="1"/>
    <col min="5638" max="5638" width="12.453125" style="86" customWidth="1"/>
    <col min="5639" max="5639" width="19.453125" style="86" customWidth="1"/>
    <col min="5640" max="5640" width="25.1796875" style="86" customWidth="1"/>
    <col min="5641" max="5641" width="2.1796875" style="86" customWidth="1"/>
    <col min="5642" max="5643" width="0" style="86" hidden="1" customWidth="1"/>
    <col min="5644" max="5644" width="3" style="86" customWidth="1"/>
    <col min="5645" max="5646" width="13.81640625" style="86" bestFit="1" customWidth="1"/>
    <col min="5647" max="5888" width="10.81640625" style="86"/>
    <col min="5889" max="5889" width="1.81640625" style="86" customWidth="1"/>
    <col min="5890" max="5890" width="10.81640625" style="86"/>
    <col min="5891" max="5891" width="29.1796875" style="86" customWidth="1"/>
    <col min="5892" max="5892" width="28.453125" style="86" customWidth="1"/>
    <col min="5893" max="5893" width="7.453125" style="86" customWidth="1"/>
    <col min="5894" max="5894" width="12.453125" style="86" customWidth="1"/>
    <col min="5895" max="5895" width="19.453125" style="86" customWidth="1"/>
    <col min="5896" max="5896" width="25.1796875" style="86" customWidth="1"/>
    <col min="5897" max="5897" width="2.1796875" style="86" customWidth="1"/>
    <col min="5898" max="5899" width="0" style="86" hidden="1" customWidth="1"/>
    <col min="5900" max="5900" width="3" style="86" customWidth="1"/>
    <col min="5901" max="5902" width="13.81640625" style="86" bestFit="1" customWidth="1"/>
    <col min="5903" max="6144" width="10.81640625" style="86"/>
    <col min="6145" max="6145" width="1.81640625" style="86" customWidth="1"/>
    <col min="6146" max="6146" width="10.81640625" style="86"/>
    <col min="6147" max="6147" width="29.1796875" style="86" customWidth="1"/>
    <col min="6148" max="6148" width="28.453125" style="86" customWidth="1"/>
    <col min="6149" max="6149" width="7.453125" style="86" customWidth="1"/>
    <col min="6150" max="6150" width="12.453125" style="86" customWidth="1"/>
    <col min="6151" max="6151" width="19.453125" style="86" customWidth="1"/>
    <col min="6152" max="6152" width="25.1796875" style="86" customWidth="1"/>
    <col min="6153" max="6153" width="2.1796875" style="86" customWidth="1"/>
    <col min="6154" max="6155" width="0" style="86" hidden="1" customWidth="1"/>
    <col min="6156" max="6156" width="3" style="86" customWidth="1"/>
    <col min="6157" max="6158" width="13.81640625" style="86" bestFit="1" customWidth="1"/>
    <col min="6159" max="6400" width="10.81640625" style="86"/>
    <col min="6401" max="6401" width="1.81640625" style="86" customWidth="1"/>
    <col min="6402" max="6402" width="10.81640625" style="86"/>
    <col min="6403" max="6403" width="29.1796875" style="86" customWidth="1"/>
    <col min="6404" max="6404" width="28.453125" style="86" customWidth="1"/>
    <col min="6405" max="6405" width="7.453125" style="86" customWidth="1"/>
    <col min="6406" max="6406" width="12.453125" style="86" customWidth="1"/>
    <col min="6407" max="6407" width="19.453125" style="86" customWidth="1"/>
    <col min="6408" max="6408" width="25.1796875" style="86" customWidth="1"/>
    <col min="6409" max="6409" width="2.1796875" style="86" customWidth="1"/>
    <col min="6410" max="6411" width="0" style="86" hidden="1" customWidth="1"/>
    <col min="6412" max="6412" width="3" style="86" customWidth="1"/>
    <col min="6413" max="6414" width="13.81640625" style="86" bestFit="1" customWidth="1"/>
    <col min="6415" max="6656" width="10.81640625" style="86"/>
    <col min="6657" max="6657" width="1.81640625" style="86" customWidth="1"/>
    <col min="6658" max="6658" width="10.81640625" style="86"/>
    <col min="6659" max="6659" width="29.1796875" style="86" customWidth="1"/>
    <col min="6660" max="6660" width="28.453125" style="86" customWidth="1"/>
    <col min="6661" max="6661" width="7.453125" style="86" customWidth="1"/>
    <col min="6662" max="6662" width="12.453125" style="86" customWidth="1"/>
    <col min="6663" max="6663" width="19.453125" style="86" customWidth="1"/>
    <col min="6664" max="6664" width="25.1796875" style="86" customWidth="1"/>
    <col min="6665" max="6665" width="2.1796875" style="86" customWidth="1"/>
    <col min="6666" max="6667" width="0" style="86" hidden="1" customWidth="1"/>
    <col min="6668" max="6668" width="3" style="86" customWidth="1"/>
    <col min="6669" max="6670" width="13.81640625" style="86" bestFit="1" customWidth="1"/>
    <col min="6671" max="6912" width="10.81640625" style="86"/>
    <col min="6913" max="6913" width="1.81640625" style="86" customWidth="1"/>
    <col min="6914" max="6914" width="10.81640625" style="86"/>
    <col min="6915" max="6915" width="29.1796875" style="86" customWidth="1"/>
    <col min="6916" max="6916" width="28.453125" style="86" customWidth="1"/>
    <col min="6917" max="6917" width="7.453125" style="86" customWidth="1"/>
    <col min="6918" max="6918" width="12.453125" style="86" customWidth="1"/>
    <col min="6919" max="6919" width="19.453125" style="86" customWidth="1"/>
    <col min="6920" max="6920" width="25.1796875" style="86" customWidth="1"/>
    <col min="6921" max="6921" width="2.1796875" style="86" customWidth="1"/>
    <col min="6922" max="6923" width="0" style="86" hidden="1" customWidth="1"/>
    <col min="6924" max="6924" width="3" style="86" customWidth="1"/>
    <col min="6925" max="6926" width="13.81640625" style="86" bestFit="1" customWidth="1"/>
    <col min="6927" max="7168" width="10.81640625" style="86"/>
    <col min="7169" max="7169" width="1.81640625" style="86" customWidth="1"/>
    <col min="7170" max="7170" width="10.81640625" style="86"/>
    <col min="7171" max="7171" width="29.1796875" style="86" customWidth="1"/>
    <col min="7172" max="7172" width="28.453125" style="86" customWidth="1"/>
    <col min="7173" max="7173" width="7.453125" style="86" customWidth="1"/>
    <col min="7174" max="7174" width="12.453125" style="86" customWidth="1"/>
    <col min="7175" max="7175" width="19.453125" style="86" customWidth="1"/>
    <col min="7176" max="7176" width="25.1796875" style="86" customWidth="1"/>
    <col min="7177" max="7177" width="2.1796875" style="86" customWidth="1"/>
    <col min="7178" max="7179" width="0" style="86" hidden="1" customWidth="1"/>
    <col min="7180" max="7180" width="3" style="86" customWidth="1"/>
    <col min="7181" max="7182" width="13.81640625" style="86" bestFit="1" customWidth="1"/>
    <col min="7183" max="7424" width="10.81640625" style="86"/>
    <col min="7425" max="7425" width="1.81640625" style="86" customWidth="1"/>
    <col min="7426" max="7426" width="10.81640625" style="86"/>
    <col min="7427" max="7427" width="29.1796875" style="86" customWidth="1"/>
    <col min="7428" max="7428" width="28.453125" style="86" customWidth="1"/>
    <col min="7429" max="7429" width="7.453125" style="86" customWidth="1"/>
    <col min="7430" max="7430" width="12.453125" style="86" customWidth="1"/>
    <col min="7431" max="7431" width="19.453125" style="86" customWidth="1"/>
    <col min="7432" max="7432" width="25.1796875" style="86" customWidth="1"/>
    <col min="7433" max="7433" width="2.1796875" style="86" customWidth="1"/>
    <col min="7434" max="7435" width="0" style="86" hidden="1" customWidth="1"/>
    <col min="7436" max="7436" width="3" style="86" customWidth="1"/>
    <col min="7437" max="7438" width="13.81640625" style="86" bestFit="1" customWidth="1"/>
    <col min="7439" max="7680" width="10.81640625" style="86"/>
    <col min="7681" max="7681" width="1.81640625" style="86" customWidth="1"/>
    <col min="7682" max="7682" width="10.81640625" style="86"/>
    <col min="7683" max="7683" width="29.1796875" style="86" customWidth="1"/>
    <col min="7684" max="7684" width="28.453125" style="86" customWidth="1"/>
    <col min="7685" max="7685" width="7.453125" style="86" customWidth="1"/>
    <col min="7686" max="7686" width="12.453125" style="86" customWidth="1"/>
    <col min="7687" max="7687" width="19.453125" style="86" customWidth="1"/>
    <col min="7688" max="7688" width="25.1796875" style="86" customWidth="1"/>
    <col min="7689" max="7689" width="2.1796875" style="86" customWidth="1"/>
    <col min="7690" max="7691" width="0" style="86" hidden="1" customWidth="1"/>
    <col min="7692" max="7692" width="3" style="86" customWidth="1"/>
    <col min="7693" max="7694" width="13.81640625" style="86" bestFit="1" customWidth="1"/>
    <col min="7695" max="7936" width="10.81640625" style="86"/>
    <col min="7937" max="7937" width="1.81640625" style="86" customWidth="1"/>
    <col min="7938" max="7938" width="10.81640625" style="86"/>
    <col min="7939" max="7939" width="29.1796875" style="86" customWidth="1"/>
    <col min="7940" max="7940" width="28.453125" style="86" customWidth="1"/>
    <col min="7941" max="7941" width="7.453125" style="86" customWidth="1"/>
    <col min="7942" max="7942" width="12.453125" style="86" customWidth="1"/>
    <col min="7943" max="7943" width="19.453125" style="86" customWidth="1"/>
    <col min="7944" max="7944" width="25.1796875" style="86" customWidth="1"/>
    <col min="7945" max="7945" width="2.1796875" style="86" customWidth="1"/>
    <col min="7946" max="7947" width="0" style="86" hidden="1" customWidth="1"/>
    <col min="7948" max="7948" width="3" style="86" customWidth="1"/>
    <col min="7949" max="7950" width="13.81640625" style="86" bestFit="1" customWidth="1"/>
    <col min="7951" max="8192" width="10.81640625" style="86"/>
    <col min="8193" max="8193" width="1.81640625" style="86" customWidth="1"/>
    <col min="8194" max="8194" width="10.81640625" style="86"/>
    <col min="8195" max="8195" width="29.1796875" style="86" customWidth="1"/>
    <col min="8196" max="8196" width="28.453125" style="86" customWidth="1"/>
    <col min="8197" max="8197" width="7.453125" style="86" customWidth="1"/>
    <col min="8198" max="8198" width="12.453125" style="86" customWidth="1"/>
    <col min="8199" max="8199" width="19.453125" style="86" customWidth="1"/>
    <col min="8200" max="8200" width="25.1796875" style="86" customWidth="1"/>
    <col min="8201" max="8201" width="2.1796875" style="86" customWidth="1"/>
    <col min="8202" max="8203" width="0" style="86" hidden="1" customWidth="1"/>
    <col min="8204" max="8204" width="3" style="86" customWidth="1"/>
    <col min="8205" max="8206" width="13.81640625" style="86" bestFit="1" customWidth="1"/>
    <col min="8207" max="8448" width="10.81640625" style="86"/>
    <col min="8449" max="8449" width="1.81640625" style="86" customWidth="1"/>
    <col min="8450" max="8450" width="10.81640625" style="86"/>
    <col min="8451" max="8451" width="29.1796875" style="86" customWidth="1"/>
    <col min="8452" max="8452" width="28.453125" style="86" customWidth="1"/>
    <col min="8453" max="8453" width="7.453125" style="86" customWidth="1"/>
    <col min="8454" max="8454" width="12.453125" style="86" customWidth="1"/>
    <col min="8455" max="8455" width="19.453125" style="86" customWidth="1"/>
    <col min="8456" max="8456" width="25.1796875" style="86" customWidth="1"/>
    <col min="8457" max="8457" width="2.1796875" style="86" customWidth="1"/>
    <col min="8458" max="8459" width="0" style="86" hidden="1" customWidth="1"/>
    <col min="8460" max="8460" width="3" style="86" customWidth="1"/>
    <col min="8461" max="8462" width="13.81640625" style="86" bestFit="1" customWidth="1"/>
    <col min="8463" max="8704" width="10.81640625" style="86"/>
    <col min="8705" max="8705" width="1.81640625" style="86" customWidth="1"/>
    <col min="8706" max="8706" width="10.81640625" style="86"/>
    <col min="8707" max="8707" width="29.1796875" style="86" customWidth="1"/>
    <col min="8708" max="8708" width="28.453125" style="86" customWidth="1"/>
    <col min="8709" max="8709" width="7.453125" style="86" customWidth="1"/>
    <col min="8710" max="8710" width="12.453125" style="86" customWidth="1"/>
    <col min="8711" max="8711" width="19.453125" style="86" customWidth="1"/>
    <col min="8712" max="8712" width="25.1796875" style="86" customWidth="1"/>
    <col min="8713" max="8713" width="2.1796875" style="86" customWidth="1"/>
    <col min="8714" max="8715" width="0" style="86" hidden="1" customWidth="1"/>
    <col min="8716" max="8716" width="3" style="86" customWidth="1"/>
    <col min="8717" max="8718" width="13.81640625" style="86" bestFit="1" customWidth="1"/>
    <col min="8719" max="8960" width="10.81640625" style="86"/>
    <col min="8961" max="8961" width="1.81640625" style="86" customWidth="1"/>
    <col min="8962" max="8962" width="10.81640625" style="86"/>
    <col min="8963" max="8963" width="29.1796875" style="86" customWidth="1"/>
    <col min="8964" max="8964" width="28.453125" style="86" customWidth="1"/>
    <col min="8965" max="8965" width="7.453125" style="86" customWidth="1"/>
    <col min="8966" max="8966" width="12.453125" style="86" customWidth="1"/>
    <col min="8967" max="8967" width="19.453125" style="86" customWidth="1"/>
    <col min="8968" max="8968" width="25.1796875" style="86" customWidth="1"/>
    <col min="8969" max="8969" width="2.1796875" style="86" customWidth="1"/>
    <col min="8970" max="8971" width="0" style="86" hidden="1" customWidth="1"/>
    <col min="8972" max="8972" width="3" style="86" customWidth="1"/>
    <col min="8973" max="8974" width="13.81640625" style="86" bestFit="1" customWidth="1"/>
    <col min="8975" max="9216" width="10.81640625" style="86"/>
    <col min="9217" max="9217" width="1.81640625" style="86" customWidth="1"/>
    <col min="9218" max="9218" width="10.81640625" style="86"/>
    <col min="9219" max="9219" width="29.1796875" style="86" customWidth="1"/>
    <col min="9220" max="9220" width="28.453125" style="86" customWidth="1"/>
    <col min="9221" max="9221" width="7.453125" style="86" customWidth="1"/>
    <col min="9222" max="9222" width="12.453125" style="86" customWidth="1"/>
    <col min="9223" max="9223" width="19.453125" style="86" customWidth="1"/>
    <col min="9224" max="9224" width="25.1796875" style="86" customWidth="1"/>
    <col min="9225" max="9225" width="2.1796875" style="86" customWidth="1"/>
    <col min="9226" max="9227" width="0" style="86" hidden="1" customWidth="1"/>
    <col min="9228" max="9228" width="3" style="86" customWidth="1"/>
    <col min="9229" max="9230" width="13.81640625" style="86" bestFit="1" customWidth="1"/>
    <col min="9231" max="9472" width="10.81640625" style="86"/>
    <col min="9473" max="9473" width="1.81640625" style="86" customWidth="1"/>
    <col min="9474" max="9474" width="10.81640625" style="86"/>
    <col min="9475" max="9475" width="29.1796875" style="86" customWidth="1"/>
    <col min="9476" max="9476" width="28.453125" style="86" customWidth="1"/>
    <col min="9477" max="9477" width="7.453125" style="86" customWidth="1"/>
    <col min="9478" max="9478" width="12.453125" style="86" customWidth="1"/>
    <col min="9479" max="9479" width="19.453125" style="86" customWidth="1"/>
    <col min="9480" max="9480" width="25.1796875" style="86" customWidth="1"/>
    <col min="9481" max="9481" width="2.1796875" style="86" customWidth="1"/>
    <col min="9482" max="9483" width="0" style="86" hidden="1" customWidth="1"/>
    <col min="9484" max="9484" width="3" style="86" customWidth="1"/>
    <col min="9485" max="9486" width="13.81640625" style="86" bestFit="1" customWidth="1"/>
    <col min="9487" max="9728" width="10.81640625" style="86"/>
    <col min="9729" max="9729" width="1.81640625" style="86" customWidth="1"/>
    <col min="9730" max="9730" width="10.81640625" style="86"/>
    <col min="9731" max="9731" width="29.1796875" style="86" customWidth="1"/>
    <col min="9732" max="9732" width="28.453125" style="86" customWidth="1"/>
    <col min="9733" max="9733" width="7.453125" style="86" customWidth="1"/>
    <col min="9734" max="9734" width="12.453125" style="86" customWidth="1"/>
    <col min="9735" max="9735" width="19.453125" style="86" customWidth="1"/>
    <col min="9736" max="9736" width="25.1796875" style="86" customWidth="1"/>
    <col min="9737" max="9737" width="2.1796875" style="86" customWidth="1"/>
    <col min="9738" max="9739" width="0" style="86" hidden="1" customWidth="1"/>
    <col min="9740" max="9740" width="3" style="86" customWidth="1"/>
    <col min="9741" max="9742" width="13.81640625" style="86" bestFit="1" customWidth="1"/>
    <col min="9743" max="9984" width="10.81640625" style="86"/>
    <col min="9985" max="9985" width="1.81640625" style="86" customWidth="1"/>
    <col min="9986" max="9986" width="10.81640625" style="86"/>
    <col min="9987" max="9987" width="29.1796875" style="86" customWidth="1"/>
    <col min="9988" max="9988" width="28.453125" style="86" customWidth="1"/>
    <col min="9989" max="9989" width="7.453125" style="86" customWidth="1"/>
    <col min="9990" max="9990" width="12.453125" style="86" customWidth="1"/>
    <col min="9991" max="9991" width="19.453125" style="86" customWidth="1"/>
    <col min="9992" max="9992" width="25.1796875" style="86" customWidth="1"/>
    <col min="9993" max="9993" width="2.1796875" style="86" customWidth="1"/>
    <col min="9994" max="9995" width="0" style="86" hidden="1" customWidth="1"/>
    <col min="9996" max="9996" width="3" style="86" customWidth="1"/>
    <col min="9997" max="9998" width="13.81640625" style="86" bestFit="1" customWidth="1"/>
    <col min="9999" max="10240" width="10.81640625" style="86"/>
    <col min="10241" max="10241" width="1.81640625" style="86" customWidth="1"/>
    <col min="10242" max="10242" width="10.81640625" style="86"/>
    <col min="10243" max="10243" width="29.1796875" style="86" customWidth="1"/>
    <col min="10244" max="10244" width="28.453125" style="86" customWidth="1"/>
    <col min="10245" max="10245" width="7.453125" style="86" customWidth="1"/>
    <col min="10246" max="10246" width="12.453125" style="86" customWidth="1"/>
    <col min="10247" max="10247" width="19.453125" style="86" customWidth="1"/>
    <col min="10248" max="10248" width="25.1796875" style="86" customWidth="1"/>
    <col min="10249" max="10249" width="2.1796875" style="86" customWidth="1"/>
    <col min="10250" max="10251" width="0" style="86" hidden="1" customWidth="1"/>
    <col min="10252" max="10252" width="3" style="86" customWidth="1"/>
    <col min="10253" max="10254" width="13.81640625" style="86" bestFit="1" customWidth="1"/>
    <col min="10255" max="10496" width="10.81640625" style="86"/>
    <col min="10497" max="10497" width="1.81640625" style="86" customWidth="1"/>
    <col min="10498" max="10498" width="10.81640625" style="86"/>
    <col min="10499" max="10499" width="29.1796875" style="86" customWidth="1"/>
    <col min="10500" max="10500" width="28.453125" style="86" customWidth="1"/>
    <col min="10501" max="10501" width="7.453125" style="86" customWidth="1"/>
    <col min="10502" max="10502" width="12.453125" style="86" customWidth="1"/>
    <col min="10503" max="10503" width="19.453125" style="86" customWidth="1"/>
    <col min="10504" max="10504" width="25.1796875" style="86" customWidth="1"/>
    <col min="10505" max="10505" width="2.1796875" style="86" customWidth="1"/>
    <col min="10506" max="10507" width="0" style="86" hidden="1" customWidth="1"/>
    <col min="10508" max="10508" width="3" style="86" customWidth="1"/>
    <col min="10509" max="10510" width="13.81640625" style="86" bestFit="1" customWidth="1"/>
    <col min="10511" max="10752" width="10.81640625" style="86"/>
    <col min="10753" max="10753" width="1.81640625" style="86" customWidth="1"/>
    <col min="10754" max="10754" width="10.81640625" style="86"/>
    <col min="10755" max="10755" width="29.1796875" style="86" customWidth="1"/>
    <col min="10756" max="10756" width="28.453125" style="86" customWidth="1"/>
    <col min="10757" max="10757" width="7.453125" style="86" customWidth="1"/>
    <col min="10758" max="10758" width="12.453125" style="86" customWidth="1"/>
    <col min="10759" max="10759" width="19.453125" style="86" customWidth="1"/>
    <col min="10760" max="10760" width="25.1796875" style="86" customWidth="1"/>
    <col min="10761" max="10761" width="2.1796875" style="86" customWidth="1"/>
    <col min="10762" max="10763" width="0" style="86" hidden="1" customWidth="1"/>
    <col min="10764" max="10764" width="3" style="86" customWidth="1"/>
    <col min="10765" max="10766" width="13.81640625" style="86" bestFit="1" customWidth="1"/>
    <col min="10767" max="11008" width="10.81640625" style="86"/>
    <col min="11009" max="11009" width="1.81640625" style="86" customWidth="1"/>
    <col min="11010" max="11010" width="10.81640625" style="86"/>
    <col min="11011" max="11011" width="29.1796875" style="86" customWidth="1"/>
    <col min="11012" max="11012" width="28.453125" style="86" customWidth="1"/>
    <col min="11013" max="11013" width="7.453125" style="86" customWidth="1"/>
    <col min="11014" max="11014" width="12.453125" style="86" customWidth="1"/>
    <col min="11015" max="11015" width="19.453125" style="86" customWidth="1"/>
    <col min="11016" max="11016" width="25.1796875" style="86" customWidth="1"/>
    <col min="11017" max="11017" width="2.1796875" style="86" customWidth="1"/>
    <col min="11018" max="11019" width="0" style="86" hidden="1" customWidth="1"/>
    <col min="11020" max="11020" width="3" style="86" customWidth="1"/>
    <col min="11021" max="11022" width="13.81640625" style="86" bestFit="1" customWidth="1"/>
    <col min="11023" max="11264" width="10.81640625" style="86"/>
    <col min="11265" max="11265" width="1.81640625" style="86" customWidth="1"/>
    <col min="11266" max="11266" width="10.81640625" style="86"/>
    <col min="11267" max="11267" width="29.1796875" style="86" customWidth="1"/>
    <col min="11268" max="11268" width="28.453125" style="86" customWidth="1"/>
    <col min="11269" max="11269" width="7.453125" style="86" customWidth="1"/>
    <col min="11270" max="11270" width="12.453125" style="86" customWidth="1"/>
    <col min="11271" max="11271" width="19.453125" style="86" customWidth="1"/>
    <col min="11272" max="11272" width="25.1796875" style="86" customWidth="1"/>
    <col min="11273" max="11273" width="2.1796875" style="86" customWidth="1"/>
    <col min="11274" max="11275" width="0" style="86" hidden="1" customWidth="1"/>
    <col min="11276" max="11276" width="3" style="86" customWidth="1"/>
    <col min="11277" max="11278" width="13.81640625" style="86" bestFit="1" customWidth="1"/>
    <col min="11279" max="11520" width="10.81640625" style="86"/>
    <col min="11521" max="11521" width="1.81640625" style="86" customWidth="1"/>
    <col min="11522" max="11522" width="10.81640625" style="86"/>
    <col min="11523" max="11523" width="29.1796875" style="86" customWidth="1"/>
    <col min="11524" max="11524" width="28.453125" style="86" customWidth="1"/>
    <col min="11525" max="11525" width="7.453125" style="86" customWidth="1"/>
    <col min="11526" max="11526" width="12.453125" style="86" customWidth="1"/>
    <col min="11527" max="11527" width="19.453125" style="86" customWidth="1"/>
    <col min="11528" max="11528" width="25.1796875" style="86" customWidth="1"/>
    <col min="11529" max="11529" width="2.1796875" style="86" customWidth="1"/>
    <col min="11530" max="11531" width="0" style="86" hidden="1" customWidth="1"/>
    <col min="11532" max="11532" width="3" style="86" customWidth="1"/>
    <col min="11533" max="11534" width="13.81640625" style="86" bestFit="1" customWidth="1"/>
    <col min="11535" max="11776" width="10.81640625" style="86"/>
    <col min="11777" max="11777" width="1.81640625" style="86" customWidth="1"/>
    <col min="11778" max="11778" width="10.81640625" style="86"/>
    <col min="11779" max="11779" width="29.1796875" style="86" customWidth="1"/>
    <col min="11780" max="11780" width="28.453125" style="86" customWidth="1"/>
    <col min="11781" max="11781" width="7.453125" style="86" customWidth="1"/>
    <col min="11782" max="11782" width="12.453125" style="86" customWidth="1"/>
    <col min="11783" max="11783" width="19.453125" style="86" customWidth="1"/>
    <col min="11784" max="11784" width="25.1796875" style="86" customWidth="1"/>
    <col min="11785" max="11785" width="2.1796875" style="86" customWidth="1"/>
    <col min="11786" max="11787" width="0" style="86" hidden="1" customWidth="1"/>
    <col min="11788" max="11788" width="3" style="86" customWidth="1"/>
    <col min="11789" max="11790" width="13.81640625" style="86" bestFit="1" customWidth="1"/>
    <col min="11791" max="12032" width="10.81640625" style="86"/>
    <col min="12033" max="12033" width="1.81640625" style="86" customWidth="1"/>
    <col min="12034" max="12034" width="10.81640625" style="86"/>
    <col min="12035" max="12035" width="29.1796875" style="86" customWidth="1"/>
    <col min="12036" max="12036" width="28.453125" style="86" customWidth="1"/>
    <col min="12037" max="12037" width="7.453125" style="86" customWidth="1"/>
    <col min="12038" max="12038" width="12.453125" style="86" customWidth="1"/>
    <col min="12039" max="12039" width="19.453125" style="86" customWidth="1"/>
    <col min="12040" max="12040" width="25.1796875" style="86" customWidth="1"/>
    <col min="12041" max="12041" width="2.1796875" style="86" customWidth="1"/>
    <col min="12042" max="12043" width="0" style="86" hidden="1" customWidth="1"/>
    <col min="12044" max="12044" width="3" style="86" customWidth="1"/>
    <col min="12045" max="12046" width="13.81640625" style="86" bestFit="1" customWidth="1"/>
    <col min="12047" max="12288" width="10.81640625" style="86"/>
    <col min="12289" max="12289" width="1.81640625" style="86" customWidth="1"/>
    <col min="12290" max="12290" width="10.81640625" style="86"/>
    <col min="12291" max="12291" width="29.1796875" style="86" customWidth="1"/>
    <col min="12292" max="12292" width="28.453125" style="86" customWidth="1"/>
    <col min="12293" max="12293" width="7.453125" style="86" customWidth="1"/>
    <col min="12294" max="12294" width="12.453125" style="86" customWidth="1"/>
    <col min="12295" max="12295" width="19.453125" style="86" customWidth="1"/>
    <col min="12296" max="12296" width="25.1796875" style="86" customWidth="1"/>
    <col min="12297" max="12297" width="2.1796875" style="86" customWidth="1"/>
    <col min="12298" max="12299" width="0" style="86" hidden="1" customWidth="1"/>
    <col min="12300" max="12300" width="3" style="86" customWidth="1"/>
    <col min="12301" max="12302" width="13.81640625" style="86" bestFit="1" customWidth="1"/>
    <col min="12303" max="12544" width="10.81640625" style="86"/>
    <col min="12545" max="12545" width="1.81640625" style="86" customWidth="1"/>
    <col min="12546" max="12546" width="10.81640625" style="86"/>
    <col min="12547" max="12547" width="29.1796875" style="86" customWidth="1"/>
    <col min="12548" max="12548" width="28.453125" style="86" customWidth="1"/>
    <col min="12549" max="12549" width="7.453125" style="86" customWidth="1"/>
    <col min="12550" max="12550" width="12.453125" style="86" customWidth="1"/>
    <col min="12551" max="12551" width="19.453125" style="86" customWidth="1"/>
    <col min="12552" max="12552" width="25.1796875" style="86" customWidth="1"/>
    <col min="12553" max="12553" width="2.1796875" style="86" customWidth="1"/>
    <col min="12554" max="12555" width="0" style="86" hidden="1" customWidth="1"/>
    <col min="12556" max="12556" width="3" style="86" customWidth="1"/>
    <col min="12557" max="12558" width="13.81640625" style="86" bestFit="1" customWidth="1"/>
    <col min="12559" max="12800" width="10.81640625" style="86"/>
    <col min="12801" max="12801" width="1.81640625" style="86" customWidth="1"/>
    <col min="12802" max="12802" width="10.81640625" style="86"/>
    <col min="12803" max="12803" width="29.1796875" style="86" customWidth="1"/>
    <col min="12804" max="12804" width="28.453125" style="86" customWidth="1"/>
    <col min="12805" max="12805" width="7.453125" style="86" customWidth="1"/>
    <col min="12806" max="12806" width="12.453125" style="86" customWidth="1"/>
    <col min="12807" max="12807" width="19.453125" style="86" customWidth="1"/>
    <col min="12808" max="12808" width="25.1796875" style="86" customWidth="1"/>
    <col min="12809" max="12809" width="2.1796875" style="86" customWidth="1"/>
    <col min="12810" max="12811" width="0" style="86" hidden="1" customWidth="1"/>
    <col min="12812" max="12812" width="3" style="86" customWidth="1"/>
    <col min="12813" max="12814" width="13.81640625" style="86" bestFit="1" customWidth="1"/>
    <col min="12815" max="13056" width="10.81640625" style="86"/>
    <col min="13057" max="13057" width="1.81640625" style="86" customWidth="1"/>
    <col min="13058" max="13058" width="10.81640625" style="86"/>
    <col min="13059" max="13059" width="29.1796875" style="86" customWidth="1"/>
    <col min="13060" max="13060" width="28.453125" style="86" customWidth="1"/>
    <col min="13061" max="13061" width="7.453125" style="86" customWidth="1"/>
    <col min="13062" max="13062" width="12.453125" style="86" customWidth="1"/>
    <col min="13063" max="13063" width="19.453125" style="86" customWidth="1"/>
    <col min="13064" max="13064" width="25.1796875" style="86" customWidth="1"/>
    <col min="13065" max="13065" width="2.1796875" style="86" customWidth="1"/>
    <col min="13066" max="13067" width="0" style="86" hidden="1" customWidth="1"/>
    <col min="13068" max="13068" width="3" style="86" customWidth="1"/>
    <col min="13069" max="13070" width="13.81640625" style="86" bestFit="1" customWidth="1"/>
    <col min="13071" max="13312" width="10.81640625" style="86"/>
    <col min="13313" max="13313" width="1.81640625" style="86" customWidth="1"/>
    <col min="13314" max="13314" width="10.81640625" style="86"/>
    <col min="13315" max="13315" width="29.1796875" style="86" customWidth="1"/>
    <col min="13316" max="13316" width="28.453125" style="86" customWidth="1"/>
    <col min="13317" max="13317" width="7.453125" style="86" customWidth="1"/>
    <col min="13318" max="13318" width="12.453125" style="86" customWidth="1"/>
    <col min="13319" max="13319" width="19.453125" style="86" customWidth="1"/>
    <col min="13320" max="13320" width="25.1796875" style="86" customWidth="1"/>
    <col min="13321" max="13321" width="2.1796875" style="86" customWidth="1"/>
    <col min="13322" max="13323" width="0" style="86" hidden="1" customWidth="1"/>
    <col min="13324" max="13324" width="3" style="86" customWidth="1"/>
    <col min="13325" max="13326" width="13.81640625" style="86" bestFit="1" customWidth="1"/>
    <col min="13327" max="13568" width="10.81640625" style="86"/>
    <col min="13569" max="13569" width="1.81640625" style="86" customWidth="1"/>
    <col min="13570" max="13570" width="10.81640625" style="86"/>
    <col min="13571" max="13571" width="29.1796875" style="86" customWidth="1"/>
    <col min="13572" max="13572" width="28.453125" style="86" customWidth="1"/>
    <col min="13573" max="13573" width="7.453125" style="86" customWidth="1"/>
    <col min="13574" max="13574" width="12.453125" style="86" customWidth="1"/>
    <col min="13575" max="13575" width="19.453125" style="86" customWidth="1"/>
    <col min="13576" max="13576" width="25.1796875" style="86" customWidth="1"/>
    <col min="13577" max="13577" width="2.1796875" style="86" customWidth="1"/>
    <col min="13578" max="13579" width="0" style="86" hidden="1" customWidth="1"/>
    <col min="13580" max="13580" width="3" style="86" customWidth="1"/>
    <col min="13581" max="13582" width="13.81640625" style="86" bestFit="1" customWidth="1"/>
    <col min="13583" max="13824" width="10.81640625" style="86"/>
    <col min="13825" max="13825" width="1.81640625" style="86" customWidth="1"/>
    <col min="13826" max="13826" width="10.81640625" style="86"/>
    <col min="13827" max="13827" width="29.1796875" style="86" customWidth="1"/>
    <col min="13828" max="13828" width="28.453125" style="86" customWidth="1"/>
    <col min="13829" max="13829" width="7.453125" style="86" customWidth="1"/>
    <col min="13830" max="13830" width="12.453125" style="86" customWidth="1"/>
    <col min="13831" max="13831" width="19.453125" style="86" customWidth="1"/>
    <col min="13832" max="13832" width="25.1796875" style="86" customWidth="1"/>
    <col min="13833" max="13833" width="2.1796875" style="86" customWidth="1"/>
    <col min="13834" max="13835" width="0" style="86" hidden="1" customWidth="1"/>
    <col min="13836" max="13836" width="3" style="86" customWidth="1"/>
    <col min="13837" max="13838" width="13.81640625" style="86" bestFit="1" customWidth="1"/>
    <col min="13839" max="14080" width="10.81640625" style="86"/>
    <col min="14081" max="14081" width="1.81640625" style="86" customWidth="1"/>
    <col min="14082" max="14082" width="10.81640625" style="86"/>
    <col min="14083" max="14083" width="29.1796875" style="86" customWidth="1"/>
    <col min="14084" max="14084" width="28.453125" style="86" customWidth="1"/>
    <col min="14085" max="14085" width="7.453125" style="86" customWidth="1"/>
    <col min="14086" max="14086" width="12.453125" style="86" customWidth="1"/>
    <col min="14087" max="14087" width="19.453125" style="86" customWidth="1"/>
    <col min="14088" max="14088" width="25.1796875" style="86" customWidth="1"/>
    <col min="14089" max="14089" width="2.1796875" style="86" customWidth="1"/>
    <col min="14090" max="14091" width="0" style="86" hidden="1" customWidth="1"/>
    <col min="14092" max="14092" width="3" style="86" customWidth="1"/>
    <col min="14093" max="14094" width="13.81640625" style="86" bestFit="1" customWidth="1"/>
    <col min="14095" max="14336" width="10.81640625" style="86"/>
    <col min="14337" max="14337" width="1.81640625" style="86" customWidth="1"/>
    <col min="14338" max="14338" width="10.81640625" style="86"/>
    <col min="14339" max="14339" width="29.1796875" style="86" customWidth="1"/>
    <col min="14340" max="14340" width="28.453125" style="86" customWidth="1"/>
    <col min="14341" max="14341" width="7.453125" style="86" customWidth="1"/>
    <col min="14342" max="14342" width="12.453125" style="86" customWidth="1"/>
    <col min="14343" max="14343" width="19.453125" style="86" customWidth="1"/>
    <col min="14344" max="14344" width="25.1796875" style="86" customWidth="1"/>
    <col min="14345" max="14345" width="2.1796875" style="86" customWidth="1"/>
    <col min="14346" max="14347" width="0" style="86" hidden="1" customWidth="1"/>
    <col min="14348" max="14348" width="3" style="86" customWidth="1"/>
    <col min="14349" max="14350" width="13.81640625" style="86" bestFit="1" customWidth="1"/>
    <col min="14351" max="14592" width="10.81640625" style="86"/>
    <col min="14593" max="14593" width="1.81640625" style="86" customWidth="1"/>
    <col min="14594" max="14594" width="10.81640625" style="86"/>
    <col min="14595" max="14595" width="29.1796875" style="86" customWidth="1"/>
    <col min="14596" max="14596" width="28.453125" style="86" customWidth="1"/>
    <col min="14597" max="14597" width="7.453125" style="86" customWidth="1"/>
    <col min="14598" max="14598" width="12.453125" style="86" customWidth="1"/>
    <col min="14599" max="14599" width="19.453125" style="86" customWidth="1"/>
    <col min="14600" max="14600" width="25.1796875" style="86" customWidth="1"/>
    <col min="14601" max="14601" width="2.1796875" style="86" customWidth="1"/>
    <col min="14602" max="14603" width="0" style="86" hidden="1" customWidth="1"/>
    <col min="14604" max="14604" width="3" style="86" customWidth="1"/>
    <col min="14605" max="14606" width="13.81640625" style="86" bestFit="1" customWidth="1"/>
    <col min="14607" max="14848" width="10.81640625" style="86"/>
    <col min="14849" max="14849" width="1.81640625" style="86" customWidth="1"/>
    <col min="14850" max="14850" width="10.81640625" style="86"/>
    <col min="14851" max="14851" width="29.1796875" style="86" customWidth="1"/>
    <col min="14852" max="14852" width="28.453125" style="86" customWidth="1"/>
    <col min="14853" max="14853" width="7.453125" style="86" customWidth="1"/>
    <col min="14854" max="14854" width="12.453125" style="86" customWidth="1"/>
    <col min="14855" max="14855" width="19.453125" style="86" customWidth="1"/>
    <col min="14856" max="14856" width="25.1796875" style="86" customWidth="1"/>
    <col min="14857" max="14857" width="2.1796875" style="86" customWidth="1"/>
    <col min="14858" max="14859" width="0" style="86" hidden="1" customWidth="1"/>
    <col min="14860" max="14860" width="3" style="86" customWidth="1"/>
    <col min="14861" max="14862" width="13.81640625" style="86" bestFit="1" customWidth="1"/>
    <col min="14863" max="15104" width="10.81640625" style="86"/>
    <col min="15105" max="15105" width="1.81640625" style="86" customWidth="1"/>
    <col min="15106" max="15106" width="10.81640625" style="86"/>
    <col min="15107" max="15107" width="29.1796875" style="86" customWidth="1"/>
    <col min="15108" max="15108" width="28.453125" style="86" customWidth="1"/>
    <col min="15109" max="15109" width="7.453125" style="86" customWidth="1"/>
    <col min="15110" max="15110" width="12.453125" style="86" customWidth="1"/>
    <col min="15111" max="15111" width="19.453125" style="86" customWidth="1"/>
    <col min="15112" max="15112" width="25.1796875" style="86" customWidth="1"/>
    <col min="15113" max="15113" width="2.1796875" style="86" customWidth="1"/>
    <col min="15114" max="15115" width="0" style="86" hidden="1" customWidth="1"/>
    <col min="15116" max="15116" width="3" style="86" customWidth="1"/>
    <col min="15117" max="15118" width="13.81640625" style="86" bestFit="1" customWidth="1"/>
    <col min="15119" max="15360" width="10.81640625" style="86"/>
    <col min="15361" max="15361" width="1.81640625" style="86" customWidth="1"/>
    <col min="15362" max="15362" width="10.81640625" style="86"/>
    <col min="15363" max="15363" width="29.1796875" style="86" customWidth="1"/>
    <col min="15364" max="15364" width="28.453125" style="86" customWidth="1"/>
    <col min="15365" max="15365" width="7.453125" style="86" customWidth="1"/>
    <col min="15366" max="15366" width="12.453125" style="86" customWidth="1"/>
    <col min="15367" max="15367" width="19.453125" style="86" customWidth="1"/>
    <col min="15368" max="15368" width="25.1796875" style="86" customWidth="1"/>
    <col min="15369" max="15369" width="2.1796875" style="86" customWidth="1"/>
    <col min="15370" max="15371" width="0" style="86" hidden="1" customWidth="1"/>
    <col min="15372" max="15372" width="3" style="86" customWidth="1"/>
    <col min="15373" max="15374" width="13.81640625" style="86" bestFit="1" customWidth="1"/>
    <col min="15375" max="15616" width="10.81640625" style="86"/>
    <col min="15617" max="15617" width="1.81640625" style="86" customWidth="1"/>
    <col min="15618" max="15618" width="10.81640625" style="86"/>
    <col min="15619" max="15619" width="29.1796875" style="86" customWidth="1"/>
    <col min="15620" max="15620" width="28.453125" style="86" customWidth="1"/>
    <col min="15621" max="15621" width="7.453125" style="86" customWidth="1"/>
    <col min="15622" max="15622" width="12.453125" style="86" customWidth="1"/>
    <col min="15623" max="15623" width="19.453125" style="86" customWidth="1"/>
    <col min="15624" max="15624" width="25.1796875" style="86" customWidth="1"/>
    <col min="15625" max="15625" width="2.1796875" style="86" customWidth="1"/>
    <col min="15626" max="15627" width="0" style="86" hidden="1" customWidth="1"/>
    <col min="15628" max="15628" width="3" style="86" customWidth="1"/>
    <col min="15629" max="15630" width="13.81640625" style="86" bestFit="1" customWidth="1"/>
    <col min="15631" max="15872" width="10.81640625" style="86"/>
    <col min="15873" max="15873" width="1.81640625" style="86" customWidth="1"/>
    <col min="15874" max="15874" width="10.81640625" style="86"/>
    <col min="15875" max="15875" width="29.1796875" style="86" customWidth="1"/>
    <col min="15876" max="15876" width="28.453125" style="86" customWidth="1"/>
    <col min="15877" max="15877" width="7.453125" style="86" customWidth="1"/>
    <col min="15878" max="15878" width="12.453125" style="86" customWidth="1"/>
    <col min="15879" max="15879" width="19.453125" style="86" customWidth="1"/>
    <col min="15880" max="15880" width="25.1796875" style="86" customWidth="1"/>
    <col min="15881" max="15881" width="2.1796875" style="86" customWidth="1"/>
    <col min="15882" max="15883" width="0" style="86" hidden="1" customWidth="1"/>
    <col min="15884" max="15884" width="3" style="86" customWidth="1"/>
    <col min="15885" max="15886" width="13.81640625" style="86" bestFit="1" customWidth="1"/>
    <col min="15887" max="16128" width="10.81640625" style="86"/>
    <col min="16129" max="16129" width="1.81640625" style="86" customWidth="1"/>
    <col min="16130" max="16130" width="10.81640625" style="86"/>
    <col min="16131" max="16131" width="29.1796875" style="86" customWidth="1"/>
    <col min="16132" max="16132" width="28.453125" style="86" customWidth="1"/>
    <col min="16133" max="16133" width="7.453125" style="86" customWidth="1"/>
    <col min="16134" max="16134" width="12.453125" style="86" customWidth="1"/>
    <col min="16135" max="16135" width="19.453125" style="86" customWidth="1"/>
    <col min="16136" max="16136" width="25.1796875" style="86" customWidth="1"/>
    <col min="16137" max="16137" width="2.1796875" style="86" customWidth="1"/>
    <col min="16138" max="16139" width="0" style="86" hidden="1" customWidth="1"/>
    <col min="16140" max="16140" width="3" style="86" customWidth="1"/>
    <col min="16141" max="16142" width="13.81640625" style="86" bestFit="1" customWidth="1"/>
    <col min="16143" max="16384" width="10.81640625" style="86"/>
  </cols>
  <sheetData>
    <row r="1" spans="1:14">
      <c r="B1" s="164"/>
      <c r="C1" s="165"/>
      <c r="D1" s="165"/>
      <c r="E1" s="165"/>
      <c r="F1" s="165"/>
      <c r="G1" s="165"/>
      <c r="H1" s="221"/>
      <c r="I1" s="221"/>
    </row>
    <row r="2" spans="1:14">
      <c r="B2" s="87"/>
    </row>
    <row r="3" spans="1:14">
      <c r="B3" s="87"/>
    </row>
    <row r="4" spans="1:14">
      <c r="B4" s="87"/>
    </row>
    <row r="5" spans="1:14" ht="13" thickBot="1">
      <c r="B5" s="87"/>
    </row>
    <row r="6" spans="1:14" ht="18" thickBot="1">
      <c r="B6" s="172" t="s">
        <v>79</v>
      </c>
      <c r="C6" s="96"/>
      <c r="D6" s="173"/>
      <c r="E6" s="174"/>
      <c r="F6" s="174"/>
      <c r="G6" s="175"/>
      <c r="H6" s="223"/>
      <c r="I6" s="223"/>
    </row>
    <row r="7" spans="1:14" ht="12.75" customHeight="1">
      <c r="A7" s="176"/>
      <c r="D7" s="177"/>
      <c r="E7" s="177"/>
      <c r="F7" s="177"/>
      <c r="G7" s="177"/>
      <c r="H7" s="224"/>
      <c r="I7" s="224"/>
    </row>
    <row r="8" spans="1:14" ht="12.75" customHeight="1">
      <c r="A8" s="176"/>
      <c r="B8" s="178" t="s">
        <v>162</v>
      </c>
      <c r="C8" s="978" t="s">
        <v>187</v>
      </c>
      <c r="D8" s="978"/>
      <c r="E8" s="978"/>
      <c r="F8" s="978"/>
      <c r="G8" s="978"/>
      <c r="H8" s="978"/>
      <c r="I8" s="978"/>
    </row>
    <row r="9" spans="1:14" ht="12.75" customHeight="1">
      <c r="A9" s="176"/>
      <c r="B9" s="178"/>
      <c r="C9" s="978"/>
      <c r="D9" s="978"/>
      <c r="E9" s="978"/>
      <c r="F9" s="978"/>
      <c r="G9" s="978"/>
      <c r="H9" s="978"/>
      <c r="I9" s="978"/>
    </row>
    <row r="10" spans="1:14" ht="13">
      <c r="A10" s="166"/>
      <c r="B10" s="179"/>
      <c r="D10" s="180" t="s">
        <v>80</v>
      </c>
      <c r="I10" s="225" cm="1">
        <f t="array" ref="I10:J10">'PRESUPUESTO ESTUFA'!G8:G8</f>
        <v>0</v>
      </c>
      <c r="J10" s="86">
        <v>0</v>
      </c>
    </row>
    <row r="11" spans="1:14" ht="13">
      <c r="A11" s="166"/>
      <c r="B11" s="87"/>
      <c r="C11" s="181"/>
      <c r="D11" s="180" t="s">
        <v>81</v>
      </c>
      <c r="I11" s="225">
        <f>+'CADENA DE VALOR'!B7</f>
        <v>263621278.59999999</v>
      </c>
      <c r="M11" s="167"/>
    </row>
    <row r="12" spans="1:14" ht="13.5" thickBot="1">
      <c r="A12" s="166"/>
      <c r="B12" s="87"/>
      <c r="C12" s="182"/>
      <c r="D12" s="168"/>
      <c r="M12" s="167"/>
      <c r="N12" s="167"/>
    </row>
    <row r="13" spans="1:14" ht="13.5" thickBot="1">
      <c r="A13" s="184"/>
      <c r="B13" s="185" t="s">
        <v>82</v>
      </c>
      <c r="C13" s="186"/>
      <c r="D13" s="187"/>
      <c r="E13" s="188"/>
      <c r="F13" s="296">
        <f>+D17+D30+D35+D44+D53</f>
        <v>149062595.94714195</v>
      </c>
      <c r="G13" s="295">
        <f>+G57</f>
        <v>30.268770579094539</v>
      </c>
      <c r="H13" s="226" t="s">
        <v>83</v>
      </c>
      <c r="I13" s="227"/>
      <c r="M13" s="167"/>
    </row>
    <row r="14" spans="1:14" ht="13" thickBot="1">
      <c r="A14" s="169"/>
      <c r="B14" s="87"/>
      <c r="G14" s="183"/>
    </row>
    <row r="15" spans="1:14" s="170" customFormat="1" ht="13" thickBot="1">
      <c r="A15" s="189"/>
      <c r="B15" s="983" t="s">
        <v>69</v>
      </c>
      <c r="C15" s="984"/>
      <c r="D15" s="190" t="s">
        <v>70</v>
      </c>
      <c r="E15" s="191" t="s">
        <v>71</v>
      </c>
      <c r="F15" s="191" t="s">
        <v>72</v>
      </c>
      <c r="G15" s="192" t="s">
        <v>73</v>
      </c>
      <c r="H15" s="228" t="s">
        <v>74</v>
      </c>
      <c r="I15" s="228" t="s">
        <v>68</v>
      </c>
    </row>
    <row r="16" spans="1:14" ht="13" thickBot="1">
      <c r="A16" s="169"/>
      <c r="B16" s="87"/>
      <c r="D16" s="193"/>
      <c r="E16" s="194"/>
      <c r="F16" s="194" t="s">
        <v>223</v>
      </c>
      <c r="G16" s="195"/>
      <c r="H16" s="229"/>
      <c r="I16" s="229"/>
    </row>
    <row r="17" spans="1:13" ht="13.5" thickBot="1">
      <c r="A17" s="169"/>
      <c r="B17" s="289" t="s">
        <v>75</v>
      </c>
      <c r="C17" s="290"/>
      <c r="D17" s="291">
        <f>SUM(I18:K27)</f>
        <v>61187292.307692304</v>
      </c>
      <c r="E17" s="985">
        <f>+D17*100/'PRESUPUESTO ESTUFA'!G52</f>
        <v>14.001850347284645</v>
      </c>
      <c r="F17" s="985"/>
      <c r="G17" s="986"/>
      <c r="H17" s="292"/>
      <c r="I17" s="293"/>
      <c r="J17" s="198"/>
    </row>
    <row r="18" spans="1:13" ht="23.25" customHeight="1">
      <c r="A18" s="169"/>
      <c r="B18" s="87" t="s">
        <v>84</v>
      </c>
      <c r="D18" s="199" t="s">
        <v>76</v>
      </c>
      <c r="E18" s="200">
        <v>1</v>
      </c>
      <c r="F18" s="201">
        <v>1</v>
      </c>
      <c r="G18" s="202">
        <v>4</v>
      </c>
      <c r="H18" s="287">
        <v>3800000</v>
      </c>
      <c r="I18" s="288">
        <f>+(H18+H19)*G18</f>
        <v>25289760</v>
      </c>
      <c r="J18" s="203"/>
    </row>
    <row r="19" spans="1:13" ht="13">
      <c r="A19" s="169"/>
      <c r="B19" s="989" t="s">
        <v>191</v>
      </c>
      <c r="C19" s="990"/>
      <c r="D19" s="196"/>
      <c r="E19" s="991">
        <f>+'FACTOR PRESTACIONAL '!D27</f>
        <v>0.66380000000000017</v>
      </c>
      <c r="F19" s="991"/>
      <c r="G19" s="992"/>
      <c r="H19" s="230">
        <f>+H18*E19</f>
        <v>2522440.0000000005</v>
      </c>
      <c r="I19" s="231"/>
    </row>
    <row r="20" spans="1:13" ht="15.75" customHeight="1">
      <c r="A20" s="169"/>
      <c r="B20" s="87" t="s">
        <v>189</v>
      </c>
      <c r="D20" s="199" t="s">
        <v>76</v>
      </c>
      <c r="E20" s="200">
        <v>1</v>
      </c>
      <c r="F20" s="201">
        <v>1</v>
      </c>
      <c r="G20" s="202">
        <v>4</v>
      </c>
      <c r="H20" s="230">
        <v>2400000</v>
      </c>
      <c r="I20" s="231">
        <f>+(H20+H21)*G20</f>
        <v>16544640.000000002</v>
      </c>
      <c r="J20" s="203"/>
    </row>
    <row r="21" spans="1:13" ht="13">
      <c r="A21" s="169"/>
      <c r="B21" s="989" t="s">
        <v>191</v>
      </c>
      <c r="C21" s="990"/>
      <c r="D21" s="196"/>
      <c r="E21" s="991">
        <f>+'FACTOR PRESTACIONAL '!C27</f>
        <v>0.72340000000000015</v>
      </c>
      <c r="F21" s="991"/>
      <c r="G21" s="992"/>
      <c r="H21" s="230">
        <f>+H20*E21</f>
        <v>1736160.0000000005</v>
      </c>
      <c r="I21" s="231"/>
    </row>
    <row r="22" spans="1:13" ht="15.75" customHeight="1">
      <c r="A22" s="169"/>
      <c r="B22" s="87" t="s">
        <v>218</v>
      </c>
      <c r="D22" s="199" t="s">
        <v>76</v>
      </c>
      <c r="E22" s="200">
        <v>1</v>
      </c>
      <c r="F22" s="201">
        <v>1</v>
      </c>
      <c r="G22" s="202">
        <v>4</v>
      </c>
      <c r="H22" s="230">
        <v>1500000</v>
      </c>
      <c r="I22" s="231">
        <f>+(H22+H23)*G22</f>
        <v>11208092.307692308</v>
      </c>
      <c r="J22" s="203"/>
    </row>
    <row r="23" spans="1:13" ht="13">
      <c r="A23" s="169"/>
      <c r="B23" s="989" t="s">
        <v>191</v>
      </c>
      <c r="C23" s="990"/>
      <c r="D23" s="196"/>
      <c r="E23" s="991">
        <f>+'FACTOR PRESTACIONAL '!B27</f>
        <v>0.86801538461538474</v>
      </c>
      <c r="F23" s="991"/>
      <c r="G23" s="992"/>
      <c r="H23" s="230">
        <f>+H22*E23</f>
        <v>1302023.0769230772</v>
      </c>
      <c r="I23" s="231"/>
    </row>
    <row r="24" spans="1:13" ht="18.75" customHeight="1">
      <c r="A24" s="169"/>
      <c r="B24" s="86" t="s">
        <v>215</v>
      </c>
      <c r="D24" s="199" t="s">
        <v>76</v>
      </c>
      <c r="E24" s="200">
        <v>1</v>
      </c>
      <c r="F24" s="201">
        <v>0.2</v>
      </c>
      <c r="G24" s="202">
        <v>4</v>
      </c>
      <c r="H24" s="230">
        <v>3200000</v>
      </c>
      <c r="I24" s="231">
        <f>+((H24+H25)*G24)*F24</f>
        <v>4259328</v>
      </c>
      <c r="J24" s="203"/>
    </row>
    <row r="25" spans="1:13" ht="13">
      <c r="A25" s="169"/>
      <c r="B25" s="989" t="s">
        <v>191</v>
      </c>
      <c r="C25" s="990"/>
      <c r="D25" s="196"/>
      <c r="E25" s="991">
        <f>+'FACTOR PRESTACIONAL '!D27</f>
        <v>0.66380000000000017</v>
      </c>
      <c r="F25" s="991"/>
      <c r="G25" s="992"/>
      <c r="H25" s="230">
        <f>+H24*E25</f>
        <v>2124160.0000000005</v>
      </c>
      <c r="I25" s="231"/>
    </row>
    <row r="26" spans="1:13" ht="18.75" customHeight="1">
      <c r="A26" s="169"/>
      <c r="B26" s="87" t="s">
        <v>216</v>
      </c>
      <c r="D26" s="199" t="s">
        <v>76</v>
      </c>
      <c r="E26" s="200">
        <v>1</v>
      </c>
      <c r="F26" s="201">
        <v>0.4</v>
      </c>
      <c r="G26" s="202">
        <v>4</v>
      </c>
      <c r="H26" s="230">
        <v>1300000</v>
      </c>
      <c r="I26" s="231">
        <f>+((H26+H27)*G26)*F26</f>
        <v>3885472</v>
      </c>
      <c r="M26" s="171"/>
    </row>
    <row r="27" spans="1:13" ht="13">
      <c r="A27" s="169"/>
      <c r="B27" s="989" t="s">
        <v>191</v>
      </c>
      <c r="C27" s="990"/>
      <c r="D27" s="196"/>
      <c r="E27" s="991">
        <f>+'FACTOR PRESTACIONAL '!B27</f>
        <v>0.86801538461538474</v>
      </c>
      <c r="F27" s="991"/>
      <c r="G27" s="992"/>
      <c r="H27" s="230">
        <f>+H26*E27</f>
        <v>1128420.0000000002</v>
      </c>
      <c r="I27" s="231">
        <v>0</v>
      </c>
    </row>
    <row r="28" spans="1:13" ht="13">
      <c r="A28" s="169"/>
      <c r="B28" s="204" t="s">
        <v>217</v>
      </c>
      <c r="C28" s="205"/>
      <c r="D28" s="196"/>
      <c r="E28" s="206"/>
      <c r="F28" s="206"/>
      <c r="G28" s="197"/>
      <c r="H28" s="230"/>
      <c r="I28" s="232">
        <f>SUM(I18:I27)</f>
        <v>61187292.307692304</v>
      </c>
    </row>
    <row r="29" spans="1:13" ht="13.5" thickBot="1">
      <c r="A29" s="169"/>
      <c r="B29" s="204"/>
      <c r="C29" s="205"/>
      <c r="D29" s="196"/>
      <c r="E29" s="206"/>
      <c r="F29" s="206"/>
      <c r="G29" s="197"/>
      <c r="H29" s="230"/>
      <c r="I29" s="231"/>
    </row>
    <row r="30" spans="1:13" ht="13.5" thickBot="1">
      <c r="A30" s="169"/>
      <c r="B30" s="993" t="s">
        <v>219</v>
      </c>
      <c r="C30" s="994"/>
      <c r="D30" s="291">
        <f>SUM(I31:I34)</f>
        <v>8739886.6278496198</v>
      </c>
      <c r="E30" s="981">
        <f>+D30*100/'PRESUPUESTO ESTUFA'!G52</f>
        <v>2</v>
      </c>
      <c r="F30" s="981"/>
      <c r="G30" s="982"/>
      <c r="H30" s="237"/>
      <c r="I30" s="238"/>
    </row>
    <row r="31" spans="1:13" ht="12.75" customHeight="1">
      <c r="A31" s="169"/>
      <c r="B31" s="979" t="s">
        <v>222</v>
      </c>
      <c r="C31" s="980"/>
      <c r="D31" s="246"/>
      <c r="E31" s="247">
        <v>1</v>
      </c>
      <c r="F31" s="248"/>
      <c r="G31" s="275">
        <v>0.02</v>
      </c>
      <c r="H31" s="276">
        <f>+'PRESUPUESTO ESTUFA'!G52</f>
        <v>436994331.39248097</v>
      </c>
      <c r="I31" s="251">
        <f>G31*H31</f>
        <v>8739886.6278496198</v>
      </c>
    </row>
    <row r="32" spans="1:13" ht="12.75" customHeight="1">
      <c r="A32" s="169"/>
      <c r="B32" s="979"/>
      <c r="C32" s="980"/>
      <c r="D32" s="129"/>
      <c r="E32" s="130"/>
      <c r="F32" s="242"/>
      <c r="G32" s="239"/>
      <c r="H32" s="240"/>
      <c r="I32" s="253">
        <f t="shared" ref="I32:I34" si="0">G32*H32</f>
        <v>0</v>
      </c>
    </row>
    <row r="33" spans="1:9" ht="12.75" customHeight="1">
      <c r="A33" s="169"/>
      <c r="B33" s="979"/>
      <c r="C33" s="980"/>
      <c r="D33" s="129"/>
      <c r="E33" s="130"/>
      <c r="F33" s="242"/>
      <c r="G33" s="239"/>
      <c r="H33" s="240"/>
      <c r="I33" s="253">
        <f t="shared" si="0"/>
        <v>0</v>
      </c>
    </row>
    <row r="34" spans="1:9" ht="12.75" customHeight="1" thickBot="1">
      <c r="A34" s="169"/>
      <c r="B34" s="995"/>
      <c r="C34" s="996"/>
      <c r="D34" s="254"/>
      <c r="E34" s="255"/>
      <c r="F34" s="256"/>
      <c r="G34" s="257"/>
      <c r="H34" s="258"/>
      <c r="I34" s="259">
        <f t="shared" si="0"/>
        <v>0</v>
      </c>
    </row>
    <row r="35" spans="1:9" ht="13.5" thickBot="1">
      <c r="A35" s="169"/>
      <c r="B35" s="987" t="s">
        <v>77</v>
      </c>
      <c r="C35" s="988"/>
      <c r="D35" s="291">
        <f>SUM(I36:K43)</f>
        <v>9687815.5115999989</v>
      </c>
      <c r="E35" s="981">
        <f>+D35*100/'PRESUPUESTO ESTUFA'!G52</f>
        <v>2.2169201785134849</v>
      </c>
      <c r="F35" s="981"/>
      <c r="G35" s="982"/>
      <c r="H35" s="260"/>
      <c r="I35" s="261"/>
    </row>
    <row r="36" spans="1:9" ht="12.75" customHeight="1">
      <c r="A36" s="169"/>
      <c r="B36" s="244" t="s">
        <v>152</v>
      </c>
      <c r="C36" s="245"/>
      <c r="D36" s="246" t="s">
        <v>76</v>
      </c>
      <c r="E36" s="247">
        <v>1</v>
      </c>
      <c r="F36" s="248"/>
      <c r="G36" s="249">
        <v>4</v>
      </c>
      <c r="H36" s="250">
        <v>850000</v>
      </c>
      <c r="I36" s="251">
        <f>G36*H36</f>
        <v>3400000</v>
      </c>
    </row>
    <row r="37" spans="1:9" ht="12.75" customHeight="1">
      <c r="A37" s="169"/>
      <c r="B37" s="979" t="s">
        <v>78</v>
      </c>
      <c r="C37" s="980"/>
      <c r="D37" s="129" t="s">
        <v>76</v>
      </c>
      <c r="E37" s="130">
        <v>1</v>
      </c>
      <c r="F37" s="242"/>
      <c r="G37" s="239">
        <v>4</v>
      </c>
      <c r="H37" s="240">
        <v>150000</v>
      </c>
      <c r="I37" s="253">
        <f t="shared" ref="I37:I42" si="1">G37*H37</f>
        <v>600000</v>
      </c>
    </row>
    <row r="38" spans="1:9" ht="12.75" customHeight="1">
      <c r="A38" s="169"/>
      <c r="B38" s="979" t="s">
        <v>85</v>
      </c>
      <c r="C38" s="980"/>
      <c r="D38" s="129" t="s">
        <v>76</v>
      </c>
      <c r="E38" s="130">
        <v>1</v>
      </c>
      <c r="F38" s="242"/>
      <c r="G38" s="239">
        <v>4</v>
      </c>
      <c r="H38" s="240">
        <v>450000</v>
      </c>
      <c r="I38" s="253">
        <f t="shared" si="1"/>
        <v>1800000</v>
      </c>
    </row>
    <row r="39" spans="1:9" ht="12.75" customHeight="1">
      <c r="A39" s="169"/>
      <c r="B39" s="979" t="s">
        <v>86</v>
      </c>
      <c r="C39" s="980"/>
      <c r="D39" s="129" t="s">
        <v>76</v>
      </c>
      <c r="E39" s="130">
        <v>1</v>
      </c>
      <c r="F39" s="242"/>
      <c r="G39" s="239">
        <v>1</v>
      </c>
      <c r="H39" s="243">
        <v>1887815.5115999999</v>
      </c>
      <c r="I39" s="253">
        <f t="shared" si="1"/>
        <v>1887815.5115999999</v>
      </c>
    </row>
    <row r="40" spans="1:9" ht="12.75" hidden="1" customHeight="1">
      <c r="A40" s="169"/>
      <c r="B40" s="252" t="s">
        <v>154</v>
      </c>
      <c r="C40" s="241"/>
      <c r="D40" s="129"/>
      <c r="E40" s="130"/>
      <c r="F40" s="242"/>
      <c r="G40" s="239"/>
      <c r="H40" s="240"/>
      <c r="I40" s="253">
        <f t="shared" si="1"/>
        <v>0</v>
      </c>
    </row>
    <row r="41" spans="1:9" ht="12.75" customHeight="1">
      <c r="A41" s="169"/>
      <c r="B41" s="979" t="s">
        <v>153</v>
      </c>
      <c r="C41" s="980"/>
      <c r="D41" s="129" t="s">
        <v>76</v>
      </c>
      <c r="E41" s="130">
        <v>1</v>
      </c>
      <c r="F41" s="242"/>
      <c r="G41" s="239">
        <v>4</v>
      </c>
      <c r="H41" s="240">
        <v>250000</v>
      </c>
      <c r="I41" s="253">
        <f t="shared" si="1"/>
        <v>1000000</v>
      </c>
    </row>
    <row r="42" spans="1:9" hidden="1">
      <c r="A42" s="169"/>
      <c r="B42" s="252"/>
      <c r="C42" s="241"/>
      <c r="D42" s="129"/>
      <c r="E42" s="130"/>
      <c r="F42" s="242"/>
      <c r="G42" s="239"/>
      <c r="H42" s="240"/>
      <c r="I42" s="253">
        <f t="shared" si="1"/>
        <v>0</v>
      </c>
    </row>
    <row r="43" spans="1:9" ht="13" thickBot="1">
      <c r="A43" s="169"/>
      <c r="B43" s="262" t="s">
        <v>155</v>
      </c>
      <c r="C43" s="263"/>
      <c r="D43" s="264" t="s">
        <v>190</v>
      </c>
      <c r="E43" s="265">
        <v>4</v>
      </c>
      <c r="F43" s="266"/>
      <c r="G43" s="267">
        <v>1</v>
      </c>
      <c r="H43" s="268">
        <v>250000</v>
      </c>
      <c r="I43" s="269">
        <f>+H43*E43</f>
        <v>1000000</v>
      </c>
    </row>
    <row r="44" spans="1:9" ht="13.5" thickBot="1">
      <c r="A44" s="169"/>
      <c r="B44" s="277" t="s">
        <v>87</v>
      </c>
      <c r="C44" s="278"/>
      <c r="D44" s="291">
        <f>SUM(I45:I50)</f>
        <v>52439320</v>
      </c>
      <c r="E44" s="981">
        <f>+D44*100/'PRESUPUESTO ESTUFA'!G52</f>
        <v>12.000000053296409</v>
      </c>
      <c r="F44" s="981"/>
      <c r="G44" s="982"/>
      <c r="H44" s="279"/>
      <c r="I44" s="280"/>
    </row>
    <row r="45" spans="1:9">
      <c r="A45" s="169"/>
      <c r="B45" s="281" t="s">
        <v>89</v>
      </c>
      <c r="C45" s="128"/>
      <c r="D45" s="128"/>
      <c r="E45" s="274">
        <v>1</v>
      </c>
      <c r="F45" s="274"/>
      <c r="G45" s="275">
        <v>0.04</v>
      </c>
      <c r="H45" s="276">
        <f>+'PRESUPUESTO ESTUFA'!G52</f>
        <v>436994331.39248097</v>
      </c>
      <c r="I45" s="231">
        <f t="shared" ref="I45:I48" si="2">ROUND(H45*G45,0)</f>
        <v>17479773</v>
      </c>
    </row>
    <row r="46" spans="1:9">
      <c r="A46" s="169"/>
      <c r="B46" s="281" t="s">
        <v>90</v>
      </c>
      <c r="C46" s="128"/>
      <c r="D46" s="128"/>
      <c r="E46" s="274">
        <v>1</v>
      </c>
      <c r="F46" s="274"/>
      <c r="G46" s="275">
        <v>0.01</v>
      </c>
      <c r="H46" s="276">
        <f>H45</f>
        <v>436994331.39248097</v>
      </c>
      <c r="I46" s="231">
        <f t="shared" si="2"/>
        <v>4369943</v>
      </c>
    </row>
    <row r="47" spans="1:9">
      <c r="A47" s="169"/>
      <c r="B47" s="281" t="s">
        <v>221</v>
      </c>
      <c r="C47" s="128"/>
      <c r="D47" s="128"/>
      <c r="E47" s="274">
        <v>1</v>
      </c>
      <c r="F47" s="274"/>
      <c r="G47" s="275">
        <v>0.02</v>
      </c>
      <c r="H47" s="276">
        <f>H46</f>
        <v>436994331.39248097</v>
      </c>
      <c r="I47" s="231">
        <f t="shared" si="2"/>
        <v>8739887</v>
      </c>
    </row>
    <row r="48" spans="1:9">
      <c r="A48" s="169"/>
      <c r="B48" s="281" t="s">
        <v>91</v>
      </c>
      <c r="C48" s="128"/>
      <c r="D48" s="128"/>
      <c r="E48" s="274">
        <v>1</v>
      </c>
      <c r="F48" s="274"/>
      <c r="G48" s="275">
        <v>0.05</v>
      </c>
      <c r="H48" s="276">
        <f>H47</f>
        <v>436994331.39248097</v>
      </c>
      <c r="I48" s="231">
        <f t="shared" si="2"/>
        <v>21849717</v>
      </c>
    </row>
    <row r="49" spans="1:9">
      <c r="A49" s="169"/>
      <c r="B49" s="281" t="s">
        <v>220</v>
      </c>
      <c r="C49" s="128"/>
      <c r="D49" s="128"/>
      <c r="E49" s="274">
        <v>1</v>
      </c>
      <c r="F49" s="274"/>
      <c r="G49" s="275">
        <v>0</v>
      </c>
      <c r="H49" s="276">
        <f>H45</f>
        <v>436994331.39248097</v>
      </c>
      <c r="I49" s="231">
        <f t="shared" ref="I49" si="3">ROUND(H49*G49,0)</f>
        <v>0</v>
      </c>
    </row>
    <row r="50" spans="1:9" ht="13" thickBot="1">
      <c r="A50" s="169"/>
      <c r="B50" s="282" t="s">
        <v>88</v>
      </c>
      <c r="C50" s="283"/>
      <c r="D50" s="283"/>
      <c r="E50" s="284">
        <v>1</v>
      </c>
      <c r="F50" s="284"/>
      <c r="G50" s="285">
        <v>0.01</v>
      </c>
      <c r="H50" s="286">
        <f>+I10</f>
        <v>0</v>
      </c>
      <c r="I50" s="233">
        <f>ROUND(H50*G50,0)</f>
        <v>0</v>
      </c>
    </row>
    <row r="51" spans="1:9" ht="13">
      <c r="A51" s="184"/>
      <c r="B51" s="270" t="s">
        <v>92</v>
      </c>
      <c r="C51" s="271"/>
      <c r="D51" s="271"/>
      <c r="E51" s="272"/>
      <c r="F51" s="272"/>
      <c r="G51" s="273"/>
      <c r="H51" s="225"/>
      <c r="I51" s="225"/>
    </row>
    <row r="52" spans="1:9" ht="13">
      <c r="A52" s="169"/>
      <c r="B52" s="87"/>
      <c r="G52" s="211"/>
      <c r="H52" s="225"/>
      <c r="I52" s="234"/>
    </row>
    <row r="53" spans="1:9" ht="13">
      <c r="A53" s="184"/>
      <c r="B53" s="207" t="s">
        <v>93</v>
      </c>
      <c r="C53" s="208"/>
      <c r="D53" s="212">
        <v>17008281.5</v>
      </c>
      <c r="E53" s="209"/>
      <c r="F53" s="209"/>
      <c r="G53" s="210">
        <v>0.05</v>
      </c>
      <c r="H53" s="225"/>
      <c r="I53" s="234"/>
    </row>
    <row r="54" spans="1:9" ht="9.75" customHeight="1">
      <c r="A54" s="169"/>
      <c r="B54" s="87"/>
      <c r="G54" s="211"/>
      <c r="H54" s="225"/>
      <c r="I54" s="234"/>
    </row>
    <row r="55" spans="1:9" ht="15" customHeight="1">
      <c r="A55" s="169"/>
      <c r="B55" s="87"/>
      <c r="G55" s="213"/>
      <c r="H55" s="225"/>
      <c r="I55" s="234"/>
    </row>
    <row r="56" spans="1:9" ht="6.75" customHeight="1">
      <c r="A56" s="169"/>
      <c r="B56" s="87"/>
      <c r="G56" s="211"/>
      <c r="H56" s="225"/>
      <c r="I56" s="234"/>
    </row>
    <row r="57" spans="1:9" ht="18">
      <c r="A57" s="169"/>
      <c r="B57" s="214" t="s">
        <v>94</v>
      </c>
      <c r="C57" s="215"/>
      <c r="D57" s="215"/>
      <c r="E57" s="215"/>
      <c r="F57" s="215"/>
      <c r="G57" s="294">
        <f>+G53+E44+E35+E30+E17</f>
        <v>30.268770579094539</v>
      </c>
      <c r="H57" s="225"/>
      <c r="I57" s="234"/>
    </row>
    <row r="58" spans="1:9" ht="13" thickBot="1">
      <c r="A58" s="216"/>
      <c r="B58" s="217"/>
      <c r="C58" s="218"/>
      <c r="D58" s="218"/>
      <c r="E58" s="218"/>
      <c r="F58" s="218"/>
      <c r="G58" s="219"/>
      <c r="H58" s="235"/>
      <c r="I58" s="235"/>
    </row>
    <row r="59" spans="1:9" ht="13">
      <c r="B59" s="220"/>
      <c r="I59" s="236"/>
    </row>
  </sheetData>
  <mergeCells count="26">
    <mergeCell ref="B32:C32"/>
    <mergeCell ref="B33:C33"/>
    <mergeCell ref="B34:C34"/>
    <mergeCell ref="B31:C31"/>
    <mergeCell ref="B25:C25"/>
    <mergeCell ref="E25:G25"/>
    <mergeCell ref="B23:C23"/>
    <mergeCell ref="E23:G23"/>
    <mergeCell ref="B30:C30"/>
    <mergeCell ref="E30:G30"/>
    <mergeCell ref="C8:I9"/>
    <mergeCell ref="B39:C39"/>
    <mergeCell ref="B41:C41"/>
    <mergeCell ref="E44:G44"/>
    <mergeCell ref="B15:C15"/>
    <mergeCell ref="E17:G17"/>
    <mergeCell ref="B35:C35"/>
    <mergeCell ref="E35:G35"/>
    <mergeCell ref="B37:C37"/>
    <mergeCell ref="B38:C38"/>
    <mergeCell ref="B21:C21"/>
    <mergeCell ref="E21:G21"/>
    <mergeCell ref="B19:C19"/>
    <mergeCell ref="E19:G19"/>
    <mergeCell ref="B27:C27"/>
    <mergeCell ref="E27:G27"/>
  </mergeCells>
  <phoneticPr fontId="6" type="noConversion"/>
  <printOptions horizontalCentered="1"/>
  <pageMargins left="0.78740157480314998" right="0.78740157480314998" top="0.78740157480314998" bottom="0.78740157480314998" header="0" footer="0"/>
  <pageSetup scale="6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8"/>
  <sheetViews>
    <sheetView view="pageBreakPreview" topLeftCell="A37" zoomScaleNormal="100" zoomScaleSheetLayoutView="100" workbookViewId="0">
      <selection activeCell="G56" sqref="G56"/>
    </sheetView>
  </sheetViews>
  <sheetFormatPr baseColWidth="10" defaultRowHeight="12.5" outlineLevelCol="1"/>
  <cols>
    <col min="1" max="1" width="1.81640625" style="86" customWidth="1"/>
    <col min="2" max="2" width="11.453125" style="86"/>
    <col min="3" max="3" width="25.1796875" style="86" customWidth="1"/>
    <col min="4" max="4" width="16.7265625" style="86" customWidth="1"/>
    <col min="5" max="5" width="7.453125" style="86" customWidth="1"/>
    <col min="6" max="6" width="16.26953125" style="86" customWidth="1"/>
    <col min="7" max="7" width="12.54296875" style="86" customWidth="1"/>
    <col min="8" max="8" width="16.1796875" style="222" customWidth="1"/>
    <col min="9" max="9" width="29.54296875" style="222" customWidth="1"/>
    <col min="10" max="11" width="0" style="86" hidden="1" customWidth="1" outlineLevel="1"/>
    <col min="12" max="12" width="3" style="86" customWidth="1" collapsed="1"/>
    <col min="13" max="14" width="13.81640625" style="86" bestFit="1" customWidth="1"/>
    <col min="15" max="256" width="11.453125" style="86"/>
    <col min="257" max="257" width="1.81640625" style="86" customWidth="1"/>
    <col min="258" max="258" width="11.453125" style="86"/>
    <col min="259" max="259" width="29.1796875" style="86" customWidth="1"/>
    <col min="260" max="260" width="28.453125" style="86" customWidth="1"/>
    <col min="261" max="261" width="7.453125" style="86" customWidth="1"/>
    <col min="262" max="262" width="12.453125" style="86" customWidth="1"/>
    <col min="263" max="263" width="19.453125" style="86" customWidth="1"/>
    <col min="264" max="264" width="25.1796875" style="86" customWidth="1"/>
    <col min="265" max="265" width="2.1796875" style="86" customWidth="1"/>
    <col min="266" max="267" width="0" style="86" hidden="1" customWidth="1"/>
    <col min="268" max="268" width="3" style="86" customWidth="1"/>
    <col min="269" max="270" width="13.81640625" style="86" bestFit="1" customWidth="1"/>
    <col min="271" max="512" width="11.453125" style="86"/>
    <col min="513" max="513" width="1.81640625" style="86" customWidth="1"/>
    <col min="514" max="514" width="11.453125" style="86"/>
    <col min="515" max="515" width="29.1796875" style="86" customWidth="1"/>
    <col min="516" max="516" width="28.453125" style="86" customWidth="1"/>
    <col min="517" max="517" width="7.453125" style="86" customWidth="1"/>
    <col min="518" max="518" width="12.453125" style="86" customWidth="1"/>
    <col min="519" max="519" width="19.453125" style="86" customWidth="1"/>
    <col min="520" max="520" width="25.1796875" style="86" customWidth="1"/>
    <col min="521" max="521" width="2.1796875" style="86" customWidth="1"/>
    <col min="522" max="523" width="0" style="86" hidden="1" customWidth="1"/>
    <col min="524" max="524" width="3" style="86" customWidth="1"/>
    <col min="525" max="526" width="13.81640625" style="86" bestFit="1" customWidth="1"/>
    <col min="527" max="768" width="11.453125" style="86"/>
    <col min="769" max="769" width="1.81640625" style="86" customWidth="1"/>
    <col min="770" max="770" width="11.453125" style="86"/>
    <col min="771" max="771" width="29.1796875" style="86" customWidth="1"/>
    <col min="772" max="772" width="28.453125" style="86" customWidth="1"/>
    <col min="773" max="773" width="7.453125" style="86" customWidth="1"/>
    <col min="774" max="774" width="12.453125" style="86" customWidth="1"/>
    <col min="775" max="775" width="19.453125" style="86" customWidth="1"/>
    <col min="776" max="776" width="25.1796875" style="86" customWidth="1"/>
    <col min="777" max="777" width="2.1796875" style="86" customWidth="1"/>
    <col min="778" max="779" width="0" style="86" hidden="1" customWidth="1"/>
    <col min="780" max="780" width="3" style="86" customWidth="1"/>
    <col min="781" max="782" width="13.81640625" style="86" bestFit="1" customWidth="1"/>
    <col min="783" max="1024" width="11.453125" style="86"/>
    <col min="1025" max="1025" width="1.81640625" style="86" customWidth="1"/>
    <col min="1026" max="1026" width="11.453125" style="86"/>
    <col min="1027" max="1027" width="29.1796875" style="86" customWidth="1"/>
    <col min="1028" max="1028" width="28.453125" style="86" customWidth="1"/>
    <col min="1029" max="1029" width="7.453125" style="86" customWidth="1"/>
    <col min="1030" max="1030" width="12.453125" style="86" customWidth="1"/>
    <col min="1031" max="1031" width="19.453125" style="86" customWidth="1"/>
    <col min="1032" max="1032" width="25.1796875" style="86" customWidth="1"/>
    <col min="1033" max="1033" width="2.1796875" style="86" customWidth="1"/>
    <col min="1034" max="1035" width="0" style="86" hidden="1" customWidth="1"/>
    <col min="1036" max="1036" width="3" style="86" customWidth="1"/>
    <col min="1037" max="1038" width="13.81640625" style="86" bestFit="1" customWidth="1"/>
    <col min="1039" max="1280" width="11.453125" style="86"/>
    <col min="1281" max="1281" width="1.81640625" style="86" customWidth="1"/>
    <col min="1282" max="1282" width="11.453125" style="86"/>
    <col min="1283" max="1283" width="29.1796875" style="86" customWidth="1"/>
    <col min="1284" max="1284" width="28.453125" style="86" customWidth="1"/>
    <col min="1285" max="1285" width="7.453125" style="86" customWidth="1"/>
    <col min="1286" max="1286" width="12.453125" style="86" customWidth="1"/>
    <col min="1287" max="1287" width="19.453125" style="86" customWidth="1"/>
    <col min="1288" max="1288" width="25.1796875" style="86" customWidth="1"/>
    <col min="1289" max="1289" width="2.1796875" style="86" customWidth="1"/>
    <col min="1290" max="1291" width="0" style="86" hidden="1" customWidth="1"/>
    <col min="1292" max="1292" width="3" style="86" customWidth="1"/>
    <col min="1293" max="1294" width="13.81640625" style="86" bestFit="1" customWidth="1"/>
    <col min="1295" max="1536" width="11.453125" style="86"/>
    <col min="1537" max="1537" width="1.81640625" style="86" customWidth="1"/>
    <col min="1538" max="1538" width="11.453125" style="86"/>
    <col min="1539" max="1539" width="29.1796875" style="86" customWidth="1"/>
    <col min="1540" max="1540" width="28.453125" style="86" customWidth="1"/>
    <col min="1541" max="1541" width="7.453125" style="86" customWidth="1"/>
    <col min="1542" max="1542" width="12.453125" style="86" customWidth="1"/>
    <col min="1543" max="1543" width="19.453125" style="86" customWidth="1"/>
    <col min="1544" max="1544" width="25.1796875" style="86" customWidth="1"/>
    <col min="1545" max="1545" width="2.1796875" style="86" customWidth="1"/>
    <col min="1546" max="1547" width="0" style="86" hidden="1" customWidth="1"/>
    <col min="1548" max="1548" width="3" style="86" customWidth="1"/>
    <col min="1549" max="1550" width="13.81640625" style="86" bestFit="1" customWidth="1"/>
    <col min="1551" max="1792" width="11.453125" style="86"/>
    <col min="1793" max="1793" width="1.81640625" style="86" customWidth="1"/>
    <col min="1794" max="1794" width="11.453125" style="86"/>
    <col min="1795" max="1795" width="29.1796875" style="86" customWidth="1"/>
    <col min="1796" max="1796" width="28.453125" style="86" customWidth="1"/>
    <col min="1797" max="1797" width="7.453125" style="86" customWidth="1"/>
    <col min="1798" max="1798" width="12.453125" style="86" customWidth="1"/>
    <col min="1799" max="1799" width="19.453125" style="86" customWidth="1"/>
    <col min="1800" max="1800" width="25.1796875" style="86" customWidth="1"/>
    <col min="1801" max="1801" width="2.1796875" style="86" customWidth="1"/>
    <col min="1802" max="1803" width="0" style="86" hidden="1" customWidth="1"/>
    <col min="1804" max="1804" width="3" style="86" customWidth="1"/>
    <col min="1805" max="1806" width="13.81640625" style="86" bestFit="1" customWidth="1"/>
    <col min="1807" max="2048" width="11.453125" style="86"/>
    <col min="2049" max="2049" width="1.81640625" style="86" customWidth="1"/>
    <col min="2050" max="2050" width="11.453125" style="86"/>
    <col min="2051" max="2051" width="29.1796875" style="86" customWidth="1"/>
    <col min="2052" max="2052" width="28.453125" style="86" customWidth="1"/>
    <col min="2053" max="2053" width="7.453125" style="86" customWidth="1"/>
    <col min="2054" max="2054" width="12.453125" style="86" customWidth="1"/>
    <col min="2055" max="2055" width="19.453125" style="86" customWidth="1"/>
    <col min="2056" max="2056" width="25.1796875" style="86" customWidth="1"/>
    <col min="2057" max="2057" width="2.1796875" style="86" customWidth="1"/>
    <col min="2058" max="2059" width="0" style="86" hidden="1" customWidth="1"/>
    <col min="2060" max="2060" width="3" style="86" customWidth="1"/>
    <col min="2061" max="2062" width="13.81640625" style="86" bestFit="1" customWidth="1"/>
    <col min="2063" max="2304" width="11.453125" style="86"/>
    <col min="2305" max="2305" width="1.81640625" style="86" customWidth="1"/>
    <col min="2306" max="2306" width="11.453125" style="86"/>
    <col min="2307" max="2307" width="29.1796875" style="86" customWidth="1"/>
    <col min="2308" max="2308" width="28.453125" style="86" customWidth="1"/>
    <col min="2309" max="2309" width="7.453125" style="86" customWidth="1"/>
    <col min="2310" max="2310" width="12.453125" style="86" customWidth="1"/>
    <col min="2311" max="2311" width="19.453125" style="86" customWidth="1"/>
    <col min="2312" max="2312" width="25.1796875" style="86" customWidth="1"/>
    <col min="2313" max="2313" width="2.1796875" style="86" customWidth="1"/>
    <col min="2314" max="2315" width="0" style="86" hidden="1" customWidth="1"/>
    <col min="2316" max="2316" width="3" style="86" customWidth="1"/>
    <col min="2317" max="2318" width="13.81640625" style="86" bestFit="1" customWidth="1"/>
    <col min="2319" max="2560" width="11.453125" style="86"/>
    <col min="2561" max="2561" width="1.81640625" style="86" customWidth="1"/>
    <col min="2562" max="2562" width="11.453125" style="86"/>
    <col min="2563" max="2563" width="29.1796875" style="86" customWidth="1"/>
    <col min="2564" max="2564" width="28.453125" style="86" customWidth="1"/>
    <col min="2565" max="2565" width="7.453125" style="86" customWidth="1"/>
    <col min="2566" max="2566" width="12.453125" style="86" customWidth="1"/>
    <col min="2567" max="2567" width="19.453125" style="86" customWidth="1"/>
    <col min="2568" max="2568" width="25.1796875" style="86" customWidth="1"/>
    <col min="2569" max="2569" width="2.1796875" style="86" customWidth="1"/>
    <col min="2570" max="2571" width="0" style="86" hidden="1" customWidth="1"/>
    <col min="2572" max="2572" width="3" style="86" customWidth="1"/>
    <col min="2573" max="2574" width="13.81640625" style="86" bestFit="1" customWidth="1"/>
    <col min="2575" max="2816" width="11.453125" style="86"/>
    <col min="2817" max="2817" width="1.81640625" style="86" customWidth="1"/>
    <col min="2818" max="2818" width="11.453125" style="86"/>
    <col min="2819" max="2819" width="29.1796875" style="86" customWidth="1"/>
    <col min="2820" max="2820" width="28.453125" style="86" customWidth="1"/>
    <col min="2821" max="2821" width="7.453125" style="86" customWidth="1"/>
    <col min="2822" max="2822" width="12.453125" style="86" customWidth="1"/>
    <col min="2823" max="2823" width="19.453125" style="86" customWidth="1"/>
    <col min="2824" max="2824" width="25.1796875" style="86" customWidth="1"/>
    <col min="2825" max="2825" width="2.1796875" style="86" customWidth="1"/>
    <col min="2826" max="2827" width="0" style="86" hidden="1" customWidth="1"/>
    <col min="2828" max="2828" width="3" style="86" customWidth="1"/>
    <col min="2829" max="2830" width="13.81640625" style="86" bestFit="1" customWidth="1"/>
    <col min="2831" max="3072" width="11.453125" style="86"/>
    <col min="3073" max="3073" width="1.81640625" style="86" customWidth="1"/>
    <col min="3074" max="3074" width="11.453125" style="86"/>
    <col min="3075" max="3075" width="29.1796875" style="86" customWidth="1"/>
    <col min="3076" max="3076" width="28.453125" style="86" customWidth="1"/>
    <col min="3077" max="3077" width="7.453125" style="86" customWidth="1"/>
    <col min="3078" max="3078" width="12.453125" style="86" customWidth="1"/>
    <col min="3079" max="3079" width="19.453125" style="86" customWidth="1"/>
    <col min="3080" max="3080" width="25.1796875" style="86" customWidth="1"/>
    <col min="3081" max="3081" width="2.1796875" style="86" customWidth="1"/>
    <col min="3082" max="3083" width="0" style="86" hidden="1" customWidth="1"/>
    <col min="3084" max="3084" width="3" style="86" customWidth="1"/>
    <col min="3085" max="3086" width="13.81640625" style="86" bestFit="1" customWidth="1"/>
    <col min="3087" max="3328" width="11.453125" style="86"/>
    <col min="3329" max="3329" width="1.81640625" style="86" customWidth="1"/>
    <col min="3330" max="3330" width="11.453125" style="86"/>
    <col min="3331" max="3331" width="29.1796875" style="86" customWidth="1"/>
    <col min="3332" max="3332" width="28.453125" style="86" customWidth="1"/>
    <col min="3333" max="3333" width="7.453125" style="86" customWidth="1"/>
    <col min="3334" max="3334" width="12.453125" style="86" customWidth="1"/>
    <col min="3335" max="3335" width="19.453125" style="86" customWidth="1"/>
    <col min="3336" max="3336" width="25.1796875" style="86" customWidth="1"/>
    <col min="3337" max="3337" width="2.1796875" style="86" customWidth="1"/>
    <col min="3338" max="3339" width="0" style="86" hidden="1" customWidth="1"/>
    <col min="3340" max="3340" width="3" style="86" customWidth="1"/>
    <col min="3341" max="3342" width="13.81640625" style="86" bestFit="1" customWidth="1"/>
    <col min="3343" max="3584" width="11.453125" style="86"/>
    <col min="3585" max="3585" width="1.81640625" style="86" customWidth="1"/>
    <col min="3586" max="3586" width="11.453125" style="86"/>
    <col min="3587" max="3587" width="29.1796875" style="86" customWidth="1"/>
    <col min="3588" max="3588" width="28.453125" style="86" customWidth="1"/>
    <col min="3589" max="3589" width="7.453125" style="86" customWidth="1"/>
    <col min="3590" max="3590" width="12.453125" style="86" customWidth="1"/>
    <col min="3591" max="3591" width="19.453125" style="86" customWidth="1"/>
    <col min="3592" max="3592" width="25.1796875" style="86" customWidth="1"/>
    <col min="3593" max="3593" width="2.1796875" style="86" customWidth="1"/>
    <col min="3594" max="3595" width="0" style="86" hidden="1" customWidth="1"/>
    <col min="3596" max="3596" width="3" style="86" customWidth="1"/>
    <col min="3597" max="3598" width="13.81640625" style="86" bestFit="1" customWidth="1"/>
    <col min="3599" max="3840" width="11.453125" style="86"/>
    <col min="3841" max="3841" width="1.81640625" style="86" customWidth="1"/>
    <col min="3842" max="3842" width="11.453125" style="86"/>
    <col min="3843" max="3843" width="29.1796875" style="86" customWidth="1"/>
    <col min="3844" max="3844" width="28.453125" style="86" customWidth="1"/>
    <col min="3845" max="3845" width="7.453125" style="86" customWidth="1"/>
    <col min="3846" max="3846" width="12.453125" style="86" customWidth="1"/>
    <col min="3847" max="3847" width="19.453125" style="86" customWidth="1"/>
    <col min="3848" max="3848" width="25.1796875" style="86" customWidth="1"/>
    <col min="3849" max="3849" width="2.1796875" style="86" customWidth="1"/>
    <col min="3850" max="3851" width="0" style="86" hidden="1" customWidth="1"/>
    <col min="3852" max="3852" width="3" style="86" customWidth="1"/>
    <col min="3853" max="3854" width="13.81640625" style="86" bestFit="1" customWidth="1"/>
    <col min="3855" max="4096" width="11.453125" style="86"/>
    <col min="4097" max="4097" width="1.81640625" style="86" customWidth="1"/>
    <col min="4098" max="4098" width="11.453125" style="86"/>
    <col min="4099" max="4099" width="29.1796875" style="86" customWidth="1"/>
    <col min="4100" max="4100" width="28.453125" style="86" customWidth="1"/>
    <col min="4101" max="4101" width="7.453125" style="86" customWidth="1"/>
    <col min="4102" max="4102" width="12.453125" style="86" customWidth="1"/>
    <col min="4103" max="4103" width="19.453125" style="86" customWidth="1"/>
    <col min="4104" max="4104" width="25.1796875" style="86" customWidth="1"/>
    <col min="4105" max="4105" width="2.1796875" style="86" customWidth="1"/>
    <col min="4106" max="4107" width="0" style="86" hidden="1" customWidth="1"/>
    <col min="4108" max="4108" width="3" style="86" customWidth="1"/>
    <col min="4109" max="4110" width="13.81640625" style="86" bestFit="1" customWidth="1"/>
    <col min="4111" max="4352" width="11.453125" style="86"/>
    <col min="4353" max="4353" width="1.81640625" style="86" customWidth="1"/>
    <col min="4354" max="4354" width="11.453125" style="86"/>
    <col min="4355" max="4355" width="29.1796875" style="86" customWidth="1"/>
    <col min="4356" max="4356" width="28.453125" style="86" customWidth="1"/>
    <col min="4357" max="4357" width="7.453125" style="86" customWidth="1"/>
    <col min="4358" max="4358" width="12.453125" style="86" customWidth="1"/>
    <col min="4359" max="4359" width="19.453125" style="86" customWidth="1"/>
    <col min="4360" max="4360" width="25.1796875" style="86" customWidth="1"/>
    <col min="4361" max="4361" width="2.1796875" style="86" customWidth="1"/>
    <col min="4362" max="4363" width="0" style="86" hidden="1" customWidth="1"/>
    <col min="4364" max="4364" width="3" style="86" customWidth="1"/>
    <col min="4365" max="4366" width="13.81640625" style="86" bestFit="1" customWidth="1"/>
    <col min="4367" max="4608" width="11.453125" style="86"/>
    <col min="4609" max="4609" width="1.81640625" style="86" customWidth="1"/>
    <col min="4610" max="4610" width="11.453125" style="86"/>
    <col min="4611" max="4611" width="29.1796875" style="86" customWidth="1"/>
    <col min="4612" max="4612" width="28.453125" style="86" customWidth="1"/>
    <col min="4613" max="4613" width="7.453125" style="86" customWidth="1"/>
    <col min="4614" max="4614" width="12.453125" style="86" customWidth="1"/>
    <col min="4615" max="4615" width="19.453125" style="86" customWidth="1"/>
    <col min="4616" max="4616" width="25.1796875" style="86" customWidth="1"/>
    <col min="4617" max="4617" width="2.1796875" style="86" customWidth="1"/>
    <col min="4618" max="4619" width="0" style="86" hidden="1" customWidth="1"/>
    <col min="4620" max="4620" width="3" style="86" customWidth="1"/>
    <col min="4621" max="4622" width="13.81640625" style="86" bestFit="1" customWidth="1"/>
    <col min="4623" max="4864" width="11.453125" style="86"/>
    <col min="4865" max="4865" width="1.81640625" style="86" customWidth="1"/>
    <col min="4866" max="4866" width="11.453125" style="86"/>
    <col min="4867" max="4867" width="29.1796875" style="86" customWidth="1"/>
    <col min="4868" max="4868" width="28.453125" style="86" customWidth="1"/>
    <col min="4869" max="4869" width="7.453125" style="86" customWidth="1"/>
    <col min="4870" max="4870" width="12.453125" style="86" customWidth="1"/>
    <col min="4871" max="4871" width="19.453125" style="86" customWidth="1"/>
    <col min="4872" max="4872" width="25.1796875" style="86" customWidth="1"/>
    <col min="4873" max="4873" width="2.1796875" style="86" customWidth="1"/>
    <col min="4874" max="4875" width="0" style="86" hidden="1" customWidth="1"/>
    <col min="4876" max="4876" width="3" style="86" customWidth="1"/>
    <col min="4877" max="4878" width="13.81640625" style="86" bestFit="1" customWidth="1"/>
    <col min="4879" max="5120" width="11.453125" style="86"/>
    <col min="5121" max="5121" width="1.81640625" style="86" customWidth="1"/>
    <col min="5122" max="5122" width="11.453125" style="86"/>
    <col min="5123" max="5123" width="29.1796875" style="86" customWidth="1"/>
    <col min="5124" max="5124" width="28.453125" style="86" customWidth="1"/>
    <col min="5125" max="5125" width="7.453125" style="86" customWidth="1"/>
    <col min="5126" max="5126" width="12.453125" style="86" customWidth="1"/>
    <col min="5127" max="5127" width="19.453125" style="86" customWidth="1"/>
    <col min="5128" max="5128" width="25.1796875" style="86" customWidth="1"/>
    <col min="5129" max="5129" width="2.1796875" style="86" customWidth="1"/>
    <col min="5130" max="5131" width="0" style="86" hidden="1" customWidth="1"/>
    <col min="5132" max="5132" width="3" style="86" customWidth="1"/>
    <col min="5133" max="5134" width="13.81640625" style="86" bestFit="1" customWidth="1"/>
    <col min="5135" max="5376" width="11.453125" style="86"/>
    <col min="5377" max="5377" width="1.81640625" style="86" customWidth="1"/>
    <col min="5378" max="5378" width="11.453125" style="86"/>
    <col min="5379" max="5379" width="29.1796875" style="86" customWidth="1"/>
    <col min="5380" max="5380" width="28.453125" style="86" customWidth="1"/>
    <col min="5381" max="5381" width="7.453125" style="86" customWidth="1"/>
    <col min="5382" max="5382" width="12.453125" style="86" customWidth="1"/>
    <col min="5383" max="5383" width="19.453125" style="86" customWidth="1"/>
    <col min="5384" max="5384" width="25.1796875" style="86" customWidth="1"/>
    <col min="5385" max="5385" width="2.1796875" style="86" customWidth="1"/>
    <col min="5386" max="5387" width="0" style="86" hidden="1" customWidth="1"/>
    <col min="5388" max="5388" width="3" style="86" customWidth="1"/>
    <col min="5389" max="5390" width="13.81640625" style="86" bestFit="1" customWidth="1"/>
    <col min="5391" max="5632" width="11.453125" style="86"/>
    <col min="5633" max="5633" width="1.81640625" style="86" customWidth="1"/>
    <col min="5634" max="5634" width="11.453125" style="86"/>
    <col min="5635" max="5635" width="29.1796875" style="86" customWidth="1"/>
    <col min="5636" max="5636" width="28.453125" style="86" customWidth="1"/>
    <col min="5637" max="5637" width="7.453125" style="86" customWidth="1"/>
    <col min="5638" max="5638" width="12.453125" style="86" customWidth="1"/>
    <col min="5639" max="5639" width="19.453125" style="86" customWidth="1"/>
    <col min="5640" max="5640" width="25.1796875" style="86" customWidth="1"/>
    <col min="5641" max="5641" width="2.1796875" style="86" customWidth="1"/>
    <col min="5642" max="5643" width="0" style="86" hidden="1" customWidth="1"/>
    <col min="5644" max="5644" width="3" style="86" customWidth="1"/>
    <col min="5645" max="5646" width="13.81640625" style="86" bestFit="1" customWidth="1"/>
    <col min="5647" max="5888" width="11.453125" style="86"/>
    <col min="5889" max="5889" width="1.81640625" style="86" customWidth="1"/>
    <col min="5890" max="5890" width="11.453125" style="86"/>
    <col min="5891" max="5891" width="29.1796875" style="86" customWidth="1"/>
    <col min="5892" max="5892" width="28.453125" style="86" customWidth="1"/>
    <col min="5893" max="5893" width="7.453125" style="86" customWidth="1"/>
    <col min="5894" max="5894" width="12.453125" style="86" customWidth="1"/>
    <col min="5895" max="5895" width="19.453125" style="86" customWidth="1"/>
    <col min="5896" max="5896" width="25.1796875" style="86" customWidth="1"/>
    <col min="5897" max="5897" width="2.1796875" style="86" customWidth="1"/>
    <col min="5898" max="5899" width="0" style="86" hidden="1" customWidth="1"/>
    <col min="5900" max="5900" width="3" style="86" customWidth="1"/>
    <col min="5901" max="5902" width="13.81640625" style="86" bestFit="1" customWidth="1"/>
    <col min="5903" max="6144" width="11.453125" style="86"/>
    <col min="6145" max="6145" width="1.81640625" style="86" customWidth="1"/>
    <col min="6146" max="6146" width="11.453125" style="86"/>
    <col min="6147" max="6147" width="29.1796875" style="86" customWidth="1"/>
    <col min="6148" max="6148" width="28.453125" style="86" customWidth="1"/>
    <col min="6149" max="6149" width="7.453125" style="86" customWidth="1"/>
    <col min="6150" max="6150" width="12.453125" style="86" customWidth="1"/>
    <col min="6151" max="6151" width="19.453125" style="86" customWidth="1"/>
    <col min="6152" max="6152" width="25.1796875" style="86" customWidth="1"/>
    <col min="6153" max="6153" width="2.1796875" style="86" customWidth="1"/>
    <col min="6154" max="6155" width="0" style="86" hidden="1" customWidth="1"/>
    <col min="6156" max="6156" width="3" style="86" customWidth="1"/>
    <col min="6157" max="6158" width="13.81640625" style="86" bestFit="1" customWidth="1"/>
    <col min="6159" max="6400" width="11.453125" style="86"/>
    <col min="6401" max="6401" width="1.81640625" style="86" customWidth="1"/>
    <col min="6402" max="6402" width="11.453125" style="86"/>
    <col min="6403" max="6403" width="29.1796875" style="86" customWidth="1"/>
    <col min="6404" max="6404" width="28.453125" style="86" customWidth="1"/>
    <col min="6405" max="6405" width="7.453125" style="86" customWidth="1"/>
    <col min="6406" max="6406" width="12.453125" style="86" customWidth="1"/>
    <col min="6407" max="6407" width="19.453125" style="86" customWidth="1"/>
    <col min="6408" max="6408" width="25.1796875" style="86" customWidth="1"/>
    <col min="6409" max="6409" width="2.1796875" style="86" customWidth="1"/>
    <col min="6410" max="6411" width="0" style="86" hidden="1" customWidth="1"/>
    <col min="6412" max="6412" width="3" style="86" customWidth="1"/>
    <col min="6413" max="6414" width="13.81640625" style="86" bestFit="1" customWidth="1"/>
    <col min="6415" max="6656" width="11.453125" style="86"/>
    <col min="6657" max="6657" width="1.81640625" style="86" customWidth="1"/>
    <col min="6658" max="6658" width="11.453125" style="86"/>
    <col min="6659" max="6659" width="29.1796875" style="86" customWidth="1"/>
    <col min="6660" max="6660" width="28.453125" style="86" customWidth="1"/>
    <col min="6661" max="6661" width="7.453125" style="86" customWidth="1"/>
    <col min="6662" max="6662" width="12.453125" style="86" customWidth="1"/>
    <col min="6663" max="6663" width="19.453125" style="86" customWidth="1"/>
    <col min="6664" max="6664" width="25.1796875" style="86" customWidth="1"/>
    <col min="6665" max="6665" width="2.1796875" style="86" customWidth="1"/>
    <col min="6666" max="6667" width="0" style="86" hidden="1" customWidth="1"/>
    <col min="6668" max="6668" width="3" style="86" customWidth="1"/>
    <col min="6669" max="6670" width="13.81640625" style="86" bestFit="1" customWidth="1"/>
    <col min="6671" max="6912" width="11.453125" style="86"/>
    <col min="6913" max="6913" width="1.81640625" style="86" customWidth="1"/>
    <col min="6914" max="6914" width="11.453125" style="86"/>
    <col min="6915" max="6915" width="29.1796875" style="86" customWidth="1"/>
    <col min="6916" max="6916" width="28.453125" style="86" customWidth="1"/>
    <col min="6917" max="6917" width="7.453125" style="86" customWidth="1"/>
    <col min="6918" max="6918" width="12.453125" style="86" customWidth="1"/>
    <col min="6919" max="6919" width="19.453125" style="86" customWidth="1"/>
    <col min="6920" max="6920" width="25.1796875" style="86" customWidth="1"/>
    <col min="6921" max="6921" width="2.1796875" style="86" customWidth="1"/>
    <col min="6922" max="6923" width="0" style="86" hidden="1" customWidth="1"/>
    <col min="6924" max="6924" width="3" style="86" customWidth="1"/>
    <col min="6925" max="6926" width="13.81640625" style="86" bestFit="1" customWidth="1"/>
    <col min="6927" max="7168" width="11.453125" style="86"/>
    <col min="7169" max="7169" width="1.81640625" style="86" customWidth="1"/>
    <col min="7170" max="7170" width="11.453125" style="86"/>
    <col min="7171" max="7171" width="29.1796875" style="86" customWidth="1"/>
    <col min="7172" max="7172" width="28.453125" style="86" customWidth="1"/>
    <col min="7173" max="7173" width="7.453125" style="86" customWidth="1"/>
    <col min="7174" max="7174" width="12.453125" style="86" customWidth="1"/>
    <col min="7175" max="7175" width="19.453125" style="86" customWidth="1"/>
    <col min="7176" max="7176" width="25.1796875" style="86" customWidth="1"/>
    <col min="7177" max="7177" width="2.1796875" style="86" customWidth="1"/>
    <col min="7178" max="7179" width="0" style="86" hidden="1" customWidth="1"/>
    <col min="7180" max="7180" width="3" style="86" customWidth="1"/>
    <col min="7181" max="7182" width="13.81640625" style="86" bestFit="1" customWidth="1"/>
    <col min="7183" max="7424" width="11.453125" style="86"/>
    <col min="7425" max="7425" width="1.81640625" style="86" customWidth="1"/>
    <col min="7426" max="7426" width="11.453125" style="86"/>
    <col min="7427" max="7427" width="29.1796875" style="86" customWidth="1"/>
    <col min="7428" max="7428" width="28.453125" style="86" customWidth="1"/>
    <col min="7429" max="7429" width="7.453125" style="86" customWidth="1"/>
    <col min="7430" max="7430" width="12.453125" style="86" customWidth="1"/>
    <col min="7431" max="7431" width="19.453125" style="86" customWidth="1"/>
    <col min="7432" max="7432" width="25.1796875" style="86" customWidth="1"/>
    <col min="7433" max="7433" width="2.1796875" style="86" customWidth="1"/>
    <col min="7434" max="7435" width="0" style="86" hidden="1" customWidth="1"/>
    <col min="7436" max="7436" width="3" style="86" customWidth="1"/>
    <col min="7437" max="7438" width="13.81640625" style="86" bestFit="1" customWidth="1"/>
    <col min="7439" max="7680" width="11.453125" style="86"/>
    <col min="7681" max="7681" width="1.81640625" style="86" customWidth="1"/>
    <col min="7682" max="7682" width="11.453125" style="86"/>
    <col min="7683" max="7683" width="29.1796875" style="86" customWidth="1"/>
    <col min="7684" max="7684" width="28.453125" style="86" customWidth="1"/>
    <col min="7685" max="7685" width="7.453125" style="86" customWidth="1"/>
    <col min="7686" max="7686" width="12.453125" style="86" customWidth="1"/>
    <col min="7687" max="7687" width="19.453125" style="86" customWidth="1"/>
    <col min="7688" max="7688" width="25.1796875" style="86" customWidth="1"/>
    <col min="7689" max="7689" width="2.1796875" style="86" customWidth="1"/>
    <col min="7690" max="7691" width="0" style="86" hidden="1" customWidth="1"/>
    <col min="7692" max="7692" width="3" style="86" customWidth="1"/>
    <col min="7693" max="7694" width="13.81640625" style="86" bestFit="1" customWidth="1"/>
    <col min="7695" max="7936" width="11.453125" style="86"/>
    <col min="7937" max="7937" width="1.81640625" style="86" customWidth="1"/>
    <col min="7938" max="7938" width="11.453125" style="86"/>
    <col min="7939" max="7939" width="29.1796875" style="86" customWidth="1"/>
    <col min="7940" max="7940" width="28.453125" style="86" customWidth="1"/>
    <col min="7941" max="7941" width="7.453125" style="86" customWidth="1"/>
    <col min="7942" max="7942" width="12.453125" style="86" customWidth="1"/>
    <col min="7943" max="7943" width="19.453125" style="86" customWidth="1"/>
    <col min="7944" max="7944" width="25.1796875" style="86" customWidth="1"/>
    <col min="7945" max="7945" width="2.1796875" style="86" customWidth="1"/>
    <col min="7946" max="7947" width="0" style="86" hidden="1" customWidth="1"/>
    <col min="7948" max="7948" width="3" style="86" customWidth="1"/>
    <col min="7949" max="7950" width="13.81640625" style="86" bestFit="1" customWidth="1"/>
    <col min="7951" max="8192" width="11.453125" style="86"/>
    <col min="8193" max="8193" width="1.81640625" style="86" customWidth="1"/>
    <col min="8194" max="8194" width="11.453125" style="86"/>
    <col min="8195" max="8195" width="29.1796875" style="86" customWidth="1"/>
    <col min="8196" max="8196" width="28.453125" style="86" customWidth="1"/>
    <col min="8197" max="8197" width="7.453125" style="86" customWidth="1"/>
    <col min="8198" max="8198" width="12.453125" style="86" customWidth="1"/>
    <col min="8199" max="8199" width="19.453125" style="86" customWidth="1"/>
    <col min="8200" max="8200" width="25.1796875" style="86" customWidth="1"/>
    <col min="8201" max="8201" width="2.1796875" style="86" customWidth="1"/>
    <col min="8202" max="8203" width="0" style="86" hidden="1" customWidth="1"/>
    <col min="8204" max="8204" width="3" style="86" customWidth="1"/>
    <col min="8205" max="8206" width="13.81640625" style="86" bestFit="1" customWidth="1"/>
    <col min="8207" max="8448" width="11.453125" style="86"/>
    <col min="8449" max="8449" width="1.81640625" style="86" customWidth="1"/>
    <col min="8450" max="8450" width="11.453125" style="86"/>
    <col min="8451" max="8451" width="29.1796875" style="86" customWidth="1"/>
    <col min="8452" max="8452" width="28.453125" style="86" customWidth="1"/>
    <col min="8453" max="8453" width="7.453125" style="86" customWidth="1"/>
    <col min="8454" max="8454" width="12.453125" style="86" customWidth="1"/>
    <col min="8455" max="8455" width="19.453125" style="86" customWidth="1"/>
    <col min="8456" max="8456" width="25.1796875" style="86" customWidth="1"/>
    <col min="8457" max="8457" width="2.1796875" style="86" customWidth="1"/>
    <col min="8458" max="8459" width="0" style="86" hidden="1" customWidth="1"/>
    <col min="8460" max="8460" width="3" style="86" customWidth="1"/>
    <col min="8461" max="8462" width="13.81640625" style="86" bestFit="1" customWidth="1"/>
    <col min="8463" max="8704" width="11.453125" style="86"/>
    <col min="8705" max="8705" width="1.81640625" style="86" customWidth="1"/>
    <col min="8706" max="8706" width="11.453125" style="86"/>
    <col min="8707" max="8707" width="29.1796875" style="86" customWidth="1"/>
    <col min="8708" max="8708" width="28.453125" style="86" customWidth="1"/>
    <col min="8709" max="8709" width="7.453125" style="86" customWidth="1"/>
    <col min="8710" max="8710" width="12.453125" style="86" customWidth="1"/>
    <col min="8711" max="8711" width="19.453125" style="86" customWidth="1"/>
    <col min="8712" max="8712" width="25.1796875" style="86" customWidth="1"/>
    <col min="8713" max="8713" width="2.1796875" style="86" customWidth="1"/>
    <col min="8714" max="8715" width="0" style="86" hidden="1" customWidth="1"/>
    <col min="8716" max="8716" width="3" style="86" customWidth="1"/>
    <col min="8717" max="8718" width="13.81640625" style="86" bestFit="1" customWidth="1"/>
    <col min="8719" max="8960" width="11.453125" style="86"/>
    <col min="8961" max="8961" width="1.81640625" style="86" customWidth="1"/>
    <col min="8962" max="8962" width="11.453125" style="86"/>
    <col min="8963" max="8963" width="29.1796875" style="86" customWidth="1"/>
    <col min="8964" max="8964" width="28.453125" style="86" customWidth="1"/>
    <col min="8965" max="8965" width="7.453125" style="86" customWidth="1"/>
    <col min="8966" max="8966" width="12.453125" style="86" customWidth="1"/>
    <col min="8967" max="8967" width="19.453125" style="86" customWidth="1"/>
    <col min="8968" max="8968" width="25.1796875" style="86" customWidth="1"/>
    <col min="8969" max="8969" width="2.1796875" style="86" customWidth="1"/>
    <col min="8970" max="8971" width="0" style="86" hidden="1" customWidth="1"/>
    <col min="8972" max="8972" width="3" style="86" customWidth="1"/>
    <col min="8973" max="8974" width="13.81640625" style="86" bestFit="1" customWidth="1"/>
    <col min="8975" max="9216" width="11.453125" style="86"/>
    <col min="9217" max="9217" width="1.81640625" style="86" customWidth="1"/>
    <col min="9218" max="9218" width="11.453125" style="86"/>
    <col min="9219" max="9219" width="29.1796875" style="86" customWidth="1"/>
    <col min="9220" max="9220" width="28.453125" style="86" customWidth="1"/>
    <col min="9221" max="9221" width="7.453125" style="86" customWidth="1"/>
    <col min="9222" max="9222" width="12.453125" style="86" customWidth="1"/>
    <col min="9223" max="9223" width="19.453125" style="86" customWidth="1"/>
    <col min="9224" max="9224" width="25.1796875" style="86" customWidth="1"/>
    <col min="9225" max="9225" width="2.1796875" style="86" customWidth="1"/>
    <col min="9226" max="9227" width="0" style="86" hidden="1" customWidth="1"/>
    <col min="9228" max="9228" width="3" style="86" customWidth="1"/>
    <col min="9229" max="9230" width="13.81640625" style="86" bestFit="1" customWidth="1"/>
    <col min="9231" max="9472" width="11.453125" style="86"/>
    <col min="9473" max="9473" width="1.81640625" style="86" customWidth="1"/>
    <col min="9474" max="9474" width="11.453125" style="86"/>
    <col min="9475" max="9475" width="29.1796875" style="86" customWidth="1"/>
    <col min="9476" max="9476" width="28.453125" style="86" customWidth="1"/>
    <col min="9477" max="9477" width="7.453125" style="86" customWidth="1"/>
    <col min="9478" max="9478" width="12.453125" style="86" customWidth="1"/>
    <col min="9479" max="9479" width="19.453125" style="86" customWidth="1"/>
    <col min="9480" max="9480" width="25.1796875" style="86" customWidth="1"/>
    <col min="9481" max="9481" width="2.1796875" style="86" customWidth="1"/>
    <col min="9482" max="9483" width="0" style="86" hidden="1" customWidth="1"/>
    <col min="9484" max="9484" width="3" style="86" customWidth="1"/>
    <col min="9485" max="9486" width="13.81640625" style="86" bestFit="1" customWidth="1"/>
    <col min="9487" max="9728" width="11.453125" style="86"/>
    <col min="9729" max="9729" width="1.81640625" style="86" customWidth="1"/>
    <col min="9730" max="9730" width="11.453125" style="86"/>
    <col min="9731" max="9731" width="29.1796875" style="86" customWidth="1"/>
    <col min="9732" max="9732" width="28.453125" style="86" customWidth="1"/>
    <col min="9733" max="9733" width="7.453125" style="86" customWidth="1"/>
    <col min="9734" max="9734" width="12.453125" style="86" customWidth="1"/>
    <col min="9735" max="9735" width="19.453125" style="86" customWidth="1"/>
    <col min="9736" max="9736" width="25.1796875" style="86" customWidth="1"/>
    <col min="9737" max="9737" width="2.1796875" style="86" customWidth="1"/>
    <col min="9738" max="9739" width="0" style="86" hidden="1" customWidth="1"/>
    <col min="9740" max="9740" width="3" style="86" customWidth="1"/>
    <col min="9741" max="9742" width="13.81640625" style="86" bestFit="1" customWidth="1"/>
    <col min="9743" max="9984" width="11.453125" style="86"/>
    <col min="9985" max="9985" width="1.81640625" style="86" customWidth="1"/>
    <col min="9986" max="9986" width="11.453125" style="86"/>
    <col min="9987" max="9987" width="29.1796875" style="86" customWidth="1"/>
    <col min="9988" max="9988" width="28.453125" style="86" customWidth="1"/>
    <col min="9989" max="9989" width="7.453125" style="86" customWidth="1"/>
    <col min="9990" max="9990" width="12.453125" style="86" customWidth="1"/>
    <col min="9991" max="9991" width="19.453125" style="86" customWidth="1"/>
    <col min="9992" max="9992" width="25.1796875" style="86" customWidth="1"/>
    <col min="9993" max="9993" width="2.1796875" style="86" customWidth="1"/>
    <col min="9994" max="9995" width="0" style="86" hidden="1" customWidth="1"/>
    <col min="9996" max="9996" width="3" style="86" customWidth="1"/>
    <col min="9997" max="9998" width="13.81640625" style="86" bestFit="1" customWidth="1"/>
    <col min="9999" max="10240" width="11.453125" style="86"/>
    <col min="10241" max="10241" width="1.81640625" style="86" customWidth="1"/>
    <col min="10242" max="10242" width="11.453125" style="86"/>
    <col min="10243" max="10243" width="29.1796875" style="86" customWidth="1"/>
    <col min="10244" max="10244" width="28.453125" style="86" customWidth="1"/>
    <col min="10245" max="10245" width="7.453125" style="86" customWidth="1"/>
    <col min="10246" max="10246" width="12.453125" style="86" customWidth="1"/>
    <col min="10247" max="10247" width="19.453125" style="86" customWidth="1"/>
    <col min="10248" max="10248" width="25.1796875" style="86" customWidth="1"/>
    <col min="10249" max="10249" width="2.1796875" style="86" customWidth="1"/>
    <col min="10250" max="10251" width="0" style="86" hidden="1" customWidth="1"/>
    <col min="10252" max="10252" width="3" style="86" customWidth="1"/>
    <col min="10253" max="10254" width="13.81640625" style="86" bestFit="1" customWidth="1"/>
    <col min="10255" max="10496" width="11.453125" style="86"/>
    <col min="10497" max="10497" width="1.81640625" style="86" customWidth="1"/>
    <col min="10498" max="10498" width="11.453125" style="86"/>
    <col min="10499" max="10499" width="29.1796875" style="86" customWidth="1"/>
    <col min="10500" max="10500" width="28.453125" style="86" customWidth="1"/>
    <col min="10501" max="10501" width="7.453125" style="86" customWidth="1"/>
    <col min="10502" max="10502" width="12.453125" style="86" customWidth="1"/>
    <col min="10503" max="10503" width="19.453125" style="86" customWidth="1"/>
    <col min="10504" max="10504" width="25.1796875" style="86" customWidth="1"/>
    <col min="10505" max="10505" width="2.1796875" style="86" customWidth="1"/>
    <col min="10506" max="10507" width="0" style="86" hidden="1" customWidth="1"/>
    <col min="10508" max="10508" width="3" style="86" customWidth="1"/>
    <col min="10509" max="10510" width="13.81640625" style="86" bestFit="1" customWidth="1"/>
    <col min="10511" max="10752" width="11.453125" style="86"/>
    <col min="10753" max="10753" width="1.81640625" style="86" customWidth="1"/>
    <col min="10754" max="10754" width="11.453125" style="86"/>
    <col min="10755" max="10755" width="29.1796875" style="86" customWidth="1"/>
    <col min="10756" max="10756" width="28.453125" style="86" customWidth="1"/>
    <col min="10757" max="10757" width="7.453125" style="86" customWidth="1"/>
    <col min="10758" max="10758" width="12.453125" style="86" customWidth="1"/>
    <col min="10759" max="10759" width="19.453125" style="86" customWidth="1"/>
    <col min="10760" max="10760" width="25.1796875" style="86" customWidth="1"/>
    <col min="10761" max="10761" width="2.1796875" style="86" customWidth="1"/>
    <col min="10762" max="10763" width="0" style="86" hidden="1" customWidth="1"/>
    <col min="10764" max="10764" width="3" style="86" customWidth="1"/>
    <col min="10765" max="10766" width="13.81640625" style="86" bestFit="1" customWidth="1"/>
    <col min="10767" max="11008" width="11.453125" style="86"/>
    <col min="11009" max="11009" width="1.81640625" style="86" customWidth="1"/>
    <col min="11010" max="11010" width="11.453125" style="86"/>
    <col min="11011" max="11011" width="29.1796875" style="86" customWidth="1"/>
    <col min="11012" max="11012" width="28.453125" style="86" customWidth="1"/>
    <col min="11013" max="11013" width="7.453125" style="86" customWidth="1"/>
    <col min="11014" max="11014" width="12.453125" style="86" customWidth="1"/>
    <col min="11015" max="11015" width="19.453125" style="86" customWidth="1"/>
    <col min="11016" max="11016" width="25.1796875" style="86" customWidth="1"/>
    <col min="11017" max="11017" width="2.1796875" style="86" customWidth="1"/>
    <col min="11018" max="11019" width="0" style="86" hidden="1" customWidth="1"/>
    <col min="11020" max="11020" width="3" style="86" customWidth="1"/>
    <col min="11021" max="11022" width="13.81640625" style="86" bestFit="1" customWidth="1"/>
    <col min="11023" max="11264" width="11.453125" style="86"/>
    <col min="11265" max="11265" width="1.81640625" style="86" customWidth="1"/>
    <col min="11266" max="11266" width="11.453125" style="86"/>
    <col min="11267" max="11267" width="29.1796875" style="86" customWidth="1"/>
    <col min="11268" max="11268" width="28.453125" style="86" customWidth="1"/>
    <col min="11269" max="11269" width="7.453125" style="86" customWidth="1"/>
    <col min="11270" max="11270" width="12.453125" style="86" customWidth="1"/>
    <col min="11271" max="11271" width="19.453125" style="86" customWidth="1"/>
    <col min="11272" max="11272" width="25.1796875" style="86" customWidth="1"/>
    <col min="11273" max="11273" width="2.1796875" style="86" customWidth="1"/>
    <col min="11274" max="11275" width="0" style="86" hidden="1" customWidth="1"/>
    <col min="11276" max="11276" width="3" style="86" customWidth="1"/>
    <col min="11277" max="11278" width="13.81640625" style="86" bestFit="1" customWidth="1"/>
    <col min="11279" max="11520" width="11.453125" style="86"/>
    <col min="11521" max="11521" width="1.81640625" style="86" customWidth="1"/>
    <col min="11522" max="11522" width="11.453125" style="86"/>
    <col min="11523" max="11523" width="29.1796875" style="86" customWidth="1"/>
    <col min="11524" max="11524" width="28.453125" style="86" customWidth="1"/>
    <col min="11525" max="11525" width="7.453125" style="86" customWidth="1"/>
    <col min="11526" max="11526" width="12.453125" style="86" customWidth="1"/>
    <col min="11527" max="11527" width="19.453125" style="86" customWidth="1"/>
    <col min="11528" max="11528" width="25.1796875" style="86" customWidth="1"/>
    <col min="11529" max="11529" width="2.1796875" style="86" customWidth="1"/>
    <col min="11530" max="11531" width="0" style="86" hidden="1" customWidth="1"/>
    <col min="11532" max="11532" width="3" style="86" customWidth="1"/>
    <col min="11533" max="11534" width="13.81640625" style="86" bestFit="1" customWidth="1"/>
    <col min="11535" max="11776" width="11.453125" style="86"/>
    <col min="11777" max="11777" width="1.81640625" style="86" customWidth="1"/>
    <col min="11778" max="11778" width="11.453125" style="86"/>
    <col min="11779" max="11779" width="29.1796875" style="86" customWidth="1"/>
    <col min="11780" max="11780" width="28.453125" style="86" customWidth="1"/>
    <col min="11781" max="11781" width="7.453125" style="86" customWidth="1"/>
    <col min="11782" max="11782" width="12.453125" style="86" customWidth="1"/>
    <col min="11783" max="11783" width="19.453125" style="86" customWidth="1"/>
    <col min="11784" max="11784" width="25.1796875" style="86" customWidth="1"/>
    <col min="11785" max="11785" width="2.1796875" style="86" customWidth="1"/>
    <col min="11786" max="11787" width="0" style="86" hidden="1" customWidth="1"/>
    <col min="11788" max="11788" width="3" style="86" customWidth="1"/>
    <col min="11789" max="11790" width="13.81640625" style="86" bestFit="1" customWidth="1"/>
    <col min="11791" max="12032" width="11.453125" style="86"/>
    <col min="12033" max="12033" width="1.81640625" style="86" customWidth="1"/>
    <col min="12034" max="12034" width="11.453125" style="86"/>
    <col min="12035" max="12035" width="29.1796875" style="86" customWidth="1"/>
    <col min="12036" max="12036" width="28.453125" style="86" customWidth="1"/>
    <col min="12037" max="12037" width="7.453125" style="86" customWidth="1"/>
    <col min="12038" max="12038" width="12.453125" style="86" customWidth="1"/>
    <col min="12039" max="12039" width="19.453125" style="86" customWidth="1"/>
    <col min="12040" max="12040" width="25.1796875" style="86" customWidth="1"/>
    <col min="12041" max="12041" width="2.1796875" style="86" customWidth="1"/>
    <col min="12042" max="12043" width="0" style="86" hidden="1" customWidth="1"/>
    <col min="12044" max="12044" width="3" style="86" customWidth="1"/>
    <col min="12045" max="12046" width="13.81640625" style="86" bestFit="1" customWidth="1"/>
    <col min="12047" max="12288" width="11.453125" style="86"/>
    <col min="12289" max="12289" width="1.81640625" style="86" customWidth="1"/>
    <col min="12290" max="12290" width="11.453125" style="86"/>
    <col min="12291" max="12291" width="29.1796875" style="86" customWidth="1"/>
    <col min="12292" max="12292" width="28.453125" style="86" customWidth="1"/>
    <col min="12293" max="12293" width="7.453125" style="86" customWidth="1"/>
    <col min="12294" max="12294" width="12.453125" style="86" customWidth="1"/>
    <col min="12295" max="12295" width="19.453125" style="86" customWidth="1"/>
    <col min="12296" max="12296" width="25.1796875" style="86" customWidth="1"/>
    <col min="12297" max="12297" width="2.1796875" style="86" customWidth="1"/>
    <col min="12298" max="12299" width="0" style="86" hidden="1" customWidth="1"/>
    <col min="12300" max="12300" width="3" style="86" customWidth="1"/>
    <col min="12301" max="12302" width="13.81640625" style="86" bestFit="1" customWidth="1"/>
    <col min="12303" max="12544" width="11.453125" style="86"/>
    <col min="12545" max="12545" width="1.81640625" style="86" customWidth="1"/>
    <col min="12546" max="12546" width="11.453125" style="86"/>
    <col min="12547" max="12547" width="29.1796875" style="86" customWidth="1"/>
    <col min="12548" max="12548" width="28.453125" style="86" customWidth="1"/>
    <col min="12549" max="12549" width="7.453125" style="86" customWidth="1"/>
    <col min="12550" max="12550" width="12.453125" style="86" customWidth="1"/>
    <col min="12551" max="12551" width="19.453125" style="86" customWidth="1"/>
    <col min="12552" max="12552" width="25.1796875" style="86" customWidth="1"/>
    <col min="12553" max="12553" width="2.1796875" style="86" customWidth="1"/>
    <col min="12554" max="12555" width="0" style="86" hidden="1" customWidth="1"/>
    <col min="12556" max="12556" width="3" style="86" customWidth="1"/>
    <col min="12557" max="12558" width="13.81640625" style="86" bestFit="1" customWidth="1"/>
    <col min="12559" max="12800" width="11.453125" style="86"/>
    <col min="12801" max="12801" width="1.81640625" style="86" customWidth="1"/>
    <col min="12802" max="12802" width="11.453125" style="86"/>
    <col min="12803" max="12803" width="29.1796875" style="86" customWidth="1"/>
    <col min="12804" max="12804" width="28.453125" style="86" customWidth="1"/>
    <col min="12805" max="12805" width="7.453125" style="86" customWidth="1"/>
    <col min="12806" max="12806" width="12.453125" style="86" customWidth="1"/>
    <col min="12807" max="12807" width="19.453125" style="86" customWidth="1"/>
    <col min="12808" max="12808" width="25.1796875" style="86" customWidth="1"/>
    <col min="12809" max="12809" width="2.1796875" style="86" customWidth="1"/>
    <col min="12810" max="12811" width="0" style="86" hidden="1" customWidth="1"/>
    <col min="12812" max="12812" width="3" style="86" customWidth="1"/>
    <col min="12813" max="12814" width="13.81640625" style="86" bestFit="1" customWidth="1"/>
    <col min="12815" max="13056" width="11.453125" style="86"/>
    <col min="13057" max="13057" width="1.81640625" style="86" customWidth="1"/>
    <col min="13058" max="13058" width="11.453125" style="86"/>
    <col min="13059" max="13059" width="29.1796875" style="86" customWidth="1"/>
    <col min="13060" max="13060" width="28.453125" style="86" customWidth="1"/>
    <col min="13061" max="13061" width="7.453125" style="86" customWidth="1"/>
    <col min="13062" max="13062" width="12.453125" style="86" customWidth="1"/>
    <col min="13063" max="13063" width="19.453125" style="86" customWidth="1"/>
    <col min="13064" max="13064" width="25.1796875" style="86" customWidth="1"/>
    <col min="13065" max="13065" width="2.1796875" style="86" customWidth="1"/>
    <col min="13066" max="13067" width="0" style="86" hidden="1" customWidth="1"/>
    <col min="13068" max="13068" width="3" style="86" customWidth="1"/>
    <col min="13069" max="13070" width="13.81640625" style="86" bestFit="1" customWidth="1"/>
    <col min="13071" max="13312" width="11.453125" style="86"/>
    <col min="13313" max="13313" width="1.81640625" style="86" customWidth="1"/>
    <col min="13314" max="13314" width="11.453125" style="86"/>
    <col min="13315" max="13315" width="29.1796875" style="86" customWidth="1"/>
    <col min="13316" max="13316" width="28.453125" style="86" customWidth="1"/>
    <col min="13317" max="13317" width="7.453125" style="86" customWidth="1"/>
    <col min="13318" max="13318" width="12.453125" style="86" customWidth="1"/>
    <col min="13319" max="13319" width="19.453125" style="86" customWidth="1"/>
    <col min="13320" max="13320" width="25.1796875" style="86" customWidth="1"/>
    <col min="13321" max="13321" width="2.1796875" style="86" customWidth="1"/>
    <col min="13322" max="13323" width="0" style="86" hidden="1" customWidth="1"/>
    <col min="13324" max="13324" width="3" style="86" customWidth="1"/>
    <col min="13325" max="13326" width="13.81640625" style="86" bestFit="1" customWidth="1"/>
    <col min="13327" max="13568" width="11.453125" style="86"/>
    <col min="13569" max="13569" width="1.81640625" style="86" customWidth="1"/>
    <col min="13570" max="13570" width="11.453125" style="86"/>
    <col min="13571" max="13571" width="29.1796875" style="86" customWidth="1"/>
    <col min="13572" max="13572" width="28.453125" style="86" customWidth="1"/>
    <col min="13573" max="13573" width="7.453125" style="86" customWidth="1"/>
    <col min="13574" max="13574" width="12.453125" style="86" customWidth="1"/>
    <col min="13575" max="13575" width="19.453125" style="86" customWidth="1"/>
    <col min="13576" max="13576" width="25.1796875" style="86" customWidth="1"/>
    <col min="13577" max="13577" width="2.1796875" style="86" customWidth="1"/>
    <col min="13578" max="13579" width="0" style="86" hidden="1" customWidth="1"/>
    <col min="13580" max="13580" width="3" style="86" customWidth="1"/>
    <col min="13581" max="13582" width="13.81640625" style="86" bestFit="1" customWidth="1"/>
    <col min="13583" max="13824" width="11.453125" style="86"/>
    <col min="13825" max="13825" width="1.81640625" style="86" customWidth="1"/>
    <col min="13826" max="13826" width="11.453125" style="86"/>
    <col min="13827" max="13827" width="29.1796875" style="86" customWidth="1"/>
    <col min="13828" max="13828" width="28.453125" style="86" customWidth="1"/>
    <col min="13829" max="13829" width="7.453125" style="86" customWidth="1"/>
    <col min="13830" max="13830" width="12.453125" style="86" customWidth="1"/>
    <col min="13831" max="13831" width="19.453125" style="86" customWidth="1"/>
    <col min="13832" max="13832" width="25.1796875" style="86" customWidth="1"/>
    <col min="13833" max="13833" width="2.1796875" style="86" customWidth="1"/>
    <col min="13834" max="13835" width="0" style="86" hidden="1" customWidth="1"/>
    <col min="13836" max="13836" width="3" style="86" customWidth="1"/>
    <col min="13837" max="13838" width="13.81640625" style="86" bestFit="1" customWidth="1"/>
    <col min="13839" max="14080" width="11.453125" style="86"/>
    <col min="14081" max="14081" width="1.81640625" style="86" customWidth="1"/>
    <col min="14082" max="14082" width="11.453125" style="86"/>
    <col min="14083" max="14083" width="29.1796875" style="86" customWidth="1"/>
    <col min="14084" max="14084" width="28.453125" style="86" customWidth="1"/>
    <col min="14085" max="14085" width="7.453125" style="86" customWidth="1"/>
    <col min="14086" max="14086" width="12.453125" style="86" customWidth="1"/>
    <col min="14087" max="14087" width="19.453125" style="86" customWidth="1"/>
    <col min="14088" max="14088" width="25.1796875" style="86" customWidth="1"/>
    <col min="14089" max="14089" width="2.1796875" style="86" customWidth="1"/>
    <col min="14090" max="14091" width="0" style="86" hidden="1" customWidth="1"/>
    <col min="14092" max="14092" width="3" style="86" customWidth="1"/>
    <col min="14093" max="14094" width="13.81640625" style="86" bestFit="1" customWidth="1"/>
    <col min="14095" max="14336" width="11.453125" style="86"/>
    <col min="14337" max="14337" width="1.81640625" style="86" customWidth="1"/>
    <col min="14338" max="14338" width="11.453125" style="86"/>
    <col min="14339" max="14339" width="29.1796875" style="86" customWidth="1"/>
    <col min="14340" max="14340" width="28.453125" style="86" customWidth="1"/>
    <col min="14341" max="14341" width="7.453125" style="86" customWidth="1"/>
    <col min="14342" max="14342" width="12.453125" style="86" customWidth="1"/>
    <col min="14343" max="14343" width="19.453125" style="86" customWidth="1"/>
    <col min="14344" max="14344" width="25.1796875" style="86" customWidth="1"/>
    <col min="14345" max="14345" width="2.1796875" style="86" customWidth="1"/>
    <col min="14346" max="14347" width="0" style="86" hidden="1" customWidth="1"/>
    <col min="14348" max="14348" width="3" style="86" customWidth="1"/>
    <col min="14349" max="14350" width="13.81640625" style="86" bestFit="1" customWidth="1"/>
    <col min="14351" max="14592" width="11.453125" style="86"/>
    <col min="14593" max="14593" width="1.81640625" style="86" customWidth="1"/>
    <col min="14594" max="14594" width="11.453125" style="86"/>
    <col min="14595" max="14595" width="29.1796875" style="86" customWidth="1"/>
    <col min="14596" max="14596" width="28.453125" style="86" customWidth="1"/>
    <col min="14597" max="14597" width="7.453125" style="86" customWidth="1"/>
    <col min="14598" max="14598" width="12.453125" style="86" customWidth="1"/>
    <col min="14599" max="14599" width="19.453125" style="86" customWidth="1"/>
    <col min="14600" max="14600" width="25.1796875" style="86" customWidth="1"/>
    <col min="14601" max="14601" width="2.1796875" style="86" customWidth="1"/>
    <col min="14602" max="14603" width="0" style="86" hidden="1" customWidth="1"/>
    <col min="14604" max="14604" width="3" style="86" customWidth="1"/>
    <col min="14605" max="14606" width="13.81640625" style="86" bestFit="1" customWidth="1"/>
    <col min="14607" max="14848" width="11.453125" style="86"/>
    <col min="14849" max="14849" width="1.81640625" style="86" customWidth="1"/>
    <col min="14850" max="14850" width="11.453125" style="86"/>
    <col min="14851" max="14851" width="29.1796875" style="86" customWidth="1"/>
    <col min="14852" max="14852" width="28.453125" style="86" customWidth="1"/>
    <col min="14853" max="14853" width="7.453125" style="86" customWidth="1"/>
    <col min="14854" max="14854" width="12.453125" style="86" customWidth="1"/>
    <col min="14855" max="14855" width="19.453125" style="86" customWidth="1"/>
    <col min="14856" max="14856" width="25.1796875" style="86" customWidth="1"/>
    <col min="14857" max="14857" width="2.1796875" style="86" customWidth="1"/>
    <col min="14858" max="14859" width="0" style="86" hidden="1" customWidth="1"/>
    <col min="14860" max="14860" width="3" style="86" customWidth="1"/>
    <col min="14861" max="14862" width="13.81640625" style="86" bestFit="1" customWidth="1"/>
    <col min="14863" max="15104" width="11.453125" style="86"/>
    <col min="15105" max="15105" width="1.81640625" style="86" customWidth="1"/>
    <col min="15106" max="15106" width="11.453125" style="86"/>
    <col min="15107" max="15107" width="29.1796875" style="86" customWidth="1"/>
    <col min="15108" max="15108" width="28.453125" style="86" customWidth="1"/>
    <col min="15109" max="15109" width="7.453125" style="86" customWidth="1"/>
    <col min="15110" max="15110" width="12.453125" style="86" customWidth="1"/>
    <col min="15111" max="15111" width="19.453125" style="86" customWidth="1"/>
    <col min="15112" max="15112" width="25.1796875" style="86" customWidth="1"/>
    <col min="15113" max="15113" width="2.1796875" style="86" customWidth="1"/>
    <col min="15114" max="15115" width="0" style="86" hidden="1" customWidth="1"/>
    <col min="15116" max="15116" width="3" style="86" customWidth="1"/>
    <col min="15117" max="15118" width="13.81640625" style="86" bestFit="1" customWidth="1"/>
    <col min="15119" max="15360" width="11.453125" style="86"/>
    <col min="15361" max="15361" width="1.81640625" style="86" customWidth="1"/>
    <col min="15362" max="15362" width="11.453125" style="86"/>
    <col min="15363" max="15363" width="29.1796875" style="86" customWidth="1"/>
    <col min="15364" max="15364" width="28.453125" style="86" customWidth="1"/>
    <col min="15365" max="15365" width="7.453125" style="86" customWidth="1"/>
    <col min="15366" max="15366" width="12.453125" style="86" customWidth="1"/>
    <col min="15367" max="15367" width="19.453125" style="86" customWidth="1"/>
    <col min="15368" max="15368" width="25.1796875" style="86" customWidth="1"/>
    <col min="15369" max="15369" width="2.1796875" style="86" customWidth="1"/>
    <col min="15370" max="15371" width="0" style="86" hidden="1" customWidth="1"/>
    <col min="15372" max="15372" width="3" style="86" customWidth="1"/>
    <col min="15373" max="15374" width="13.81640625" style="86" bestFit="1" customWidth="1"/>
    <col min="15375" max="15616" width="11.453125" style="86"/>
    <col min="15617" max="15617" width="1.81640625" style="86" customWidth="1"/>
    <col min="15618" max="15618" width="11.453125" style="86"/>
    <col min="15619" max="15619" width="29.1796875" style="86" customWidth="1"/>
    <col min="15620" max="15620" width="28.453125" style="86" customWidth="1"/>
    <col min="15621" max="15621" width="7.453125" style="86" customWidth="1"/>
    <col min="15622" max="15622" width="12.453125" style="86" customWidth="1"/>
    <col min="15623" max="15623" width="19.453125" style="86" customWidth="1"/>
    <col min="15624" max="15624" width="25.1796875" style="86" customWidth="1"/>
    <col min="15625" max="15625" width="2.1796875" style="86" customWidth="1"/>
    <col min="15626" max="15627" width="0" style="86" hidden="1" customWidth="1"/>
    <col min="15628" max="15628" width="3" style="86" customWidth="1"/>
    <col min="15629" max="15630" width="13.81640625" style="86" bestFit="1" customWidth="1"/>
    <col min="15631" max="15872" width="11.453125" style="86"/>
    <col min="15873" max="15873" width="1.81640625" style="86" customWidth="1"/>
    <col min="15874" max="15874" width="11.453125" style="86"/>
    <col min="15875" max="15875" width="29.1796875" style="86" customWidth="1"/>
    <col min="15876" max="15876" width="28.453125" style="86" customWidth="1"/>
    <col min="15877" max="15877" width="7.453125" style="86" customWidth="1"/>
    <col min="15878" max="15878" width="12.453125" style="86" customWidth="1"/>
    <col min="15879" max="15879" width="19.453125" style="86" customWidth="1"/>
    <col min="15880" max="15880" width="25.1796875" style="86" customWidth="1"/>
    <col min="15881" max="15881" width="2.1796875" style="86" customWidth="1"/>
    <col min="15882" max="15883" width="0" style="86" hidden="1" customWidth="1"/>
    <col min="15884" max="15884" width="3" style="86" customWidth="1"/>
    <col min="15885" max="15886" width="13.81640625" style="86" bestFit="1" customWidth="1"/>
    <col min="15887" max="16128" width="11.453125" style="86"/>
    <col min="16129" max="16129" width="1.81640625" style="86" customWidth="1"/>
    <col min="16130" max="16130" width="11.453125" style="86"/>
    <col min="16131" max="16131" width="29.1796875" style="86" customWidth="1"/>
    <col min="16132" max="16132" width="28.453125" style="86" customWidth="1"/>
    <col min="16133" max="16133" width="7.453125" style="86" customWidth="1"/>
    <col min="16134" max="16134" width="12.453125" style="86" customWidth="1"/>
    <col min="16135" max="16135" width="19.453125" style="86" customWidth="1"/>
    <col min="16136" max="16136" width="25.1796875" style="86" customWidth="1"/>
    <col min="16137" max="16137" width="2.1796875" style="86" customWidth="1"/>
    <col min="16138" max="16139" width="0" style="86" hidden="1" customWidth="1"/>
    <col min="16140" max="16140" width="3" style="86" customWidth="1"/>
    <col min="16141" max="16142" width="13.81640625" style="86" bestFit="1" customWidth="1"/>
    <col min="16143" max="16384" width="11.453125" style="86"/>
  </cols>
  <sheetData>
    <row r="1" spans="1:14">
      <c r="B1" s="164"/>
      <c r="C1" s="165"/>
      <c r="D1" s="165"/>
      <c r="E1" s="165"/>
      <c r="F1" s="165"/>
      <c r="G1" s="165"/>
      <c r="H1" s="221"/>
      <c r="I1" s="221"/>
    </row>
    <row r="2" spans="1:14">
      <c r="B2" s="87"/>
    </row>
    <row r="3" spans="1:14">
      <c r="B3" s="87"/>
    </row>
    <row r="4" spans="1:14">
      <c r="B4" s="87"/>
    </row>
    <row r="5" spans="1:14" ht="13" thickBot="1">
      <c r="B5" s="87"/>
    </row>
    <row r="6" spans="1:14" ht="18" thickBot="1">
      <c r="B6" s="172" t="s">
        <v>79</v>
      </c>
      <c r="C6" s="96"/>
      <c r="D6" s="173"/>
      <c r="E6" s="174"/>
      <c r="F6" s="174"/>
      <c r="G6" s="175"/>
      <c r="H6" s="223"/>
      <c r="I6" s="223"/>
    </row>
    <row r="7" spans="1:14" ht="12.75" customHeight="1">
      <c r="A7" s="176"/>
      <c r="D7" s="177"/>
      <c r="E7" s="177"/>
      <c r="F7" s="177"/>
      <c r="G7" s="177"/>
      <c r="H7" s="224"/>
      <c r="I7" s="224"/>
    </row>
    <row r="8" spans="1:14" ht="12.75" customHeight="1">
      <c r="A8" s="176"/>
      <c r="B8" s="178" t="s">
        <v>162</v>
      </c>
      <c r="C8" s="978" t="s">
        <v>187</v>
      </c>
      <c r="D8" s="978"/>
      <c r="E8" s="978"/>
      <c r="F8" s="978"/>
      <c r="G8" s="978"/>
      <c r="H8" s="978"/>
      <c r="I8" s="978"/>
    </row>
    <row r="9" spans="1:14" ht="12.75" customHeight="1">
      <c r="A9" s="176"/>
      <c r="B9" s="178"/>
      <c r="C9" s="978"/>
      <c r="D9" s="978"/>
      <c r="E9" s="978"/>
      <c r="F9" s="978"/>
      <c r="G9" s="978"/>
      <c r="H9" s="978"/>
      <c r="I9" s="978"/>
    </row>
    <row r="10" spans="1:14" ht="13">
      <c r="A10" s="166"/>
      <c r="B10" s="179"/>
      <c r="D10" s="180" t="s">
        <v>80</v>
      </c>
      <c r="I10" s="225" cm="1">
        <f t="array" ref="I10:J10">'PRESUPUESTO ESTUFA'!G8:G8</f>
        <v>0</v>
      </c>
      <c r="J10" s="86">
        <v>0</v>
      </c>
    </row>
    <row r="11" spans="1:14" ht="13">
      <c r="A11" s="166"/>
      <c r="B11" s="87"/>
      <c r="C11" s="181"/>
      <c r="D11" s="180" t="s">
        <v>81</v>
      </c>
      <c r="I11" s="225">
        <f>+'PRESUPUESTO ESTUFA'!G53</f>
        <v>34959546.511398479</v>
      </c>
      <c r="M11" s="167"/>
    </row>
    <row r="12" spans="1:14" ht="13.5" thickBot="1">
      <c r="A12" s="166"/>
      <c r="B12" s="87"/>
      <c r="C12" s="182"/>
      <c r="D12" s="168"/>
      <c r="M12" s="167"/>
      <c r="N12" s="167"/>
    </row>
    <row r="13" spans="1:14" ht="13.5" thickBot="1">
      <c r="A13" s="184"/>
      <c r="B13" s="185"/>
      <c r="C13" s="186"/>
      <c r="D13" s="187"/>
      <c r="E13" s="188"/>
      <c r="F13" s="296"/>
      <c r="G13" s="295"/>
      <c r="H13" s="226"/>
      <c r="I13" s="227"/>
      <c r="M13" s="167"/>
    </row>
    <row r="14" spans="1:14" ht="13" thickBot="1">
      <c r="A14" s="169"/>
      <c r="B14" s="87"/>
      <c r="G14" s="183"/>
    </row>
    <row r="15" spans="1:14" s="170" customFormat="1" ht="13" thickBot="1">
      <c r="A15" s="189"/>
      <c r="B15" s="983" t="s">
        <v>69</v>
      </c>
      <c r="C15" s="984"/>
      <c r="D15" s="190" t="s">
        <v>70</v>
      </c>
      <c r="E15" s="191" t="s">
        <v>71</v>
      </c>
      <c r="F15" s="191" t="s">
        <v>72</v>
      </c>
      <c r="G15" s="192" t="s">
        <v>73</v>
      </c>
      <c r="H15" s="228" t="s">
        <v>74</v>
      </c>
      <c r="I15" s="228" t="s">
        <v>68</v>
      </c>
    </row>
    <row r="16" spans="1:14" ht="13" thickBot="1">
      <c r="A16" s="169"/>
      <c r="B16" s="87"/>
      <c r="D16" s="193"/>
      <c r="E16" s="194"/>
      <c r="F16" s="194" t="s">
        <v>223</v>
      </c>
      <c r="G16" s="195"/>
      <c r="H16" s="229"/>
      <c r="I16" s="229"/>
    </row>
    <row r="17" spans="1:13" ht="13.5" thickBot="1">
      <c r="A17" s="169"/>
      <c r="B17" s="289" t="s">
        <v>75</v>
      </c>
      <c r="C17" s="290"/>
      <c r="D17" s="291">
        <f>SUM(I18:K27)</f>
        <v>31612200</v>
      </c>
      <c r="E17" s="985">
        <f>+D17*100/'PRESUPUESTO ESTUFA'!G52</f>
        <v>7.2340068804251603</v>
      </c>
      <c r="F17" s="985"/>
      <c r="G17" s="986"/>
      <c r="H17" s="292"/>
      <c r="I17" s="293"/>
      <c r="J17" s="198"/>
    </row>
    <row r="18" spans="1:13" ht="23.25" customHeight="1">
      <c r="A18" s="169"/>
      <c r="B18" s="87" t="s">
        <v>582</v>
      </c>
      <c r="D18" s="199" t="s">
        <v>76</v>
      </c>
      <c r="E18" s="200">
        <v>1</v>
      </c>
      <c r="F18" s="201">
        <v>1</v>
      </c>
      <c r="G18" s="202">
        <v>5</v>
      </c>
      <c r="H18" s="287">
        <v>3800000</v>
      </c>
      <c r="I18" s="288">
        <f>+(H18+H19)*G18</f>
        <v>31612200</v>
      </c>
      <c r="J18" s="203"/>
    </row>
    <row r="19" spans="1:13" ht="13">
      <c r="A19" s="169"/>
      <c r="B19" s="989" t="s">
        <v>191</v>
      </c>
      <c r="C19" s="990"/>
      <c r="D19" s="196"/>
      <c r="E19" s="991">
        <f>+'FACTOR PRESTACIONAL '!D27</f>
        <v>0.66380000000000017</v>
      </c>
      <c r="F19" s="991"/>
      <c r="G19" s="992"/>
      <c r="H19" s="230">
        <f>+H18*E19</f>
        <v>2522440.0000000005</v>
      </c>
      <c r="I19" s="231"/>
    </row>
    <row r="20" spans="1:13" ht="15.75" customHeight="1">
      <c r="A20" s="169"/>
      <c r="B20" s="87" t="s">
        <v>189</v>
      </c>
      <c r="D20" s="199" t="s">
        <v>76</v>
      </c>
      <c r="E20" s="200">
        <v>1</v>
      </c>
      <c r="F20" s="201">
        <v>1</v>
      </c>
      <c r="G20" s="202">
        <v>4</v>
      </c>
      <c r="H20" s="230">
        <v>2400000</v>
      </c>
      <c r="I20" s="231">
        <v>0</v>
      </c>
      <c r="J20" s="203"/>
    </row>
    <row r="21" spans="1:13" ht="13">
      <c r="A21" s="169"/>
      <c r="B21" s="989" t="s">
        <v>191</v>
      </c>
      <c r="C21" s="990"/>
      <c r="D21" s="196"/>
      <c r="E21" s="991">
        <f>+'FACTOR PRESTACIONAL '!C27</f>
        <v>0.72340000000000015</v>
      </c>
      <c r="F21" s="991"/>
      <c r="G21" s="992"/>
      <c r="H21" s="230">
        <f>+H20*E21</f>
        <v>1736160.0000000005</v>
      </c>
      <c r="I21" s="231"/>
    </row>
    <row r="22" spans="1:13" ht="15.75" customHeight="1">
      <c r="A22" s="169"/>
      <c r="B22" s="87"/>
      <c r="D22" s="199"/>
      <c r="E22" s="200"/>
      <c r="F22" s="201"/>
      <c r="G22" s="202"/>
      <c r="H22" s="230"/>
      <c r="I22" s="231"/>
      <c r="J22" s="203"/>
    </row>
    <row r="23" spans="1:13" ht="13">
      <c r="A23" s="169"/>
      <c r="B23" s="204"/>
      <c r="C23" s="205"/>
      <c r="D23" s="196"/>
      <c r="E23" s="206"/>
      <c r="F23" s="206"/>
      <c r="G23" s="197"/>
      <c r="H23" s="230"/>
      <c r="I23" s="231"/>
    </row>
    <row r="24" spans="1:13" ht="18.75" customHeight="1">
      <c r="A24" s="169"/>
      <c r="D24" s="199"/>
      <c r="E24" s="200"/>
      <c r="F24" s="201"/>
      <c r="G24" s="202"/>
      <c r="H24" s="230"/>
      <c r="I24" s="231"/>
      <c r="J24" s="203"/>
    </row>
    <row r="25" spans="1:13" ht="13">
      <c r="A25" s="169"/>
      <c r="B25" s="204"/>
      <c r="C25" s="205"/>
      <c r="D25" s="196"/>
      <c r="E25" s="206"/>
      <c r="F25" s="206"/>
      <c r="G25" s="197"/>
      <c r="H25" s="230"/>
      <c r="I25" s="231"/>
    </row>
    <row r="26" spans="1:13" ht="18.75" customHeight="1">
      <c r="A26" s="169"/>
      <c r="B26" s="87"/>
      <c r="D26" s="199"/>
      <c r="E26" s="200"/>
      <c r="F26" s="201"/>
      <c r="G26" s="202"/>
      <c r="H26" s="230"/>
      <c r="I26" s="231"/>
      <c r="M26" s="171"/>
    </row>
    <row r="27" spans="1:13" ht="13">
      <c r="A27" s="169"/>
      <c r="B27" s="204"/>
      <c r="C27" s="205"/>
      <c r="D27" s="196"/>
      <c r="E27" s="206"/>
      <c r="F27" s="206"/>
      <c r="G27" s="197"/>
      <c r="H27" s="230"/>
      <c r="I27" s="231"/>
    </row>
    <row r="28" spans="1:13" ht="13">
      <c r="A28" s="169"/>
      <c r="B28" s="204" t="s">
        <v>217</v>
      </c>
      <c r="C28" s="205"/>
      <c r="D28" s="196"/>
      <c r="E28" s="206"/>
      <c r="F28" s="206"/>
      <c r="G28" s="197"/>
      <c r="H28" s="230"/>
      <c r="I28" s="232">
        <f>SUM(I18:I27)</f>
        <v>31612200</v>
      </c>
    </row>
    <row r="29" spans="1:13" ht="13.5" thickBot="1">
      <c r="A29" s="169"/>
      <c r="B29" s="204"/>
      <c r="C29" s="205"/>
      <c r="D29" s="196"/>
      <c r="E29" s="206"/>
      <c r="F29" s="206"/>
      <c r="G29" s="197"/>
      <c r="H29" s="230"/>
      <c r="I29" s="231"/>
    </row>
    <row r="30" spans="1:13" ht="13.5" thickBot="1">
      <c r="A30" s="169"/>
      <c r="B30" s="993" t="s">
        <v>219</v>
      </c>
      <c r="C30" s="994"/>
      <c r="D30" s="291">
        <f>SUM(I31:I34)</f>
        <v>699190.93022796966</v>
      </c>
      <c r="E30" s="981">
        <f>+D30*100/'PRESUPUESTO ESTUFA'!G52</f>
        <v>0.16</v>
      </c>
      <c r="F30" s="981"/>
      <c r="G30" s="982"/>
      <c r="H30" s="237"/>
      <c r="I30" s="238"/>
    </row>
    <row r="31" spans="1:13" ht="12.75" customHeight="1">
      <c r="A31" s="169"/>
      <c r="B31" s="979" t="s">
        <v>222</v>
      </c>
      <c r="C31" s="980"/>
      <c r="D31" s="246"/>
      <c r="E31" s="247">
        <v>1</v>
      </c>
      <c r="F31" s="248"/>
      <c r="G31" s="275">
        <v>0.02</v>
      </c>
      <c r="H31" s="276">
        <f>+I11</f>
        <v>34959546.511398479</v>
      </c>
      <c r="I31" s="251">
        <f>G31*H31</f>
        <v>699190.93022796966</v>
      </c>
    </row>
    <row r="32" spans="1:13" ht="12.75" customHeight="1">
      <c r="A32" s="169"/>
      <c r="B32" s="979"/>
      <c r="C32" s="980"/>
      <c r="D32" s="129"/>
      <c r="E32" s="130"/>
      <c r="F32" s="242"/>
      <c r="G32" s="239"/>
      <c r="H32" s="240"/>
      <c r="I32" s="253">
        <f t="shared" ref="I32:I34" si="0">G32*H32</f>
        <v>0</v>
      </c>
    </row>
    <row r="33" spans="1:9" ht="12.75" customHeight="1">
      <c r="A33" s="169"/>
      <c r="B33" s="979"/>
      <c r="C33" s="980"/>
      <c r="D33" s="129"/>
      <c r="E33" s="130"/>
      <c r="F33" s="242"/>
      <c r="G33" s="239"/>
      <c r="H33" s="240"/>
      <c r="I33" s="253">
        <f t="shared" si="0"/>
        <v>0</v>
      </c>
    </row>
    <row r="34" spans="1:9" ht="12.75" customHeight="1" thickBot="1">
      <c r="A34" s="169"/>
      <c r="B34" s="995"/>
      <c r="C34" s="996"/>
      <c r="D34" s="254"/>
      <c r="E34" s="255"/>
      <c r="F34" s="256"/>
      <c r="G34" s="257"/>
      <c r="H34" s="258"/>
      <c r="I34" s="259">
        <f t="shared" si="0"/>
        <v>0</v>
      </c>
    </row>
    <row r="35" spans="1:9" ht="13.5" thickBot="1">
      <c r="A35" s="169"/>
      <c r="B35" s="987" t="s">
        <v>77</v>
      </c>
      <c r="C35" s="988"/>
      <c r="D35" s="291">
        <f>SUM(I36:K43)</f>
        <v>2779838.186045594</v>
      </c>
      <c r="E35" s="981">
        <f>+D35*100/'PRESUPUESTO ESTUFA'!G52</f>
        <v>0.63612682965192002</v>
      </c>
      <c r="F35" s="981"/>
      <c r="G35" s="982"/>
      <c r="H35" s="260"/>
      <c r="I35" s="261"/>
    </row>
    <row r="36" spans="1:9" ht="12.75" customHeight="1">
      <c r="A36" s="169"/>
      <c r="B36" s="244" t="s">
        <v>152</v>
      </c>
      <c r="C36" s="245"/>
      <c r="D36" s="246" t="s">
        <v>76</v>
      </c>
      <c r="E36" s="247">
        <v>1</v>
      </c>
      <c r="F36" s="248"/>
      <c r="G36" s="249">
        <v>4</v>
      </c>
      <c r="H36" s="250">
        <v>300000</v>
      </c>
      <c r="I36" s="251">
        <f>G36*H36</f>
        <v>1200000</v>
      </c>
    </row>
    <row r="37" spans="1:9" ht="12.75" customHeight="1">
      <c r="A37" s="169"/>
      <c r="B37" s="979" t="s">
        <v>78</v>
      </c>
      <c r="C37" s="980"/>
      <c r="D37" s="129" t="s">
        <v>76</v>
      </c>
      <c r="E37" s="130">
        <v>1</v>
      </c>
      <c r="F37" s="242"/>
      <c r="G37" s="239">
        <v>4</v>
      </c>
      <c r="H37" s="240">
        <v>125000</v>
      </c>
      <c r="I37" s="253">
        <f t="shared" ref="I37:I42" si="1">G37*H37</f>
        <v>500000</v>
      </c>
    </row>
    <row r="38" spans="1:9" ht="12.75" customHeight="1">
      <c r="A38" s="169"/>
      <c r="B38" s="979" t="s">
        <v>85</v>
      </c>
      <c r="C38" s="980"/>
      <c r="D38" s="129" t="s">
        <v>76</v>
      </c>
      <c r="E38" s="130">
        <v>1</v>
      </c>
      <c r="F38" s="242"/>
      <c r="G38" s="239">
        <v>4</v>
      </c>
      <c r="H38" s="240">
        <v>160000</v>
      </c>
      <c r="I38" s="253">
        <f t="shared" si="1"/>
        <v>640000</v>
      </c>
    </row>
    <row r="39" spans="1:9" ht="12.75" customHeight="1">
      <c r="A39" s="169"/>
      <c r="B39" s="979" t="s">
        <v>86</v>
      </c>
      <c r="C39" s="980"/>
      <c r="D39" s="129" t="s">
        <v>76</v>
      </c>
      <c r="E39" s="130">
        <v>1</v>
      </c>
      <c r="F39" s="242"/>
      <c r="G39" s="239">
        <v>1</v>
      </c>
      <c r="H39" s="243">
        <f>+I11*0.004</f>
        <v>139838.18604559393</v>
      </c>
      <c r="I39" s="253">
        <f t="shared" si="1"/>
        <v>139838.18604559393</v>
      </c>
    </row>
    <row r="40" spans="1:9" ht="12.75" hidden="1" customHeight="1">
      <c r="A40" s="169"/>
      <c r="B40" s="252" t="s">
        <v>154</v>
      </c>
      <c r="C40" s="241"/>
      <c r="D40" s="129"/>
      <c r="E40" s="130"/>
      <c r="F40" s="242"/>
      <c r="G40" s="239"/>
      <c r="H40" s="240"/>
      <c r="I40" s="253">
        <f t="shared" si="1"/>
        <v>0</v>
      </c>
    </row>
    <row r="41" spans="1:9" ht="12.75" customHeight="1">
      <c r="A41" s="169"/>
      <c r="B41" s="979" t="s">
        <v>153</v>
      </c>
      <c r="C41" s="980"/>
      <c r="D41" s="129" t="s">
        <v>76</v>
      </c>
      <c r="E41" s="130">
        <v>1</v>
      </c>
      <c r="F41" s="242"/>
      <c r="G41" s="239">
        <v>4</v>
      </c>
      <c r="H41" s="240">
        <v>75000</v>
      </c>
      <c r="I41" s="253">
        <f t="shared" si="1"/>
        <v>300000</v>
      </c>
    </row>
    <row r="42" spans="1:9" hidden="1">
      <c r="A42" s="169"/>
      <c r="B42" s="252"/>
      <c r="C42" s="241"/>
      <c r="D42" s="129"/>
      <c r="E42" s="130"/>
      <c r="F42" s="242"/>
      <c r="G42" s="239"/>
      <c r="H42" s="240"/>
      <c r="I42" s="253">
        <f t="shared" si="1"/>
        <v>0</v>
      </c>
    </row>
    <row r="43" spans="1:9" ht="13" thickBot="1">
      <c r="A43" s="169"/>
      <c r="B43" s="262"/>
      <c r="C43" s="263"/>
      <c r="D43" s="264"/>
      <c r="E43" s="265"/>
      <c r="F43" s="266"/>
      <c r="G43" s="267"/>
      <c r="H43" s="268"/>
      <c r="I43" s="269"/>
    </row>
    <row r="44" spans="1:9" ht="13.5" thickBot="1">
      <c r="A44" s="169"/>
      <c r="B44" s="277" t="s">
        <v>87</v>
      </c>
      <c r="C44" s="278"/>
      <c r="D44" s="291">
        <f>SUM(I45:I49)</f>
        <v>2447168</v>
      </c>
      <c r="E44" s="997">
        <f>+D44*100/'PRESUPUESTO ESTUFA'!G52</f>
        <v>0.55999994146425369</v>
      </c>
      <c r="F44" s="998"/>
      <c r="G44" s="999"/>
      <c r="H44" s="746"/>
      <c r="I44" s="280"/>
    </row>
    <row r="45" spans="1:9">
      <c r="A45" s="169"/>
      <c r="B45" s="281" t="s">
        <v>89</v>
      </c>
      <c r="C45" s="128"/>
      <c r="D45" s="128"/>
      <c r="E45" s="747">
        <v>1</v>
      </c>
      <c r="F45" s="747"/>
      <c r="G45" s="748">
        <v>0.04</v>
      </c>
      <c r="H45" s="276">
        <f>+'PRESUPUESTO ESTUFA'!G53</f>
        <v>34959546.511398479</v>
      </c>
      <c r="I45" s="231">
        <f t="shared" ref="I45:I48" si="2">ROUND(H45*G45,0)</f>
        <v>1398382</v>
      </c>
    </row>
    <row r="46" spans="1:9">
      <c r="A46" s="169"/>
      <c r="B46" s="281" t="s">
        <v>90</v>
      </c>
      <c r="C46" s="128"/>
      <c r="D46" s="128"/>
      <c r="E46" s="274">
        <v>1</v>
      </c>
      <c r="F46" s="274"/>
      <c r="G46" s="275">
        <v>0.01</v>
      </c>
      <c r="H46" s="276">
        <f>H45</f>
        <v>34959546.511398479</v>
      </c>
      <c r="I46" s="231">
        <f t="shared" si="2"/>
        <v>349595</v>
      </c>
    </row>
    <row r="47" spans="1:9">
      <c r="A47" s="169"/>
      <c r="B47" s="281" t="s">
        <v>221</v>
      </c>
      <c r="C47" s="128"/>
      <c r="D47" s="128"/>
      <c r="E47" s="274">
        <v>1</v>
      </c>
      <c r="F47" s="274"/>
      <c r="G47" s="275">
        <v>0.02</v>
      </c>
      <c r="H47" s="276">
        <f>H46</f>
        <v>34959546.511398479</v>
      </c>
      <c r="I47" s="231">
        <f t="shared" si="2"/>
        <v>699191</v>
      </c>
    </row>
    <row r="48" spans="1:9">
      <c r="A48" s="169"/>
      <c r="B48" s="281" t="s">
        <v>220</v>
      </c>
      <c r="C48" s="128"/>
      <c r="D48" s="128"/>
      <c r="E48" s="274">
        <v>1</v>
      </c>
      <c r="F48" s="274"/>
      <c r="G48" s="275">
        <v>0</v>
      </c>
      <c r="H48" s="276">
        <f>H45</f>
        <v>34959546.511398479</v>
      </c>
      <c r="I48" s="231">
        <f t="shared" si="2"/>
        <v>0</v>
      </c>
    </row>
    <row r="49" spans="1:9" ht="13" thickBot="1">
      <c r="A49" s="169"/>
      <c r="B49" s="282" t="s">
        <v>88</v>
      </c>
      <c r="C49" s="283"/>
      <c r="D49" s="283"/>
      <c r="E49" s="284">
        <v>1</v>
      </c>
      <c r="F49" s="284"/>
      <c r="G49" s="285">
        <v>0.01</v>
      </c>
      <c r="H49" s="286">
        <f>+I10</f>
        <v>0</v>
      </c>
      <c r="I49" s="233">
        <f>ROUND(H49*G49,0)</f>
        <v>0</v>
      </c>
    </row>
    <row r="50" spans="1:9" ht="13">
      <c r="A50" s="184"/>
      <c r="B50" s="270"/>
      <c r="C50" s="271"/>
      <c r="D50" s="271"/>
      <c r="E50" s="272"/>
      <c r="F50" s="272"/>
      <c r="G50" s="273"/>
      <c r="H50" s="225"/>
      <c r="I50" s="225">
        <f>SUM(I28:I49)</f>
        <v>37538397.11627356</v>
      </c>
    </row>
    <row r="51" spans="1:9" ht="13">
      <c r="A51" s="169"/>
      <c r="B51" s="87"/>
      <c r="G51" s="211"/>
      <c r="H51" s="225"/>
      <c r="I51" s="234"/>
    </row>
    <row r="52" spans="1:9" ht="13">
      <c r="A52" s="184"/>
      <c r="B52" s="207"/>
      <c r="C52" s="208"/>
      <c r="D52" s="212"/>
      <c r="E52" s="209"/>
      <c r="F52" s="209"/>
      <c r="G52" s="210"/>
      <c r="H52" s="225"/>
      <c r="I52" s="234"/>
    </row>
    <row r="53" spans="1:9" ht="9.75" customHeight="1">
      <c r="A53" s="169"/>
      <c r="B53" s="87"/>
      <c r="G53" s="211"/>
      <c r="H53" s="225"/>
      <c r="I53" s="234"/>
    </row>
    <row r="54" spans="1:9" ht="15" customHeight="1">
      <c r="A54" s="169"/>
      <c r="B54" s="87"/>
      <c r="G54" s="213"/>
      <c r="H54" s="225"/>
      <c r="I54" s="234"/>
    </row>
    <row r="55" spans="1:9" ht="6.75" customHeight="1">
      <c r="A55" s="169"/>
      <c r="B55" s="87"/>
      <c r="G55" s="211"/>
      <c r="H55" s="225"/>
      <c r="I55" s="234"/>
    </row>
    <row r="56" spans="1:9" ht="18">
      <c r="A56" s="169"/>
      <c r="B56" s="214" t="s">
        <v>94</v>
      </c>
      <c r="C56" s="215"/>
      <c r="D56" s="215"/>
      <c r="E56" s="215"/>
      <c r="F56" s="215"/>
      <c r="G56" s="294">
        <f>+G52+E44+E35+E30+E17</f>
        <v>8.5901336515413345</v>
      </c>
      <c r="H56" s="225"/>
      <c r="I56" s="234"/>
    </row>
    <row r="57" spans="1:9" ht="13" thickBot="1">
      <c r="A57" s="216"/>
      <c r="B57" s="217"/>
      <c r="C57" s="218"/>
      <c r="D57" s="218"/>
      <c r="E57" s="218"/>
      <c r="F57" s="218"/>
      <c r="G57" s="219"/>
      <c r="H57" s="235"/>
      <c r="I57" s="235"/>
    </row>
    <row r="58" spans="1:9" ht="13">
      <c r="B58" s="220"/>
      <c r="I58" s="236"/>
    </row>
  </sheetData>
  <protectedRanges>
    <protectedRange password="C9FD" sqref="E36:E41" name="Rango1"/>
  </protectedRanges>
  <mergeCells count="20">
    <mergeCell ref="B30:C30"/>
    <mergeCell ref="E30:G30"/>
    <mergeCell ref="B31:C31"/>
    <mergeCell ref="B32:C32"/>
    <mergeCell ref="C8:I9"/>
    <mergeCell ref="B15:C15"/>
    <mergeCell ref="E17:G17"/>
    <mergeCell ref="B19:C19"/>
    <mergeCell ref="E19:G19"/>
    <mergeCell ref="B21:C21"/>
    <mergeCell ref="E21:G21"/>
    <mergeCell ref="B38:C38"/>
    <mergeCell ref="B39:C39"/>
    <mergeCell ref="B41:C41"/>
    <mergeCell ref="E44:G44"/>
    <mergeCell ref="B33:C33"/>
    <mergeCell ref="B34:C34"/>
    <mergeCell ref="B35:C35"/>
    <mergeCell ref="E35:G35"/>
    <mergeCell ref="B37:C37"/>
  </mergeCells>
  <dataValidations disablePrompts="1" count="3">
    <dataValidation type="whole" allowBlank="1" showInputMessage="1" showErrorMessage="1" errorTitle="EDU" error="Utilice Números Enteros" promptTitle="EDU" prompt="Utilice Números Enteros" sqref="D11 D13" xr:uid="{00000000-0002-0000-0500-000000000000}">
      <formula1>1</formula1>
      <formula2>900000000</formula2>
    </dataValidation>
    <dataValidation allowBlank="1" showInputMessage="1" showErrorMessage="1" errorTitle="EDU" error="Utilice dos cifras decimales" promptTitle="EDU" prompt="Utilice dos cifras decimales" sqref="G19" xr:uid="{00000000-0002-0000-0500-000001000000}"/>
    <dataValidation type="whole" allowBlank="1" showInputMessage="1" showErrorMessage="1" errorTitle="EDU" error="Utilice Números Enteros" promptTitle="EDU" prompt="Utilice Números Enteros" sqref="D8:D9 D15:D17 D12 E23:E26 E28:E30" xr:uid="{00000000-0002-0000-0500-000002000000}">
      <formula1>1</formula1>
      <formula2>999999999</formula2>
    </dataValidation>
  </dataValidations>
  <pageMargins left="0.70866141732283472" right="0.70866141732283472" top="0.74803149606299213" bottom="0.74803149606299213" header="0.31496062992125984" footer="0.31496062992125984"/>
  <pageSetup scale="6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0"/>
  </sheetPr>
  <dimension ref="A1:C75"/>
  <sheetViews>
    <sheetView view="pageBreakPreview" topLeftCell="A28" zoomScale="133" zoomScaleNormal="100" workbookViewId="0">
      <selection activeCell="C37" sqref="C37"/>
    </sheetView>
  </sheetViews>
  <sheetFormatPr baseColWidth="10" defaultColWidth="11.453125" defaultRowHeight="15"/>
  <cols>
    <col min="1" max="1" width="12.453125" style="95" customWidth="1"/>
    <col min="2" max="2" width="54.453125" style="90" customWidth="1"/>
    <col min="3" max="3" width="12.81640625" style="92" customWidth="1"/>
    <col min="4" max="256" width="11.453125" style="90"/>
    <col min="257" max="257" width="12.453125" style="90" customWidth="1"/>
    <col min="258" max="258" width="75.453125" style="90" customWidth="1"/>
    <col min="259" max="259" width="12.81640625" style="90" customWidth="1"/>
    <col min="260" max="512" width="11.453125" style="90"/>
    <col min="513" max="513" width="12.453125" style="90" customWidth="1"/>
    <col min="514" max="514" width="75.453125" style="90" customWidth="1"/>
    <col min="515" max="515" width="12.81640625" style="90" customWidth="1"/>
    <col min="516" max="768" width="11.453125" style="90"/>
    <col min="769" max="769" width="12.453125" style="90" customWidth="1"/>
    <col min="770" max="770" width="75.453125" style="90" customWidth="1"/>
    <col min="771" max="771" width="12.81640625" style="90" customWidth="1"/>
    <col min="772" max="1024" width="11.453125" style="90"/>
    <col min="1025" max="1025" width="12.453125" style="90" customWidth="1"/>
    <col min="1026" max="1026" width="75.453125" style="90" customWidth="1"/>
    <col min="1027" max="1027" width="12.81640625" style="90" customWidth="1"/>
    <col min="1028" max="1280" width="11.453125" style="90"/>
    <col min="1281" max="1281" width="12.453125" style="90" customWidth="1"/>
    <col min="1282" max="1282" width="75.453125" style="90" customWidth="1"/>
    <col min="1283" max="1283" width="12.81640625" style="90" customWidth="1"/>
    <col min="1284" max="1536" width="11.453125" style="90"/>
    <col min="1537" max="1537" width="12.453125" style="90" customWidth="1"/>
    <col min="1538" max="1538" width="75.453125" style="90" customWidth="1"/>
    <col min="1539" max="1539" width="12.81640625" style="90" customWidth="1"/>
    <col min="1540" max="1792" width="11.453125" style="90"/>
    <col min="1793" max="1793" width="12.453125" style="90" customWidth="1"/>
    <col min="1794" max="1794" width="75.453125" style="90" customWidth="1"/>
    <col min="1795" max="1795" width="12.81640625" style="90" customWidth="1"/>
    <col min="1796" max="2048" width="11.453125" style="90"/>
    <col min="2049" max="2049" width="12.453125" style="90" customWidth="1"/>
    <col min="2050" max="2050" width="75.453125" style="90" customWidth="1"/>
    <col min="2051" max="2051" width="12.81640625" style="90" customWidth="1"/>
    <col min="2052" max="2304" width="11.453125" style="90"/>
    <col min="2305" max="2305" width="12.453125" style="90" customWidth="1"/>
    <col min="2306" max="2306" width="75.453125" style="90" customWidth="1"/>
    <col min="2307" max="2307" width="12.81640625" style="90" customWidth="1"/>
    <col min="2308" max="2560" width="11.453125" style="90"/>
    <col min="2561" max="2561" width="12.453125" style="90" customWidth="1"/>
    <col min="2562" max="2562" width="75.453125" style="90" customWidth="1"/>
    <col min="2563" max="2563" width="12.81640625" style="90" customWidth="1"/>
    <col min="2564" max="2816" width="11.453125" style="90"/>
    <col min="2817" max="2817" width="12.453125" style="90" customWidth="1"/>
    <col min="2818" max="2818" width="75.453125" style="90" customWidth="1"/>
    <col min="2819" max="2819" width="12.81640625" style="90" customWidth="1"/>
    <col min="2820" max="3072" width="11.453125" style="90"/>
    <col min="3073" max="3073" width="12.453125" style="90" customWidth="1"/>
    <col min="3074" max="3074" width="75.453125" style="90" customWidth="1"/>
    <col min="3075" max="3075" width="12.81640625" style="90" customWidth="1"/>
    <col min="3076" max="3328" width="11.453125" style="90"/>
    <col min="3329" max="3329" width="12.453125" style="90" customWidth="1"/>
    <col min="3330" max="3330" width="75.453125" style="90" customWidth="1"/>
    <col min="3331" max="3331" width="12.81640625" style="90" customWidth="1"/>
    <col min="3332" max="3584" width="11.453125" style="90"/>
    <col min="3585" max="3585" width="12.453125" style="90" customWidth="1"/>
    <col min="3586" max="3586" width="75.453125" style="90" customWidth="1"/>
    <col min="3587" max="3587" width="12.81640625" style="90" customWidth="1"/>
    <col min="3588" max="3840" width="11.453125" style="90"/>
    <col min="3841" max="3841" width="12.453125" style="90" customWidth="1"/>
    <col min="3842" max="3842" width="75.453125" style="90" customWidth="1"/>
    <col min="3843" max="3843" width="12.81640625" style="90" customWidth="1"/>
    <col min="3844" max="4096" width="11.453125" style="90"/>
    <col min="4097" max="4097" width="12.453125" style="90" customWidth="1"/>
    <col min="4098" max="4098" width="75.453125" style="90" customWidth="1"/>
    <col min="4099" max="4099" width="12.81640625" style="90" customWidth="1"/>
    <col min="4100" max="4352" width="11.453125" style="90"/>
    <col min="4353" max="4353" width="12.453125" style="90" customWidth="1"/>
    <col min="4354" max="4354" width="75.453125" style="90" customWidth="1"/>
    <col min="4355" max="4355" width="12.81640625" style="90" customWidth="1"/>
    <col min="4356" max="4608" width="11.453125" style="90"/>
    <col min="4609" max="4609" width="12.453125" style="90" customWidth="1"/>
    <col min="4610" max="4610" width="75.453125" style="90" customWidth="1"/>
    <col min="4611" max="4611" width="12.81640625" style="90" customWidth="1"/>
    <col min="4612" max="4864" width="11.453125" style="90"/>
    <col min="4865" max="4865" width="12.453125" style="90" customWidth="1"/>
    <col min="4866" max="4866" width="75.453125" style="90" customWidth="1"/>
    <col min="4867" max="4867" width="12.81640625" style="90" customWidth="1"/>
    <col min="4868" max="5120" width="11.453125" style="90"/>
    <col min="5121" max="5121" width="12.453125" style="90" customWidth="1"/>
    <col min="5122" max="5122" width="75.453125" style="90" customWidth="1"/>
    <col min="5123" max="5123" width="12.81640625" style="90" customWidth="1"/>
    <col min="5124" max="5376" width="11.453125" style="90"/>
    <col min="5377" max="5377" width="12.453125" style="90" customWidth="1"/>
    <col min="5378" max="5378" width="75.453125" style="90" customWidth="1"/>
    <col min="5379" max="5379" width="12.81640625" style="90" customWidth="1"/>
    <col min="5380" max="5632" width="11.453125" style="90"/>
    <col min="5633" max="5633" width="12.453125" style="90" customWidth="1"/>
    <col min="5634" max="5634" width="75.453125" style="90" customWidth="1"/>
    <col min="5635" max="5635" width="12.81640625" style="90" customWidth="1"/>
    <col min="5636" max="5888" width="11.453125" style="90"/>
    <col min="5889" max="5889" width="12.453125" style="90" customWidth="1"/>
    <col min="5890" max="5890" width="75.453125" style="90" customWidth="1"/>
    <col min="5891" max="5891" width="12.81640625" style="90" customWidth="1"/>
    <col min="5892" max="6144" width="11.453125" style="90"/>
    <col min="6145" max="6145" width="12.453125" style="90" customWidth="1"/>
    <col min="6146" max="6146" width="75.453125" style="90" customWidth="1"/>
    <col min="6147" max="6147" width="12.81640625" style="90" customWidth="1"/>
    <col min="6148" max="6400" width="11.453125" style="90"/>
    <col min="6401" max="6401" width="12.453125" style="90" customWidth="1"/>
    <col min="6402" max="6402" width="75.453125" style="90" customWidth="1"/>
    <col min="6403" max="6403" width="12.81640625" style="90" customWidth="1"/>
    <col min="6404" max="6656" width="11.453125" style="90"/>
    <col min="6657" max="6657" width="12.453125" style="90" customWidth="1"/>
    <col min="6658" max="6658" width="75.453125" style="90" customWidth="1"/>
    <col min="6659" max="6659" width="12.81640625" style="90" customWidth="1"/>
    <col min="6660" max="6912" width="11.453125" style="90"/>
    <col min="6913" max="6913" width="12.453125" style="90" customWidth="1"/>
    <col min="6914" max="6914" width="75.453125" style="90" customWidth="1"/>
    <col min="6915" max="6915" width="12.81640625" style="90" customWidth="1"/>
    <col min="6916" max="7168" width="11.453125" style="90"/>
    <col min="7169" max="7169" width="12.453125" style="90" customWidth="1"/>
    <col min="7170" max="7170" width="75.453125" style="90" customWidth="1"/>
    <col min="7171" max="7171" width="12.81640625" style="90" customWidth="1"/>
    <col min="7172" max="7424" width="11.453125" style="90"/>
    <col min="7425" max="7425" width="12.453125" style="90" customWidth="1"/>
    <col min="7426" max="7426" width="75.453125" style="90" customWidth="1"/>
    <col min="7427" max="7427" width="12.81640625" style="90" customWidth="1"/>
    <col min="7428" max="7680" width="11.453125" style="90"/>
    <col min="7681" max="7681" width="12.453125" style="90" customWidth="1"/>
    <col min="7682" max="7682" width="75.453125" style="90" customWidth="1"/>
    <col min="7683" max="7683" width="12.81640625" style="90" customWidth="1"/>
    <col min="7684" max="7936" width="11.453125" style="90"/>
    <col min="7937" max="7937" width="12.453125" style="90" customWidth="1"/>
    <col min="7938" max="7938" width="75.453125" style="90" customWidth="1"/>
    <col min="7939" max="7939" width="12.81640625" style="90" customWidth="1"/>
    <col min="7940" max="8192" width="11.453125" style="90"/>
    <col min="8193" max="8193" width="12.453125" style="90" customWidth="1"/>
    <col min="8194" max="8194" width="75.453125" style="90" customWidth="1"/>
    <col min="8195" max="8195" width="12.81640625" style="90" customWidth="1"/>
    <col min="8196" max="8448" width="11.453125" style="90"/>
    <col min="8449" max="8449" width="12.453125" style="90" customWidth="1"/>
    <col min="8450" max="8450" width="75.453125" style="90" customWidth="1"/>
    <col min="8451" max="8451" width="12.81640625" style="90" customWidth="1"/>
    <col min="8452" max="8704" width="11.453125" style="90"/>
    <col min="8705" max="8705" width="12.453125" style="90" customWidth="1"/>
    <col min="8706" max="8706" width="75.453125" style="90" customWidth="1"/>
    <col min="8707" max="8707" width="12.81640625" style="90" customWidth="1"/>
    <col min="8708" max="8960" width="11.453125" style="90"/>
    <col min="8961" max="8961" width="12.453125" style="90" customWidth="1"/>
    <col min="8962" max="8962" width="75.453125" style="90" customWidth="1"/>
    <col min="8963" max="8963" width="12.81640625" style="90" customWidth="1"/>
    <col min="8964" max="9216" width="11.453125" style="90"/>
    <col min="9217" max="9217" width="12.453125" style="90" customWidth="1"/>
    <col min="9218" max="9218" width="75.453125" style="90" customWidth="1"/>
    <col min="9219" max="9219" width="12.81640625" style="90" customWidth="1"/>
    <col min="9220" max="9472" width="11.453125" style="90"/>
    <col min="9473" max="9473" width="12.453125" style="90" customWidth="1"/>
    <col min="9474" max="9474" width="75.453125" style="90" customWidth="1"/>
    <col min="9475" max="9475" width="12.81640625" style="90" customWidth="1"/>
    <col min="9476" max="9728" width="11.453125" style="90"/>
    <col min="9729" max="9729" width="12.453125" style="90" customWidth="1"/>
    <col min="9730" max="9730" width="75.453125" style="90" customWidth="1"/>
    <col min="9731" max="9731" width="12.81640625" style="90" customWidth="1"/>
    <col min="9732" max="9984" width="11.453125" style="90"/>
    <col min="9985" max="9985" width="12.453125" style="90" customWidth="1"/>
    <col min="9986" max="9986" width="75.453125" style="90" customWidth="1"/>
    <col min="9987" max="9987" width="12.81640625" style="90" customWidth="1"/>
    <col min="9988" max="10240" width="11.453125" style="90"/>
    <col min="10241" max="10241" width="12.453125" style="90" customWidth="1"/>
    <col min="10242" max="10242" width="75.453125" style="90" customWidth="1"/>
    <col min="10243" max="10243" width="12.81640625" style="90" customWidth="1"/>
    <col min="10244" max="10496" width="11.453125" style="90"/>
    <col min="10497" max="10497" width="12.453125" style="90" customWidth="1"/>
    <col min="10498" max="10498" width="75.453125" style="90" customWidth="1"/>
    <col min="10499" max="10499" width="12.81640625" style="90" customWidth="1"/>
    <col min="10500" max="10752" width="11.453125" style="90"/>
    <col min="10753" max="10753" width="12.453125" style="90" customWidth="1"/>
    <col min="10754" max="10754" width="75.453125" style="90" customWidth="1"/>
    <col min="10755" max="10755" width="12.81640625" style="90" customWidth="1"/>
    <col min="10756" max="11008" width="11.453125" style="90"/>
    <col min="11009" max="11009" width="12.453125" style="90" customWidth="1"/>
    <col min="11010" max="11010" width="75.453125" style="90" customWidth="1"/>
    <col min="11011" max="11011" width="12.81640625" style="90" customWidth="1"/>
    <col min="11012" max="11264" width="11.453125" style="90"/>
    <col min="11265" max="11265" width="12.453125" style="90" customWidth="1"/>
    <col min="11266" max="11266" width="75.453125" style="90" customWidth="1"/>
    <col min="11267" max="11267" width="12.81640625" style="90" customWidth="1"/>
    <col min="11268" max="11520" width="11.453125" style="90"/>
    <col min="11521" max="11521" width="12.453125" style="90" customWidth="1"/>
    <col min="11522" max="11522" width="75.453125" style="90" customWidth="1"/>
    <col min="11523" max="11523" width="12.81640625" style="90" customWidth="1"/>
    <col min="11524" max="11776" width="11.453125" style="90"/>
    <col min="11777" max="11777" width="12.453125" style="90" customWidth="1"/>
    <col min="11778" max="11778" width="75.453125" style="90" customWidth="1"/>
    <col min="11779" max="11779" width="12.81640625" style="90" customWidth="1"/>
    <col min="11780" max="12032" width="11.453125" style="90"/>
    <col min="12033" max="12033" width="12.453125" style="90" customWidth="1"/>
    <col min="12034" max="12034" width="75.453125" style="90" customWidth="1"/>
    <col min="12035" max="12035" width="12.81640625" style="90" customWidth="1"/>
    <col min="12036" max="12288" width="11.453125" style="90"/>
    <col min="12289" max="12289" width="12.453125" style="90" customWidth="1"/>
    <col min="12290" max="12290" width="75.453125" style="90" customWidth="1"/>
    <col min="12291" max="12291" width="12.81640625" style="90" customWidth="1"/>
    <col min="12292" max="12544" width="11.453125" style="90"/>
    <col min="12545" max="12545" width="12.453125" style="90" customWidth="1"/>
    <col min="12546" max="12546" width="75.453125" style="90" customWidth="1"/>
    <col min="12547" max="12547" width="12.81640625" style="90" customWidth="1"/>
    <col min="12548" max="12800" width="11.453125" style="90"/>
    <col min="12801" max="12801" width="12.453125" style="90" customWidth="1"/>
    <col min="12802" max="12802" width="75.453125" style="90" customWidth="1"/>
    <col min="12803" max="12803" width="12.81640625" style="90" customWidth="1"/>
    <col min="12804" max="13056" width="11.453125" style="90"/>
    <col min="13057" max="13057" width="12.453125" style="90" customWidth="1"/>
    <col min="13058" max="13058" width="75.453125" style="90" customWidth="1"/>
    <col min="13059" max="13059" width="12.81640625" style="90" customWidth="1"/>
    <col min="13060" max="13312" width="11.453125" style="90"/>
    <col min="13313" max="13313" width="12.453125" style="90" customWidth="1"/>
    <col min="13314" max="13314" width="75.453125" style="90" customWidth="1"/>
    <col min="13315" max="13315" width="12.81640625" style="90" customWidth="1"/>
    <col min="13316" max="13568" width="11.453125" style="90"/>
    <col min="13569" max="13569" width="12.453125" style="90" customWidth="1"/>
    <col min="13570" max="13570" width="75.453125" style="90" customWidth="1"/>
    <col min="13571" max="13571" width="12.81640625" style="90" customWidth="1"/>
    <col min="13572" max="13824" width="11.453125" style="90"/>
    <col min="13825" max="13825" width="12.453125" style="90" customWidth="1"/>
    <col min="13826" max="13826" width="75.453125" style="90" customWidth="1"/>
    <col min="13827" max="13827" width="12.81640625" style="90" customWidth="1"/>
    <col min="13828" max="14080" width="11.453125" style="90"/>
    <col min="14081" max="14081" width="12.453125" style="90" customWidth="1"/>
    <col min="14082" max="14082" width="75.453125" style="90" customWidth="1"/>
    <col min="14083" max="14083" width="12.81640625" style="90" customWidth="1"/>
    <col min="14084" max="14336" width="11.453125" style="90"/>
    <col min="14337" max="14337" width="12.453125" style="90" customWidth="1"/>
    <col min="14338" max="14338" width="75.453125" style="90" customWidth="1"/>
    <col min="14339" max="14339" width="12.81640625" style="90" customWidth="1"/>
    <col min="14340" max="14592" width="11.453125" style="90"/>
    <col min="14593" max="14593" width="12.453125" style="90" customWidth="1"/>
    <col min="14594" max="14594" width="75.453125" style="90" customWidth="1"/>
    <col min="14595" max="14595" width="12.81640625" style="90" customWidth="1"/>
    <col min="14596" max="14848" width="11.453125" style="90"/>
    <col min="14849" max="14849" width="12.453125" style="90" customWidth="1"/>
    <col min="14850" max="14850" width="75.453125" style="90" customWidth="1"/>
    <col min="14851" max="14851" width="12.81640625" style="90" customWidth="1"/>
    <col min="14852" max="15104" width="11.453125" style="90"/>
    <col min="15105" max="15105" width="12.453125" style="90" customWidth="1"/>
    <col min="15106" max="15106" width="75.453125" style="90" customWidth="1"/>
    <col min="15107" max="15107" width="12.81640625" style="90" customWidth="1"/>
    <col min="15108" max="15360" width="11.453125" style="90"/>
    <col min="15361" max="15361" width="12.453125" style="90" customWidth="1"/>
    <col min="15362" max="15362" width="75.453125" style="90" customWidth="1"/>
    <col min="15363" max="15363" width="12.81640625" style="90" customWidth="1"/>
    <col min="15364" max="15616" width="11.453125" style="90"/>
    <col min="15617" max="15617" width="12.453125" style="90" customWidth="1"/>
    <col min="15618" max="15618" width="75.453125" style="90" customWidth="1"/>
    <col min="15619" max="15619" width="12.81640625" style="90" customWidth="1"/>
    <col min="15620" max="15872" width="11.453125" style="90"/>
    <col min="15873" max="15873" width="12.453125" style="90" customWidth="1"/>
    <col min="15874" max="15874" width="75.453125" style="90" customWidth="1"/>
    <col min="15875" max="15875" width="12.81640625" style="90" customWidth="1"/>
    <col min="15876" max="16128" width="11.453125" style="90"/>
    <col min="16129" max="16129" width="12.453125" style="90" customWidth="1"/>
    <col min="16130" max="16130" width="75.453125" style="90" customWidth="1"/>
    <col min="16131" max="16131" width="12.81640625" style="90" customWidth="1"/>
    <col min="16132" max="16384" width="11.453125" style="90"/>
  </cols>
  <sheetData>
    <row r="1" spans="1:3" ht="15" customHeight="1">
      <c r="A1" s="97"/>
      <c r="B1" s="98" t="s">
        <v>96</v>
      </c>
      <c r="C1" s="99"/>
    </row>
    <row r="2" spans="1:3" ht="15" customHeight="1">
      <c r="A2" s="97"/>
      <c r="B2" s="100"/>
      <c r="C2" s="99"/>
    </row>
    <row r="3" spans="1:3" ht="15.5">
      <c r="A3" s="101">
        <v>1</v>
      </c>
      <c r="B3" s="101" t="s">
        <v>97</v>
      </c>
      <c r="C3" s="103">
        <f>+ROUND((100%),2)</f>
        <v>1</v>
      </c>
    </row>
    <row r="4" spans="1:3" ht="20.149999999999999" customHeight="1">
      <c r="A4" s="101">
        <v>2</v>
      </c>
      <c r="B4" s="101" t="s">
        <v>98</v>
      </c>
      <c r="C4" s="104"/>
    </row>
    <row r="5" spans="1:3" ht="15" customHeight="1">
      <c r="A5" s="101" t="s">
        <v>99</v>
      </c>
      <c r="B5" s="102" t="s">
        <v>100</v>
      </c>
      <c r="C5" s="105">
        <v>8.5000000000000006E-2</v>
      </c>
    </row>
    <row r="6" spans="1:3" ht="15" customHeight="1">
      <c r="A6" s="101" t="s">
        <v>101</v>
      </c>
      <c r="B6" s="102" t="s">
        <v>102</v>
      </c>
      <c r="C6" s="105">
        <v>8.3299999999999999E-2</v>
      </c>
    </row>
    <row r="7" spans="1:3" ht="15" customHeight="1">
      <c r="A7" s="101" t="s">
        <v>103</v>
      </c>
      <c r="B7" s="102" t="s">
        <v>104</v>
      </c>
      <c r="C7" s="105">
        <v>0.01</v>
      </c>
    </row>
    <row r="8" spans="1:3" ht="15" customHeight="1">
      <c r="A8" s="101" t="s">
        <v>105</v>
      </c>
      <c r="B8" s="102" t="s">
        <v>106</v>
      </c>
      <c r="C8" s="105">
        <v>0.08</v>
      </c>
    </row>
    <row r="9" spans="1:3" ht="15" customHeight="1">
      <c r="A9" s="101" t="s">
        <v>107</v>
      </c>
      <c r="B9" s="102" t="s">
        <v>108</v>
      </c>
      <c r="C9" s="105">
        <v>0.11600000000000001</v>
      </c>
    </row>
    <row r="10" spans="1:3" ht="15" customHeight="1">
      <c r="A10" s="101" t="s">
        <v>109</v>
      </c>
      <c r="B10" s="102" t="s">
        <v>110</v>
      </c>
      <c r="C10" s="105">
        <f>2%</f>
        <v>0.02</v>
      </c>
    </row>
    <row r="11" spans="1:3" ht="15" customHeight="1">
      <c r="A11" s="101" t="s">
        <v>111</v>
      </c>
      <c r="B11" s="102" t="s">
        <v>112</v>
      </c>
      <c r="C11" s="105">
        <f>3%</f>
        <v>0.03</v>
      </c>
    </row>
    <row r="12" spans="1:3" ht="15" customHeight="1">
      <c r="A12" s="101" t="s">
        <v>113</v>
      </c>
      <c r="B12" s="102" t="s">
        <v>115</v>
      </c>
      <c r="C12" s="105">
        <v>4.1700000000000001E-2</v>
      </c>
    </row>
    <row r="13" spans="1:3" ht="15" customHeight="1">
      <c r="A13" s="101" t="s">
        <v>114</v>
      </c>
      <c r="B13" s="102" t="s">
        <v>116</v>
      </c>
      <c r="C13" s="105">
        <v>0.04</v>
      </c>
    </row>
    <row r="14" spans="1:3" ht="15" customHeight="1">
      <c r="A14" s="101"/>
      <c r="B14" s="102"/>
      <c r="C14" s="105"/>
    </row>
    <row r="15" spans="1:3" ht="15" customHeight="1">
      <c r="A15" s="101"/>
      <c r="B15" s="102"/>
      <c r="C15" s="105"/>
    </row>
    <row r="16" spans="1:3" ht="15.5">
      <c r="A16" s="101"/>
      <c r="B16" s="101" t="s">
        <v>117</v>
      </c>
      <c r="C16" s="103">
        <f>ROUND((SUM(C5:C15)),3)</f>
        <v>0.50600000000000001</v>
      </c>
    </row>
    <row r="17" spans="1:3" ht="20.149999999999999" customHeight="1">
      <c r="A17" s="101">
        <v>3</v>
      </c>
      <c r="B17" s="101" t="s">
        <v>118</v>
      </c>
      <c r="C17" s="104"/>
    </row>
    <row r="18" spans="1:3" ht="15" customHeight="1">
      <c r="A18" s="101"/>
      <c r="B18" s="102" t="s">
        <v>119</v>
      </c>
      <c r="C18" s="106"/>
    </row>
    <row r="19" spans="1:3" ht="15" customHeight="1">
      <c r="A19" s="101" t="s">
        <v>120</v>
      </c>
      <c r="B19" s="102" t="s">
        <v>121</v>
      </c>
      <c r="C19" s="105">
        <v>0.01</v>
      </c>
    </row>
    <row r="20" spans="1:3" ht="15" customHeight="1">
      <c r="A20" s="101" t="s">
        <v>122</v>
      </c>
      <c r="B20" s="102" t="s">
        <v>123</v>
      </c>
      <c r="C20" s="105">
        <v>0.01</v>
      </c>
    </row>
    <row r="21" spans="1:3" ht="15" customHeight="1">
      <c r="A21" s="101" t="s">
        <v>124</v>
      </c>
      <c r="B21" s="102" t="s">
        <v>125</v>
      </c>
      <c r="C21" s="105">
        <v>0.01</v>
      </c>
    </row>
    <row r="22" spans="1:3" ht="15" customHeight="1">
      <c r="A22" s="101" t="s">
        <v>126</v>
      </c>
      <c r="B22" s="102" t="s">
        <v>127</v>
      </c>
      <c r="C22" s="105">
        <v>0.01</v>
      </c>
    </row>
    <row r="23" spans="1:3" ht="15" customHeight="1">
      <c r="A23" s="101" t="s">
        <v>128</v>
      </c>
      <c r="B23" s="102" t="s">
        <v>129</v>
      </c>
      <c r="C23" s="105">
        <v>0.01</v>
      </c>
    </row>
    <row r="24" spans="1:3" ht="15" customHeight="1">
      <c r="A24" s="101" t="s">
        <v>130</v>
      </c>
      <c r="B24" s="102" t="s">
        <v>131</v>
      </c>
      <c r="C24" s="105">
        <v>0.01</v>
      </c>
    </row>
    <row r="25" spans="1:3" ht="15" customHeight="1">
      <c r="A25" s="101" t="s">
        <v>132</v>
      </c>
      <c r="B25" s="102" t="s">
        <v>133</v>
      </c>
      <c r="C25" s="105">
        <v>0.01</v>
      </c>
    </row>
    <row r="26" spans="1:3" ht="15" customHeight="1">
      <c r="A26" s="101" t="s">
        <v>134</v>
      </c>
      <c r="B26" s="102" t="s">
        <v>135</v>
      </c>
      <c r="C26" s="105">
        <v>0.01</v>
      </c>
    </row>
    <row r="27" spans="1:3" ht="15" customHeight="1">
      <c r="A27" s="101" t="s">
        <v>136</v>
      </c>
      <c r="B27" s="102" t="s">
        <v>137</v>
      </c>
      <c r="C27" s="105">
        <v>0.01</v>
      </c>
    </row>
    <row r="28" spans="1:3" ht="15" customHeight="1">
      <c r="A28" s="101" t="s">
        <v>138</v>
      </c>
      <c r="B28" s="102" t="s">
        <v>139</v>
      </c>
      <c r="C28" s="105">
        <v>0.01</v>
      </c>
    </row>
    <row r="29" spans="1:3" ht="15" customHeight="1">
      <c r="A29" s="101" t="s">
        <v>140</v>
      </c>
      <c r="B29" s="102" t="s">
        <v>141</v>
      </c>
      <c r="C29" s="107">
        <v>0.01</v>
      </c>
    </row>
    <row r="30" spans="1:3" ht="15" customHeight="1">
      <c r="A30" s="101"/>
      <c r="B30" s="102"/>
      <c r="C30" s="104"/>
    </row>
    <row r="31" spans="1:3" ht="15" customHeight="1">
      <c r="A31" s="101"/>
      <c r="B31" s="102"/>
      <c r="C31" s="107"/>
    </row>
    <row r="32" spans="1:3" ht="15.5">
      <c r="A32" s="101"/>
      <c r="B32" s="101" t="s">
        <v>142</v>
      </c>
      <c r="C32" s="103">
        <f>ROUND((SUM(C19:C31)),3)</f>
        <v>0.11</v>
      </c>
    </row>
    <row r="33" spans="1:3" ht="20.149999999999999" customHeight="1">
      <c r="A33" s="101">
        <v>4</v>
      </c>
      <c r="B33" s="101" t="s">
        <v>143</v>
      </c>
      <c r="C33" s="108">
        <v>0.03</v>
      </c>
    </row>
    <row r="34" spans="1:3" ht="15.5">
      <c r="A34" s="101"/>
      <c r="B34" s="101" t="s">
        <v>144</v>
      </c>
      <c r="C34" s="103">
        <f>ROUND((SUM(C33)),3)</f>
        <v>0.03</v>
      </c>
    </row>
    <row r="35" spans="1:3" ht="15" customHeight="1">
      <c r="A35" s="101"/>
      <c r="B35" s="101"/>
      <c r="C35" s="109"/>
    </row>
    <row r="36" spans="1:3" ht="25" customHeight="1">
      <c r="A36" s="101">
        <v>5</v>
      </c>
      <c r="B36" s="101" t="s">
        <v>146</v>
      </c>
      <c r="C36" s="110">
        <f>ROUND((C3+C16+C32+C34),2)</f>
        <v>1.65</v>
      </c>
    </row>
    <row r="37" spans="1:3" ht="15.5">
      <c r="A37" s="101"/>
      <c r="B37" s="101"/>
      <c r="C37" s="101"/>
    </row>
    <row r="38" spans="1:3" ht="18" customHeight="1">
      <c r="A38" s="101"/>
      <c r="B38" s="101" t="s">
        <v>96</v>
      </c>
      <c r="C38" s="101"/>
    </row>
    <row r="39" spans="1:3" ht="18" customHeight="1">
      <c r="A39" s="101"/>
      <c r="B39" s="101" t="s">
        <v>145</v>
      </c>
      <c r="C39" s="101"/>
    </row>
    <row r="40" spans="1:3" ht="18" customHeight="1">
      <c r="B40" s="91"/>
    </row>
    <row r="41" spans="1:3" ht="18" customHeight="1">
      <c r="B41" s="93"/>
    </row>
    <row r="42" spans="1:3" ht="18" customHeight="1">
      <c r="B42" s="93"/>
      <c r="C42" s="94"/>
    </row>
    <row r="43" spans="1:3" ht="18" customHeight="1"/>
    <row r="44" spans="1:3" ht="18" customHeight="1"/>
    <row r="45" spans="1:3" ht="18" customHeight="1"/>
    <row r="46" spans="1:3" ht="18" customHeight="1"/>
    <row r="47" spans="1:3" ht="18" customHeight="1"/>
    <row r="48" spans="1: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printOptions horizontalCentered="1" verticalCentered="1"/>
  <pageMargins left="0" right="0" top="0" bottom="0" header="0" footer="0"/>
  <pageSetup scale="90" orientation="portrait" horizont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vt:i4>
      </vt:variant>
    </vt:vector>
  </HeadingPairs>
  <TitlesOfParts>
    <vt:vector size="17" baseType="lpstr">
      <vt:lpstr>CADENA DE VALOR</vt:lpstr>
      <vt:lpstr>PRESUPUESTO ESTUFA</vt:lpstr>
      <vt:lpstr>UNITARIOS PROYECTO OK</vt:lpstr>
      <vt:lpstr>ANALISIS PRECIOS UNITARIOS </vt:lpstr>
      <vt:lpstr>ANALISIS TRANSPORTE A HOMBRO</vt:lpstr>
      <vt:lpstr>ANALISIS TRANS VEHIC</vt:lpstr>
      <vt:lpstr>MEMORIAS SENDEROS</vt:lpstr>
      <vt:lpstr>MEMORIAS DE CALCULO ESTUFAS </vt:lpstr>
      <vt:lpstr>ESTUDIO DE MERCADO</vt:lpstr>
      <vt:lpstr>ESPECIFICACIONES TECNICAS</vt:lpstr>
      <vt:lpstr>FACTOR PRESTACIONAL </vt:lpstr>
      <vt:lpstr>AU OBRA </vt:lpstr>
      <vt:lpstr>A U - INTERVENTORIA</vt:lpstr>
      <vt:lpstr>Anexo FM</vt:lpstr>
      <vt:lpstr>'A U - INTERVENTORIA'!Área_de_impresión</vt:lpstr>
      <vt:lpstr>'Anexo FM'!Área_de_impresión</vt:lpstr>
      <vt:lpstr>'AU OBRA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dc:creator>
  <cp:lastModifiedBy>Alexander Dávila</cp:lastModifiedBy>
  <cp:lastPrinted>2022-06-01T21:53:54Z</cp:lastPrinted>
  <dcterms:created xsi:type="dcterms:W3CDTF">2022-02-25T15:44:02Z</dcterms:created>
  <dcterms:modified xsi:type="dcterms:W3CDTF">2025-08-07T16:01:56Z</dcterms:modified>
</cp:coreProperties>
</file>