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E:\7. AÑO 2025\1. LABORAL\MINJUSTICIA\10. CONSULTA PREVIA - AFROS\Docs_Rev_GGC_310725\"/>
    </mc:Choice>
  </mc:AlternateContent>
  <xr:revisionPtr revIDLastSave="0" documentId="13_ncr:1_{5AD2A9A4-152F-4930-B903-B4FF90A35261}" xr6:coauthVersionLast="47" xr6:coauthVersionMax="47" xr10:uidLastSave="{00000000-0000-0000-0000-000000000000}"/>
  <bookViews>
    <workbookView xWindow="-120" yWindow="-120" windowWidth="20730" windowHeight="11160" firstSheet="35" activeTab="37" xr2:uid="{CE18315A-A647-4E43-8FDC-7BFCA5D545A9}"/>
  </bookViews>
  <sheets>
    <sheet name="VARIABLES" sheetId="17" r:id="rId1"/>
    <sheet name="Hoja2" sheetId="63" state="hidden" r:id="rId2"/>
    <sheet name="Presupuesto General " sheetId="96" r:id="rId3"/>
    <sheet name="PPTO Detallado PCA AJUSTADO" sheetId="94" r:id="rId4"/>
    <sheet name="1. PERSONAL --&gt;" sheetId="50" r:id="rId5"/>
    <sheet name="1.1 Comparativo_Personal" sheetId="16" r:id="rId6"/>
    <sheet name="1.2 Resolucion 2157 DE 2024" sheetId="51" r:id="rId7"/>
    <sheet name="1.3 Fuentes_Personal" sheetId="30" r:id="rId8"/>
    <sheet name="2. ALIMENTACIÓN--&gt;" sheetId="39" r:id="rId9"/>
    <sheet name="2.1 Comparativo_Alimentación" sheetId="38" r:id="rId10"/>
    <sheet name="2.2 Fuentes_Alimentación" sheetId="31" r:id="rId11"/>
    <sheet name="3. LOGISTICA--&gt;" sheetId="45" r:id="rId12"/>
    <sheet name="3.1 Comparativo_Logística" sheetId="67" r:id="rId13"/>
    <sheet name="3.2 Fuentes_Logística" sheetId="68" r:id="rId14"/>
    <sheet name="4. TRANSPORTE --&gt;" sheetId="40" r:id="rId15"/>
    <sheet name="4.1 Comparativo_Transporte" sheetId="70" r:id="rId16"/>
    <sheet name="4.2 Fuentes_Transporte" sheetId="34" r:id="rId17"/>
    <sheet name="5. VIÁTICOS --&gt;" sheetId="59" r:id="rId18"/>
    <sheet name="HOSPEDAJE---&gt;" sheetId="42" state="hidden" r:id="rId19"/>
    <sheet name="COMPARATIV_HOSP" sheetId="49" state="hidden" r:id="rId20"/>
    <sheet name="OTRAS_REF_HOSPED" sheetId="35" state="hidden" r:id="rId21"/>
    <sheet name="5.1 Comparativo_Viáticos" sheetId="76" r:id="rId22"/>
    <sheet name="5.2 Fuentes_Viáticos" sheetId="77" r:id="rId23"/>
    <sheet name="6. GRUPO FOLCLORICO_ARMONIZ --&gt;" sheetId="78" r:id="rId24"/>
    <sheet name="6.1 Comparativo_Grupo_Armoniz" sheetId="79" r:id="rId25"/>
    <sheet name="6.2 Fuentes_Grupo_Folclor" sheetId="80" r:id="rId26"/>
    <sheet name="7. KIT_HERRAMIENTAS" sheetId="81" r:id="rId27"/>
    <sheet name="7.1 Comparativo_Kit_Herrami" sheetId="82" r:id="rId28"/>
    <sheet name="7.2 Fuentes_Kit_" sheetId="83" r:id="rId29"/>
    <sheet name="8. TALLERISTA---&gt; " sheetId="84" r:id="rId30"/>
    <sheet name="8.1 Comparativo_Tallerista" sheetId="85" r:id="rId31"/>
    <sheet name="8.1 Fuentes_Tallerista" sheetId="95" r:id="rId32"/>
    <sheet name="9. SABEDOR---&gt;" sheetId="88" r:id="rId33"/>
    <sheet name="9.1 Comparativo_Sabedor" sheetId="89" r:id="rId34"/>
    <sheet name="9.2 Fuentes_Sabedor" sheetId="90" r:id="rId35"/>
    <sheet name="10. GASTOS_ADMON---&gt;" sheetId="43" r:id="rId36"/>
    <sheet name="10.1 Comparativo_Gastos Admon" sheetId="93" r:id="rId37"/>
    <sheet name="10.2 Fuentes_Gastos_Admin" sheetId="36" r:id="rId38"/>
    <sheet name="Hoja18" sheetId="87" r:id="rId39"/>
    <sheet name="OF_ECO_OP_LOGISTICO_2025_CENTUR" sheetId="69" r:id="rId40"/>
    <sheet name="PCA --&gt;" sheetId="71" r:id="rId41"/>
    <sheet name="MINJUSTICIA_2024" sheetId="72" r:id="rId42"/>
    <sheet name="MINMINAS" sheetId="73" r:id="rId43"/>
    <sheet name="UARIV_2023" sheetId="74" r:id="rId44"/>
    <sheet name="MINAGRICULTURA" sheetId="75" r:id="rId45"/>
    <sheet name="OTROS PROCESOS" sheetId="92" r:id="rId46"/>
    <sheet name="OTROS PROCESOS_" sheetId="91" r:id="rId47"/>
    <sheet name="TIQUETES AEREOS" sheetId="52" state="hidden" r:id="rId48"/>
    <sheet name="OTROS" sheetId="37" state="hidden" r:id="rId49"/>
  </sheets>
  <definedNames>
    <definedName name="_xlnm._FilterDatabase" localSheetId="13" hidden="1">'3.2 Fuentes_Logística'!$B$44:$T$257</definedName>
    <definedName name="_xlnm._FilterDatabase" localSheetId="39" hidden="1">OF_ECO_OP_LOGISTICO_2025_CENTUR!$B$22:$G$22</definedName>
    <definedName name="_xlnm._FilterDatabase" localSheetId="3" hidden="1">'PPTO Detallado PCA AJUSTADO'!$A$9:$Y$745</definedName>
    <definedName name="_xlnm.Print_Area" localSheetId="39">OF_ECO_OP_LOGISTICO_2025_CENTUR!$B$2:$G$236</definedName>
    <definedName name="_xlnm.Print_Titles" localSheetId="39">OF_ECO_OP_LOGISTICO_2025_CENTUR!$21:$22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43" i="93" l="1"/>
  <c r="F151" i="36"/>
  <c r="F150" i="36"/>
  <c r="K159" i="36"/>
  <c r="K145" i="36"/>
  <c r="K146" i="36" s="1"/>
  <c r="F152" i="36" l="1"/>
  <c r="H130" i="36" l="1"/>
  <c r="H132" i="36"/>
  <c r="K116" i="36"/>
  <c r="I103" i="36"/>
  <c r="D92" i="36"/>
  <c r="D94" i="36" s="1"/>
  <c r="Q18" i="94" l="1"/>
  <c r="Q26" i="94"/>
  <c r="Q35" i="94"/>
  <c r="Q36" i="94"/>
  <c r="Q49" i="94"/>
  <c r="Q53" i="94"/>
  <c r="Q54" i="94"/>
  <c r="Q57" i="94"/>
  <c r="Q60" i="94"/>
  <c r="Q63" i="94"/>
  <c r="Q66" i="94"/>
  <c r="Q82" i="94"/>
  <c r="Q85" i="94"/>
  <c r="Q89" i="94"/>
  <c r="Q90" i="94"/>
  <c r="Q91" i="94"/>
  <c r="Q92" i="94"/>
  <c r="Q109" i="94"/>
  <c r="Q126" i="94"/>
  <c r="Q143" i="94"/>
  <c r="Q161" i="94"/>
  <c r="Q162" i="94"/>
  <c r="Q178" i="94"/>
  <c r="Q194" i="94"/>
  <c r="Q210" i="94"/>
  <c r="Q226" i="94"/>
  <c r="Q242" i="94"/>
  <c r="Q258" i="94"/>
  <c r="Q274" i="94"/>
  <c r="Q290" i="94"/>
  <c r="Q306" i="94"/>
  <c r="Q322" i="94"/>
  <c r="Q338" i="94"/>
  <c r="Q354" i="94"/>
  <c r="Q370" i="94"/>
  <c r="Q386" i="94"/>
  <c r="Q402" i="94"/>
  <c r="Q418" i="94"/>
  <c r="Q434" i="94"/>
  <c r="Q450" i="94"/>
  <c r="Q466" i="94"/>
  <c r="Q482" i="94"/>
  <c r="Q498" i="94"/>
  <c r="Q514" i="94"/>
  <c r="Q530" i="94"/>
  <c r="Q546" i="94"/>
  <c r="Q562" i="94"/>
  <c r="Q578" i="94"/>
  <c r="Q594" i="94"/>
  <c r="Q610" i="94"/>
  <c r="Q626" i="94"/>
  <c r="Q642" i="94"/>
  <c r="Q658" i="94"/>
  <c r="Q674" i="94"/>
  <c r="Q690" i="94"/>
  <c r="Q708" i="94"/>
  <c r="Q709" i="94"/>
  <c r="Q725" i="94"/>
  <c r="Q743" i="94"/>
  <c r="Q744" i="94"/>
  <c r="Q745" i="94"/>
  <c r="H37" i="94"/>
  <c r="Q37" i="94" s="1"/>
  <c r="I89" i="77"/>
  <c r="E89" i="77"/>
  <c r="H89" i="77" s="1"/>
  <c r="G76" i="77"/>
  <c r="G72" i="77"/>
  <c r="G69" i="77"/>
  <c r="G66" i="77"/>
  <c r="G63" i="77"/>
  <c r="G60" i="77"/>
  <c r="G56" i="77"/>
  <c r="I59" i="77" l="1"/>
  <c r="O23" i="76" s="1"/>
  <c r="F46" i="77" l="1"/>
  <c r="F45" i="77"/>
  <c r="E36" i="77"/>
  <c r="O51" i="94" l="1"/>
  <c r="O48" i="94"/>
  <c r="C30" i="96" l="1"/>
  <c r="J7" i="85" l="1"/>
  <c r="L35" i="95"/>
  <c r="K35" i="95"/>
  <c r="L7" i="85" s="1"/>
  <c r="M33" i="76"/>
  <c r="I33" i="76"/>
  <c r="O37" i="76"/>
  <c r="P37" i="76" s="1"/>
  <c r="M37" i="76"/>
  <c r="I37" i="76"/>
  <c r="P23" i="76"/>
  <c r="M21" i="76"/>
  <c r="I21" i="76"/>
  <c r="O19" i="76"/>
  <c r="P19" i="76" s="1"/>
  <c r="M19" i="76"/>
  <c r="I19" i="76"/>
  <c r="M17" i="76"/>
  <c r="I17" i="76"/>
  <c r="O15" i="76"/>
  <c r="P15" i="76" s="1"/>
  <c r="M15" i="76"/>
  <c r="I15" i="76"/>
  <c r="O35" i="76"/>
  <c r="P35" i="76" s="1"/>
  <c r="M35" i="76"/>
  <c r="I35" i="76"/>
  <c r="O31" i="76"/>
  <c r="P31" i="76" s="1"/>
  <c r="M31" i="76"/>
  <c r="I31" i="76"/>
  <c r="M13" i="76"/>
  <c r="O8" i="76"/>
  <c r="M8" i="76"/>
  <c r="O7" i="76"/>
  <c r="O11" i="34"/>
  <c r="O33" i="76" s="1"/>
  <c r="P33" i="76" s="1"/>
  <c r="M7" i="76"/>
  <c r="I13" i="76"/>
  <c r="I8" i="76"/>
  <c r="I7" i="76"/>
  <c r="C8" i="76"/>
  <c r="D8" i="76"/>
  <c r="E8" i="76"/>
  <c r="F8" i="76"/>
  <c r="C7" i="76"/>
  <c r="D7" i="76"/>
  <c r="E7" i="76"/>
  <c r="F7" i="76"/>
  <c r="B8" i="76"/>
  <c r="B7" i="76"/>
  <c r="L250" i="94"/>
  <c r="H7" i="85"/>
  <c r="G7" i="85"/>
  <c r="F7" i="85"/>
  <c r="K10" i="95"/>
  <c r="K11" i="95"/>
  <c r="K12" i="95"/>
  <c r="K13" i="95"/>
  <c r="K14" i="95"/>
  <c r="K15" i="95"/>
  <c r="K16" i="95"/>
  <c r="K17" i="95"/>
  <c r="K18" i="95"/>
  <c r="K19" i="95"/>
  <c r="K20" i="95"/>
  <c r="K21" i="95"/>
  <c r="K22" i="95"/>
  <c r="K23" i="95"/>
  <c r="K9" i="95"/>
  <c r="J20" i="70"/>
  <c r="J18" i="70"/>
  <c r="J14" i="70"/>
  <c r="J12" i="70"/>
  <c r="J10" i="70"/>
  <c r="J8" i="70"/>
  <c r="F200" i="34"/>
  <c r="F201" i="34"/>
  <c r="G201" i="34" s="1"/>
  <c r="F202" i="34"/>
  <c r="F203" i="34"/>
  <c r="G203" i="34" s="1"/>
  <c r="F204" i="34"/>
  <c r="G204" i="34" s="1"/>
  <c r="F205" i="34"/>
  <c r="F206" i="34"/>
  <c r="F207" i="34"/>
  <c r="G207" i="34" s="1"/>
  <c r="F208" i="34"/>
  <c r="F199" i="34"/>
  <c r="H190" i="34"/>
  <c r="H195" i="34" s="1"/>
  <c r="H191" i="34"/>
  <c r="H192" i="34"/>
  <c r="H193" i="34"/>
  <c r="H194" i="34"/>
  <c r="H189" i="34"/>
  <c r="H184" i="34"/>
  <c r="H183" i="34"/>
  <c r="G178" i="34"/>
  <c r="G177" i="34"/>
  <c r="G174" i="34"/>
  <c r="G173" i="34"/>
  <c r="G170" i="34"/>
  <c r="G169" i="34"/>
  <c r="G166" i="34"/>
  <c r="G165" i="34"/>
  <c r="G162" i="34"/>
  <c r="G161" i="34"/>
  <c r="G158" i="34"/>
  <c r="G157" i="34"/>
  <c r="G156" i="34"/>
  <c r="G152" i="34"/>
  <c r="G149" i="34"/>
  <c r="G146" i="34"/>
  <c r="G145" i="34"/>
  <c r="G142" i="34"/>
  <c r="G139" i="34"/>
  <c r="G136" i="34"/>
  <c r="G135" i="34"/>
  <c r="I125" i="34"/>
  <c r="I123" i="34"/>
  <c r="I121" i="34"/>
  <c r="I119" i="34"/>
  <c r="I117" i="34"/>
  <c r="I115" i="34"/>
  <c r="G78" i="34"/>
  <c r="G74" i="34"/>
  <c r="G71" i="34"/>
  <c r="G68" i="34"/>
  <c r="G65" i="34"/>
  <c r="G62" i="34"/>
  <c r="G58" i="34"/>
  <c r="L39" i="34"/>
  <c r="G208" i="34"/>
  <c r="E208" i="34"/>
  <c r="E207" i="34"/>
  <c r="G206" i="34"/>
  <c r="E206" i="34"/>
  <c r="G205" i="34"/>
  <c r="E205" i="34"/>
  <c r="E204" i="34"/>
  <c r="E203" i="34"/>
  <c r="G202" i="34"/>
  <c r="E202" i="34"/>
  <c r="E201" i="34"/>
  <c r="G200" i="34"/>
  <c r="E200" i="34"/>
  <c r="E199" i="34"/>
  <c r="G194" i="34"/>
  <c r="G193" i="34"/>
  <c r="G192" i="34"/>
  <c r="G191" i="34"/>
  <c r="G190" i="34"/>
  <c r="G189" i="34"/>
  <c r="F166" i="34"/>
  <c r="F165" i="34"/>
  <c r="F162" i="34"/>
  <c r="F161" i="34"/>
  <c r="F158" i="34"/>
  <c r="F156" i="34"/>
  <c r="F152" i="34"/>
  <c r="F149" i="34"/>
  <c r="F146" i="34"/>
  <c r="F145" i="34"/>
  <c r="F142" i="34"/>
  <c r="F139" i="34"/>
  <c r="F136" i="34"/>
  <c r="F135" i="34"/>
  <c r="H125" i="34"/>
  <c r="H123" i="34"/>
  <c r="H121" i="34"/>
  <c r="H119" i="34"/>
  <c r="H117" i="34"/>
  <c r="H115" i="34"/>
  <c r="O21" i="76" l="1"/>
  <c r="P21" i="76" s="1"/>
  <c r="O13" i="76"/>
  <c r="P13" i="76" s="1"/>
  <c r="O17" i="76"/>
  <c r="P17" i="76" s="1"/>
  <c r="F209" i="34"/>
  <c r="G209" i="34" s="1"/>
  <c r="K116" i="34"/>
  <c r="F47" i="34"/>
  <c r="F48" i="34"/>
  <c r="G199" i="34"/>
  <c r="L14" i="70" l="1"/>
  <c r="M14" i="70" s="1"/>
  <c r="L12" i="70"/>
  <c r="L10" i="70"/>
  <c r="L8" i="70"/>
  <c r="L18" i="70"/>
  <c r="L16" i="70"/>
  <c r="M16" i="70" s="1"/>
  <c r="L20" i="70"/>
  <c r="M20" i="70" s="1"/>
  <c r="J39" i="34"/>
  <c r="E38" i="34" s="1"/>
  <c r="J40" i="34"/>
  <c r="L40" i="34"/>
  <c r="F16" i="70"/>
  <c r="F14" i="70"/>
  <c r="D18" i="70"/>
  <c r="D16" i="70"/>
  <c r="D14" i="70"/>
  <c r="D12" i="70"/>
  <c r="D10" i="70"/>
  <c r="D20" i="70"/>
  <c r="F20" i="70"/>
  <c r="J28" i="70"/>
  <c r="J29" i="70"/>
  <c r="H94" i="34"/>
  <c r="J94" i="34" s="1"/>
  <c r="L28" i="70" s="1"/>
  <c r="M28" i="70" s="1"/>
  <c r="H95" i="34"/>
  <c r="H96" i="34"/>
  <c r="H97" i="34"/>
  <c r="H98" i="34"/>
  <c r="H99" i="34"/>
  <c r="H100" i="34"/>
  <c r="H101" i="34"/>
  <c r="H102" i="34"/>
  <c r="H103" i="34"/>
  <c r="H104" i="34"/>
  <c r="H105" i="34"/>
  <c r="H93" i="34"/>
  <c r="L27" i="70" l="1"/>
  <c r="M27" i="70" s="1"/>
  <c r="L29" i="70"/>
  <c r="M29" i="70" s="1"/>
  <c r="K25" i="93" l="1"/>
  <c r="G25" i="93"/>
  <c r="P32" i="36"/>
  <c r="P34" i="36" s="1"/>
  <c r="I25" i="93" s="1"/>
  <c r="G22" i="67" l="1"/>
  <c r="I22" i="67"/>
  <c r="I21" i="67"/>
  <c r="H268" i="68"/>
  <c r="H7" i="82" l="1"/>
  <c r="F191" i="83"/>
  <c r="L7" i="82" s="1"/>
  <c r="K8" i="38" l="1"/>
  <c r="I740" i="94" l="1"/>
  <c r="F740" i="94"/>
  <c r="H739" i="94"/>
  <c r="H738" i="94"/>
  <c r="H737" i="94"/>
  <c r="H736" i="94"/>
  <c r="H735" i="94"/>
  <c r="H734" i="94"/>
  <c r="H733" i="94"/>
  <c r="H732" i="94"/>
  <c r="H731" i="94"/>
  <c r="H730" i="94"/>
  <c r="H729" i="94"/>
  <c r="H728" i="94"/>
  <c r="H727" i="94"/>
  <c r="H726" i="94"/>
  <c r="Q726" i="94" s="1"/>
  <c r="I724" i="94"/>
  <c r="F724" i="94"/>
  <c r="H723" i="94"/>
  <c r="H722" i="94"/>
  <c r="H721" i="94"/>
  <c r="H720" i="94"/>
  <c r="H719" i="94"/>
  <c r="H718" i="94"/>
  <c r="H717" i="94"/>
  <c r="H716" i="94"/>
  <c r="H715" i="94"/>
  <c r="H714" i="94"/>
  <c r="H713" i="94"/>
  <c r="H712" i="94"/>
  <c r="H711" i="94"/>
  <c r="H710" i="94"/>
  <c r="Q710" i="94" s="1"/>
  <c r="I705" i="94"/>
  <c r="F705" i="94"/>
  <c r="H704" i="94"/>
  <c r="H703" i="94"/>
  <c r="H702" i="94"/>
  <c r="H701" i="94"/>
  <c r="H700" i="94"/>
  <c r="H699" i="94"/>
  <c r="H698" i="94"/>
  <c r="H697" i="94"/>
  <c r="H696" i="94"/>
  <c r="H695" i="94"/>
  <c r="H694" i="94"/>
  <c r="H693" i="94"/>
  <c r="H692" i="94"/>
  <c r="H691" i="94"/>
  <c r="I689" i="94"/>
  <c r="F689" i="94"/>
  <c r="H688" i="94"/>
  <c r="H687" i="94"/>
  <c r="H686" i="94"/>
  <c r="H685" i="94"/>
  <c r="H684" i="94"/>
  <c r="H683" i="94"/>
  <c r="H682" i="94"/>
  <c r="H681" i="94"/>
  <c r="H680" i="94"/>
  <c r="H679" i="94"/>
  <c r="H678" i="94"/>
  <c r="H677" i="94"/>
  <c r="H676" i="94"/>
  <c r="H675" i="94"/>
  <c r="Q675" i="94" s="1"/>
  <c r="I673" i="94"/>
  <c r="F673" i="94"/>
  <c r="H672" i="94"/>
  <c r="H671" i="94"/>
  <c r="H670" i="94"/>
  <c r="H669" i="94"/>
  <c r="H668" i="94"/>
  <c r="H667" i="94"/>
  <c r="H666" i="94"/>
  <c r="H665" i="94"/>
  <c r="H664" i="94"/>
  <c r="H663" i="94"/>
  <c r="H662" i="94"/>
  <c r="H661" i="94"/>
  <c r="H660" i="94"/>
  <c r="H659" i="94"/>
  <c r="I657" i="94"/>
  <c r="F657" i="94"/>
  <c r="H656" i="94"/>
  <c r="H655" i="94"/>
  <c r="H654" i="94"/>
  <c r="H653" i="94"/>
  <c r="H652" i="94"/>
  <c r="H651" i="94"/>
  <c r="H650" i="94"/>
  <c r="H649" i="94"/>
  <c r="H648" i="94"/>
  <c r="H647" i="94"/>
  <c r="H646" i="94"/>
  <c r="H645" i="94"/>
  <c r="H644" i="94"/>
  <c r="H643" i="94"/>
  <c r="I641" i="94"/>
  <c r="F641" i="94"/>
  <c r="H640" i="94"/>
  <c r="H639" i="94"/>
  <c r="H638" i="94"/>
  <c r="H637" i="94"/>
  <c r="H636" i="94"/>
  <c r="H635" i="94"/>
  <c r="H634" i="94"/>
  <c r="H633" i="94"/>
  <c r="H632" i="94"/>
  <c r="H631" i="94"/>
  <c r="H630" i="94"/>
  <c r="H629" i="94"/>
  <c r="H628" i="94"/>
  <c r="H627" i="94"/>
  <c r="Q627" i="94" s="1"/>
  <c r="I625" i="94"/>
  <c r="F625" i="94"/>
  <c r="H624" i="94"/>
  <c r="H623" i="94"/>
  <c r="H622" i="94"/>
  <c r="H621" i="94"/>
  <c r="H620" i="94"/>
  <c r="H619" i="94"/>
  <c r="H618" i="94"/>
  <c r="H617" i="94"/>
  <c r="H616" i="94"/>
  <c r="H615" i="94"/>
  <c r="H614" i="94"/>
  <c r="H613" i="94"/>
  <c r="H612" i="94"/>
  <c r="H611" i="94"/>
  <c r="Q611" i="94" s="1"/>
  <c r="I609" i="94"/>
  <c r="F609" i="94"/>
  <c r="H608" i="94"/>
  <c r="H607" i="94"/>
  <c r="H606" i="94"/>
  <c r="H605" i="94"/>
  <c r="H604" i="94"/>
  <c r="H603" i="94"/>
  <c r="H602" i="94"/>
  <c r="H601" i="94"/>
  <c r="H600" i="94"/>
  <c r="H599" i="94"/>
  <c r="H598" i="94"/>
  <c r="H597" i="94"/>
  <c r="H596" i="94"/>
  <c r="H595" i="94"/>
  <c r="Q595" i="94" s="1"/>
  <c r="I593" i="94"/>
  <c r="F593" i="94"/>
  <c r="H592" i="94"/>
  <c r="H591" i="94"/>
  <c r="H590" i="94"/>
  <c r="H589" i="94"/>
  <c r="H588" i="94"/>
  <c r="H587" i="94"/>
  <c r="H586" i="94"/>
  <c r="H585" i="94"/>
  <c r="H584" i="94"/>
  <c r="H583" i="94"/>
  <c r="H582" i="94"/>
  <c r="H581" i="94"/>
  <c r="H580" i="94"/>
  <c r="Q580" i="94" s="1"/>
  <c r="H579" i="94"/>
  <c r="I577" i="94"/>
  <c r="F577" i="94"/>
  <c r="H576" i="94"/>
  <c r="H575" i="94"/>
  <c r="H574" i="94"/>
  <c r="H573" i="94"/>
  <c r="H572" i="94"/>
  <c r="H571" i="94"/>
  <c r="H570" i="94"/>
  <c r="H569" i="94"/>
  <c r="H568" i="94"/>
  <c r="H567" i="94"/>
  <c r="H566" i="94"/>
  <c r="H565" i="94"/>
  <c r="H564" i="94"/>
  <c r="H563" i="94"/>
  <c r="I561" i="94"/>
  <c r="F561" i="94"/>
  <c r="H560" i="94"/>
  <c r="H559" i="94"/>
  <c r="H558" i="94"/>
  <c r="H557" i="94"/>
  <c r="H556" i="94"/>
  <c r="H555" i="94"/>
  <c r="H554" i="94"/>
  <c r="H553" i="94"/>
  <c r="H552" i="94"/>
  <c r="H551" i="94"/>
  <c r="H550" i="94"/>
  <c r="H549" i="94"/>
  <c r="H548" i="94"/>
  <c r="H547" i="94"/>
  <c r="Q547" i="94" s="1"/>
  <c r="I545" i="94"/>
  <c r="F545" i="94"/>
  <c r="H544" i="94"/>
  <c r="H543" i="94"/>
  <c r="H542" i="94"/>
  <c r="H541" i="94"/>
  <c r="H540" i="94"/>
  <c r="H539" i="94"/>
  <c r="H538" i="94"/>
  <c r="H537" i="94"/>
  <c r="H536" i="94"/>
  <c r="H535" i="94"/>
  <c r="Q535" i="94" s="1"/>
  <c r="H534" i="94"/>
  <c r="H533" i="94"/>
  <c r="H532" i="94"/>
  <c r="H531" i="94"/>
  <c r="I529" i="94"/>
  <c r="F529" i="94"/>
  <c r="H528" i="94"/>
  <c r="H527" i="94"/>
  <c r="H526" i="94"/>
  <c r="H525" i="94"/>
  <c r="H524" i="94"/>
  <c r="H523" i="94"/>
  <c r="H522" i="94"/>
  <c r="H521" i="94"/>
  <c r="H520" i="94"/>
  <c r="H519" i="94"/>
  <c r="H518" i="94"/>
  <c r="H517" i="94"/>
  <c r="Q517" i="94" s="1"/>
  <c r="H516" i="94"/>
  <c r="H515" i="94"/>
  <c r="I513" i="94"/>
  <c r="F513" i="94"/>
  <c r="H512" i="94"/>
  <c r="H511" i="94"/>
  <c r="H510" i="94"/>
  <c r="H509" i="94"/>
  <c r="H508" i="94"/>
  <c r="H507" i="94"/>
  <c r="H506" i="94"/>
  <c r="H505" i="94"/>
  <c r="H504" i="94"/>
  <c r="H503" i="94"/>
  <c r="H502" i="94"/>
  <c r="H501" i="94"/>
  <c r="H500" i="94"/>
  <c r="H499" i="94"/>
  <c r="Q499" i="94" s="1"/>
  <c r="I497" i="94"/>
  <c r="F497" i="94"/>
  <c r="H496" i="94"/>
  <c r="H495" i="94"/>
  <c r="H494" i="94"/>
  <c r="H493" i="94"/>
  <c r="H492" i="94"/>
  <c r="H491" i="94"/>
  <c r="H490" i="94"/>
  <c r="H489" i="94"/>
  <c r="H488" i="94"/>
  <c r="H487" i="94"/>
  <c r="H486" i="94"/>
  <c r="H485" i="94"/>
  <c r="H484" i="94"/>
  <c r="H483" i="94"/>
  <c r="Q483" i="94" s="1"/>
  <c r="I481" i="94"/>
  <c r="F481" i="94"/>
  <c r="H480" i="94"/>
  <c r="H479" i="94"/>
  <c r="H478" i="94"/>
  <c r="H477" i="94"/>
  <c r="H476" i="94"/>
  <c r="H475" i="94"/>
  <c r="H474" i="94"/>
  <c r="H473" i="94"/>
  <c r="H472" i="94"/>
  <c r="H471" i="94"/>
  <c r="H470" i="94"/>
  <c r="H469" i="94"/>
  <c r="H468" i="94"/>
  <c r="H467" i="94"/>
  <c r="I465" i="94"/>
  <c r="F465" i="94"/>
  <c r="H464" i="94"/>
  <c r="H463" i="94"/>
  <c r="H462" i="94"/>
  <c r="H461" i="94"/>
  <c r="H460" i="94"/>
  <c r="H459" i="94"/>
  <c r="H458" i="94"/>
  <c r="H457" i="94"/>
  <c r="H456" i="94"/>
  <c r="H455" i="94"/>
  <c r="H454" i="94"/>
  <c r="H453" i="94"/>
  <c r="H452" i="94"/>
  <c r="H451" i="94"/>
  <c r="I449" i="94"/>
  <c r="F449" i="94"/>
  <c r="H448" i="94"/>
  <c r="H447" i="94"/>
  <c r="H446" i="94"/>
  <c r="H445" i="94"/>
  <c r="H444" i="94"/>
  <c r="H443" i="94"/>
  <c r="H442" i="94"/>
  <c r="H441" i="94"/>
  <c r="H440" i="94"/>
  <c r="H439" i="94"/>
  <c r="H438" i="94"/>
  <c r="H437" i="94"/>
  <c r="H436" i="94"/>
  <c r="H435" i="94"/>
  <c r="I433" i="94"/>
  <c r="F433" i="94"/>
  <c r="H432" i="94"/>
  <c r="H431" i="94"/>
  <c r="H430" i="94"/>
  <c r="H429" i="94"/>
  <c r="H428" i="94"/>
  <c r="H427" i="94"/>
  <c r="H426" i="94"/>
  <c r="H425" i="94"/>
  <c r="H424" i="94"/>
  <c r="H423" i="94"/>
  <c r="H422" i="94"/>
  <c r="H421" i="94"/>
  <c r="H420" i="94"/>
  <c r="H419" i="94"/>
  <c r="I417" i="94"/>
  <c r="F417" i="94"/>
  <c r="H416" i="94"/>
  <c r="H415" i="94"/>
  <c r="H414" i="94"/>
  <c r="H413" i="94"/>
  <c r="H412" i="94"/>
  <c r="H411" i="94"/>
  <c r="H410" i="94"/>
  <c r="H409" i="94"/>
  <c r="H408" i="94"/>
  <c r="H407" i="94"/>
  <c r="H406" i="94"/>
  <c r="H405" i="94"/>
  <c r="H404" i="94"/>
  <c r="H403" i="94"/>
  <c r="Q403" i="94" s="1"/>
  <c r="I401" i="94"/>
  <c r="F401" i="94"/>
  <c r="H400" i="94"/>
  <c r="H399" i="94"/>
  <c r="H398" i="94"/>
  <c r="H397" i="94"/>
  <c r="H396" i="94"/>
  <c r="H395" i="94"/>
  <c r="H394" i="94"/>
  <c r="H393" i="94"/>
  <c r="H392" i="94"/>
  <c r="H391" i="94"/>
  <c r="H390" i="94"/>
  <c r="H389" i="94"/>
  <c r="H388" i="94"/>
  <c r="H387" i="94"/>
  <c r="I385" i="94"/>
  <c r="F385" i="94"/>
  <c r="H384" i="94"/>
  <c r="H383" i="94"/>
  <c r="H382" i="94"/>
  <c r="H381" i="94"/>
  <c r="H380" i="94"/>
  <c r="H379" i="94"/>
  <c r="H378" i="94"/>
  <c r="H377" i="94"/>
  <c r="H376" i="94"/>
  <c r="H375" i="94"/>
  <c r="H374" i="94"/>
  <c r="H373" i="94"/>
  <c r="H372" i="94"/>
  <c r="H371" i="94"/>
  <c r="I369" i="94"/>
  <c r="F369" i="94"/>
  <c r="H368" i="94"/>
  <c r="H367" i="94"/>
  <c r="H366" i="94"/>
  <c r="H365" i="94"/>
  <c r="H364" i="94"/>
  <c r="H363" i="94"/>
  <c r="H362" i="94"/>
  <c r="H361" i="94"/>
  <c r="H360" i="94"/>
  <c r="H359" i="94"/>
  <c r="H358" i="94"/>
  <c r="H357" i="94"/>
  <c r="H356" i="94"/>
  <c r="H355" i="94"/>
  <c r="I353" i="94"/>
  <c r="F353" i="94"/>
  <c r="H352" i="94"/>
  <c r="H351" i="94"/>
  <c r="H350" i="94"/>
  <c r="H349" i="94"/>
  <c r="H348" i="94"/>
  <c r="H347" i="94"/>
  <c r="H346" i="94"/>
  <c r="H345" i="94"/>
  <c r="H344" i="94"/>
  <c r="H343" i="94"/>
  <c r="H342" i="94"/>
  <c r="H341" i="94"/>
  <c r="H340" i="94"/>
  <c r="H339" i="94"/>
  <c r="Q339" i="94" s="1"/>
  <c r="I337" i="94"/>
  <c r="F337" i="94"/>
  <c r="H336" i="94"/>
  <c r="H335" i="94"/>
  <c r="H334" i="94"/>
  <c r="H333" i="94"/>
  <c r="H332" i="94"/>
  <c r="H331" i="94"/>
  <c r="H330" i="94"/>
  <c r="H329" i="94"/>
  <c r="H328" i="94"/>
  <c r="H327" i="94"/>
  <c r="H326" i="94"/>
  <c r="H325" i="94"/>
  <c r="H324" i="94"/>
  <c r="H323" i="94"/>
  <c r="I321" i="94"/>
  <c r="F321" i="94"/>
  <c r="H320" i="94"/>
  <c r="H319" i="94"/>
  <c r="H318" i="94"/>
  <c r="H317" i="94"/>
  <c r="H316" i="94"/>
  <c r="H315" i="94"/>
  <c r="H314" i="94"/>
  <c r="H313" i="94"/>
  <c r="H312" i="94"/>
  <c r="H311" i="94"/>
  <c r="H310" i="94"/>
  <c r="H309" i="94"/>
  <c r="H308" i="94"/>
  <c r="H307" i="94"/>
  <c r="Q307" i="94" s="1"/>
  <c r="I305" i="94"/>
  <c r="F305" i="94"/>
  <c r="H304" i="94"/>
  <c r="H303" i="94"/>
  <c r="H302" i="94"/>
  <c r="H301" i="94"/>
  <c r="H300" i="94"/>
  <c r="H299" i="94"/>
  <c r="H298" i="94"/>
  <c r="H297" i="94"/>
  <c r="H296" i="94"/>
  <c r="H295" i="94"/>
  <c r="H294" i="94"/>
  <c r="H293" i="94"/>
  <c r="H292" i="94"/>
  <c r="H291" i="94"/>
  <c r="Q291" i="94" s="1"/>
  <c r="I289" i="94"/>
  <c r="F289" i="94"/>
  <c r="H288" i="94"/>
  <c r="H287" i="94"/>
  <c r="H286" i="94"/>
  <c r="H285" i="94"/>
  <c r="H284" i="94"/>
  <c r="H283" i="94"/>
  <c r="H282" i="94"/>
  <c r="H281" i="94"/>
  <c r="H280" i="94"/>
  <c r="H279" i="94"/>
  <c r="H278" i="94"/>
  <c r="H277" i="94"/>
  <c r="H276" i="94"/>
  <c r="H275" i="94"/>
  <c r="Q275" i="94" s="1"/>
  <c r="I273" i="94"/>
  <c r="F273" i="94"/>
  <c r="H272" i="94"/>
  <c r="H271" i="94"/>
  <c r="H270" i="94"/>
  <c r="H269" i="94"/>
  <c r="H268" i="94"/>
  <c r="H267" i="94"/>
  <c r="H266" i="94"/>
  <c r="H265" i="94"/>
  <c r="H264" i="94"/>
  <c r="H263" i="94"/>
  <c r="H262" i="94"/>
  <c r="H261" i="94"/>
  <c r="H260" i="94"/>
  <c r="H259" i="94"/>
  <c r="I257" i="94"/>
  <c r="F257" i="94"/>
  <c r="H256" i="94"/>
  <c r="H255" i="94"/>
  <c r="H254" i="94"/>
  <c r="H253" i="94"/>
  <c r="H252" i="94"/>
  <c r="H251" i="94"/>
  <c r="H250" i="94"/>
  <c r="H249" i="94"/>
  <c r="H248" i="94"/>
  <c r="H247" i="94"/>
  <c r="H246" i="94"/>
  <c r="H245" i="94"/>
  <c r="H244" i="94"/>
  <c r="H243" i="94"/>
  <c r="F241" i="94"/>
  <c r="H240" i="94"/>
  <c r="H239" i="94"/>
  <c r="H238" i="94"/>
  <c r="H237" i="94"/>
  <c r="H236" i="94"/>
  <c r="H235" i="94"/>
  <c r="H234" i="94"/>
  <c r="H233" i="94"/>
  <c r="H232" i="94"/>
  <c r="H231" i="94"/>
  <c r="H230" i="94"/>
  <c r="H229" i="94"/>
  <c r="H228" i="94"/>
  <c r="H227" i="94"/>
  <c r="Q227" i="94" s="1"/>
  <c r="I225" i="94"/>
  <c r="F225" i="94"/>
  <c r="H224" i="94"/>
  <c r="H223" i="94"/>
  <c r="H222" i="94"/>
  <c r="H221" i="94"/>
  <c r="H220" i="94"/>
  <c r="H219" i="94"/>
  <c r="H218" i="94"/>
  <c r="H217" i="94"/>
  <c r="H216" i="94"/>
  <c r="H215" i="94"/>
  <c r="H214" i="94"/>
  <c r="H213" i="94"/>
  <c r="H212" i="94"/>
  <c r="H211" i="94"/>
  <c r="I209" i="94"/>
  <c r="F209" i="94"/>
  <c r="H208" i="94"/>
  <c r="H207" i="94"/>
  <c r="H206" i="94"/>
  <c r="H205" i="94"/>
  <c r="H204" i="94"/>
  <c r="H203" i="94"/>
  <c r="H202" i="94"/>
  <c r="H201" i="94"/>
  <c r="H200" i="94"/>
  <c r="H199" i="94"/>
  <c r="H198" i="94"/>
  <c r="H197" i="94"/>
  <c r="H196" i="94"/>
  <c r="H195" i="94"/>
  <c r="Q195" i="94" s="1"/>
  <c r="I193" i="94"/>
  <c r="F193" i="94"/>
  <c r="H192" i="94"/>
  <c r="H191" i="94"/>
  <c r="H190" i="94"/>
  <c r="H189" i="94"/>
  <c r="H188" i="94"/>
  <c r="H187" i="94"/>
  <c r="H186" i="94"/>
  <c r="H185" i="94"/>
  <c r="H184" i="94"/>
  <c r="H183" i="94"/>
  <c r="H182" i="94"/>
  <c r="H181" i="94"/>
  <c r="H180" i="94"/>
  <c r="H179" i="94"/>
  <c r="Q179" i="94" s="1"/>
  <c r="I177" i="94"/>
  <c r="F177" i="94"/>
  <c r="H176" i="94"/>
  <c r="H175" i="94"/>
  <c r="H174" i="94"/>
  <c r="H173" i="94"/>
  <c r="H172" i="94"/>
  <c r="H171" i="94"/>
  <c r="H170" i="94"/>
  <c r="H169" i="94"/>
  <c r="H168" i="94"/>
  <c r="H167" i="94"/>
  <c r="H166" i="94"/>
  <c r="H165" i="94"/>
  <c r="H164" i="94"/>
  <c r="H163" i="94"/>
  <c r="I159" i="94"/>
  <c r="F159" i="94"/>
  <c r="H158" i="94"/>
  <c r="H157" i="94"/>
  <c r="H156" i="94"/>
  <c r="H155" i="94"/>
  <c r="H154" i="94"/>
  <c r="H153" i="94"/>
  <c r="H152" i="94"/>
  <c r="H151" i="94"/>
  <c r="H150" i="94"/>
  <c r="H149" i="94"/>
  <c r="H148" i="94"/>
  <c r="H147" i="94"/>
  <c r="H146" i="94"/>
  <c r="H145" i="94"/>
  <c r="H144" i="94"/>
  <c r="I142" i="94"/>
  <c r="F142" i="94"/>
  <c r="H141" i="94"/>
  <c r="H140" i="94"/>
  <c r="H139" i="94"/>
  <c r="H138" i="94"/>
  <c r="H137" i="94"/>
  <c r="H136" i="94"/>
  <c r="H135" i="94"/>
  <c r="H134" i="94"/>
  <c r="H133" i="94"/>
  <c r="H132" i="94"/>
  <c r="H131" i="94"/>
  <c r="H130" i="94"/>
  <c r="H129" i="94"/>
  <c r="H128" i="94"/>
  <c r="H127" i="94"/>
  <c r="Q127" i="94" s="1"/>
  <c r="I125" i="94"/>
  <c r="F125" i="94"/>
  <c r="H124" i="94"/>
  <c r="H123" i="94"/>
  <c r="H122" i="94"/>
  <c r="H121" i="94"/>
  <c r="H120" i="94"/>
  <c r="H119" i="94"/>
  <c r="H118" i="94"/>
  <c r="H117" i="94"/>
  <c r="H116" i="94"/>
  <c r="H115" i="94"/>
  <c r="H114" i="94"/>
  <c r="H113" i="94"/>
  <c r="H112" i="94"/>
  <c r="H111" i="94"/>
  <c r="H110" i="94"/>
  <c r="I108" i="94"/>
  <c r="F108" i="94"/>
  <c r="H107" i="94"/>
  <c r="H106" i="94"/>
  <c r="H105" i="94"/>
  <c r="H104" i="94"/>
  <c r="H103" i="94"/>
  <c r="H102" i="94"/>
  <c r="H101" i="94"/>
  <c r="H100" i="94"/>
  <c r="H99" i="94"/>
  <c r="H98" i="94"/>
  <c r="H97" i="94"/>
  <c r="H96" i="94"/>
  <c r="H95" i="94"/>
  <c r="H94" i="94"/>
  <c r="H93" i="94"/>
  <c r="Q93" i="94" s="1"/>
  <c r="K87" i="94"/>
  <c r="J87" i="94"/>
  <c r="I87" i="94"/>
  <c r="F87" i="94"/>
  <c r="H86" i="94"/>
  <c r="K84" i="94"/>
  <c r="J84" i="94"/>
  <c r="I84" i="94"/>
  <c r="F84" i="94"/>
  <c r="H83" i="94"/>
  <c r="I81" i="94"/>
  <c r="F81" i="94"/>
  <c r="H80" i="94"/>
  <c r="H79" i="94"/>
  <c r="H78" i="94"/>
  <c r="H77" i="94"/>
  <c r="H76" i="94"/>
  <c r="Q76" i="94" s="1"/>
  <c r="H75" i="94"/>
  <c r="Q75" i="94" s="1"/>
  <c r="H74" i="94"/>
  <c r="H73" i="94"/>
  <c r="H72" i="94"/>
  <c r="H71" i="94"/>
  <c r="H70" i="94"/>
  <c r="H69" i="94"/>
  <c r="H68" i="94"/>
  <c r="H67" i="94"/>
  <c r="Q67" i="94" s="1"/>
  <c r="K65" i="94"/>
  <c r="J65" i="94"/>
  <c r="I65" i="94"/>
  <c r="F65" i="94"/>
  <c r="H64" i="94"/>
  <c r="K62" i="94"/>
  <c r="J62" i="94"/>
  <c r="I62" i="94"/>
  <c r="F62" i="94"/>
  <c r="H61" i="94"/>
  <c r="K59" i="94"/>
  <c r="J59" i="94"/>
  <c r="I59" i="94"/>
  <c r="F59" i="94"/>
  <c r="H58" i="94"/>
  <c r="K56" i="94"/>
  <c r="J56" i="94"/>
  <c r="I56" i="94"/>
  <c r="F56" i="94"/>
  <c r="H55" i="94"/>
  <c r="I51" i="94"/>
  <c r="F51" i="94"/>
  <c r="H50" i="94"/>
  <c r="Q50" i="94" s="1"/>
  <c r="F48" i="94"/>
  <c r="H47" i="94"/>
  <c r="H46" i="94"/>
  <c r="H45" i="94"/>
  <c r="H44" i="94"/>
  <c r="H43" i="94"/>
  <c r="H42" i="94"/>
  <c r="H41" i="94"/>
  <c r="H40" i="94"/>
  <c r="H39" i="94"/>
  <c r="H38" i="94"/>
  <c r="I33" i="94"/>
  <c r="F33" i="94"/>
  <c r="E33" i="94"/>
  <c r="H32" i="94"/>
  <c r="H31" i="94"/>
  <c r="H30" i="94"/>
  <c r="H29" i="94"/>
  <c r="H28" i="94"/>
  <c r="H27" i="94"/>
  <c r="I24" i="94"/>
  <c r="F24" i="94"/>
  <c r="E24" i="94"/>
  <c r="H23" i="94"/>
  <c r="H22" i="94"/>
  <c r="H21" i="94"/>
  <c r="H20" i="94"/>
  <c r="H19" i="94"/>
  <c r="I17" i="94"/>
  <c r="F17" i="94"/>
  <c r="E17" i="94"/>
  <c r="H16" i="94"/>
  <c r="H15" i="94"/>
  <c r="H14" i="94"/>
  <c r="H13" i="94"/>
  <c r="H12" i="94"/>
  <c r="P17" i="16"/>
  <c r="P16" i="16"/>
  <c r="P15" i="16"/>
  <c r="P10" i="16"/>
  <c r="Q10" i="16" s="1"/>
  <c r="P7" i="16"/>
  <c r="L17" i="16"/>
  <c r="K17" i="16"/>
  <c r="L16" i="16"/>
  <c r="K16" i="16"/>
  <c r="L15" i="16"/>
  <c r="K15" i="16"/>
  <c r="L13" i="16"/>
  <c r="K13" i="16"/>
  <c r="L7" i="16"/>
  <c r="K7" i="16"/>
  <c r="G10" i="16"/>
  <c r="J10" i="16"/>
  <c r="K10" i="16"/>
  <c r="L10" i="16"/>
  <c r="M10" i="16" s="1"/>
  <c r="N10" i="16"/>
  <c r="J16" i="93"/>
  <c r="N16" i="93"/>
  <c r="O16" i="93"/>
  <c r="P16" i="93" s="1"/>
  <c r="J17" i="93"/>
  <c r="N17" i="93"/>
  <c r="O17" i="93"/>
  <c r="P17" i="93" s="1"/>
  <c r="J18" i="93"/>
  <c r="N18" i="93"/>
  <c r="O18" i="93"/>
  <c r="P18" i="93" s="1"/>
  <c r="J8" i="93"/>
  <c r="N8" i="93"/>
  <c r="O8" i="93"/>
  <c r="P8" i="93" s="1"/>
  <c r="J9" i="93"/>
  <c r="N9" i="93"/>
  <c r="O9" i="93"/>
  <c r="P9" i="93" s="1"/>
  <c r="J10" i="93"/>
  <c r="N10" i="93"/>
  <c r="O10" i="93"/>
  <c r="P10" i="93" s="1"/>
  <c r="J11" i="93"/>
  <c r="N11" i="93"/>
  <c r="O11" i="93"/>
  <c r="P11" i="93" s="1"/>
  <c r="J12" i="93"/>
  <c r="N12" i="93"/>
  <c r="O12" i="93"/>
  <c r="P12" i="93" s="1"/>
  <c r="J13" i="93"/>
  <c r="N13" i="93"/>
  <c r="O13" i="93"/>
  <c r="P13" i="93" s="1"/>
  <c r="J14" i="93"/>
  <c r="N14" i="93"/>
  <c r="O14" i="93"/>
  <c r="P14" i="93" s="1"/>
  <c r="J15" i="93"/>
  <c r="N15" i="93"/>
  <c r="O15" i="93"/>
  <c r="P15" i="93" s="1"/>
  <c r="E18" i="93"/>
  <c r="E8" i="93"/>
  <c r="E9" i="93"/>
  <c r="E10" i="93"/>
  <c r="E11" i="93"/>
  <c r="E12" i="93"/>
  <c r="E13" i="93"/>
  <c r="E14" i="93"/>
  <c r="E15" i="93"/>
  <c r="E16" i="93"/>
  <c r="E17" i="93"/>
  <c r="E7" i="93"/>
  <c r="O7" i="93"/>
  <c r="P7" i="93" s="1"/>
  <c r="N7" i="93"/>
  <c r="J7" i="93"/>
  <c r="J22" i="94" l="1"/>
  <c r="K22" i="94" s="1"/>
  <c r="Q22" i="94"/>
  <c r="J262" i="94"/>
  <c r="K262" i="94" s="1"/>
  <c r="Q262" i="94"/>
  <c r="J574" i="94"/>
  <c r="K574" i="94" s="1"/>
  <c r="Q574" i="94"/>
  <c r="J99" i="94"/>
  <c r="K99" i="94" s="1"/>
  <c r="Q99" i="94"/>
  <c r="H59" i="94"/>
  <c r="Q59" i="94" s="1"/>
  <c r="Q58" i="94"/>
  <c r="J112" i="94"/>
  <c r="K112" i="94" s="1"/>
  <c r="K125" i="94" s="1"/>
  <c r="Q112" i="94"/>
  <c r="J259" i="94"/>
  <c r="Q259" i="94"/>
  <c r="J343" i="94"/>
  <c r="K343" i="94" s="1"/>
  <c r="Q343" i="94"/>
  <c r="J379" i="94"/>
  <c r="K379" i="94" s="1"/>
  <c r="Q379" i="94"/>
  <c r="J427" i="94"/>
  <c r="K427" i="94" s="1"/>
  <c r="Q427" i="94"/>
  <c r="J463" i="94"/>
  <c r="K463" i="94" s="1"/>
  <c r="Q463" i="94"/>
  <c r="J475" i="94"/>
  <c r="K475" i="94" s="1"/>
  <c r="Q475" i="94"/>
  <c r="J571" i="94"/>
  <c r="K571" i="94" s="1"/>
  <c r="Q571" i="94"/>
  <c r="J718" i="94"/>
  <c r="K718" i="94" s="1"/>
  <c r="Q718" i="94"/>
  <c r="J77" i="94"/>
  <c r="K77" i="94" s="1"/>
  <c r="Q77" i="94"/>
  <c r="J101" i="94"/>
  <c r="K101" i="94" s="1"/>
  <c r="Q101" i="94"/>
  <c r="J137" i="94"/>
  <c r="K137" i="94" s="1"/>
  <c r="Q137" i="94"/>
  <c r="J175" i="94"/>
  <c r="K175" i="94" s="1"/>
  <c r="Q175" i="94"/>
  <c r="J211" i="94"/>
  <c r="K211" i="94" s="1"/>
  <c r="Q211" i="94"/>
  <c r="J235" i="94"/>
  <c r="K235" i="94" s="1"/>
  <c r="Q235" i="94"/>
  <c r="J260" i="94"/>
  <c r="K260" i="94" s="1"/>
  <c r="Q260" i="94"/>
  <c r="J284" i="94"/>
  <c r="K284" i="94" s="1"/>
  <c r="Q284" i="94"/>
  <c r="J320" i="94"/>
  <c r="K320" i="94" s="1"/>
  <c r="Q320" i="94"/>
  <c r="J368" i="94"/>
  <c r="K368" i="94" s="1"/>
  <c r="Q368" i="94"/>
  <c r="J404" i="94"/>
  <c r="K404" i="94" s="1"/>
  <c r="Q404" i="94"/>
  <c r="J428" i="94"/>
  <c r="K428" i="94" s="1"/>
  <c r="Q428" i="94"/>
  <c r="J476" i="94"/>
  <c r="K476" i="94" s="1"/>
  <c r="Q476" i="94"/>
  <c r="J512" i="94"/>
  <c r="K512" i="94" s="1"/>
  <c r="Q512" i="94"/>
  <c r="J560" i="94"/>
  <c r="K560" i="94" s="1"/>
  <c r="Q560" i="94"/>
  <c r="J596" i="94"/>
  <c r="K596" i="94" s="1"/>
  <c r="Q596" i="94"/>
  <c r="J656" i="94"/>
  <c r="K656" i="94" s="1"/>
  <c r="Q656" i="94"/>
  <c r="J680" i="94"/>
  <c r="K680" i="94" s="1"/>
  <c r="Q680" i="94"/>
  <c r="J731" i="94"/>
  <c r="K731" i="94" s="1"/>
  <c r="Q731" i="94"/>
  <c r="J102" i="94"/>
  <c r="K102" i="94" s="1"/>
  <c r="Q102" i="94"/>
  <c r="J114" i="94"/>
  <c r="K114" i="94" s="1"/>
  <c r="Q114" i="94"/>
  <c r="J138" i="94"/>
  <c r="K138" i="94" s="1"/>
  <c r="Q138" i="94"/>
  <c r="J150" i="94"/>
  <c r="K150" i="94" s="1"/>
  <c r="Q150" i="94"/>
  <c r="J176" i="94"/>
  <c r="K176" i="94" s="1"/>
  <c r="Q176" i="94"/>
  <c r="J212" i="94"/>
  <c r="K212" i="94" s="1"/>
  <c r="Q212" i="94"/>
  <c r="J297" i="94"/>
  <c r="K297" i="94" s="1"/>
  <c r="Q297" i="94"/>
  <c r="J309" i="94"/>
  <c r="K309" i="94" s="1"/>
  <c r="Q309" i="94"/>
  <c r="J333" i="94"/>
  <c r="K333" i="94" s="1"/>
  <c r="Q333" i="94"/>
  <c r="J357" i="94"/>
  <c r="K357" i="94" s="1"/>
  <c r="Q357" i="94"/>
  <c r="J381" i="94"/>
  <c r="K381" i="94" s="1"/>
  <c r="Q381" i="94"/>
  <c r="J489" i="94"/>
  <c r="K489" i="94" s="1"/>
  <c r="Q489" i="94"/>
  <c r="J537" i="94"/>
  <c r="K537" i="94" s="1"/>
  <c r="Q537" i="94"/>
  <c r="J549" i="94"/>
  <c r="K549" i="94" s="1"/>
  <c r="Q549" i="94"/>
  <c r="J573" i="94"/>
  <c r="K573" i="94" s="1"/>
  <c r="Q573" i="94"/>
  <c r="J621" i="94"/>
  <c r="K621" i="94" s="1"/>
  <c r="Q621" i="94"/>
  <c r="J633" i="94"/>
  <c r="K633" i="94" s="1"/>
  <c r="Q633" i="94"/>
  <c r="J645" i="94"/>
  <c r="K645" i="94" s="1"/>
  <c r="Q645" i="94"/>
  <c r="J669" i="94"/>
  <c r="K669" i="94" s="1"/>
  <c r="Q669" i="94"/>
  <c r="J681" i="94"/>
  <c r="K681" i="94" s="1"/>
  <c r="Q681" i="94"/>
  <c r="J693" i="94"/>
  <c r="K693" i="94" s="1"/>
  <c r="Q693" i="94"/>
  <c r="J720" i="94"/>
  <c r="K720" i="94" s="1"/>
  <c r="Q720" i="94"/>
  <c r="J103" i="94"/>
  <c r="K103" i="94" s="1"/>
  <c r="Q103" i="94"/>
  <c r="J139" i="94"/>
  <c r="K139" i="94" s="1"/>
  <c r="Q139" i="94"/>
  <c r="J201" i="94"/>
  <c r="K201" i="94" s="1"/>
  <c r="Q201" i="94"/>
  <c r="J250" i="94"/>
  <c r="K250" i="94" s="1"/>
  <c r="Q250" i="94"/>
  <c r="J310" i="94"/>
  <c r="K310" i="94" s="1"/>
  <c r="Q310" i="94"/>
  <c r="J442" i="94"/>
  <c r="K442" i="94" s="1"/>
  <c r="Q442" i="94"/>
  <c r="J490" i="94"/>
  <c r="K490" i="94" s="1"/>
  <c r="Q490" i="94"/>
  <c r="J502" i="94"/>
  <c r="K502" i="94" s="1"/>
  <c r="Q502" i="94"/>
  <c r="J526" i="94"/>
  <c r="K526" i="94" s="1"/>
  <c r="Q526" i="94"/>
  <c r="J622" i="94"/>
  <c r="K622" i="94" s="1"/>
  <c r="Q622" i="94"/>
  <c r="J634" i="94"/>
  <c r="K634" i="94" s="1"/>
  <c r="Q634" i="94"/>
  <c r="J646" i="94"/>
  <c r="K646" i="94" s="1"/>
  <c r="Q646" i="94"/>
  <c r="J670" i="94"/>
  <c r="K670" i="94" s="1"/>
  <c r="Q670" i="94"/>
  <c r="J682" i="94"/>
  <c r="K682" i="94" s="1"/>
  <c r="Q682" i="94"/>
  <c r="J694" i="94"/>
  <c r="K694" i="94" s="1"/>
  <c r="Q694" i="94"/>
  <c r="J733" i="94"/>
  <c r="K733" i="94" s="1"/>
  <c r="Q733" i="94"/>
  <c r="J23" i="94"/>
  <c r="K23" i="94" s="1"/>
  <c r="Q23" i="94"/>
  <c r="J68" i="94"/>
  <c r="K68" i="94" s="1"/>
  <c r="Q68" i="94"/>
  <c r="J116" i="94"/>
  <c r="K116" i="94" s="1"/>
  <c r="Q116" i="94"/>
  <c r="J140" i="94"/>
  <c r="K140" i="94" s="1"/>
  <c r="Q140" i="94"/>
  <c r="J166" i="94"/>
  <c r="K166" i="94" s="1"/>
  <c r="Q166" i="94"/>
  <c r="J263" i="94"/>
  <c r="K263" i="94" s="1"/>
  <c r="Q263" i="94"/>
  <c r="J299" i="94"/>
  <c r="K299" i="94" s="1"/>
  <c r="Q299" i="94"/>
  <c r="J323" i="94"/>
  <c r="K323" i="94" s="1"/>
  <c r="Q323" i="94"/>
  <c r="J359" i="94"/>
  <c r="K359" i="94" s="1"/>
  <c r="Q359" i="94"/>
  <c r="J383" i="94"/>
  <c r="K383" i="94" s="1"/>
  <c r="Q383" i="94"/>
  <c r="J395" i="94"/>
  <c r="K395" i="94" s="1"/>
  <c r="Q395" i="94"/>
  <c r="J419" i="94"/>
  <c r="K419" i="94" s="1"/>
  <c r="Q419" i="94"/>
  <c r="J443" i="94"/>
  <c r="K443" i="94" s="1"/>
  <c r="Q443" i="94"/>
  <c r="J467" i="94"/>
  <c r="Q467" i="94"/>
  <c r="J479" i="94"/>
  <c r="K479" i="94" s="1"/>
  <c r="Q479" i="94"/>
  <c r="J503" i="94"/>
  <c r="K503" i="94" s="1"/>
  <c r="Q503" i="94"/>
  <c r="J515" i="94"/>
  <c r="Q515" i="94"/>
  <c r="J539" i="94"/>
  <c r="K539" i="94" s="1"/>
  <c r="Q539" i="94"/>
  <c r="J563" i="94"/>
  <c r="K563" i="94" s="1"/>
  <c r="Q563" i="94"/>
  <c r="J587" i="94"/>
  <c r="K587" i="94" s="1"/>
  <c r="Q587" i="94"/>
  <c r="J635" i="94"/>
  <c r="K635" i="94" s="1"/>
  <c r="Q635" i="94"/>
  <c r="J659" i="94"/>
  <c r="Q659" i="94"/>
  <c r="J722" i="94"/>
  <c r="K722" i="94" s="1"/>
  <c r="Q722" i="94"/>
  <c r="J105" i="94"/>
  <c r="K105" i="94" s="1"/>
  <c r="Q105" i="94"/>
  <c r="J129" i="94"/>
  <c r="K129" i="94" s="1"/>
  <c r="Q129" i="94"/>
  <c r="J153" i="94"/>
  <c r="K153" i="94" s="1"/>
  <c r="Q153" i="94"/>
  <c r="J167" i="94"/>
  <c r="K167" i="94" s="1"/>
  <c r="Q167" i="94"/>
  <c r="J191" i="94"/>
  <c r="K191" i="94" s="1"/>
  <c r="Q191" i="94"/>
  <c r="J215" i="94"/>
  <c r="K215" i="94" s="1"/>
  <c r="Q215" i="94"/>
  <c r="J239" i="94"/>
  <c r="K239" i="94" s="1"/>
  <c r="Q239" i="94"/>
  <c r="J252" i="94"/>
  <c r="K252" i="94" s="1"/>
  <c r="Q252" i="94"/>
  <c r="J276" i="94"/>
  <c r="K276" i="94" s="1"/>
  <c r="Q276" i="94"/>
  <c r="J312" i="94"/>
  <c r="K312" i="94" s="1"/>
  <c r="Q312" i="94"/>
  <c r="J324" i="94"/>
  <c r="K324" i="94" s="1"/>
  <c r="Q324" i="94"/>
  <c r="J348" i="94"/>
  <c r="K348" i="94" s="1"/>
  <c r="Q348" i="94"/>
  <c r="J372" i="94"/>
  <c r="K372" i="94" s="1"/>
  <c r="Q372" i="94"/>
  <c r="J396" i="94"/>
  <c r="K396" i="94" s="1"/>
  <c r="Q396" i="94"/>
  <c r="J420" i="94"/>
  <c r="K420" i="94" s="1"/>
  <c r="Q420" i="94"/>
  <c r="J444" i="94"/>
  <c r="K444" i="94" s="1"/>
  <c r="Q444" i="94"/>
  <c r="J480" i="94"/>
  <c r="K480" i="94" s="1"/>
  <c r="Q480" i="94"/>
  <c r="J504" i="94"/>
  <c r="K504" i="94" s="1"/>
  <c r="Q504" i="94"/>
  <c r="J516" i="94"/>
  <c r="K516" i="94" s="1"/>
  <c r="Q516" i="94"/>
  <c r="J552" i="94"/>
  <c r="K552" i="94" s="1"/>
  <c r="Q552" i="94"/>
  <c r="J564" i="94"/>
  <c r="K564" i="94" s="1"/>
  <c r="Q564" i="94"/>
  <c r="J576" i="94"/>
  <c r="K576" i="94" s="1"/>
  <c r="Q576" i="94"/>
  <c r="J588" i="94"/>
  <c r="K588" i="94" s="1"/>
  <c r="Q588" i="94"/>
  <c r="J600" i="94"/>
  <c r="K600" i="94" s="1"/>
  <c r="Q600" i="94"/>
  <c r="J612" i="94"/>
  <c r="K612" i="94" s="1"/>
  <c r="Q612" i="94"/>
  <c r="J624" i="94"/>
  <c r="K624" i="94" s="1"/>
  <c r="Q624" i="94"/>
  <c r="J636" i="94"/>
  <c r="K636" i="94" s="1"/>
  <c r="Q636" i="94"/>
  <c r="J648" i="94"/>
  <c r="K648" i="94" s="1"/>
  <c r="Q648" i="94"/>
  <c r="J660" i="94"/>
  <c r="K660" i="94" s="1"/>
  <c r="Q660" i="94"/>
  <c r="J672" i="94"/>
  <c r="K672" i="94" s="1"/>
  <c r="Q672" i="94"/>
  <c r="J684" i="94"/>
  <c r="K684" i="94" s="1"/>
  <c r="Q684" i="94"/>
  <c r="J696" i="94"/>
  <c r="K696" i="94" s="1"/>
  <c r="Q696" i="94"/>
  <c r="J735" i="94"/>
  <c r="K735" i="94" s="1"/>
  <c r="Q735" i="94"/>
  <c r="J30" i="94"/>
  <c r="K30" i="94" s="1"/>
  <c r="Q30" i="94"/>
  <c r="J111" i="94"/>
  <c r="K111" i="94" s="1"/>
  <c r="Q111" i="94"/>
  <c r="J31" i="94"/>
  <c r="K31" i="94" s="1"/>
  <c r="Q31" i="94"/>
  <c r="J100" i="94"/>
  <c r="K100" i="94" s="1"/>
  <c r="Q100" i="94"/>
  <c r="J136" i="94"/>
  <c r="K136" i="94" s="1"/>
  <c r="Q136" i="94"/>
  <c r="J186" i="94"/>
  <c r="K186" i="94" s="1"/>
  <c r="Q186" i="94"/>
  <c r="J234" i="94"/>
  <c r="K234" i="94" s="1"/>
  <c r="Q234" i="94"/>
  <c r="J271" i="94"/>
  <c r="K271" i="94" s="1"/>
  <c r="Q271" i="94"/>
  <c r="J295" i="94"/>
  <c r="K295" i="94" s="1"/>
  <c r="Q295" i="94"/>
  <c r="J331" i="94"/>
  <c r="K331" i="94" s="1"/>
  <c r="Q331" i="94"/>
  <c r="J367" i="94"/>
  <c r="K367" i="94" s="1"/>
  <c r="Q367" i="94"/>
  <c r="J391" i="94"/>
  <c r="K391" i="94" s="1"/>
  <c r="Q391" i="94"/>
  <c r="J415" i="94"/>
  <c r="K415" i="94" s="1"/>
  <c r="Q415" i="94"/>
  <c r="J451" i="94"/>
  <c r="K451" i="94" s="1"/>
  <c r="Q451" i="94"/>
  <c r="J487" i="94"/>
  <c r="K487" i="94" s="1"/>
  <c r="Q487" i="94"/>
  <c r="J523" i="94"/>
  <c r="K523" i="94" s="1"/>
  <c r="Q523" i="94"/>
  <c r="J703" i="94"/>
  <c r="K703" i="94" s="1"/>
  <c r="Q703" i="94"/>
  <c r="J32" i="94"/>
  <c r="K32" i="94" s="1"/>
  <c r="Q32" i="94"/>
  <c r="J113" i="94"/>
  <c r="K113" i="94" s="1"/>
  <c r="Q113" i="94"/>
  <c r="J149" i="94"/>
  <c r="K149" i="94" s="1"/>
  <c r="Q149" i="94"/>
  <c r="J187" i="94"/>
  <c r="K187" i="94" s="1"/>
  <c r="Q187" i="94"/>
  <c r="J223" i="94"/>
  <c r="K223" i="94" s="1"/>
  <c r="Q223" i="94"/>
  <c r="J272" i="94"/>
  <c r="K272" i="94" s="1"/>
  <c r="Q272" i="94"/>
  <c r="J308" i="94"/>
  <c r="K308" i="94" s="1"/>
  <c r="Q308" i="94"/>
  <c r="J344" i="94"/>
  <c r="K344" i="94" s="1"/>
  <c r="Q344" i="94"/>
  <c r="J380" i="94"/>
  <c r="K380" i="94" s="1"/>
  <c r="Q380" i="94"/>
  <c r="J416" i="94"/>
  <c r="K416" i="94" s="1"/>
  <c r="Q416" i="94"/>
  <c r="J452" i="94"/>
  <c r="K452" i="94" s="1"/>
  <c r="Q452" i="94"/>
  <c r="J500" i="94"/>
  <c r="K500" i="94" s="1"/>
  <c r="Q500" i="94"/>
  <c r="J536" i="94"/>
  <c r="K536" i="94" s="1"/>
  <c r="Q536" i="94"/>
  <c r="J584" i="94"/>
  <c r="K584" i="94" s="1"/>
  <c r="Q584" i="94"/>
  <c r="J620" i="94"/>
  <c r="K620" i="94" s="1"/>
  <c r="Q620" i="94"/>
  <c r="J632" i="94"/>
  <c r="K632" i="94" s="1"/>
  <c r="Q632" i="94"/>
  <c r="J668" i="94"/>
  <c r="K668" i="94" s="1"/>
  <c r="Q668" i="94"/>
  <c r="J692" i="94"/>
  <c r="K692" i="94" s="1"/>
  <c r="Q692" i="94"/>
  <c r="J719" i="94"/>
  <c r="K719" i="94" s="1"/>
  <c r="Q719" i="94"/>
  <c r="J21" i="94"/>
  <c r="K21" i="94" s="1"/>
  <c r="Q21" i="94"/>
  <c r="J47" i="94"/>
  <c r="K47" i="94" s="1"/>
  <c r="Q47" i="94"/>
  <c r="J78" i="94"/>
  <c r="K78" i="94" s="1"/>
  <c r="Q78" i="94"/>
  <c r="J164" i="94"/>
  <c r="K164" i="94" s="1"/>
  <c r="Q164" i="94"/>
  <c r="J188" i="94"/>
  <c r="K188" i="94" s="1"/>
  <c r="Q188" i="94"/>
  <c r="J200" i="94"/>
  <c r="K200" i="94" s="1"/>
  <c r="Q200" i="94"/>
  <c r="J224" i="94"/>
  <c r="K224" i="94" s="1"/>
  <c r="Q224" i="94"/>
  <c r="J236" i="94"/>
  <c r="K236" i="94" s="1"/>
  <c r="Q236" i="94"/>
  <c r="J249" i="94"/>
  <c r="K249" i="94" s="1"/>
  <c r="Q249" i="94"/>
  <c r="J261" i="94"/>
  <c r="K261" i="94" s="1"/>
  <c r="Q261" i="94"/>
  <c r="J285" i="94"/>
  <c r="K285" i="94" s="1"/>
  <c r="Q285" i="94"/>
  <c r="J345" i="94"/>
  <c r="K345" i="94" s="1"/>
  <c r="Q345" i="94"/>
  <c r="J393" i="94"/>
  <c r="K393" i="94" s="1"/>
  <c r="Q393" i="94"/>
  <c r="J405" i="94"/>
  <c r="K405" i="94" s="1"/>
  <c r="Q405" i="94"/>
  <c r="J429" i="94"/>
  <c r="K429" i="94" s="1"/>
  <c r="Q429" i="94"/>
  <c r="J441" i="94"/>
  <c r="K441" i="94" s="1"/>
  <c r="Q441" i="94"/>
  <c r="J453" i="94"/>
  <c r="K453" i="94" s="1"/>
  <c r="K465" i="94" s="1"/>
  <c r="Q453" i="94"/>
  <c r="J477" i="94"/>
  <c r="K477" i="94" s="1"/>
  <c r="Q477" i="94"/>
  <c r="J501" i="94"/>
  <c r="K501" i="94" s="1"/>
  <c r="Q501" i="94"/>
  <c r="J525" i="94"/>
  <c r="K525" i="94" s="1"/>
  <c r="Q525" i="94"/>
  <c r="J585" i="94"/>
  <c r="K585" i="94" s="1"/>
  <c r="Q585" i="94"/>
  <c r="J597" i="94"/>
  <c r="K597" i="94" s="1"/>
  <c r="Q597" i="94"/>
  <c r="J732" i="94"/>
  <c r="K732" i="94" s="1"/>
  <c r="Q732" i="94"/>
  <c r="F52" i="94"/>
  <c r="J79" i="94"/>
  <c r="K79" i="94" s="1"/>
  <c r="Q79" i="94"/>
  <c r="J115" i="94"/>
  <c r="K115" i="94" s="1"/>
  <c r="Q115" i="94"/>
  <c r="J151" i="94"/>
  <c r="K151" i="94" s="1"/>
  <c r="Q151" i="94"/>
  <c r="J165" i="94"/>
  <c r="K165" i="94" s="1"/>
  <c r="Q165" i="94"/>
  <c r="J189" i="94"/>
  <c r="K189" i="94" s="1"/>
  <c r="Q189" i="94"/>
  <c r="J213" i="94"/>
  <c r="K213" i="94" s="1"/>
  <c r="Q213" i="94"/>
  <c r="J237" i="94"/>
  <c r="K237" i="94" s="1"/>
  <c r="Q237" i="94"/>
  <c r="J286" i="94"/>
  <c r="K286" i="94" s="1"/>
  <c r="Q286" i="94"/>
  <c r="J298" i="94"/>
  <c r="K298" i="94" s="1"/>
  <c r="Q298" i="94"/>
  <c r="J334" i="94"/>
  <c r="K334" i="94" s="1"/>
  <c r="Q334" i="94"/>
  <c r="J346" i="94"/>
  <c r="K346" i="94" s="1"/>
  <c r="Q346" i="94"/>
  <c r="J358" i="94"/>
  <c r="K358" i="94" s="1"/>
  <c r="Q358" i="94"/>
  <c r="J382" i="94"/>
  <c r="K382" i="94" s="1"/>
  <c r="Q382" i="94"/>
  <c r="J394" i="94"/>
  <c r="K394" i="94" s="1"/>
  <c r="Q394" i="94"/>
  <c r="J406" i="94"/>
  <c r="K406" i="94" s="1"/>
  <c r="Q406" i="94"/>
  <c r="J430" i="94"/>
  <c r="K430" i="94" s="1"/>
  <c r="Q430" i="94"/>
  <c r="J454" i="94"/>
  <c r="K454" i="94" s="1"/>
  <c r="Q454" i="94"/>
  <c r="J478" i="94"/>
  <c r="K478" i="94" s="1"/>
  <c r="Q478" i="94"/>
  <c r="J538" i="94"/>
  <c r="K538" i="94" s="1"/>
  <c r="Q538" i="94"/>
  <c r="J550" i="94"/>
  <c r="K550" i="94" s="1"/>
  <c r="Q550" i="94"/>
  <c r="J586" i="94"/>
  <c r="K586" i="94" s="1"/>
  <c r="Q586" i="94"/>
  <c r="J598" i="94"/>
  <c r="K598" i="94" s="1"/>
  <c r="Q598" i="94"/>
  <c r="J721" i="94"/>
  <c r="K721" i="94" s="1"/>
  <c r="Q721" i="94"/>
  <c r="J12" i="94"/>
  <c r="Q12" i="94"/>
  <c r="J80" i="94"/>
  <c r="K80" i="94" s="1"/>
  <c r="Q80" i="94"/>
  <c r="J104" i="94"/>
  <c r="K104" i="94" s="1"/>
  <c r="Q104" i="94"/>
  <c r="J128" i="94"/>
  <c r="K128" i="94" s="1"/>
  <c r="Q128" i="94"/>
  <c r="J152" i="94"/>
  <c r="K152" i="94" s="1"/>
  <c r="Q152" i="94"/>
  <c r="J190" i="94"/>
  <c r="K190" i="94" s="1"/>
  <c r="Q190" i="94"/>
  <c r="J202" i="94"/>
  <c r="K202" i="94" s="1"/>
  <c r="Q202" i="94"/>
  <c r="J214" i="94"/>
  <c r="K214" i="94" s="1"/>
  <c r="Q214" i="94"/>
  <c r="J238" i="94"/>
  <c r="K238" i="94" s="1"/>
  <c r="Q238" i="94"/>
  <c r="J251" i="94"/>
  <c r="K251" i="94" s="1"/>
  <c r="Q251" i="94"/>
  <c r="J287" i="94"/>
  <c r="K287" i="94" s="1"/>
  <c r="Q287" i="94"/>
  <c r="J311" i="94"/>
  <c r="K311" i="94" s="1"/>
  <c r="Q311" i="94"/>
  <c r="J335" i="94"/>
  <c r="K335" i="94" s="1"/>
  <c r="Q335" i="94"/>
  <c r="J347" i="94"/>
  <c r="K347" i="94" s="1"/>
  <c r="Q347" i="94"/>
  <c r="J371" i="94"/>
  <c r="K371" i="94" s="1"/>
  <c r="Q371" i="94"/>
  <c r="J407" i="94"/>
  <c r="K407" i="94" s="1"/>
  <c r="Q407" i="94"/>
  <c r="J431" i="94"/>
  <c r="K431" i="94" s="1"/>
  <c r="Q431" i="94"/>
  <c r="J455" i="94"/>
  <c r="K455" i="94" s="1"/>
  <c r="Q455" i="94"/>
  <c r="J491" i="94"/>
  <c r="K491" i="94" s="1"/>
  <c r="Q491" i="94"/>
  <c r="J527" i="94"/>
  <c r="K527" i="94" s="1"/>
  <c r="Q527" i="94"/>
  <c r="J551" i="94"/>
  <c r="K551" i="94" s="1"/>
  <c r="Q551" i="94"/>
  <c r="J575" i="94"/>
  <c r="K575" i="94" s="1"/>
  <c r="Q575" i="94"/>
  <c r="J599" i="94"/>
  <c r="K599" i="94" s="1"/>
  <c r="Q599" i="94"/>
  <c r="J623" i="94"/>
  <c r="K623" i="94" s="1"/>
  <c r="Q623" i="94"/>
  <c r="J647" i="94"/>
  <c r="K647" i="94" s="1"/>
  <c r="Q647" i="94"/>
  <c r="J671" i="94"/>
  <c r="K671" i="94" s="1"/>
  <c r="Q671" i="94"/>
  <c r="J683" i="94"/>
  <c r="K683" i="94" s="1"/>
  <c r="Q683" i="94"/>
  <c r="J695" i="94"/>
  <c r="K695" i="94" s="1"/>
  <c r="Q695" i="94"/>
  <c r="J734" i="94"/>
  <c r="K734" i="94" s="1"/>
  <c r="Q734" i="94"/>
  <c r="J13" i="94"/>
  <c r="K13" i="94" s="1"/>
  <c r="Q13" i="94"/>
  <c r="I38" i="94"/>
  <c r="K38" i="94" s="1"/>
  <c r="Q38" i="94"/>
  <c r="H62" i="94"/>
  <c r="Q62" i="94" s="1"/>
  <c r="Q61" i="94"/>
  <c r="J69" i="94"/>
  <c r="K69" i="94" s="1"/>
  <c r="Q69" i="94"/>
  <c r="J117" i="94"/>
  <c r="K117" i="94" s="1"/>
  <c r="Q117" i="94"/>
  <c r="J141" i="94"/>
  <c r="K141" i="94" s="1"/>
  <c r="Q141" i="94"/>
  <c r="J203" i="94"/>
  <c r="K203" i="94" s="1"/>
  <c r="Q203" i="94"/>
  <c r="J264" i="94"/>
  <c r="K264" i="94" s="1"/>
  <c r="Q264" i="94"/>
  <c r="J288" i="94"/>
  <c r="K288" i="94" s="1"/>
  <c r="Q288" i="94"/>
  <c r="J300" i="94"/>
  <c r="K300" i="94" s="1"/>
  <c r="Q300" i="94"/>
  <c r="J336" i="94"/>
  <c r="K336" i="94" s="1"/>
  <c r="Q336" i="94"/>
  <c r="J360" i="94"/>
  <c r="K360" i="94" s="1"/>
  <c r="Q360" i="94"/>
  <c r="J384" i="94"/>
  <c r="K384" i="94" s="1"/>
  <c r="Q384" i="94"/>
  <c r="J408" i="94"/>
  <c r="K408" i="94" s="1"/>
  <c r="Q408" i="94"/>
  <c r="J432" i="94"/>
  <c r="K432" i="94" s="1"/>
  <c r="Q432" i="94"/>
  <c r="J456" i="94"/>
  <c r="K456" i="94" s="1"/>
  <c r="Q456" i="94"/>
  <c r="J468" i="94"/>
  <c r="K468" i="94" s="1"/>
  <c r="Q468" i="94"/>
  <c r="J492" i="94"/>
  <c r="K492" i="94" s="1"/>
  <c r="Q492" i="94"/>
  <c r="J540" i="94"/>
  <c r="K540" i="94" s="1"/>
  <c r="Q540" i="94"/>
  <c r="J723" i="94"/>
  <c r="K723" i="94" s="1"/>
  <c r="Q723" i="94"/>
  <c r="J14" i="94"/>
  <c r="K14" i="94" s="1"/>
  <c r="Q14" i="94"/>
  <c r="I39" i="94"/>
  <c r="K39" i="94" s="1"/>
  <c r="Q39" i="94"/>
  <c r="J70" i="94"/>
  <c r="K70" i="94" s="1"/>
  <c r="Q70" i="94"/>
  <c r="J94" i="94"/>
  <c r="K94" i="94" s="1"/>
  <c r="Q94" i="94"/>
  <c r="J106" i="94"/>
  <c r="K106" i="94" s="1"/>
  <c r="Q106" i="94"/>
  <c r="J118" i="94"/>
  <c r="K118" i="94" s="1"/>
  <c r="Q118" i="94"/>
  <c r="J130" i="94"/>
  <c r="K130" i="94" s="1"/>
  <c r="Q130" i="94"/>
  <c r="J154" i="94"/>
  <c r="K154" i="94" s="1"/>
  <c r="Q154" i="94"/>
  <c r="J168" i="94"/>
  <c r="K168" i="94" s="1"/>
  <c r="Q168" i="94"/>
  <c r="J180" i="94"/>
  <c r="K180" i="94" s="1"/>
  <c r="Q180" i="94"/>
  <c r="J192" i="94"/>
  <c r="K192" i="94" s="1"/>
  <c r="Q192" i="94"/>
  <c r="J204" i="94"/>
  <c r="K204" i="94" s="1"/>
  <c r="Q204" i="94"/>
  <c r="J216" i="94"/>
  <c r="K216" i="94" s="1"/>
  <c r="Q216" i="94"/>
  <c r="J228" i="94"/>
  <c r="K228" i="94" s="1"/>
  <c r="Q228" i="94"/>
  <c r="J240" i="94"/>
  <c r="K240" i="94" s="1"/>
  <c r="Q240" i="94"/>
  <c r="J253" i="94"/>
  <c r="K253" i="94" s="1"/>
  <c r="Q253" i="94"/>
  <c r="J265" i="94"/>
  <c r="K265" i="94" s="1"/>
  <c r="Q265" i="94"/>
  <c r="J277" i="94"/>
  <c r="K277" i="94" s="1"/>
  <c r="Q277" i="94"/>
  <c r="J301" i="94"/>
  <c r="K301" i="94" s="1"/>
  <c r="Q301" i="94"/>
  <c r="J313" i="94"/>
  <c r="K313" i="94" s="1"/>
  <c r="Q313" i="94"/>
  <c r="J325" i="94"/>
  <c r="K325" i="94" s="1"/>
  <c r="Q325" i="94"/>
  <c r="J349" i="94"/>
  <c r="K349" i="94" s="1"/>
  <c r="Q349" i="94"/>
  <c r="J361" i="94"/>
  <c r="K361" i="94" s="1"/>
  <c r="Q361" i="94"/>
  <c r="J373" i="94"/>
  <c r="K373" i="94" s="1"/>
  <c r="Q373" i="94"/>
  <c r="J397" i="94"/>
  <c r="K397" i="94" s="1"/>
  <c r="Q397" i="94"/>
  <c r="J409" i="94"/>
  <c r="K409" i="94" s="1"/>
  <c r="Q409" i="94"/>
  <c r="J421" i="94"/>
  <c r="K421" i="94" s="1"/>
  <c r="Q421" i="94"/>
  <c r="J445" i="94"/>
  <c r="K445" i="94" s="1"/>
  <c r="Q445" i="94"/>
  <c r="J457" i="94"/>
  <c r="K457" i="94" s="1"/>
  <c r="Q457" i="94"/>
  <c r="J469" i="94"/>
  <c r="K469" i="94" s="1"/>
  <c r="Q469" i="94"/>
  <c r="J493" i="94"/>
  <c r="K493" i="94" s="1"/>
  <c r="Q493" i="94"/>
  <c r="J505" i="94"/>
  <c r="K505" i="94" s="1"/>
  <c r="Q505" i="94"/>
  <c r="J541" i="94"/>
  <c r="K541" i="94" s="1"/>
  <c r="Q541" i="94"/>
  <c r="J553" i="94"/>
  <c r="K553" i="94" s="1"/>
  <c r="Q553" i="94"/>
  <c r="J565" i="94"/>
  <c r="K565" i="94" s="1"/>
  <c r="Q565" i="94"/>
  <c r="J589" i="94"/>
  <c r="K589" i="94" s="1"/>
  <c r="Q589" i="94"/>
  <c r="J601" i="94"/>
  <c r="K601" i="94" s="1"/>
  <c r="Q601" i="94"/>
  <c r="J613" i="94"/>
  <c r="K613" i="94" s="1"/>
  <c r="Q613" i="94"/>
  <c r="J637" i="94"/>
  <c r="K637" i="94" s="1"/>
  <c r="Q637" i="94"/>
  <c r="J649" i="94"/>
  <c r="K649" i="94" s="1"/>
  <c r="Q649" i="94"/>
  <c r="J661" i="94"/>
  <c r="K661" i="94" s="1"/>
  <c r="Q661" i="94"/>
  <c r="J685" i="94"/>
  <c r="K685" i="94" s="1"/>
  <c r="Q685" i="94"/>
  <c r="J697" i="94"/>
  <c r="K697" i="94" s="1"/>
  <c r="Q697" i="94"/>
  <c r="J712" i="94"/>
  <c r="K712" i="94" s="1"/>
  <c r="Q712" i="94"/>
  <c r="J736" i="94"/>
  <c r="K736" i="94" s="1"/>
  <c r="Q736" i="94"/>
  <c r="J528" i="94"/>
  <c r="K528" i="94" s="1"/>
  <c r="Q528" i="94"/>
  <c r="J711" i="94"/>
  <c r="K711" i="94" s="1"/>
  <c r="Q711" i="94"/>
  <c r="J15" i="94"/>
  <c r="K15" i="94" s="1"/>
  <c r="Q15" i="94"/>
  <c r="I40" i="94"/>
  <c r="K40" i="94" s="1"/>
  <c r="Q40" i="94"/>
  <c r="H56" i="94"/>
  <c r="Q56" i="94" s="1"/>
  <c r="Q55" i="94"/>
  <c r="J71" i="94"/>
  <c r="K71" i="94" s="1"/>
  <c r="Q71" i="94"/>
  <c r="H84" i="94"/>
  <c r="Q83" i="94"/>
  <c r="J95" i="94"/>
  <c r="K95" i="94" s="1"/>
  <c r="Q95" i="94"/>
  <c r="J107" i="94"/>
  <c r="K107" i="94" s="1"/>
  <c r="Q107" i="94"/>
  <c r="J119" i="94"/>
  <c r="K119" i="94" s="1"/>
  <c r="Q119" i="94"/>
  <c r="J131" i="94"/>
  <c r="K131" i="94" s="1"/>
  <c r="Q131" i="94"/>
  <c r="J155" i="94"/>
  <c r="K155" i="94" s="1"/>
  <c r="Q155" i="94"/>
  <c r="J169" i="94"/>
  <c r="K169" i="94" s="1"/>
  <c r="Q169" i="94"/>
  <c r="J181" i="94"/>
  <c r="K181" i="94" s="1"/>
  <c r="Q181" i="94"/>
  <c r="J205" i="94"/>
  <c r="K205" i="94" s="1"/>
  <c r="Q205" i="94"/>
  <c r="J217" i="94"/>
  <c r="K217" i="94" s="1"/>
  <c r="Q217" i="94"/>
  <c r="J229" i="94"/>
  <c r="K229" i="94" s="1"/>
  <c r="Q229" i="94"/>
  <c r="J254" i="94"/>
  <c r="K254" i="94" s="1"/>
  <c r="Q254" i="94"/>
  <c r="J266" i="94"/>
  <c r="K266" i="94" s="1"/>
  <c r="Q266" i="94"/>
  <c r="J278" i="94"/>
  <c r="K278" i="94" s="1"/>
  <c r="Q278" i="94"/>
  <c r="J302" i="94"/>
  <c r="K302" i="94" s="1"/>
  <c r="Q302" i="94"/>
  <c r="J314" i="94"/>
  <c r="K314" i="94" s="1"/>
  <c r="Q314" i="94"/>
  <c r="J326" i="94"/>
  <c r="K326" i="94" s="1"/>
  <c r="Q326" i="94"/>
  <c r="J350" i="94"/>
  <c r="K350" i="94" s="1"/>
  <c r="Q350" i="94"/>
  <c r="J362" i="94"/>
  <c r="K362" i="94" s="1"/>
  <c r="Q362" i="94"/>
  <c r="J374" i="94"/>
  <c r="K374" i="94" s="1"/>
  <c r="Q374" i="94"/>
  <c r="J398" i="94"/>
  <c r="K398" i="94" s="1"/>
  <c r="Q398" i="94"/>
  <c r="J410" i="94"/>
  <c r="K410" i="94" s="1"/>
  <c r="Q410" i="94"/>
  <c r="J422" i="94"/>
  <c r="K422" i="94" s="1"/>
  <c r="Q422" i="94"/>
  <c r="J446" i="94"/>
  <c r="K446" i="94" s="1"/>
  <c r="Q446" i="94"/>
  <c r="J458" i="94"/>
  <c r="K458" i="94" s="1"/>
  <c r="Q458" i="94"/>
  <c r="J470" i="94"/>
  <c r="K470" i="94" s="1"/>
  <c r="Q470" i="94"/>
  <c r="J494" i="94"/>
  <c r="K494" i="94" s="1"/>
  <c r="Q494" i="94"/>
  <c r="J506" i="94"/>
  <c r="K506" i="94" s="1"/>
  <c r="Q506" i="94"/>
  <c r="J518" i="94"/>
  <c r="K518" i="94" s="1"/>
  <c r="Q518" i="94"/>
  <c r="J542" i="94"/>
  <c r="K542" i="94" s="1"/>
  <c r="Q542" i="94"/>
  <c r="J554" i="94"/>
  <c r="K554" i="94" s="1"/>
  <c r="Q554" i="94"/>
  <c r="J566" i="94"/>
  <c r="K566" i="94" s="1"/>
  <c r="Q566" i="94"/>
  <c r="J590" i="94"/>
  <c r="K590" i="94" s="1"/>
  <c r="Q590" i="94"/>
  <c r="J602" i="94"/>
  <c r="K602" i="94" s="1"/>
  <c r="Q602" i="94"/>
  <c r="J614" i="94"/>
  <c r="K614" i="94" s="1"/>
  <c r="Q614" i="94"/>
  <c r="J638" i="94"/>
  <c r="K638" i="94" s="1"/>
  <c r="Q638" i="94"/>
  <c r="J650" i="94"/>
  <c r="K650" i="94" s="1"/>
  <c r="Q650" i="94"/>
  <c r="J662" i="94"/>
  <c r="K662" i="94" s="1"/>
  <c r="Q662" i="94"/>
  <c r="J686" i="94"/>
  <c r="K686" i="94" s="1"/>
  <c r="Q686" i="94"/>
  <c r="J698" i="94"/>
  <c r="K698" i="94" s="1"/>
  <c r="Q698" i="94"/>
  <c r="J713" i="94"/>
  <c r="K713" i="94" s="1"/>
  <c r="Q713" i="94"/>
  <c r="J737" i="94"/>
  <c r="K737" i="94" s="1"/>
  <c r="Q737" i="94"/>
  <c r="J44" i="94"/>
  <c r="K44" i="94" s="1"/>
  <c r="Q44" i="94"/>
  <c r="J123" i="94"/>
  <c r="K123" i="94" s="1"/>
  <c r="Q123" i="94"/>
  <c r="J19" i="94"/>
  <c r="K19" i="94" s="1"/>
  <c r="Q19" i="94"/>
  <c r="J45" i="94"/>
  <c r="K45" i="94" s="1"/>
  <c r="Q45" i="94"/>
  <c r="H87" i="94"/>
  <c r="Q87" i="94" s="1"/>
  <c r="Q86" i="94"/>
  <c r="J124" i="94"/>
  <c r="K124" i="94" s="1"/>
  <c r="Q124" i="94"/>
  <c r="J148" i="94"/>
  <c r="K148" i="94" s="1"/>
  <c r="Q148" i="94"/>
  <c r="J174" i="94"/>
  <c r="K174" i="94" s="1"/>
  <c r="Q174" i="94"/>
  <c r="J198" i="94"/>
  <c r="K198" i="94" s="1"/>
  <c r="Q198" i="94"/>
  <c r="J222" i="94"/>
  <c r="K222" i="94" s="1"/>
  <c r="Q222" i="94"/>
  <c r="J247" i="94"/>
  <c r="K247" i="94" s="1"/>
  <c r="Q247" i="94"/>
  <c r="J283" i="94"/>
  <c r="K283" i="94" s="1"/>
  <c r="Q283" i="94"/>
  <c r="J319" i="94"/>
  <c r="K319" i="94" s="1"/>
  <c r="Q319" i="94"/>
  <c r="J355" i="94"/>
  <c r="K355" i="94" s="1"/>
  <c r="Q355" i="94"/>
  <c r="J439" i="94"/>
  <c r="K439" i="94" s="1"/>
  <c r="Q439" i="94"/>
  <c r="J511" i="94"/>
  <c r="K511" i="94" s="1"/>
  <c r="Q511" i="94"/>
  <c r="J559" i="94"/>
  <c r="K559" i="94" s="1"/>
  <c r="Q559" i="94"/>
  <c r="J583" i="94"/>
  <c r="K583" i="94" s="1"/>
  <c r="Q583" i="94"/>
  <c r="J607" i="94"/>
  <c r="K607" i="94" s="1"/>
  <c r="Q607" i="94"/>
  <c r="J619" i="94"/>
  <c r="K619" i="94" s="1"/>
  <c r="Q619" i="94"/>
  <c r="J631" i="94"/>
  <c r="K631" i="94" s="1"/>
  <c r="Q631" i="94"/>
  <c r="J643" i="94"/>
  <c r="K643" i="94" s="1"/>
  <c r="Q643" i="94"/>
  <c r="J655" i="94"/>
  <c r="K655" i="94" s="1"/>
  <c r="Q655" i="94"/>
  <c r="J667" i="94"/>
  <c r="K667" i="94" s="1"/>
  <c r="Q667" i="94"/>
  <c r="J679" i="94"/>
  <c r="K679" i="94" s="1"/>
  <c r="Q679" i="94"/>
  <c r="J691" i="94"/>
  <c r="K691" i="94" s="1"/>
  <c r="Q691" i="94"/>
  <c r="J730" i="94"/>
  <c r="K730" i="94" s="1"/>
  <c r="Q730" i="94"/>
  <c r="J20" i="94"/>
  <c r="K20" i="94" s="1"/>
  <c r="Q20" i="94"/>
  <c r="J46" i="94"/>
  <c r="K46" i="94" s="1"/>
  <c r="Q46" i="94"/>
  <c r="J163" i="94"/>
  <c r="Q163" i="94"/>
  <c r="J199" i="94"/>
  <c r="K199" i="94" s="1"/>
  <c r="Q199" i="94"/>
  <c r="J248" i="94"/>
  <c r="K248" i="94" s="1"/>
  <c r="Q248" i="94"/>
  <c r="J296" i="94"/>
  <c r="K296" i="94" s="1"/>
  <c r="Q296" i="94"/>
  <c r="J332" i="94"/>
  <c r="K332" i="94" s="1"/>
  <c r="Q332" i="94"/>
  <c r="J356" i="94"/>
  <c r="K356" i="94" s="1"/>
  <c r="Q356" i="94"/>
  <c r="J392" i="94"/>
  <c r="K392" i="94" s="1"/>
  <c r="Q392" i="94"/>
  <c r="J440" i="94"/>
  <c r="K440" i="94" s="1"/>
  <c r="Q440" i="94"/>
  <c r="J464" i="94"/>
  <c r="K464" i="94" s="1"/>
  <c r="Q464" i="94"/>
  <c r="J488" i="94"/>
  <c r="K488" i="94" s="1"/>
  <c r="Q488" i="94"/>
  <c r="J524" i="94"/>
  <c r="K524" i="94" s="1"/>
  <c r="Q524" i="94"/>
  <c r="J548" i="94"/>
  <c r="K548" i="94" s="1"/>
  <c r="Q548" i="94"/>
  <c r="J572" i="94"/>
  <c r="K572" i="94" s="1"/>
  <c r="Q572" i="94"/>
  <c r="J608" i="94"/>
  <c r="K608" i="94" s="1"/>
  <c r="Q608" i="94"/>
  <c r="J644" i="94"/>
  <c r="K644" i="94" s="1"/>
  <c r="K657" i="94" s="1"/>
  <c r="Q644" i="94"/>
  <c r="J704" i="94"/>
  <c r="K704" i="94" s="1"/>
  <c r="Q704" i="94"/>
  <c r="J16" i="94"/>
  <c r="K16" i="94" s="1"/>
  <c r="Q16" i="94"/>
  <c r="J27" i="94"/>
  <c r="K27" i="94" s="1"/>
  <c r="Q27" i="94"/>
  <c r="J41" i="94"/>
  <c r="K41" i="94" s="1"/>
  <c r="Q41" i="94"/>
  <c r="J72" i="94"/>
  <c r="K72" i="94" s="1"/>
  <c r="Q72" i="94"/>
  <c r="Q84" i="94"/>
  <c r="J96" i="94"/>
  <c r="K96" i="94" s="1"/>
  <c r="Q96" i="94"/>
  <c r="J120" i="94"/>
  <c r="K120" i="94" s="1"/>
  <c r="Q120" i="94"/>
  <c r="J132" i="94"/>
  <c r="K132" i="94" s="1"/>
  <c r="Q132" i="94"/>
  <c r="J144" i="94"/>
  <c r="K144" i="94" s="1"/>
  <c r="Q144" i="94"/>
  <c r="J156" i="94"/>
  <c r="K156" i="94" s="1"/>
  <c r="Q156" i="94"/>
  <c r="J170" i="94"/>
  <c r="K170" i="94" s="1"/>
  <c r="Q170" i="94"/>
  <c r="J182" i="94"/>
  <c r="K182" i="94" s="1"/>
  <c r="Q182" i="94"/>
  <c r="J206" i="94"/>
  <c r="K206" i="94" s="1"/>
  <c r="Q206" i="94"/>
  <c r="J218" i="94"/>
  <c r="K218" i="94" s="1"/>
  <c r="Q218" i="94"/>
  <c r="J230" i="94"/>
  <c r="K230" i="94" s="1"/>
  <c r="Q230" i="94"/>
  <c r="J243" i="94"/>
  <c r="K243" i="94" s="1"/>
  <c r="K257" i="94" s="1"/>
  <c r="Q243" i="94"/>
  <c r="J255" i="94"/>
  <c r="K255" i="94" s="1"/>
  <c r="Q255" i="94"/>
  <c r="J267" i="94"/>
  <c r="K267" i="94" s="1"/>
  <c r="Q267" i="94"/>
  <c r="J279" i="94"/>
  <c r="K279" i="94" s="1"/>
  <c r="Q279" i="94"/>
  <c r="J303" i="94"/>
  <c r="K303" i="94" s="1"/>
  <c r="Q303" i="94"/>
  <c r="J315" i="94"/>
  <c r="K315" i="94" s="1"/>
  <c r="Q315" i="94"/>
  <c r="J327" i="94"/>
  <c r="K327" i="94" s="1"/>
  <c r="Q327" i="94"/>
  <c r="J351" i="94"/>
  <c r="K351" i="94" s="1"/>
  <c r="Q351" i="94"/>
  <c r="J363" i="94"/>
  <c r="K363" i="94" s="1"/>
  <c r="K369" i="94" s="1"/>
  <c r="Q363" i="94"/>
  <c r="J375" i="94"/>
  <c r="K375" i="94" s="1"/>
  <c r="Q375" i="94"/>
  <c r="J387" i="94"/>
  <c r="K387" i="94" s="1"/>
  <c r="Q387" i="94"/>
  <c r="J399" i="94"/>
  <c r="K399" i="94" s="1"/>
  <c r="Q399" i="94"/>
  <c r="J411" i="94"/>
  <c r="K411" i="94" s="1"/>
  <c r="Q411" i="94"/>
  <c r="J423" i="94"/>
  <c r="K423" i="94" s="1"/>
  <c r="Q423" i="94"/>
  <c r="J435" i="94"/>
  <c r="K435" i="94" s="1"/>
  <c r="K449" i="94" s="1"/>
  <c r="Q435" i="94"/>
  <c r="J447" i="94"/>
  <c r="K447" i="94" s="1"/>
  <c r="Q447" i="94"/>
  <c r="J459" i="94"/>
  <c r="K459" i="94" s="1"/>
  <c r="Q459" i="94"/>
  <c r="J471" i="94"/>
  <c r="K471" i="94" s="1"/>
  <c r="Q471" i="94"/>
  <c r="J495" i="94"/>
  <c r="K495" i="94" s="1"/>
  <c r="Q495" i="94"/>
  <c r="J507" i="94"/>
  <c r="K507" i="94" s="1"/>
  <c r="Q507" i="94"/>
  <c r="J519" i="94"/>
  <c r="K519" i="94" s="1"/>
  <c r="Q519" i="94"/>
  <c r="J531" i="94"/>
  <c r="Q531" i="94"/>
  <c r="J543" i="94"/>
  <c r="K543" i="94" s="1"/>
  <c r="Q543" i="94"/>
  <c r="J555" i="94"/>
  <c r="K555" i="94" s="1"/>
  <c r="Q555" i="94"/>
  <c r="J567" i="94"/>
  <c r="K567" i="94" s="1"/>
  <c r="Q567" i="94"/>
  <c r="J579" i="94"/>
  <c r="K579" i="94" s="1"/>
  <c r="Q579" i="94"/>
  <c r="J591" i="94"/>
  <c r="K591" i="94" s="1"/>
  <c r="Q591" i="94"/>
  <c r="J603" i="94"/>
  <c r="K603" i="94" s="1"/>
  <c r="Q603" i="94"/>
  <c r="J615" i="94"/>
  <c r="K615" i="94" s="1"/>
  <c r="Q615" i="94"/>
  <c r="J639" i="94"/>
  <c r="K639" i="94" s="1"/>
  <c r="Q639" i="94"/>
  <c r="J651" i="94"/>
  <c r="K651" i="94" s="1"/>
  <c r="Q651" i="94"/>
  <c r="J663" i="94"/>
  <c r="K663" i="94" s="1"/>
  <c r="Q663" i="94"/>
  <c r="J687" i="94"/>
  <c r="K687" i="94" s="1"/>
  <c r="Q687" i="94"/>
  <c r="J699" i="94"/>
  <c r="K699" i="94" s="1"/>
  <c r="Q699" i="94"/>
  <c r="J714" i="94"/>
  <c r="K714" i="94" s="1"/>
  <c r="Q714" i="94"/>
  <c r="J738" i="94"/>
  <c r="K738" i="94" s="1"/>
  <c r="Q738" i="94"/>
  <c r="J28" i="94"/>
  <c r="K28" i="94" s="1"/>
  <c r="Q28" i="94"/>
  <c r="J42" i="94"/>
  <c r="K42" i="94" s="1"/>
  <c r="Q42" i="94"/>
  <c r="J73" i="94"/>
  <c r="K73" i="94" s="1"/>
  <c r="Q73" i="94"/>
  <c r="J97" i="94"/>
  <c r="K97" i="94" s="1"/>
  <c r="Q97" i="94"/>
  <c r="J121" i="94"/>
  <c r="K121" i="94" s="1"/>
  <c r="Q121" i="94"/>
  <c r="J133" i="94"/>
  <c r="K133" i="94" s="1"/>
  <c r="Q133" i="94"/>
  <c r="J145" i="94"/>
  <c r="K145" i="94" s="1"/>
  <c r="Q145" i="94"/>
  <c r="J157" i="94"/>
  <c r="K157" i="94" s="1"/>
  <c r="Q157" i="94"/>
  <c r="J171" i="94"/>
  <c r="K171" i="94" s="1"/>
  <c r="Q171" i="94"/>
  <c r="J183" i="94"/>
  <c r="K183" i="94" s="1"/>
  <c r="Q183" i="94"/>
  <c r="J207" i="94"/>
  <c r="K207" i="94" s="1"/>
  <c r="Q207" i="94"/>
  <c r="J219" i="94"/>
  <c r="K219" i="94" s="1"/>
  <c r="Q219" i="94"/>
  <c r="J231" i="94"/>
  <c r="K231" i="94" s="1"/>
  <c r="Q231" i="94"/>
  <c r="J244" i="94"/>
  <c r="K244" i="94" s="1"/>
  <c r="Q244" i="94"/>
  <c r="J256" i="94"/>
  <c r="K256" i="94" s="1"/>
  <c r="Q256" i="94"/>
  <c r="J268" i="94"/>
  <c r="K268" i="94" s="1"/>
  <c r="Q268" i="94"/>
  <c r="J280" i="94"/>
  <c r="K280" i="94" s="1"/>
  <c r="Q280" i="94"/>
  <c r="J292" i="94"/>
  <c r="K292" i="94" s="1"/>
  <c r="Q292" i="94"/>
  <c r="J304" i="94"/>
  <c r="K304" i="94" s="1"/>
  <c r="Q304" i="94"/>
  <c r="J316" i="94"/>
  <c r="K316" i="94" s="1"/>
  <c r="Q316" i="94"/>
  <c r="J328" i="94"/>
  <c r="K328" i="94" s="1"/>
  <c r="Q328" i="94"/>
  <c r="J340" i="94"/>
  <c r="K340" i="94" s="1"/>
  <c r="Q340" i="94"/>
  <c r="J352" i="94"/>
  <c r="K352" i="94" s="1"/>
  <c r="Q352" i="94"/>
  <c r="J364" i="94"/>
  <c r="K364" i="94" s="1"/>
  <c r="Q364" i="94"/>
  <c r="J376" i="94"/>
  <c r="K376" i="94" s="1"/>
  <c r="Q376" i="94"/>
  <c r="J388" i="94"/>
  <c r="K388" i="94" s="1"/>
  <c r="Q388" i="94"/>
  <c r="J400" i="94"/>
  <c r="K400" i="94" s="1"/>
  <c r="Q400" i="94"/>
  <c r="J412" i="94"/>
  <c r="K412" i="94" s="1"/>
  <c r="Q412" i="94"/>
  <c r="J424" i="94"/>
  <c r="K424" i="94" s="1"/>
  <c r="Q424" i="94"/>
  <c r="J436" i="94"/>
  <c r="K436" i="94" s="1"/>
  <c r="Q436" i="94"/>
  <c r="J448" i="94"/>
  <c r="K448" i="94" s="1"/>
  <c r="Q448" i="94"/>
  <c r="J460" i="94"/>
  <c r="K460" i="94" s="1"/>
  <c r="Q460" i="94"/>
  <c r="J472" i="94"/>
  <c r="K472" i="94" s="1"/>
  <c r="Q472" i="94"/>
  <c r="J484" i="94"/>
  <c r="K484" i="94" s="1"/>
  <c r="Q484" i="94"/>
  <c r="J496" i="94"/>
  <c r="K496" i="94" s="1"/>
  <c r="Q496" i="94"/>
  <c r="J508" i="94"/>
  <c r="K508" i="94" s="1"/>
  <c r="Q508" i="94"/>
  <c r="J520" i="94"/>
  <c r="K520" i="94" s="1"/>
  <c r="Q520" i="94"/>
  <c r="J532" i="94"/>
  <c r="K532" i="94" s="1"/>
  <c r="Q532" i="94"/>
  <c r="J544" i="94"/>
  <c r="K544" i="94" s="1"/>
  <c r="Q544" i="94"/>
  <c r="J556" i="94"/>
  <c r="K556" i="94" s="1"/>
  <c r="Q556" i="94"/>
  <c r="J568" i="94"/>
  <c r="K568" i="94" s="1"/>
  <c r="Q568" i="94"/>
  <c r="J592" i="94"/>
  <c r="K592" i="94" s="1"/>
  <c r="Q592" i="94"/>
  <c r="J604" i="94"/>
  <c r="K604" i="94" s="1"/>
  <c r="Q604" i="94"/>
  <c r="J616" i="94"/>
  <c r="K616" i="94" s="1"/>
  <c r="Q616" i="94"/>
  <c r="J628" i="94"/>
  <c r="K628" i="94" s="1"/>
  <c r="Q628" i="94"/>
  <c r="J640" i="94"/>
  <c r="K640" i="94" s="1"/>
  <c r="Q640" i="94"/>
  <c r="J652" i="94"/>
  <c r="K652" i="94" s="1"/>
  <c r="Q652" i="94"/>
  <c r="J664" i="94"/>
  <c r="K664" i="94" s="1"/>
  <c r="Q664" i="94"/>
  <c r="J676" i="94"/>
  <c r="K676" i="94" s="1"/>
  <c r="Q676" i="94"/>
  <c r="J688" i="94"/>
  <c r="K688" i="94" s="1"/>
  <c r="Q688" i="94"/>
  <c r="J700" i="94"/>
  <c r="K700" i="94" s="1"/>
  <c r="Q700" i="94"/>
  <c r="J715" i="94"/>
  <c r="K715" i="94" s="1"/>
  <c r="Q715" i="94"/>
  <c r="J727" i="94"/>
  <c r="K727" i="94" s="1"/>
  <c r="Q727" i="94"/>
  <c r="J739" i="94"/>
  <c r="K739" i="94" s="1"/>
  <c r="Q739" i="94"/>
  <c r="J29" i="94"/>
  <c r="K29" i="94" s="1"/>
  <c r="Q29" i="94"/>
  <c r="J43" i="94"/>
  <c r="K43" i="94" s="1"/>
  <c r="Q43" i="94"/>
  <c r="H65" i="94"/>
  <c r="Q65" i="94" s="1"/>
  <c r="Q64" i="94"/>
  <c r="J74" i="94"/>
  <c r="K74" i="94" s="1"/>
  <c r="Q74" i="94"/>
  <c r="J98" i="94"/>
  <c r="K98" i="94" s="1"/>
  <c r="Q98" i="94"/>
  <c r="J110" i="94"/>
  <c r="K110" i="94" s="1"/>
  <c r="Q110" i="94"/>
  <c r="J122" i="94"/>
  <c r="K122" i="94" s="1"/>
  <c r="Q122" i="94"/>
  <c r="J134" i="94"/>
  <c r="K134" i="94" s="1"/>
  <c r="Q134" i="94"/>
  <c r="J146" i="94"/>
  <c r="K146" i="94" s="1"/>
  <c r="Q146" i="94"/>
  <c r="J158" i="94"/>
  <c r="K158" i="94" s="1"/>
  <c r="Q158" i="94"/>
  <c r="J172" i="94"/>
  <c r="K172" i="94" s="1"/>
  <c r="Q172" i="94"/>
  <c r="J184" i="94"/>
  <c r="K184" i="94" s="1"/>
  <c r="Q184" i="94"/>
  <c r="J196" i="94"/>
  <c r="K196" i="94" s="1"/>
  <c r="Q196" i="94"/>
  <c r="J208" i="94"/>
  <c r="K208" i="94" s="1"/>
  <c r="Q208" i="94"/>
  <c r="J220" i="94"/>
  <c r="K220" i="94" s="1"/>
  <c r="Q220" i="94"/>
  <c r="J232" i="94"/>
  <c r="K232" i="94" s="1"/>
  <c r="Q232" i="94"/>
  <c r="J245" i="94"/>
  <c r="K245" i="94" s="1"/>
  <c r="Q245" i="94"/>
  <c r="J269" i="94"/>
  <c r="K269" i="94" s="1"/>
  <c r="Q269" i="94"/>
  <c r="J281" i="94"/>
  <c r="K281" i="94" s="1"/>
  <c r="Q281" i="94"/>
  <c r="J293" i="94"/>
  <c r="K293" i="94" s="1"/>
  <c r="Q293" i="94"/>
  <c r="J317" i="94"/>
  <c r="K317" i="94" s="1"/>
  <c r="Q317" i="94"/>
  <c r="J329" i="94"/>
  <c r="K329" i="94" s="1"/>
  <c r="Q329" i="94"/>
  <c r="J341" i="94"/>
  <c r="K341" i="94" s="1"/>
  <c r="Q341" i="94"/>
  <c r="J365" i="94"/>
  <c r="K365" i="94" s="1"/>
  <c r="Q365" i="94"/>
  <c r="J377" i="94"/>
  <c r="K377" i="94" s="1"/>
  <c r="Q377" i="94"/>
  <c r="J389" i="94"/>
  <c r="K389" i="94" s="1"/>
  <c r="Q389" i="94"/>
  <c r="J413" i="94"/>
  <c r="K413" i="94" s="1"/>
  <c r="Q413" i="94"/>
  <c r="J425" i="94"/>
  <c r="K425" i="94" s="1"/>
  <c r="Q425" i="94"/>
  <c r="J437" i="94"/>
  <c r="K437" i="94" s="1"/>
  <c r="Q437" i="94"/>
  <c r="J461" i="94"/>
  <c r="K461" i="94" s="1"/>
  <c r="Q461" i="94"/>
  <c r="J473" i="94"/>
  <c r="K473" i="94" s="1"/>
  <c r="Q473" i="94"/>
  <c r="J485" i="94"/>
  <c r="K485" i="94" s="1"/>
  <c r="Q485" i="94"/>
  <c r="J509" i="94"/>
  <c r="K509" i="94" s="1"/>
  <c r="Q509" i="94"/>
  <c r="J521" i="94"/>
  <c r="K521" i="94" s="1"/>
  <c r="Q521" i="94"/>
  <c r="J533" i="94"/>
  <c r="K533" i="94" s="1"/>
  <c r="Q533" i="94"/>
  <c r="J557" i="94"/>
  <c r="K557" i="94" s="1"/>
  <c r="Q557" i="94"/>
  <c r="J569" i="94"/>
  <c r="K569" i="94" s="1"/>
  <c r="Q569" i="94"/>
  <c r="J581" i="94"/>
  <c r="K581" i="94" s="1"/>
  <c r="Q581" i="94"/>
  <c r="J605" i="94"/>
  <c r="K605" i="94" s="1"/>
  <c r="Q605" i="94"/>
  <c r="J617" i="94"/>
  <c r="K617" i="94" s="1"/>
  <c r="Q617" i="94"/>
  <c r="J629" i="94"/>
  <c r="K629" i="94" s="1"/>
  <c r="Q629" i="94"/>
  <c r="J653" i="94"/>
  <c r="K653" i="94" s="1"/>
  <c r="Q653" i="94"/>
  <c r="J665" i="94"/>
  <c r="K665" i="94" s="1"/>
  <c r="Q665" i="94"/>
  <c r="J677" i="94"/>
  <c r="K677" i="94" s="1"/>
  <c r="Q677" i="94"/>
  <c r="J701" i="94"/>
  <c r="K701" i="94" s="1"/>
  <c r="Q701" i="94"/>
  <c r="J716" i="94"/>
  <c r="K716" i="94" s="1"/>
  <c r="Q716" i="94"/>
  <c r="J728" i="94"/>
  <c r="K728" i="94" s="1"/>
  <c r="Q728" i="94"/>
  <c r="J135" i="94"/>
  <c r="K135" i="94" s="1"/>
  <c r="Q135" i="94"/>
  <c r="J147" i="94"/>
  <c r="K147" i="94" s="1"/>
  <c r="Q147" i="94"/>
  <c r="J173" i="94"/>
  <c r="K173" i="94" s="1"/>
  <c r="Q173" i="94"/>
  <c r="J185" i="94"/>
  <c r="K185" i="94" s="1"/>
  <c r="Q185" i="94"/>
  <c r="J197" i="94"/>
  <c r="K197" i="94" s="1"/>
  <c r="Q197" i="94"/>
  <c r="J221" i="94"/>
  <c r="K221" i="94" s="1"/>
  <c r="Q221" i="94"/>
  <c r="J233" i="94"/>
  <c r="K233" i="94" s="1"/>
  <c r="Q233" i="94"/>
  <c r="J246" i="94"/>
  <c r="K246" i="94" s="1"/>
  <c r="Q246" i="94"/>
  <c r="J270" i="94"/>
  <c r="K270" i="94" s="1"/>
  <c r="Q270" i="94"/>
  <c r="J282" i="94"/>
  <c r="K282" i="94" s="1"/>
  <c r="Q282" i="94"/>
  <c r="J294" i="94"/>
  <c r="K294" i="94" s="1"/>
  <c r="Q294" i="94"/>
  <c r="J318" i="94"/>
  <c r="K318" i="94" s="1"/>
  <c r="Q318" i="94"/>
  <c r="J330" i="94"/>
  <c r="K330" i="94" s="1"/>
  <c r="Q330" i="94"/>
  <c r="J342" i="94"/>
  <c r="K342" i="94" s="1"/>
  <c r="Q342" i="94"/>
  <c r="J366" i="94"/>
  <c r="K366" i="94" s="1"/>
  <c r="Q366" i="94"/>
  <c r="J378" i="94"/>
  <c r="K378" i="94" s="1"/>
  <c r="Q378" i="94"/>
  <c r="J390" i="94"/>
  <c r="K390" i="94" s="1"/>
  <c r="Q390" i="94"/>
  <c r="J414" i="94"/>
  <c r="K414" i="94" s="1"/>
  <c r="Q414" i="94"/>
  <c r="J426" i="94"/>
  <c r="K426" i="94" s="1"/>
  <c r="Q426" i="94"/>
  <c r="J438" i="94"/>
  <c r="K438" i="94" s="1"/>
  <c r="Q438" i="94"/>
  <c r="J462" i="94"/>
  <c r="K462" i="94" s="1"/>
  <c r="Q462" i="94"/>
  <c r="J474" i="94"/>
  <c r="K474" i="94" s="1"/>
  <c r="Q474" i="94"/>
  <c r="J486" i="94"/>
  <c r="K486" i="94" s="1"/>
  <c r="Q486" i="94"/>
  <c r="J510" i="94"/>
  <c r="K510" i="94" s="1"/>
  <c r="Q510" i="94"/>
  <c r="J522" i="94"/>
  <c r="K522" i="94" s="1"/>
  <c r="Q522" i="94"/>
  <c r="J534" i="94"/>
  <c r="K534" i="94" s="1"/>
  <c r="Q534" i="94"/>
  <c r="J558" i="94"/>
  <c r="K558" i="94" s="1"/>
  <c r="Q558" i="94"/>
  <c r="J570" i="94"/>
  <c r="K570" i="94" s="1"/>
  <c r="Q570" i="94"/>
  <c r="J582" i="94"/>
  <c r="K582" i="94" s="1"/>
  <c r="Q582" i="94"/>
  <c r="J606" i="94"/>
  <c r="K606" i="94" s="1"/>
  <c r="Q606" i="94"/>
  <c r="J618" i="94"/>
  <c r="K618" i="94" s="1"/>
  <c r="Q618" i="94"/>
  <c r="J630" i="94"/>
  <c r="K630" i="94" s="1"/>
  <c r="Q630" i="94"/>
  <c r="J654" i="94"/>
  <c r="K654" i="94" s="1"/>
  <c r="Q654" i="94"/>
  <c r="J666" i="94"/>
  <c r="K666" i="94" s="1"/>
  <c r="Q666" i="94"/>
  <c r="J678" i="94"/>
  <c r="K678" i="94" s="1"/>
  <c r="Q678" i="94"/>
  <c r="J702" i="94"/>
  <c r="K702" i="94" s="1"/>
  <c r="Q702" i="94"/>
  <c r="J717" i="94"/>
  <c r="K717" i="94" s="1"/>
  <c r="Q717" i="94"/>
  <c r="J729" i="94"/>
  <c r="K729" i="94" s="1"/>
  <c r="Q729" i="94"/>
  <c r="I741" i="94"/>
  <c r="D20" i="96" s="1"/>
  <c r="E25" i="94"/>
  <c r="I25" i="94"/>
  <c r="I34" i="94" s="1"/>
  <c r="D16" i="96" s="1"/>
  <c r="H16" i="96" s="1"/>
  <c r="J76" i="94"/>
  <c r="K76" i="94" s="1"/>
  <c r="G8" i="76"/>
  <c r="J75" i="94"/>
  <c r="K75" i="94" s="1"/>
  <c r="G7" i="76"/>
  <c r="P7" i="76" s="1"/>
  <c r="F160" i="94"/>
  <c r="F741" i="94"/>
  <c r="H305" i="94"/>
  <c r="J291" i="94"/>
  <c r="K291" i="94" s="1"/>
  <c r="H513" i="94"/>
  <c r="H51" i="94"/>
  <c r="J50" i="94"/>
  <c r="J51" i="94" s="1"/>
  <c r="H209" i="94"/>
  <c r="J195" i="94"/>
  <c r="J499" i="94"/>
  <c r="H641" i="94"/>
  <c r="J627" i="94"/>
  <c r="K627" i="94" s="1"/>
  <c r="F25" i="94"/>
  <c r="F34" i="94" s="1"/>
  <c r="H740" i="94"/>
  <c r="I160" i="94"/>
  <c r="H449" i="94"/>
  <c r="J726" i="94"/>
  <c r="K726" i="94" s="1"/>
  <c r="H24" i="94"/>
  <c r="H177" i="94"/>
  <c r="H81" i="94"/>
  <c r="H125" i="94"/>
  <c r="H17" i="94"/>
  <c r="H33" i="94"/>
  <c r="H48" i="94"/>
  <c r="I37" i="94"/>
  <c r="J67" i="94"/>
  <c r="K67" i="94" s="1"/>
  <c r="J93" i="94"/>
  <c r="H108" i="94"/>
  <c r="H193" i="94"/>
  <c r="J179" i="94"/>
  <c r="J307" i="94"/>
  <c r="H321" i="94"/>
  <c r="H417" i="94"/>
  <c r="J403" i="94"/>
  <c r="F88" i="94"/>
  <c r="H159" i="94"/>
  <c r="K163" i="94"/>
  <c r="H289" i="94"/>
  <c r="J275" i="94"/>
  <c r="I88" i="94"/>
  <c r="D18" i="96" s="1"/>
  <c r="J127" i="94"/>
  <c r="K127" i="94" s="1"/>
  <c r="H142" i="94"/>
  <c r="H241" i="94"/>
  <c r="J227" i="94"/>
  <c r="K259" i="94"/>
  <c r="H497" i="94"/>
  <c r="J483" i="94"/>
  <c r="J535" i="94"/>
  <c r="K535" i="94" s="1"/>
  <c r="H545" i="94"/>
  <c r="I706" i="94"/>
  <c r="H225" i="94"/>
  <c r="H273" i="94"/>
  <c r="H353" i="94"/>
  <c r="J339" i="94"/>
  <c r="H257" i="94"/>
  <c r="H401" i="94"/>
  <c r="F706" i="94"/>
  <c r="H337" i="94"/>
  <c r="H529" i="94"/>
  <c r="J517" i="94"/>
  <c r="K517" i="94" s="1"/>
  <c r="K531" i="94"/>
  <c r="H385" i="94"/>
  <c r="J595" i="94"/>
  <c r="H609" i="94"/>
  <c r="H369" i="94"/>
  <c r="K467" i="94"/>
  <c r="H481" i="94"/>
  <c r="K515" i="94"/>
  <c r="H561" i="94"/>
  <c r="H625" i="94"/>
  <c r="J611" i="94"/>
  <c r="K659" i="94"/>
  <c r="H689" i="94"/>
  <c r="J675" i="94"/>
  <c r="H433" i="94"/>
  <c r="H465" i="94"/>
  <c r="J547" i="94"/>
  <c r="J580" i="94"/>
  <c r="K580" i="94" s="1"/>
  <c r="H593" i="94"/>
  <c r="H673" i="94"/>
  <c r="H724" i="94"/>
  <c r="J710" i="94"/>
  <c r="H577" i="94"/>
  <c r="H705" i="94"/>
  <c r="H657" i="94"/>
  <c r="R10" i="16"/>
  <c r="J273" i="94" l="1"/>
  <c r="J433" i="94"/>
  <c r="K577" i="94"/>
  <c r="J33" i="94"/>
  <c r="J385" i="94"/>
  <c r="K225" i="94"/>
  <c r="J177" i="94"/>
  <c r="H52" i="94"/>
  <c r="K159" i="94"/>
  <c r="J465" i="94"/>
  <c r="J481" i="94"/>
  <c r="J159" i="94"/>
  <c r="J17" i="94"/>
  <c r="J705" i="94"/>
  <c r="H88" i="94"/>
  <c r="J257" i="94"/>
  <c r="J673" i="94"/>
  <c r="J577" i="94"/>
  <c r="J48" i="94"/>
  <c r="J52" i="94" s="1"/>
  <c r="C17" i="96" s="1"/>
  <c r="J449" i="94"/>
  <c r="J24" i="94"/>
  <c r="J25" i="94" s="1"/>
  <c r="J34" i="94" s="1"/>
  <c r="C16" i="96" s="1"/>
  <c r="G16" i="96" s="1"/>
  <c r="J401" i="94"/>
  <c r="J225" i="94"/>
  <c r="J337" i="94"/>
  <c r="J513" i="94"/>
  <c r="J657" i="94"/>
  <c r="K12" i="94"/>
  <c r="J545" i="94"/>
  <c r="J125" i="94"/>
  <c r="J369" i="94"/>
  <c r="E34" i="94"/>
  <c r="S10" i="16"/>
  <c r="N23" i="94"/>
  <c r="O23" i="94" s="1"/>
  <c r="P23" i="94" s="1"/>
  <c r="N20" i="94"/>
  <c r="O20" i="94" s="1"/>
  <c r="P20" i="94" s="1"/>
  <c r="N19" i="94"/>
  <c r="O19" i="94" s="1"/>
  <c r="P19" i="94" s="1"/>
  <c r="N22" i="94"/>
  <c r="O22" i="94" s="1"/>
  <c r="P22" i="94" s="1"/>
  <c r="N21" i="94"/>
  <c r="O21" i="94" s="1"/>
  <c r="P21" i="94" s="1"/>
  <c r="K195" i="94"/>
  <c r="K209" i="94" s="1"/>
  <c r="J209" i="94"/>
  <c r="K673" i="94"/>
  <c r="K401" i="94"/>
  <c r="K385" i="94"/>
  <c r="K705" i="94"/>
  <c r="K337" i="94"/>
  <c r="K433" i="94"/>
  <c r="K740" i="94"/>
  <c r="K641" i="94"/>
  <c r="K273" i="94"/>
  <c r="K177" i="94"/>
  <c r="K481" i="94"/>
  <c r="K305" i="94"/>
  <c r="K17" i="94"/>
  <c r="K33" i="94"/>
  <c r="K24" i="94"/>
  <c r="P8" i="76"/>
  <c r="F707" i="94"/>
  <c r="I707" i="94"/>
  <c r="D19" i="96" s="1"/>
  <c r="H741" i="94"/>
  <c r="K593" i="94"/>
  <c r="K499" i="94"/>
  <c r="K545" i="94"/>
  <c r="J305" i="94"/>
  <c r="K50" i="94"/>
  <c r="K51" i="94" s="1"/>
  <c r="J593" i="94"/>
  <c r="J641" i="94"/>
  <c r="J740" i="94"/>
  <c r="K595" i="94"/>
  <c r="J609" i="94"/>
  <c r="K227" i="94"/>
  <c r="J241" i="94"/>
  <c r="H160" i="94"/>
  <c r="K529" i="94"/>
  <c r="J529" i="94"/>
  <c r="J142" i="94"/>
  <c r="K93" i="94"/>
  <c r="J108" i="94"/>
  <c r="K37" i="94"/>
  <c r="K48" i="94" s="1"/>
  <c r="I48" i="94"/>
  <c r="I52" i="94" s="1"/>
  <c r="D17" i="96" s="1"/>
  <c r="H25" i="94"/>
  <c r="H34" i="94" s="1"/>
  <c r="K339" i="94"/>
  <c r="J353" i="94"/>
  <c r="K403" i="94"/>
  <c r="J417" i="94"/>
  <c r="J193" i="94"/>
  <c r="K179" i="94"/>
  <c r="K710" i="94"/>
  <c r="J724" i="94"/>
  <c r="K547" i="94"/>
  <c r="J561" i="94"/>
  <c r="K675" i="94"/>
  <c r="J689" i="94"/>
  <c r="K611" i="94"/>
  <c r="J625" i="94"/>
  <c r="K483" i="94"/>
  <c r="J497" i="94"/>
  <c r="J289" i="94"/>
  <c r="K275" i="94"/>
  <c r="J321" i="94"/>
  <c r="K307" i="94"/>
  <c r="J81" i="94"/>
  <c r="J88" i="94" s="1"/>
  <c r="C18" i="96" s="1"/>
  <c r="H706" i="94"/>
  <c r="K7" i="79"/>
  <c r="J7" i="79"/>
  <c r="G61" i="80"/>
  <c r="L7" i="79" s="1"/>
  <c r="H7" i="79"/>
  <c r="G7" i="79"/>
  <c r="F7" i="79"/>
  <c r="H49" i="80"/>
  <c r="F742" i="94" l="1"/>
  <c r="H17" i="96"/>
  <c r="E29" i="96" s="1"/>
  <c r="O24" i="94"/>
  <c r="P24" i="94" s="1"/>
  <c r="E28" i="96"/>
  <c r="K289" i="94"/>
  <c r="K513" i="94"/>
  <c r="K625" i="94"/>
  <c r="K353" i="94"/>
  <c r="K321" i="94"/>
  <c r="K108" i="94"/>
  <c r="K193" i="94"/>
  <c r="K142" i="94"/>
  <c r="K561" i="94"/>
  <c r="K241" i="94"/>
  <c r="K497" i="94"/>
  <c r="K689" i="94"/>
  <c r="K724" i="94"/>
  <c r="K417" i="94"/>
  <c r="K609" i="94"/>
  <c r="K25" i="94"/>
  <c r="E27" i="96"/>
  <c r="K81" i="94"/>
  <c r="E18" i="96"/>
  <c r="E17" i="96"/>
  <c r="G17" i="96"/>
  <c r="D27" i="96" s="1"/>
  <c r="E16" i="96"/>
  <c r="I742" i="94"/>
  <c r="J160" i="94"/>
  <c r="J741" i="94"/>
  <c r="C20" i="96" s="1"/>
  <c r="K52" i="94"/>
  <c r="J706" i="94"/>
  <c r="H707" i="94"/>
  <c r="H742" i="94" s="1"/>
  <c r="K7" i="89"/>
  <c r="J7" i="89"/>
  <c r="G7" i="89"/>
  <c r="F7" i="89"/>
  <c r="H41" i="90"/>
  <c r="H7" i="89" s="1"/>
  <c r="F33" i="90"/>
  <c r="G13" i="90"/>
  <c r="L7" i="89" s="1"/>
  <c r="M7" i="89" s="1"/>
  <c r="M7" i="85"/>
  <c r="F169" i="83"/>
  <c r="G96" i="83"/>
  <c r="F85" i="83"/>
  <c r="F73" i="83"/>
  <c r="F63" i="83"/>
  <c r="H117" i="83"/>
  <c r="F27" i="96" l="1"/>
  <c r="K706" i="94"/>
  <c r="K88" i="94"/>
  <c r="K741" i="94"/>
  <c r="J707" i="94"/>
  <c r="C19" i="96" s="1"/>
  <c r="E19" i="96" s="1"/>
  <c r="K160" i="94"/>
  <c r="E20" i="96"/>
  <c r="D29" i="96"/>
  <c r="F29" i="96" s="1"/>
  <c r="E30" i="96"/>
  <c r="K34" i="94"/>
  <c r="E25" i="93"/>
  <c r="N7" i="89"/>
  <c r="I7" i="89"/>
  <c r="I7" i="85"/>
  <c r="N7" i="85"/>
  <c r="O7" i="89" l="1"/>
  <c r="N539" i="94"/>
  <c r="O539" i="94" s="1"/>
  <c r="P539" i="94" s="1"/>
  <c r="N363" i="94"/>
  <c r="O363" i="94" s="1"/>
  <c r="P363" i="94" s="1"/>
  <c r="N171" i="94"/>
  <c r="O171" i="94" s="1"/>
  <c r="P171" i="94" s="1"/>
  <c r="N347" i="94"/>
  <c r="O347" i="94" s="1"/>
  <c r="P347" i="94" s="1"/>
  <c r="N155" i="94"/>
  <c r="O155" i="94" s="1"/>
  <c r="P155" i="94" s="1"/>
  <c r="N699" i="94"/>
  <c r="O699" i="94" s="1"/>
  <c r="P699" i="94" s="1"/>
  <c r="N507" i="94"/>
  <c r="O507" i="94" s="1"/>
  <c r="P507" i="94" s="1"/>
  <c r="N331" i="94"/>
  <c r="O331" i="94" s="1"/>
  <c r="P331" i="94" s="1"/>
  <c r="N683" i="94"/>
  <c r="O683" i="94" s="1"/>
  <c r="P683" i="94" s="1"/>
  <c r="N315" i="94"/>
  <c r="O315" i="94" s="1"/>
  <c r="P315" i="94" s="1"/>
  <c r="N475" i="94"/>
  <c r="O475" i="94" s="1"/>
  <c r="P475" i="94" s="1"/>
  <c r="N104" i="94"/>
  <c r="O104" i="94" s="1"/>
  <c r="P104" i="94" s="1"/>
  <c r="N251" i="94"/>
  <c r="O251" i="94" s="1"/>
  <c r="P251" i="94" s="1"/>
  <c r="N235" i="94"/>
  <c r="O235" i="94" s="1"/>
  <c r="P235" i="94" s="1"/>
  <c r="N395" i="94"/>
  <c r="O395" i="94" s="1"/>
  <c r="P395" i="94" s="1"/>
  <c r="N203" i="94"/>
  <c r="O203" i="94" s="1"/>
  <c r="P203" i="94" s="1"/>
  <c r="N379" i="94"/>
  <c r="O379" i="94" s="1"/>
  <c r="P379" i="94" s="1"/>
  <c r="N187" i="94"/>
  <c r="O187" i="94" s="1"/>
  <c r="P187" i="94" s="1"/>
  <c r="N523" i="94"/>
  <c r="O523" i="94" s="1"/>
  <c r="P523" i="94" s="1"/>
  <c r="N138" i="94"/>
  <c r="O138" i="94" s="1"/>
  <c r="P138" i="94" s="1"/>
  <c r="N491" i="94"/>
  <c r="O491" i="94" s="1"/>
  <c r="P491" i="94" s="1"/>
  <c r="N121" i="94"/>
  <c r="O121" i="94" s="1"/>
  <c r="P121" i="94" s="1"/>
  <c r="N299" i="94"/>
  <c r="O299" i="94" s="1"/>
  <c r="P299" i="94" s="1"/>
  <c r="N427" i="94"/>
  <c r="O427" i="94" s="1"/>
  <c r="P427" i="94" s="1"/>
  <c r="N411" i="94"/>
  <c r="O411" i="94" s="1"/>
  <c r="P411" i="94" s="1"/>
  <c r="N219" i="94"/>
  <c r="O219" i="94" s="1"/>
  <c r="P219" i="94" s="1"/>
  <c r="N555" i="94"/>
  <c r="O555" i="94" s="1"/>
  <c r="P555" i="94" s="1"/>
  <c r="N667" i="94"/>
  <c r="O667" i="94" s="1"/>
  <c r="P667" i="94" s="1"/>
  <c r="N651" i="94"/>
  <c r="O651" i="94" s="1"/>
  <c r="P651" i="94" s="1"/>
  <c r="N459" i="94"/>
  <c r="O459" i="94" s="1"/>
  <c r="P459" i="94" s="1"/>
  <c r="N283" i="94"/>
  <c r="O283" i="94" s="1"/>
  <c r="P283" i="94" s="1"/>
  <c r="N635" i="94"/>
  <c r="O635" i="94" s="1"/>
  <c r="P635" i="94" s="1"/>
  <c r="N443" i="94"/>
  <c r="O443" i="94" s="1"/>
  <c r="P443" i="94" s="1"/>
  <c r="N267" i="94"/>
  <c r="O267" i="94" s="1"/>
  <c r="P267" i="94" s="1"/>
  <c r="N619" i="94"/>
  <c r="O619" i="94" s="1"/>
  <c r="P619" i="94" s="1"/>
  <c r="N603" i="94"/>
  <c r="O603" i="94" s="1"/>
  <c r="P603" i="94" s="1"/>
  <c r="N587" i="94"/>
  <c r="O587" i="94" s="1"/>
  <c r="P587" i="94" s="1"/>
  <c r="N571" i="94"/>
  <c r="O571" i="94" s="1"/>
  <c r="P571" i="94" s="1"/>
  <c r="O7" i="85"/>
  <c r="N650" i="94"/>
  <c r="O650" i="94" s="1"/>
  <c r="P650" i="94" s="1"/>
  <c r="N554" i="94"/>
  <c r="O554" i="94" s="1"/>
  <c r="P554" i="94" s="1"/>
  <c r="N490" i="94"/>
  <c r="O490" i="94" s="1"/>
  <c r="P490" i="94" s="1"/>
  <c r="N426" i="94"/>
  <c r="O426" i="94" s="1"/>
  <c r="P426" i="94" s="1"/>
  <c r="N362" i="94"/>
  <c r="O362" i="94" s="1"/>
  <c r="P362" i="94" s="1"/>
  <c r="N298" i="94"/>
  <c r="O298" i="94" s="1"/>
  <c r="P298" i="94" s="1"/>
  <c r="N234" i="94"/>
  <c r="O234" i="94" s="1"/>
  <c r="P234" i="94" s="1"/>
  <c r="N170" i="94"/>
  <c r="O170" i="94" s="1"/>
  <c r="P170" i="94" s="1"/>
  <c r="N102" i="94"/>
  <c r="O102" i="94" s="1"/>
  <c r="P102" i="94" s="1"/>
  <c r="N618" i="94"/>
  <c r="O618" i="94" s="1"/>
  <c r="P618" i="94" s="1"/>
  <c r="N522" i="94"/>
  <c r="O522" i="94" s="1"/>
  <c r="P522" i="94" s="1"/>
  <c r="N458" i="94"/>
  <c r="O458" i="94" s="1"/>
  <c r="P458" i="94" s="1"/>
  <c r="N330" i="94"/>
  <c r="O330" i="94" s="1"/>
  <c r="P330" i="94" s="1"/>
  <c r="N202" i="94"/>
  <c r="O202" i="94" s="1"/>
  <c r="P202" i="94" s="1"/>
  <c r="N602" i="94"/>
  <c r="O602" i="94" s="1"/>
  <c r="P602" i="94" s="1"/>
  <c r="N506" i="94"/>
  <c r="O506" i="94" s="1"/>
  <c r="P506" i="94" s="1"/>
  <c r="N442" i="94"/>
  <c r="O442" i="94" s="1"/>
  <c r="P442" i="94" s="1"/>
  <c r="N378" i="94"/>
  <c r="O378" i="94" s="1"/>
  <c r="P378" i="94" s="1"/>
  <c r="N314" i="94"/>
  <c r="O314" i="94" s="1"/>
  <c r="P314" i="94" s="1"/>
  <c r="N250" i="94"/>
  <c r="O250" i="94" s="1"/>
  <c r="P250" i="94" s="1"/>
  <c r="N186" i="94"/>
  <c r="O186" i="94" s="1"/>
  <c r="P186" i="94" s="1"/>
  <c r="N698" i="94"/>
  <c r="O698" i="94" s="1"/>
  <c r="P698" i="94" s="1"/>
  <c r="N634" i="94"/>
  <c r="O634" i="94" s="1"/>
  <c r="P634" i="94" s="1"/>
  <c r="N586" i="94"/>
  <c r="O586" i="94" s="1"/>
  <c r="P586" i="94" s="1"/>
  <c r="N538" i="94"/>
  <c r="O538" i="94" s="1"/>
  <c r="P538" i="94" s="1"/>
  <c r="N474" i="94"/>
  <c r="O474" i="94" s="1"/>
  <c r="P474" i="94" s="1"/>
  <c r="N410" i="94"/>
  <c r="O410" i="94" s="1"/>
  <c r="P410" i="94" s="1"/>
  <c r="N346" i="94"/>
  <c r="O346" i="94" s="1"/>
  <c r="P346" i="94" s="1"/>
  <c r="N282" i="94"/>
  <c r="O282" i="94" s="1"/>
  <c r="P282" i="94" s="1"/>
  <c r="N218" i="94"/>
  <c r="O218" i="94" s="1"/>
  <c r="P218" i="94" s="1"/>
  <c r="N153" i="94"/>
  <c r="O153" i="94" s="1"/>
  <c r="P153" i="94" s="1"/>
  <c r="N682" i="94"/>
  <c r="O682" i="94" s="1"/>
  <c r="P682" i="94" s="1"/>
  <c r="N570" i="94"/>
  <c r="O570" i="94" s="1"/>
  <c r="P570" i="94" s="1"/>
  <c r="N394" i="94"/>
  <c r="O394" i="94" s="1"/>
  <c r="P394" i="94" s="1"/>
  <c r="N266" i="94"/>
  <c r="O266" i="94" s="1"/>
  <c r="P266" i="94" s="1"/>
  <c r="N136" i="94"/>
  <c r="O136" i="94" s="1"/>
  <c r="P136" i="94" s="1"/>
  <c r="N666" i="94"/>
  <c r="O666" i="94" s="1"/>
  <c r="P666" i="94" s="1"/>
  <c r="N119" i="94"/>
  <c r="O119" i="94" s="1"/>
  <c r="P119" i="94" s="1"/>
  <c r="K707" i="94"/>
  <c r="K742" i="94" s="1"/>
  <c r="D28" i="96"/>
  <c r="F28" i="96" s="1"/>
  <c r="F30" i="96" s="1"/>
  <c r="C21" i="96"/>
  <c r="J742" i="94"/>
  <c r="M7" i="82"/>
  <c r="I7" i="82"/>
  <c r="N7" i="82"/>
  <c r="N7" i="79"/>
  <c r="F33" i="80"/>
  <c r="G13" i="80"/>
  <c r="I7" i="79"/>
  <c r="G22" i="77"/>
  <c r="G23" i="77"/>
  <c r="G24" i="77"/>
  <c r="G25" i="77"/>
  <c r="G26" i="77"/>
  <c r="G27" i="77"/>
  <c r="G21" i="77"/>
  <c r="M11" i="77"/>
  <c r="N11" i="77" s="1"/>
  <c r="O11" i="77" s="1"/>
  <c r="M86" i="75"/>
  <c r="M85" i="75"/>
  <c r="M72" i="75"/>
  <c r="M58" i="75"/>
  <c r="M24" i="75"/>
  <c r="O107" i="74"/>
  <c r="O106" i="74"/>
  <c r="O105" i="74"/>
  <c r="O104" i="74"/>
  <c r="O103" i="74"/>
  <c r="O102" i="74"/>
  <c r="O101" i="74"/>
  <c r="O100" i="74"/>
  <c r="O99" i="74"/>
  <c r="O98" i="74"/>
  <c r="O97" i="74"/>
  <c r="O96" i="74"/>
  <c r="O95" i="74"/>
  <c r="O94" i="74"/>
  <c r="O93" i="74"/>
  <c r="O92" i="74"/>
  <c r="O91" i="74"/>
  <c r="O90" i="74"/>
  <c r="O89" i="74"/>
  <c r="O88" i="74"/>
  <c r="O87" i="74"/>
  <c r="O86" i="74"/>
  <c r="O85" i="74"/>
  <c r="O84" i="74"/>
  <c r="O83" i="74"/>
  <c r="O82" i="74"/>
  <c r="O81" i="74"/>
  <c r="O80" i="74"/>
  <c r="O79" i="74"/>
  <c r="O78" i="74"/>
  <c r="O77" i="74"/>
  <c r="O76" i="74"/>
  <c r="O75" i="74"/>
  <c r="O74" i="74"/>
  <c r="O73" i="74"/>
  <c r="O72" i="74"/>
  <c r="O71" i="74"/>
  <c r="O70" i="74"/>
  <c r="O69" i="74"/>
  <c r="O68" i="74"/>
  <c r="O67" i="74"/>
  <c r="O66" i="74"/>
  <c r="O65" i="74"/>
  <c r="O64" i="74"/>
  <c r="O63" i="74"/>
  <c r="O62" i="74"/>
  <c r="O61" i="74"/>
  <c r="O60" i="74"/>
  <c r="O59" i="74"/>
  <c r="O58" i="74"/>
  <c r="O57" i="74"/>
  <c r="O56" i="74"/>
  <c r="O55" i="74"/>
  <c r="O54" i="74"/>
  <c r="Q47" i="74"/>
  <c r="P47" i="74"/>
  <c r="Q46" i="74"/>
  <c r="R46" i="74" s="1"/>
  <c r="P46" i="74"/>
  <c r="N166" i="73"/>
  <c r="M166" i="73"/>
  <c r="O166" i="73" s="1"/>
  <c r="N165" i="73"/>
  <c r="M165" i="73"/>
  <c r="O165" i="73" s="1"/>
  <c r="N164" i="73"/>
  <c r="M164" i="73"/>
  <c r="O164" i="73" s="1"/>
  <c r="N163" i="73"/>
  <c r="K163" i="73"/>
  <c r="M163" i="73" s="1"/>
  <c r="O163" i="73" s="1"/>
  <c r="N162" i="73"/>
  <c r="M162" i="73"/>
  <c r="O162" i="73" s="1"/>
  <c r="N161" i="73"/>
  <c r="M161" i="73"/>
  <c r="O161" i="73" s="1"/>
  <c r="N160" i="73"/>
  <c r="M160" i="73"/>
  <c r="O160" i="73" s="1"/>
  <c r="N159" i="73"/>
  <c r="M159" i="73"/>
  <c r="O159" i="73" s="1"/>
  <c r="O158" i="73"/>
  <c r="N158" i="73"/>
  <c r="M158" i="73"/>
  <c r="N157" i="73"/>
  <c r="K157" i="73"/>
  <c r="M157" i="73" s="1"/>
  <c r="O157" i="73" s="1"/>
  <c r="O154" i="73"/>
  <c r="N154" i="73"/>
  <c r="M154" i="73"/>
  <c r="N153" i="73"/>
  <c r="M153" i="73"/>
  <c r="O153" i="73" s="1"/>
  <c r="K153" i="73"/>
  <c r="N152" i="73"/>
  <c r="M152" i="73"/>
  <c r="O152" i="73" s="1"/>
  <c r="N151" i="73"/>
  <c r="M151" i="73"/>
  <c r="O151" i="73" s="1"/>
  <c r="N150" i="73"/>
  <c r="M150" i="73"/>
  <c r="O150" i="73" s="1"/>
  <c r="N147" i="73"/>
  <c r="K147" i="73"/>
  <c r="M147" i="73" s="1"/>
  <c r="O147" i="73" s="1"/>
  <c r="N146" i="73"/>
  <c r="K146" i="73"/>
  <c r="M146" i="73" s="1"/>
  <c r="O146" i="73" s="1"/>
  <c r="O145" i="73"/>
  <c r="N145" i="73"/>
  <c r="M145" i="73"/>
  <c r="N144" i="73"/>
  <c r="M144" i="73"/>
  <c r="O144" i="73" s="1"/>
  <c r="N143" i="73"/>
  <c r="M143" i="73"/>
  <c r="O143" i="73" s="1"/>
  <c r="K143" i="73"/>
  <c r="N142" i="73"/>
  <c r="M142" i="73"/>
  <c r="O142" i="73" s="1"/>
  <c r="K142" i="73"/>
  <c r="N141" i="73"/>
  <c r="M141" i="73"/>
  <c r="O141" i="73" s="1"/>
  <c r="K141" i="73"/>
  <c r="N140" i="73"/>
  <c r="K140" i="73"/>
  <c r="M140" i="73" s="1"/>
  <c r="O140" i="73" s="1"/>
  <c r="N139" i="73"/>
  <c r="M139" i="73"/>
  <c r="O139" i="73" s="1"/>
  <c r="K139" i="73"/>
  <c r="N138" i="73"/>
  <c r="M138" i="73"/>
  <c r="O138" i="73" s="1"/>
  <c r="K138" i="73"/>
  <c r="N137" i="73"/>
  <c r="M137" i="73"/>
  <c r="O137" i="73" s="1"/>
  <c r="K137" i="73"/>
  <c r="N133" i="73"/>
  <c r="K133" i="73"/>
  <c r="M133" i="73" s="1"/>
  <c r="O133" i="73" s="1"/>
  <c r="N132" i="73"/>
  <c r="K132" i="73"/>
  <c r="M132" i="73" s="1"/>
  <c r="O132" i="73" s="1"/>
  <c r="N131" i="73"/>
  <c r="K131" i="73"/>
  <c r="M131" i="73" s="1"/>
  <c r="O131" i="73" s="1"/>
  <c r="O130" i="73"/>
  <c r="N130" i="73"/>
  <c r="K130" i="73"/>
  <c r="M130" i="73" s="1"/>
  <c r="O129" i="73"/>
  <c r="N129" i="73"/>
  <c r="K129" i="73"/>
  <c r="M129" i="73" s="1"/>
  <c r="N128" i="73"/>
  <c r="K128" i="73"/>
  <c r="M128" i="73" s="1"/>
  <c r="O128" i="73" s="1"/>
  <c r="N127" i="73"/>
  <c r="K127" i="73"/>
  <c r="M127" i="73" s="1"/>
  <c r="O127" i="73" s="1"/>
  <c r="N126" i="73"/>
  <c r="K126" i="73"/>
  <c r="M126" i="73" s="1"/>
  <c r="O126" i="73" s="1"/>
  <c r="N125" i="73"/>
  <c r="K125" i="73"/>
  <c r="M125" i="73" s="1"/>
  <c r="O125" i="73" s="1"/>
  <c r="N124" i="73"/>
  <c r="K124" i="73"/>
  <c r="M124" i="73" s="1"/>
  <c r="O124" i="73" s="1"/>
  <c r="N121" i="73"/>
  <c r="K121" i="73"/>
  <c r="M121" i="73" s="1"/>
  <c r="O121" i="73" s="1"/>
  <c r="N120" i="73"/>
  <c r="K120" i="73"/>
  <c r="M120" i="73" s="1"/>
  <c r="O120" i="73" s="1"/>
  <c r="N119" i="73"/>
  <c r="K119" i="73"/>
  <c r="M119" i="73" s="1"/>
  <c r="O119" i="73" s="1"/>
  <c r="N118" i="73"/>
  <c r="M118" i="73"/>
  <c r="O118" i="73" s="1"/>
  <c r="K118" i="73"/>
  <c r="N117" i="73"/>
  <c r="K117" i="73"/>
  <c r="M117" i="73" s="1"/>
  <c r="O117" i="73" s="1"/>
  <c r="N116" i="73"/>
  <c r="K116" i="73"/>
  <c r="M116" i="73" s="1"/>
  <c r="O116" i="73" s="1"/>
  <c r="N115" i="73"/>
  <c r="K115" i="73"/>
  <c r="M115" i="73" s="1"/>
  <c r="O115" i="73" s="1"/>
  <c r="N114" i="73"/>
  <c r="K114" i="73"/>
  <c r="M114" i="73" s="1"/>
  <c r="O114" i="73" s="1"/>
  <c r="N113" i="73"/>
  <c r="K113" i="73"/>
  <c r="M113" i="73" s="1"/>
  <c r="O113" i="73" s="1"/>
  <c r="N112" i="73"/>
  <c r="K112" i="73"/>
  <c r="M112" i="73" s="1"/>
  <c r="O112" i="73" s="1"/>
  <c r="N109" i="73"/>
  <c r="K109" i="73"/>
  <c r="M109" i="73" s="1"/>
  <c r="O109" i="73" s="1"/>
  <c r="N108" i="73"/>
  <c r="K108" i="73"/>
  <c r="M108" i="73" s="1"/>
  <c r="O108" i="73" s="1"/>
  <c r="N107" i="73"/>
  <c r="K107" i="73"/>
  <c r="M107" i="73" s="1"/>
  <c r="O107" i="73" s="1"/>
  <c r="N106" i="73"/>
  <c r="K106" i="73"/>
  <c r="M106" i="73" s="1"/>
  <c r="O106" i="73" s="1"/>
  <c r="N105" i="73"/>
  <c r="K105" i="73"/>
  <c r="M105" i="73" s="1"/>
  <c r="O105" i="73" s="1"/>
  <c r="N104" i="73"/>
  <c r="K104" i="73"/>
  <c r="M104" i="73" s="1"/>
  <c r="O104" i="73" s="1"/>
  <c r="N103" i="73"/>
  <c r="K103" i="73"/>
  <c r="M103" i="73" s="1"/>
  <c r="O103" i="73" s="1"/>
  <c r="N102" i="73"/>
  <c r="K102" i="73"/>
  <c r="M102" i="73" s="1"/>
  <c r="O102" i="73" s="1"/>
  <c r="N101" i="73"/>
  <c r="K101" i="73"/>
  <c r="M101" i="73" s="1"/>
  <c r="O101" i="73" s="1"/>
  <c r="N100" i="73"/>
  <c r="K100" i="73"/>
  <c r="M100" i="73" s="1"/>
  <c r="O100" i="73" s="1"/>
  <c r="N97" i="73"/>
  <c r="K97" i="73"/>
  <c r="M97" i="73" s="1"/>
  <c r="O97" i="73" s="1"/>
  <c r="N96" i="73"/>
  <c r="K96" i="73"/>
  <c r="M96" i="73" s="1"/>
  <c r="O96" i="73" s="1"/>
  <c r="N95" i="73"/>
  <c r="K95" i="73"/>
  <c r="M95" i="73" s="1"/>
  <c r="O95" i="73" s="1"/>
  <c r="N94" i="73"/>
  <c r="K94" i="73"/>
  <c r="M94" i="73" s="1"/>
  <c r="O94" i="73" s="1"/>
  <c r="N93" i="73"/>
  <c r="K93" i="73"/>
  <c r="M93" i="73" s="1"/>
  <c r="O93" i="73" s="1"/>
  <c r="N92" i="73"/>
  <c r="K92" i="73"/>
  <c r="M92" i="73" s="1"/>
  <c r="O92" i="73" s="1"/>
  <c r="O91" i="73"/>
  <c r="N91" i="73"/>
  <c r="K91" i="73"/>
  <c r="M91" i="73" s="1"/>
  <c r="O90" i="73"/>
  <c r="N90" i="73"/>
  <c r="K90" i="73"/>
  <c r="M90" i="73" s="1"/>
  <c r="N89" i="73"/>
  <c r="K89" i="73"/>
  <c r="M89" i="73" s="1"/>
  <c r="O89" i="73" s="1"/>
  <c r="N88" i="73"/>
  <c r="K88" i="73"/>
  <c r="M88" i="73" s="1"/>
  <c r="O88" i="73" s="1"/>
  <c r="N85" i="73"/>
  <c r="K85" i="73"/>
  <c r="M85" i="73" s="1"/>
  <c r="O85" i="73" s="1"/>
  <c r="O84" i="73"/>
  <c r="N84" i="73"/>
  <c r="K84" i="73"/>
  <c r="M84" i="73" s="1"/>
  <c r="O83" i="73"/>
  <c r="N83" i="73"/>
  <c r="K83" i="73"/>
  <c r="M83" i="73" s="1"/>
  <c r="N82" i="73"/>
  <c r="K82" i="73"/>
  <c r="M82" i="73" s="1"/>
  <c r="O82" i="73" s="1"/>
  <c r="N81" i="73"/>
  <c r="K81" i="73"/>
  <c r="M81" i="73" s="1"/>
  <c r="O81" i="73" s="1"/>
  <c r="N80" i="73"/>
  <c r="K80" i="73"/>
  <c r="M80" i="73" s="1"/>
  <c r="O80" i="73" s="1"/>
  <c r="O79" i="73"/>
  <c r="N79" i="73"/>
  <c r="K79" i="73"/>
  <c r="M79" i="73" s="1"/>
  <c r="N78" i="73"/>
  <c r="K78" i="73"/>
  <c r="M78" i="73" s="1"/>
  <c r="O78" i="73" s="1"/>
  <c r="N77" i="73"/>
  <c r="K77" i="73"/>
  <c r="M77" i="73" s="1"/>
  <c r="O77" i="73" s="1"/>
  <c r="O76" i="73"/>
  <c r="N76" i="73"/>
  <c r="K76" i="73"/>
  <c r="M76" i="73" s="1"/>
  <c r="N73" i="73"/>
  <c r="K73" i="73"/>
  <c r="M73" i="73" s="1"/>
  <c r="O73" i="73" s="1"/>
  <c r="N72" i="73"/>
  <c r="K72" i="73"/>
  <c r="M72" i="73" s="1"/>
  <c r="O72" i="73" s="1"/>
  <c r="N71" i="73"/>
  <c r="K71" i="73"/>
  <c r="M71" i="73" s="1"/>
  <c r="O71" i="73" s="1"/>
  <c r="N70" i="73"/>
  <c r="K70" i="73"/>
  <c r="M70" i="73" s="1"/>
  <c r="O70" i="73" s="1"/>
  <c r="N69" i="73"/>
  <c r="K69" i="73"/>
  <c r="M69" i="73" s="1"/>
  <c r="O69" i="73" s="1"/>
  <c r="N68" i="73"/>
  <c r="K68" i="73"/>
  <c r="M68" i="73" s="1"/>
  <c r="O68" i="73" s="1"/>
  <c r="N67" i="73"/>
  <c r="K67" i="73"/>
  <c r="M67" i="73" s="1"/>
  <c r="O67" i="73" s="1"/>
  <c r="N66" i="73"/>
  <c r="K66" i="73"/>
  <c r="M66" i="73" s="1"/>
  <c r="O66" i="73" s="1"/>
  <c r="N65" i="73"/>
  <c r="K65" i="73"/>
  <c r="M65" i="73" s="1"/>
  <c r="O65" i="73" s="1"/>
  <c r="N64" i="73"/>
  <c r="K64" i="73"/>
  <c r="M64" i="73" s="1"/>
  <c r="O64" i="73" s="1"/>
  <c r="N61" i="73"/>
  <c r="K61" i="73"/>
  <c r="M61" i="73" s="1"/>
  <c r="O61" i="73" s="1"/>
  <c r="N60" i="73"/>
  <c r="K60" i="73"/>
  <c r="M60" i="73" s="1"/>
  <c r="O60" i="73" s="1"/>
  <c r="N59" i="73"/>
  <c r="K59" i="73"/>
  <c r="M59" i="73" s="1"/>
  <c r="O59" i="73" s="1"/>
  <c r="N58" i="73"/>
  <c r="K58" i="73"/>
  <c r="M58" i="73" s="1"/>
  <c r="O58" i="73" s="1"/>
  <c r="N57" i="73"/>
  <c r="K57" i="73"/>
  <c r="M57" i="73" s="1"/>
  <c r="O57" i="73" s="1"/>
  <c r="N56" i="73"/>
  <c r="K56" i="73"/>
  <c r="M56" i="73" s="1"/>
  <c r="O56" i="73" s="1"/>
  <c r="N55" i="73"/>
  <c r="K55" i="73"/>
  <c r="M55" i="73" s="1"/>
  <c r="O55" i="73" s="1"/>
  <c r="N54" i="73"/>
  <c r="K54" i="73"/>
  <c r="M54" i="73" s="1"/>
  <c r="O54" i="73" s="1"/>
  <c r="N53" i="73"/>
  <c r="K53" i="73"/>
  <c r="M53" i="73" s="1"/>
  <c r="O53" i="73" s="1"/>
  <c r="N52" i="73"/>
  <c r="K52" i="73"/>
  <c r="M52" i="73" s="1"/>
  <c r="O52" i="73" s="1"/>
  <c r="N49" i="73"/>
  <c r="K49" i="73"/>
  <c r="M49" i="73" s="1"/>
  <c r="O49" i="73" s="1"/>
  <c r="N48" i="73"/>
  <c r="K48" i="73"/>
  <c r="M48" i="73" s="1"/>
  <c r="O48" i="73" s="1"/>
  <c r="N47" i="73"/>
  <c r="K47" i="73"/>
  <c r="M47" i="73" s="1"/>
  <c r="O47" i="73" s="1"/>
  <c r="N46" i="73"/>
  <c r="K46" i="73"/>
  <c r="M46" i="73" s="1"/>
  <c r="O46" i="73" s="1"/>
  <c r="N45" i="73"/>
  <c r="K45" i="73"/>
  <c r="M45" i="73" s="1"/>
  <c r="O45" i="73" s="1"/>
  <c r="N44" i="73"/>
  <c r="K44" i="73"/>
  <c r="M44" i="73" s="1"/>
  <c r="O44" i="73" s="1"/>
  <c r="N43" i="73"/>
  <c r="K43" i="73"/>
  <c r="M43" i="73" s="1"/>
  <c r="O43" i="73" s="1"/>
  <c r="N42" i="73"/>
  <c r="K42" i="73"/>
  <c r="M42" i="73" s="1"/>
  <c r="O42" i="73" s="1"/>
  <c r="O41" i="73"/>
  <c r="N41" i="73"/>
  <c r="K41" i="73"/>
  <c r="M41" i="73" s="1"/>
  <c r="O40" i="73"/>
  <c r="N40" i="73"/>
  <c r="K40" i="73"/>
  <c r="M40" i="73" s="1"/>
  <c r="N37" i="73"/>
  <c r="K37" i="73"/>
  <c r="M37" i="73" s="1"/>
  <c r="O37" i="73" s="1"/>
  <c r="N36" i="73"/>
  <c r="K36" i="73"/>
  <c r="M36" i="73" s="1"/>
  <c r="O36" i="73" s="1"/>
  <c r="N35" i="73"/>
  <c r="K35" i="73"/>
  <c r="M35" i="73" s="1"/>
  <c r="O35" i="73" s="1"/>
  <c r="O34" i="73"/>
  <c r="N34" i="73"/>
  <c r="K34" i="73"/>
  <c r="M34" i="73" s="1"/>
  <c r="N33" i="73"/>
  <c r="K33" i="73"/>
  <c r="M33" i="73" s="1"/>
  <c r="O33" i="73" s="1"/>
  <c r="N32" i="73"/>
  <c r="K32" i="73"/>
  <c r="M32" i="73" s="1"/>
  <c r="O32" i="73" s="1"/>
  <c r="N31" i="73"/>
  <c r="K31" i="73"/>
  <c r="M31" i="73" s="1"/>
  <c r="O31" i="73" s="1"/>
  <c r="N30" i="73"/>
  <c r="K30" i="73"/>
  <c r="M30" i="73" s="1"/>
  <c r="O30" i="73" s="1"/>
  <c r="N29" i="73"/>
  <c r="K29" i="73"/>
  <c r="M29" i="73" s="1"/>
  <c r="O29" i="73" s="1"/>
  <c r="N28" i="73"/>
  <c r="K28" i="73"/>
  <c r="M28" i="73" s="1"/>
  <c r="O28" i="73" s="1"/>
  <c r="N25" i="73"/>
  <c r="K25" i="73"/>
  <c r="M25" i="73" s="1"/>
  <c r="O25" i="73" s="1"/>
  <c r="N24" i="73"/>
  <c r="P24" i="73" s="1"/>
  <c r="K24" i="73"/>
  <c r="M24" i="73" s="1"/>
  <c r="O24" i="73" s="1"/>
  <c r="O23" i="73"/>
  <c r="N23" i="73"/>
  <c r="P23" i="73" s="1"/>
  <c r="M23" i="73"/>
  <c r="N22" i="73"/>
  <c r="M22" i="73"/>
  <c r="O22" i="73" s="1"/>
  <c r="N21" i="73"/>
  <c r="K21" i="73"/>
  <c r="M21" i="73" s="1"/>
  <c r="O21" i="73" s="1"/>
  <c r="N20" i="73"/>
  <c r="K20" i="73"/>
  <c r="M20" i="73" s="1"/>
  <c r="O20" i="73" s="1"/>
  <c r="N19" i="73"/>
  <c r="K19" i="73"/>
  <c r="M19" i="73" s="1"/>
  <c r="O19" i="73" s="1"/>
  <c r="N18" i="73"/>
  <c r="K18" i="73"/>
  <c r="M18" i="73" s="1"/>
  <c r="O18" i="73" s="1"/>
  <c r="N17" i="73"/>
  <c r="K17" i="73"/>
  <c r="M17" i="73" s="1"/>
  <c r="O17" i="73" s="1"/>
  <c r="N16" i="73"/>
  <c r="K16" i="73"/>
  <c r="M16" i="73" s="1"/>
  <c r="O16" i="73" s="1"/>
  <c r="N15" i="73"/>
  <c r="K15" i="73"/>
  <c r="M15" i="73" s="1"/>
  <c r="O15" i="73" s="1"/>
  <c r="K55" i="72"/>
  <c r="G55" i="72"/>
  <c r="C55" i="72"/>
  <c r="F55" i="72" s="1"/>
  <c r="H55" i="72" s="1"/>
  <c r="K53" i="72"/>
  <c r="C53" i="72"/>
  <c r="G53" i="72" s="1"/>
  <c r="J52" i="72"/>
  <c r="J51" i="72"/>
  <c r="J50" i="72"/>
  <c r="J49" i="72"/>
  <c r="C48" i="72"/>
  <c r="G48" i="72" s="1"/>
  <c r="K46" i="72"/>
  <c r="G46" i="72"/>
  <c r="C46" i="72"/>
  <c r="J46" i="72" s="1"/>
  <c r="K44" i="72"/>
  <c r="G44" i="72"/>
  <c r="C44" i="72"/>
  <c r="F44" i="72" s="1"/>
  <c r="H44" i="72" s="1"/>
  <c r="K42" i="72"/>
  <c r="C42" i="72"/>
  <c r="G42" i="72" s="1"/>
  <c r="K40" i="72"/>
  <c r="C40" i="72"/>
  <c r="K38" i="72"/>
  <c r="G38" i="72"/>
  <c r="C38" i="72"/>
  <c r="C36" i="72"/>
  <c r="J35" i="72"/>
  <c r="G35" i="72"/>
  <c r="H35" i="72" s="1"/>
  <c r="F35" i="72"/>
  <c r="J34" i="72"/>
  <c r="G33" i="72"/>
  <c r="C33" i="72"/>
  <c r="J32" i="72"/>
  <c r="J31" i="72"/>
  <c r="J30" i="72"/>
  <c r="I29" i="72"/>
  <c r="J29" i="72" s="1"/>
  <c r="J28" i="72"/>
  <c r="J27" i="72"/>
  <c r="C26" i="72"/>
  <c r="G26" i="72" s="1"/>
  <c r="H26" i="72" s="1"/>
  <c r="J25" i="72"/>
  <c r="J24" i="72"/>
  <c r="J23" i="72"/>
  <c r="J22" i="72"/>
  <c r="J21" i="72"/>
  <c r="J20" i="72"/>
  <c r="J19" i="72"/>
  <c r="C18" i="72"/>
  <c r="G18" i="72" s="1"/>
  <c r="J17" i="72"/>
  <c r="J16" i="72"/>
  <c r="J15" i="72"/>
  <c r="J14" i="72"/>
  <c r="J13" i="72"/>
  <c r="J12" i="72"/>
  <c r="J11" i="72"/>
  <c r="C10" i="72"/>
  <c r="G10" i="72" s="1"/>
  <c r="Q167" i="73" l="1"/>
  <c r="O110" i="73"/>
  <c r="P167" i="73"/>
  <c r="D30" i="96"/>
  <c r="I26" i="72"/>
  <c r="K26" i="72" s="1"/>
  <c r="F46" i="72"/>
  <c r="H46" i="72" s="1"/>
  <c r="O148" i="73"/>
  <c r="O134" i="73"/>
  <c r="P48" i="74"/>
  <c r="O98" i="73"/>
  <c r="O38" i="73"/>
  <c r="O108" i="74"/>
  <c r="O110" i="74" s="1"/>
  <c r="O7" i="79"/>
  <c r="N684" i="94"/>
  <c r="O684" i="94" s="1"/>
  <c r="P684" i="94" s="1"/>
  <c r="N620" i="94"/>
  <c r="O620" i="94" s="1"/>
  <c r="P620" i="94" s="1"/>
  <c r="N556" i="94"/>
  <c r="O556" i="94" s="1"/>
  <c r="P556" i="94" s="1"/>
  <c r="N492" i="94"/>
  <c r="O492" i="94" s="1"/>
  <c r="P492" i="94" s="1"/>
  <c r="N428" i="94"/>
  <c r="O428" i="94" s="1"/>
  <c r="P428" i="94" s="1"/>
  <c r="N364" i="94"/>
  <c r="O364" i="94" s="1"/>
  <c r="P364" i="94" s="1"/>
  <c r="N300" i="94"/>
  <c r="O300" i="94" s="1"/>
  <c r="P300" i="94" s="1"/>
  <c r="N236" i="94"/>
  <c r="O236" i="94" s="1"/>
  <c r="P236" i="94" s="1"/>
  <c r="N172" i="94"/>
  <c r="O172" i="94" s="1"/>
  <c r="P172" i="94" s="1"/>
  <c r="N105" i="94"/>
  <c r="O105" i="94" s="1"/>
  <c r="P105" i="94" s="1"/>
  <c r="N156" i="94"/>
  <c r="O156" i="94" s="1"/>
  <c r="P156" i="94" s="1"/>
  <c r="N722" i="94"/>
  <c r="O722" i="94" s="1"/>
  <c r="P722" i="94" s="1"/>
  <c r="N588" i="94"/>
  <c r="O588" i="94" s="1"/>
  <c r="P588" i="94" s="1"/>
  <c r="N524" i="94"/>
  <c r="O524" i="94" s="1"/>
  <c r="P524" i="94" s="1"/>
  <c r="N460" i="94"/>
  <c r="O460" i="94" s="1"/>
  <c r="P460" i="94" s="1"/>
  <c r="N332" i="94"/>
  <c r="O332" i="94" s="1"/>
  <c r="P332" i="94" s="1"/>
  <c r="N204" i="94"/>
  <c r="O204" i="94" s="1"/>
  <c r="P204" i="94" s="1"/>
  <c r="N636" i="94"/>
  <c r="O636" i="94" s="1"/>
  <c r="P636" i="94" s="1"/>
  <c r="N508" i="94"/>
  <c r="O508" i="94" s="1"/>
  <c r="P508" i="94" s="1"/>
  <c r="N380" i="94"/>
  <c r="O380" i="94" s="1"/>
  <c r="P380" i="94" s="1"/>
  <c r="N188" i="94"/>
  <c r="O188" i="94" s="1"/>
  <c r="P188" i="94" s="1"/>
  <c r="N738" i="94"/>
  <c r="O738" i="94" s="1"/>
  <c r="P738" i="94" s="1"/>
  <c r="N668" i="94"/>
  <c r="O668" i="94" s="1"/>
  <c r="P668" i="94" s="1"/>
  <c r="N604" i="94"/>
  <c r="O604" i="94" s="1"/>
  <c r="P604" i="94" s="1"/>
  <c r="N540" i="94"/>
  <c r="O540" i="94" s="1"/>
  <c r="P540" i="94" s="1"/>
  <c r="N476" i="94"/>
  <c r="O476" i="94" s="1"/>
  <c r="P476" i="94" s="1"/>
  <c r="N412" i="94"/>
  <c r="O412" i="94" s="1"/>
  <c r="P412" i="94" s="1"/>
  <c r="N348" i="94"/>
  <c r="O348" i="94" s="1"/>
  <c r="P348" i="94" s="1"/>
  <c r="N284" i="94"/>
  <c r="O284" i="94" s="1"/>
  <c r="P284" i="94" s="1"/>
  <c r="N220" i="94"/>
  <c r="O220" i="94" s="1"/>
  <c r="P220" i="94" s="1"/>
  <c r="N79" i="94"/>
  <c r="O79" i="94" s="1"/>
  <c r="P79" i="94" s="1"/>
  <c r="N652" i="94"/>
  <c r="O652" i="94" s="1"/>
  <c r="P652" i="94" s="1"/>
  <c r="N396" i="94"/>
  <c r="O396" i="94" s="1"/>
  <c r="P396" i="94" s="1"/>
  <c r="N268" i="94"/>
  <c r="O268" i="94" s="1"/>
  <c r="P268" i="94" s="1"/>
  <c r="N139" i="94"/>
  <c r="O139" i="94" s="1"/>
  <c r="P139" i="94" s="1"/>
  <c r="N700" i="94"/>
  <c r="O700" i="94" s="1"/>
  <c r="P700" i="94" s="1"/>
  <c r="N572" i="94"/>
  <c r="O572" i="94" s="1"/>
  <c r="P572" i="94" s="1"/>
  <c r="N444" i="94"/>
  <c r="O444" i="94" s="1"/>
  <c r="P444" i="94" s="1"/>
  <c r="N316" i="94"/>
  <c r="O316" i="94" s="1"/>
  <c r="P316" i="94" s="1"/>
  <c r="N252" i="94"/>
  <c r="O252" i="94" s="1"/>
  <c r="P252" i="94" s="1"/>
  <c r="N122" i="94"/>
  <c r="O122" i="94" s="1"/>
  <c r="P122" i="94" s="1"/>
  <c r="K21" i="76"/>
  <c r="K13" i="76"/>
  <c r="K8" i="76"/>
  <c r="L8" i="76" s="1"/>
  <c r="K33" i="76"/>
  <c r="K37" i="76"/>
  <c r="K19" i="76"/>
  <c r="K17" i="76"/>
  <c r="K15" i="76"/>
  <c r="K35" i="76"/>
  <c r="K31" i="76"/>
  <c r="K7" i="76"/>
  <c r="L7" i="76" s="1"/>
  <c r="O7" i="82"/>
  <c r="N723" i="94"/>
  <c r="N656" i="94"/>
  <c r="N592" i="94"/>
  <c r="N528" i="94"/>
  <c r="N464" i="94"/>
  <c r="N416" i="94"/>
  <c r="N352" i="94"/>
  <c r="N288" i="94"/>
  <c r="N224" i="94"/>
  <c r="N158" i="94"/>
  <c r="N107" i="94"/>
  <c r="N624" i="94"/>
  <c r="N448" i="94"/>
  <c r="N192" i="94"/>
  <c r="N704" i="94"/>
  <c r="N640" i="94"/>
  <c r="N576" i="94"/>
  <c r="N512" i="94"/>
  <c r="N400" i="94"/>
  <c r="N336" i="94"/>
  <c r="N272" i="94"/>
  <c r="N208" i="94"/>
  <c r="N141" i="94"/>
  <c r="N80" i="94"/>
  <c r="N688" i="94"/>
  <c r="N560" i="94"/>
  <c r="N496" i="94"/>
  <c r="N384" i="94"/>
  <c r="N320" i="94"/>
  <c r="N256" i="94"/>
  <c r="N739" i="94"/>
  <c r="N672" i="94"/>
  <c r="N608" i="94"/>
  <c r="N544" i="94"/>
  <c r="N480" i="94"/>
  <c r="N432" i="94"/>
  <c r="N368" i="94"/>
  <c r="N304" i="94"/>
  <c r="N240" i="94"/>
  <c r="N176" i="94"/>
  <c r="N124" i="94"/>
  <c r="E26" i="93"/>
  <c r="E27" i="93" s="1"/>
  <c r="L52" i="94"/>
  <c r="K35" i="72"/>
  <c r="J55" i="72"/>
  <c r="J38" i="72"/>
  <c r="J44" i="72"/>
  <c r="M7" i="79"/>
  <c r="O26" i="73"/>
  <c r="O74" i="73"/>
  <c r="O86" i="73"/>
  <c r="O122" i="73"/>
  <c r="O167" i="73"/>
  <c r="I10" i="72"/>
  <c r="K10" i="72" s="1"/>
  <c r="I18" i="72"/>
  <c r="K18" i="72" s="1"/>
  <c r="J40" i="72"/>
  <c r="F40" i="72"/>
  <c r="I48" i="72"/>
  <c r="K48" i="72" s="1"/>
  <c r="J53" i="72"/>
  <c r="O50" i="73"/>
  <c r="F18" i="72"/>
  <c r="H18" i="72" s="1"/>
  <c r="I33" i="72"/>
  <c r="K33" i="72" s="1"/>
  <c r="G40" i="72"/>
  <c r="G57" i="72" s="1"/>
  <c r="J42" i="72"/>
  <c r="F53" i="72"/>
  <c r="H53" i="72" s="1"/>
  <c r="O62" i="73"/>
  <c r="F10" i="72"/>
  <c r="F33" i="72"/>
  <c r="H33" i="72" s="1"/>
  <c r="F38" i="72"/>
  <c r="H38" i="72" s="1"/>
  <c r="F42" i="72"/>
  <c r="H42" i="72" s="1"/>
  <c r="F48" i="72"/>
  <c r="H48" i="72" s="1"/>
  <c r="O155" i="73"/>
  <c r="O135" i="73" l="1"/>
  <c r="J18" i="72"/>
  <c r="J48" i="72"/>
  <c r="J26" i="72"/>
  <c r="O170" i="73"/>
  <c r="Q7" i="76"/>
  <c r="N75" i="94" s="1"/>
  <c r="O75" i="94" s="1"/>
  <c r="P75" i="94" s="1"/>
  <c r="Q8" i="76"/>
  <c r="R8" i="76" s="1"/>
  <c r="R7" i="76"/>
  <c r="L31" i="76"/>
  <c r="Q31" i="76"/>
  <c r="L19" i="76"/>
  <c r="Q19" i="76"/>
  <c r="L13" i="76"/>
  <c r="Q13" i="76"/>
  <c r="L35" i="76"/>
  <c r="Q35" i="76"/>
  <c r="Q37" i="76"/>
  <c r="L37" i="76"/>
  <c r="Q21" i="76"/>
  <c r="L21" i="76"/>
  <c r="Q15" i="76"/>
  <c r="L15" i="76"/>
  <c r="Q33" i="76"/>
  <c r="L33" i="76"/>
  <c r="Q17" i="76"/>
  <c r="L17" i="76"/>
  <c r="O304" i="94"/>
  <c r="O256" i="94"/>
  <c r="O512" i="94"/>
  <c r="O158" i="94"/>
  <c r="O416" i="94"/>
  <c r="O368" i="94"/>
  <c r="O320" i="94"/>
  <c r="O272" i="94"/>
  <c r="O448" i="94"/>
  <c r="O464" i="94"/>
  <c r="O176" i="94"/>
  <c r="O432" i="94"/>
  <c r="O672" i="94"/>
  <c r="O384" i="94"/>
  <c r="O80" i="94"/>
  <c r="O336" i="94"/>
  <c r="O640" i="94"/>
  <c r="O624" i="94"/>
  <c r="O288" i="94"/>
  <c r="O528" i="94"/>
  <c r="O544" i="94"/>
  <c r="O560" i="94"/>
  <c r="O208" i="94"/>
  <c r="O192" i="94"/>
  <c r="O656" i="94"/>
  <c r="O124" i="94"/>
  <c r="O608" i="94"/>
  <c r="O688" i="94"/>
  <c r="O576" i="94"/>
  <c r="O224" i="94"/>
  <c r="O723" i="94"/>
  <c r="O240" i="94"/>
  <c r="O480" i="94"/>
  <c r="O739" i="94"/>
  <c r="O496" i="94"/>
  <c r="O141" i="94"/>
  <c r="O400" i="94"/>
  <c r="O704" i="94"/>
  <c r="O107" i="94"/>
  <c r="O352" i="94"/>
  <c r="O592" i="94"/>
  <c r="J25" i="93"/>
  <c r="J10" i="72"/>
  <c r="O169" i="73"/>
  <c r="P170" i="73" s="1"/>
  <c r="D57" i="72"/>
  <c r="H10" i="72"/>
  <c r="J33" i="72"/>
  <c r="H40" i="72"/>
  <c r="K57" i="72"/>
  <c r="N76" i="94" l="1"/>
  <c r="O76" i="94" s="1"/>
  <c r="P76" i="94" s="1"/>
  <c r="Q170" i="73"/>
  <c r="R19" i="76"/>
  <c r="N461" i="94"/>
  <c r="O461" i="94" s="1"/>
  <c r="P461" i="94" s="1"/>
  <c r="N114" i="94"/>
  <c r="O114" i="94" s="1"/>
  <c r="P114" i="94" s="1"/>
  <c r="R35" i="76"/>
  <c r="N719" i="94"/>
  <c r="O719" i="94" s="1"/>
  <c r="P719" i="94" s="1"/>
  <c r="R13" i="76"/>
  <c r="N670" i="94"/>
  <c r="O670" i="94" s="1"/>
  <c r="P670" i="94" s="1"/>
  <c r="N606" i="94"/>
  <c r="O606" i="94" s="1"/>
  <c r="P606" i="94" s="1"/>
  <c r="N542" i="94"/>
  <c r="O542" i="94" s="1"/>
  <c r="P542" i="94" s="1"/>
  <c r="N478" i="94"/>
  <c r="O478" i="94" s="1"/>
  <c r="P478" i="94" s="1"/>
  <c r="N414" i="94"/>
  <c r="O414" i="94" s="1"/>
  <c r="P414" i="94" s="1"/>
  <c r="N350" i="94"/>
  <c r="O350" i="94" s="1"/>
  <c r="P350" i="94" s="1"/>
  <c r="N286" i="94"/>
  <c r="O286" i="94" s="1"/>
  <c r="P286" i="94" s="1"/>
  <c r="N222" i="94"/>
  <c r="O222" i="94" s="1"/>
  <c r="P222" i="94" s="1"/>
  <c r="N174" i="94"/>
  <c r="O174" i="94" s="1"/>
  <c r="P174" i="94" s="1"/>
  <c r="N103" i="94"/>
  <c r="O103" i="94" s="1"/>
  <c r="P103" i="94" s="1"/>
  <c r="N654" i="94"/>
  <c r="O654" i="94" s="1"/>
  <c r="P654" i="94" s="1"/>
  <c r="N590" i="94"/>
  <c r="O590" i="94" s="1"/>
  <c r="P590" i="94" s="1"/>
  <c r="N526" i="94"/>
  <c r="O526" i="94" s="1"/>
  <c r="P526" i="94" s="1"/>
  <c r="N462" i="94"/>
  <c r="O462" i="94" s="1"/>
  <c r="P462" i="94" s="1"/>
  <c r="N398" i="94"/>
  <c r="O398" i="94" s="1"/>
  <c r="P398" i="94" s="1"/>
  <c r="N334" i="94"/>
  <c r="O334" i="94" s="1"/>
  <c r="P334" i="94" s="1"/>
  <c r="N270" i="94"/>
  <c r="O270" i="94" s="1"/>
  <c r="P270" i="94" s="1"/>
  <c r="N154" i="94"/>
  <c r="O154" i="94" s="1"/>
  <c r="P154" i="94" s="1"/>
  <c r="N702" i="94"/>
  <c r="O702" i="94" s="1"/>
  <c r="P702" i="94" s="1"/>
  <c r="N638" i="94"/>
  <c r="O638" i="94" s="1"/>
  <c r="P638" i="94" s="1"/>
  <c r="N446" i="94"/>
  <c r="O446" i="94" s="1"/>
  <c r="P446" i="94" s="1"/>
  <c r="N318" i="94"/>
  <c r="O318" i="94" s="1"/>
  <c r="P318" i="94" s="1"/>
  <c r="N137" i="94"/>
  <c r="O137" i="94" s="1"/>
  <c r="P137" i="94" s="1"/>
  <c r="N558" i="94"/>
  <c r="O558" i="94" s="1"/>
  <c r="P558" i="94" s="1"/>
  <c r="N366" i="94"/>
  <c r="O366" i="94" s="1"/>
  <c r="P366" i="94" s="1"/>
  <c r="N190" i="94"/>
  <c r="O190" i="94" s="1"/>
  <c r="P190" i="94" s="1"/>
  <c r="N510" i="94"/>
  <c r="O510" i="94" s="1"/>
  <c r="P510" i="94" s="1"/>
  <c r="N206" i="94"/>
  <c r="O206" i="94" s="1"/>
  <c r="P206" i="94" s="1"/>
  <c r="N686" i="94"/>
  <c r="O686" i="94" s="1"/>
  <c r="P686" i="94" s="1"/>
  <c r="N494" i="94"/>
  <c r="O494" i="94" s="1"/>
  <c r="P494" i="94" s="1"/>
  <c r="N302" i="94"/>
  <c r="O302" i="94" s="1"/>
  <c r="P302" i="94" s="1"/>
  <c r="N120" i="94"/>
  <c r="O120" i="94" s="1"/>
  <c r="P120" i="94" s="1"/>
  <c r="N574" i="94"/>
  <c r="O574" i="94" s="1"/>
  <c r="P574" i="94" s="1"/>
  <c r="N382" i="94"/>
  <c r="O382" i="94" s="1"/>
  <c r="P382" i="94" s="1"/>
  <c r="N254" i="94"/>
  <c r="O254" i="94" s="1"/>
  <c r="P254" i="94" s="1"/>
  <c r="N622" i="94"/>
  <c r="O622" i="94" s="1"/>
  <c r="P622" i="94" s="1"/>
  <c r="N430" i="94"/>
  <c r="O430" i="94" s="1"/>
  <c r="P430" i="94" s="1"/>
  <c r="N238" i="94"/>
  <c r="O238" i="94" s="1"/>
  <c r="P238" i="94" s="1"/>
  <c r="R31" i="76"/>
  <c r="N735" i="94"/>
  <c r="O735" i="94" s="1"/>
  <c r="P735" i="94" s="1"/>
  <c r="R17" i="76"/>
  <c r="N221" i="94"/>
  <c r="O221" i="94" s="1"/>
  <c r="P221" i="94" s="1"/>
  <c r="N637" i="94"/>
  <c r="O637" i="94" s="1"/>
  <c r="P637" i="94" s="1"/>
  <c r="N237" i="94"/>
  <c r="O237" i="94" s="1"/>
  <c r="P237" i="94" s="1"/>
  <c r="R33" i="76"/>
  <c r="N734" i="94"/>
  <c r="O734" i="94" s="1"/>
  <c r="P734" i="94" s="1"/>
  <c r="R21" i="76"/>
  <c r="N97" i="94"/>
  <c r="O97" i="94" s="1"/>
  <c r="P97" i="94" s="1"/>
  <c r="N148" i="94"/>
  <c r="O148" i="94" s="1"/>
  <c r="P148" i="94" s="1"/>
  <c r="N131" i="94"/>
  <c r="O131" i="94" s="1"/>
  <c r="P131" i="94" s="1"/>
  <c r="R15" i="76"/>
  <c r="N621" i="94"/>
  <c r="O621" i="94" s="1"/>
  <c r="P621" i="94" s="1"/>
  <c r="N557" i="94"/>
  <c r="O557" i="94" s="1"/>
  <c r="P557" i="94" s="1"/>
  <c r="N445" i="94"/>
  <c r="O445" i="94" s="1"/>
  <c r="P445" i="94" s="1"/>
  <c r="N381" i="94"/>
  <c r="O381" i="94" s="1"/>
  <c r="P381" i="94" s="1"/>
  <c r="N285" i="94"/>
  <c r="O285" i="94" s="1"/>
  <c r="P285" i="94" s="1"/>
  <c r="N189" i="94"/>
  <c r="O189" i="94" s="1"/>
  <c r="P189" i="94" s="1"/>
  <c r="N701" i="94"/>
  <c r="O701" i="94" s="1"/>
  <c r="P701" i="94" s="1"/>
  <c r="N605" i="94"/>
  <c r="O605" i="94" s="1"/>
  <c r="P605" i="94" s="1"/>
  <c r="N541" i="94"/>
  <c r="O541" i="94" s="1"/>
  <c r="P541" i="94" s="1"/>
  <c r="N429" i="94"/>
  <c r="O429" i="94" s="1"/>
  <c r="P429" i="94" s="1"/>
  <c r="N349" i="94"/>
  <c r="O349" i="94" s="1"/>
  <c r="P349" i="94" s="1"/>
  <c r="N269" i="94"/>
  <c r="O269" i="94" s="1"/>
  <c r="P269" i="94" s="1"/>
  <c r="N173" i="94"/>
  <c r="O173" i="94" s="1"/>
  <c r="P173" i="94" s="1"/>
  <c r="N589" i="94"/>
  <c r="O589" i="94" s="1"/>
  <c r="P589" i="94" s="1"/>
  <c r="N493" i="94"/>
  <c r="O493" i="94" s="1"/>
  <c r="P493" i="94" s="1"/>
  <c r="N413" i="94"/>
  <c r="O413" i="94" s="1"/>
  <c r="P413" i="94" s="1"/>
  <c r="N317" i="94"/>
  <c r="O317" i="94" s="1"/>
  <c r="P317" i="94" s="1"/>
  <c r="N477" i="94"/>
  <c r="O477" i="94" s="1"/>
  <c r="P477" i="94" s="1"/>
  <c r="N205" i="94"/>
  <c r="O205" i="94" s="1"/>
  <c r="P205" i="94" s="1"/>
  <c r="N685" i="94"/>
  <c r="O685" i="94" s="1"/>
  <c r="P685" i="94" s="1"/>
  <c r="N653" i="94"/>
  <c r="O653" i="94" s="1"/>
  <c r="P653" i="94" s="1"/>
  <c r="N397" i="94"/>
  <c r="O397" i="94" s="1"/>
  <c r="P397" i="94" s="1"/>
  <c r="N253" i="94"/>
  <c r="O253" i="94" s="1"/>
  <c r="P253" i="94" s="1"/>
  <c r="N573" i="94"/>
  <c r="O573" i="94" s="1"/>
  <c r="P573" i="94" s="1"/>
  <c r="N301" i="94"/>
  <c r="O301" i="94" s="1"/>
  <c r="P301" i="94" s="1"/>
  <c r="R37" i="76"/>
  <c r="N718" i="94"/>
  <c r="O718" i="94" s="1"/>
  <c r="P718" i="94" s="1"/>
  <c r="P352" i="94"/>
  <c r="P704" i="94"/>
  <c r="P141" i="94"/>
  <c r="P739" i="94"/>
  <c r="P240" i="94"/>
  <c r="P224" i="94"/>
  <c r="P688" i="94"/>
  <c r="P124" i="94"/>
  <c r="P192" i="94"/>
  <c r="P560" i="94"/>
  <c r="P528" i="94"/>
  <c r="P624" i="94"/>
  <c r="P336" i="94"/>
  <c r="P384" i="94"/>
  <c r="P432" i="94"/>
  <c r="P464" i="94"/>
  <c r="P272" i="94"/>
  <c r="P368" i="94"/>
  <c r="P158" i="94"/>
  <c r="P256" i="94"/>
  <c r="P592" i="94"/>
  <c r="P107" i="94"/>
  <c r="P400" i="94"/>
  <c r="P496" i="94"/>
  <c r="P480" i="94"/>
  <c r="P723" i="94"/>
  <c r="P576" i="94"/>
  <c r="P608" i="94"/>
  <c r="P656" i="94"/>
  <c r="P208" i="94"/>
  <c r="P544" i="94"/>
  <c r="P288" i="94"/>
  <c r="P640" i="94"/>
  <c r="P80" i="94"/>
  <c r="P672" i="94"/>
  <c r="P176" i="94"/>
  <c r="P448" i="94"/>
  <c r="P320" i="94"/>
  <c r="P416" i="94"/>
  <c r="P512" i="94"/>
  <c r="P304" i="94"/>
  <c r="F29" i="70"/>
  <c r="F28" i="70"/>
  <c r="F27" i="70"/>
  <c r="G21" i="34" l="1"/>
  <c r="I26" i="34" s="1"/>
  <c r="G22" i="34"/>
  <c r="G23" i="34"/>
  <c r="G24" i="34"/>
  <c r="G25" i="34"/>
  <c r="G26" i="34"/>
  <c r="G20" i="34"/>
  <c r="F10" i="70"/>
  <c r="F12" i="70"/>
  <c r="F18" i="70"/>
  <c r="F8" i="70"/>
  <c r="M12" i="34"/>
  <c r="M13" i="34"/>
  <c r="N13" i="34" s="1"/>
  <c r="O13" i="34" s="1"/>
  <c r="D8" i="70"/>
  <c r="J38" i="67"/>
  <c r="J37" i="67"/>
  <c r="I38" i="67"/>
  <c r="I37" i="67"/>
  <c r="F38" i="67"/>
  <c r="F37" i="67"/>
  <c r="E38" i="67"/>
  <c r="E37" i="67"/>
  <c r="G32" i="68"/>
  <c r="G37" i="67" s="1"/>
  <c r="J29" i="67"/>
  <c r="I29" i="67"/>
  <c r="I20" i="67"/>
  <c r="G29" i="67"/>
  <c r="H29" i="67" s="1"/>
  <c r="F29" i="67"/>
  <c r="E29" i="67"/>
  <c r="H22" i="67"/>
  <c r="G20" i="67"/>
  <c r="H20" i="67" s="1"/>
  <c r="G21" i="67"/>
  <c r="E21" i="67"/>
  <c r="E22" i="67"/>
  <c r="E20" i="67"/>
  <c r="E42" i="68"/>
  <c r="F42" i="68" s="1"/>
  <c r="C42" i="68"/>
  <c r="E41" i="68"/>
  <c r="F41" i="68" s="1"/>
  <c r="C41" i="68"/>
  <c r="E39" i="68"/>
  <c r="F39" i="68" s="1"/>
  <c r="C39" i="68"/>
  <c r="E40" i="68"/>
  <c r="F40" i="68" s="1"/>
  <c r="C40" i="68"/>
  <c r="E38" i="68"/>
  <c r="F38" i="68" s="1"/>
  <c r="F236" i="69"/>
  <c r="E236" i="69"/>
  <c r="G235" i="69"/>
  <c r="G234" i="69"/>
  <c r="G233" i="69"/>
  <c r="G232" i="69"/>
  <c r="G231" i="69"/>
  <c r="G230" i="69"/>
  <c r="G229" i="69"/>
  <c r="G228" i="69"/>
  <c r="G227" i="69"/>
  <c r="G226" i="69"/>
  <c r="G225" i="69"/>
  <c r="G224" i="69"/>
  <c r="G223" i="69"/>
  <c r="G222" i="69"/>
  <c r="G221" i="69"/>
  <c r="G220" i="69"/>
  <c r="G219" i="69"/>
  <c r="G218" i="69"/>
  <c r="G217" i="69"/>
  <c r="G216" i="69"/>
  <c r="G215" i="69"/>
  <c r="G214" i="69"/>
  <c r="G213" i="69"/>
  <c r="G212" i="69"/>
  <c r="G211" i="69"/>
  <c r="G210" i="69"/>
  <c r="G209" i="69"/>
  <c r="G208" i="69"/>
  <c r="G207" i="69"/>
  <c r="G206" i="69"/>
  <c r="G205" i="69"/>
  <c r="G204" i="69"/>
  <c r="G203" i="69"/>
  <c r="G202" i="69"/>
  <c r="G201" i="69"/>
  <c r="G200" i="69"/>
  <c r="G199" i="69"/>
  <c r="G198" i="69"/>
  <c r="G197" i="69"/>
  <c r="G196" i="69"/>
  <c r="G195" i="69"/>
  <c r="G194" i="69"/>
  <c r="G193" i="69"/>
  <c r="G192" i="69"/>
  <c r="G191" i="69"/>
  <c r="G190" i="69"/>
  <c r="G189" i="69"/>
  <c r="G188" i="69"/>
  <c r="G187" i="69"/>
  <c r="G186" i="69"/>
  <c r="G185" i="69"/>
  <c r="G184" i="69"/>
  <c r="G183" i="69"/>
  <c r="G182" i="69"/>
  <c r="G181" i="69"/>
  <c r="G180" i="69"/>
  <c r="G179" i="69"/>
  <c r="G178" i="69"/>
  <c r="G177" i="69"/>
  <c r="G176" i="69"/>
  <c r="G175" i="69"/>
  <c r="G174" i="69"/>
  <c r="G173" i="69"/>
  <c r="G172" i="69"/>
  <c r="G171" i="69"/>
  <c r="G170" i="69"/>
  <c r="G169" i="69"/>
  <c r="G168" i="69"/>
  <c r="G167" i="69"/>
  <c r="G166" i="69"/>
  <c r="G165" i="69"/>
  <c r="G164" i="69"/>
  <c r="G163" i="69"/>
  <c r="G162" i="69"/>
  <c r="G161" i="69"/>
  <c r="G160" i="69"/>
  <c r="G159" i="69"/>
  <c r="G158" i="69"/>
  <c r="G157" i="69"/>
  <c r="G156" i="69"/>
  <c r="G155" i="69"/>
  <c r="G154" i="69"/>
  <c r="G153" i="69"/>
  <c r="G152" i="69"/>
  <c r="G151" i="69"/>
  <c r="G150" i="69"/>
  <c r="G149" i="69"/>
  <c r="G148" i="69"/>
  <c r="G147" i="69"/>
  <c r="G146" i="69"/>
  <c r="G145" i="69"/>
  <c r="G144" i="69"/>
  <c r="G143" i="69"/>
  <c r="G142" i="69"/>
  <c r="G141" i="69"/>
  <c r="G140" i="69"/>
  <c r="G139" i="69"/>
  <c r="G138" i="69"/>
  <c r="G137" i="69"/>
  <c r="G136" i="69"/>
  <c r="G135" i="69"/>
  <c r="G134" i="69"/>
  <c r="G133" i="69"/>
  <c r="G132" i="69"/>
  <c r="G131" i="69"/>
  <c r="G130" i="69"/>
  <c r="G129" i="69"/>
  <c r="G128" i="69"/>
  <c r="G127" i="69"/>
  <c r="G126" i="69"/>
  <c r="G125" i="69"/>
  <c r="G124" i="69"/>
  <c r="G123" i="69"/>
  <c r="G122" i="69"/>
  <c r="G121" i="69"/>
  <c r="G120" i="69"/>
  <c r="G119" i="69"/>
  <c r="G118" i="69"/>
  <c r="G117" i="69"/>
  <c r="G116" i="69"/>
  <c r="G115" i="69"/>
  <c r="G114" i="69"/>
  <c r="G113" i="69"/>
  <c r="G112" i="69"/>
  <c r="G111" i="69"/>
  <c r="G110" i="69"/>
  <c r="G109" i="69"/>
  <c r="G108" i="69"/>
  <c r="G107" i="69"/>
  <c r="G106" i="69"/>
  <c r="G105" i="69"/>
  <c r="G104" i="69"/>
  <c r="G103" i="69"/>
  <c r="G102" i="69"/>
  <c r="G101" i="69"/>
  <c r="G100" i="69"/>
  <c r="G99" i="69"/>
  <c r="G98" i="69"/>
  <c r="G97" i="69"/>
  <c r="G96" i="69"/>
  <c r="G95" i="69"/>
  <c r="G94" i="69"/>
  <c r="G93" i="69"/>
  <c r="G92" i="69"/>
  <c r="G91" i="69"/>
  <c r="G90" i="69"/>
  <c r="G89" i="69"/>
  <c r="G88" i="69"/>
  <c r="G87" i="69"/>
  <c r="G86" i="69"/>
  <c r="G85" i="69"/>
  <c r="G84" i="69"/>
  <c r="G83" i="69"/>
  <c r="G82" i="69"/>
  <c r="G81" i="69"/>
  <c r="G80" i="69"/>
  <c r="G79" i="69"/>
  <c r="G78" i="69"/>
  <c r="G77" i="69"/>
  <c r="G76" i="69"/>
  <c r="G75" i="69"/>
  <c r="G74" i="69"/>
  <c r="G73" i="69"/>
  <c r="G72" i="69"/>
  <c r="G71" i="69"/>
  <c r="G70" i="69"/>
  <c r="G69" i="69"/>
  <c r="G68" i="69"/>
  <c r="G67" i="69"/>
  <c r="G66" i="69"/>
  <c r="G65" i="69"/>
  <c r="G64" i="69"/>
  <c r="G63" i="69"/>
  <c r="G62" i="69"/>
  <c r="G61" i="69"/>
  <c r="G60" i="69"/>
  <c r="G59" i="69"/>
  <c r="G58" i="69"/>
  <c r="G57" i="69"/>
  <c r="G56" i="69"/>
  <c r="G55" i="69"/>
  <c r="G54" i="69"/>
  <c r="G53" i="69"/>
  <c r="G52" i="69"/>
  <c r="G51" i="69"/>
  <c r="G50" i="69"/>
  <c r="G49" i="69"/>
  <c r="G48" i="69"/>
  <c r="G47" i="69"/>
  <c r="G46" i="69"/>
  <c r="G45" i="69"/>
  <c r="G44" i="69"/>
  <c r="G43" i="69"/>
  <c r="G42" i="69"/>
  <c r="G41" i="69"/>
  <c r="G40" i="69"/>
  <c r="G39" i="69"/>
  <c r="G38" i="69"/>
  <c r="G37" i="69"/>
  <c r="G36" i="69"/>
  <c r="G35" i="69"/>
  <c r="G34" i="69"/>
  <c r="G33" i="69"/>
  <c r="G32" i="69"/>
  <c r="G31" i="69"/>
  <c r="G30" i="69"/>
  <c r="G29" i="69"/>
  <c r="G28" i="69"/>
  <c r="G27" i="69"/>
  <c r="G26" i="69"/>
  <c r="G25" i="69"/>
  <c r="G24" i="69"/>
  <c r="G23" i="69"/>
  <c r="G20" i="69"/>
  <c r="G17" i="69"/>
  <c r="G14" i="69"/>
  <c r="N12" i="34" l="1"/>
  <c r="K23" i="76" s="1"/>
  <c r="H20" i="70"/>
  <c r="H8" i="70"/>
  <c r="I8" i="70" s="1"/>
  <c r="H10" i="70"/>
  <c r="I10" i="70" s="1"/>
  <c r="H18" i="70"/>
  <c r="H16" i="70"/>
  <c r="H12" i="70"/>
  <c r="I12" i="70" s="1"/>
  <c r="H14" i="70"/>
  <c r="I22" i="34"/>
  <c r="M8" i="70" s="1"/>
  <c r="H29" i="70"/>
  <c r="N29" i="70" s="1"/>
  <c r="H28" i="70"/>
  <c r="H27" i="70"/>
  <c r="I27" i="70" s="1"/>
  <c r="G38" i="67"/>
  <c r="H38" i="67" s="1"/>
  <c r="O12" i="34"/>
  <c r="H37" i="67"/>
  <c r="H21" i="67"/>
  <c r="J8" i="67"/>
  <c r="J7" i="67"/>
  <c r="I8" i="67"/>
  <c r="I7" i="67"/>
  <c r="G30" i="68"/>
  <c r="F8" i="67"/>
  <c r="F7" i="67"/>
  <c r="E8" i="67"/>
  <c r="E7" i="67"/>
  <c r="K21" i="68"/>
  <c r="H21" i="68"/>
  <c r="J21" i="68" s="1"/>
  <c r="K20" i="68"/>
  <c r="H20" i="68"/>
  <c r="J20" i="68" s="1"/>
  <c r="L20" i="68" s="1"/>
  <c r="K19" i="68"/>
  <c r="H19" i="68"/>
  <c r="J19" i="68" s="1"/>
  <c r="L19" i="68" s="1"/>
  <c r="K13" i="68"/>
  <c r="H13" i="68"/>
  <c r="J13" i="68" s="1"/>
  <c r="L13" i="68" s="1"/>
  <c r="K12" i="68"/>
  <c r="H12" i="68"/>
  <c r="J12" i="68" s="1"/>
  <c r="K11" i="68"/>
  <c r="H11" i="68"/>
  <c r="J11" i="68" s="1"/>
  <c r="L11" i="68" s="1"/>
  <c r="K10" i="68"/>
  <c r="H10" i="68"/>
  <c r="J10" i="68" s="1"/>
  <c r="L10" i="68" s="1"/>
  <c r="P14" i="16"/>
  <c r="N14" i="16"/>
  <c r="N15" i="16"/>
  <c r="P18" i="16"/>
  <c r="L18" i="16"/>
  <c r="K18" i="16"/>
  <c r="N18" i="16"/>
  <c r="N17" i="16"/>
  <c r="N16" i="16"/>
  <c r="N7" i="16"/>
  <c r="D3" i="30"/>
  <c r="M83" i="30"/>
  <c r="M84" i="30"/>
  <c r="M85" i="30"/>
  <c r="M86" i="30"/>
  <c r="M87" i="30"/>
  <c r="M88" i="30"/>
  <c r="M89" i="30"/>
  <c r="M90" i="30"/>
  <c r="M91" i="30"/>
  <c r="M92" i="30"/>
  <c r="M93" i="30"/>
  <c r="M94" i="30"/>
  <c r="M95" i="30"/>
  <c r="M82" i="30"/>
  <c r="P13" i="16" s="1"/>
  <c r="M66" i="30"/>
  <c r="M67" i="30"/>
  <c r="M68" i="30"/>
  <c r="M69" i="30"/>
  <c r="M70" i="30"/>
  <c r="M71" i="30"/>
  <c r="M72" i="30"/>
  <c r="M65" i="30"/>
  <c r="K9" i="67" l="1"/>
  <c r="L9" i="67" s="1"/>
  <c r="K8" i="67"/>
  <c r="L8" i="67" s="1"/>
  <c r="K10" i="67"/>
  <c r="L10" i="67" s="1"/>
  <c r="Q23" i="76"/>
  <c r="L23" i="76"/>
  <c r="O29" i="70"/>
  <c r="N736" i="94"/>
  <c r="O736" i="94" s="1"/>
  <c r="P736" i="94" s="1"/>
  <c r="N720" i="94"/>
  <c r="O720" i="94" s="1"/>
  <c r="P720" i="94" s="1"/>
  <c r="N77" i="94"/>
  <c r="O77" i="94" s="1"/>
  <c r="P77" i="94" s="1"/>
  <c r="I16" i="70"/>
  <c r="N16" i="70"/>
  <c r="I14" i="70"/>
  <c r="N14" i="70"/>
  <c r="I20" i="70"/>
  <c r="N20" i="70"/>
  <c r="M10" i="70"/>
  <c r="I29" i="70"/>
  <c r="M12" i="70"/>
  <c r="I24" i="34"/>
  <c r="M18" i="70"/>
  <c r="N27" i="70"/>
  <c r="I18" i="70"/>
  <c r="N8" i="70"/>
  <c r="N28" i="70"/>
  <c r="I28" i="70"/>
  <c r="N12" i="70"/>
  <c r="L12" i="68"/>
  <c r="M12" i="68"/>
  <c r="K29" i="67" s="1"/>
  <c r="L21" i="68"/>
  <c r="M21" i="68"/>
  <c r="N10" i="70"/>
  <c r="M11" i="68"/>
  <c r="N11" i="68" s="1"/>
  <c r="K7" i="67"/>
  <c r="L7" i="67" s="1"/>
  <c r="M10" i="68"/>
  <c r="M19" i="68"/>
  <c r="G7" i="67" s="1"/>
  <c r="M13" i="68"/>
  <c r="M20" i="68"/>
  <c r="N20" i="68" l="1"/>
  <c r="K22" i="67"/>
  <c r="K21" i="67"/>
  <c r="K20" i="67"/>
  <c r="R23" i="76"/>
  <c r="N333" i="94"/>
  <c r="O333" i="94" s="1"/>
  <c r="P333" i="94" s="1"/>
  <c r="N365" i="94"/>
  <c r="O365" i="94" s="1"/>
  <c r="P365" i="94" s="1"/>
  <c r="N509" i="94"/>
  <c r="O509" i="94" s="1"/>
  <c r="P509" i="94" s="1"/>
  <c r="N525" i="94"/>
  <c r="O525" i="94" s="1"/>
  <c r="P525" i="94" s="1"/>
  <c r="N669" i="94"/>
  <c r="O669" i="94" s="1"/>
  <c r="P669" i="94" s="1"/>
  <c r="G9" i="67"/>
  <c r="G8" i="67"/>
  <c r="G10" i="67"/>
  <c r="O28" i="70"/>
  <c r="N78" i="94"/>
  <c r="O78" i="94" s="1"/>
  <c r="P78" i="94" s="1"/>
  <c r="N737" i="94"/>
  <c r="O737" i="94" s="1"/>
  <c r="P737" i="94" s="1"/>
  <c r="N721" i="94"/>
  <c r="O721" i="94" s="1"/>
  <c r="P721" i="94" s="1"/>
  <c r="O10" i="70"/>
  <c r="N101" i="94"/>
  <c r="O20" i="70"/>
  <c r="N733" i="94"/>
  <c r="O12" i="70"/>
  <c r="N118" i="94"/>
  <c r="O8" i="70"/>
  <c r="N74" i="94"/>
  <c r="O16" i="70"/>
  <c r="N152" i="94"/>
  <c r="O27" i="70"/>
  <c r="N703" i="94"/>
  <c r="N639" i="94"/>
  <c r="N575" i="94"/>
  <c r="N511" i="94"/>
  <c r="N447" i="94"/>
  <c r="N383" i="94"/>
  <c r="N319" i="94"/>
  <c r="N255" i="94"/>
  <c r="N191" i="94"/>
  <c r="N123" i="94"/>
  <c r="O123" i="94" s="1"/>
  <c r="P123" i="94" s="1"/>
  <c r="N671" i="94"/>
  <c r="N607" i="94"/>
  <c r="N479" i="94"/>
  <c r="N351" i="94"/>
  <c r="N223" i="94"/>
  <c r="N655" i="94"/>
  <c r="N527" i="94"/>
  <c r="N399" i="94"/>
  <c r="N271" i="94"/>
  <c r="N140" i="94"/>
  <c r="O140" i="94" s="1"/>
  <c r="P140" i="94" s="1"/>
  <c r="N687" i="94"/>
  <c r="N623" i="94"/>
  <c r="N559" i="94"/>
  <c r="N495" i="94"/>
  <c r="N431" i="94"/>
  <c r="N367" i="94"/>
  <c r="N303" i="94"/>
  <c r="N239" i="94"/>
  <c r="N175" i="94"/>
  <c r="N106" i="94"/>
  <c r="O106" i="94" s="1"/>
  <c r="P106" i="94" s="1"/>
  <c r="N543" i="94"/>
  <c r="N415" i="94"/>
  <c r="N287" i="94"/>
  <c r="N157" i="94"/>
  <c r="O157" i="94" s="1"/>
  <c r="P157" i="94" s="1"/>
  <c r="N591" i="94"/>
  <c r="N463" i="94"/>
  <c r="N335" i="94"/>
  <c r="N207" i="94"/>
  <c r="O14" i="70"/>
  <c r="N135" i="94"/>
  <c r="N18" i="70"/>
  <c r="K37" i="67"/>
  <c r="K38" i="67"/>
  <c r="M29" i="67"/>
  <c r="L29" i="67"/>
  <c r="H7" i="67"/>
  <c r="M7" i="67"/>
  <c r="M9" i="67"/>
  <c r="L20" i="67" l="1"/>
  <c r="M20" i="67"/>
  <c r="L21" i="67"/>
  <c r="M21" i="67"/>
  <c r="L22" i="67"/>
  <c r="M22" i="67"/>
  <c r="H10" i="67"/>
  <c r="M10" i="67"/>
  <c r="N7" i="67"/>
  <c r="N643" i="94"/>
  <c r="O643" i="94" s="1"/>
  <c r="P643" i="94" s="1"/>
  <c r="N579" i="94"/>
  <c r="O579" i="94" s="1"/>
  <c r="P579" i="94" s="1"/>
  <c r="N483" i="94"/>
  <c r="O483" i="94" s="1"/>
  <c r="P483" i="94" s="1"/>
  <c r="N419" i="94"/>
  <c r="O419" i="94" s="1"/>
  <c r="P419" i="94" s="1"/>
  <c r="N339" i="94"/>
  <c r="O339" i="94" s="1"/>
  <c r="P339" i="94" s="1"/>
  <c r="N259" i="94"/>
  <c r="O259" i="94" s="1"/>
  <c r="P259" i="94" s="1"/>
  <c r="N195" i="94"/>
  <c r="O195" i="94" s="1"/>
  <c r="P195" i="94" s="1"/>
  <c r="N691" i="94"/>
  <c r="O691" i="94" s="1"/>
  <c r="P691" i="94" s="1"/>
  <c r="N547" i="94"/>
  <c r="O547" i="94" s="1"/>
  <c r="P547" i="94" s="1"/>
  <c r="N387" i="94"/>
  <c r="O387" i="94" s="1"/>
  <c r="P387" i="94" s="1"/>
  <c r="N227" i="94"/>
  <c r="O227" i="94" s="1"/>
  <c r="P227" i="94" s="1"/>
  <c r="N163" i="94"/>
  <c r="O163" i="94" s="1"/>
  <c r="P163" i="94" s="1"/>
  <c r="N595" i="94"/>
  <c r="O595" i="94" s="1"/>
  <c r="P595" i="94" s="1"/>
  <c r="N435" i="94"/>
  <c r="O435" i="94" s="1"/>
  <c r="P435" i="94" s="1"/>
  <c r="N275" i="94"/>
  <c r="O275" i="94" s="1"/>
  <c r="P275" i="94" s="1"/>
  <c r="N627" i="94"/>
  <c r="O627" i="94" s="1"/>
  <c r="P627" i="94" s="1"/>
  <c r="N563" i="94"/>
  <c r="O563" i="94" s="1"/>
  <c r="P563" i="94" s="1"/>
  <c r="N467" i="94"/>
  <c r="O467" i="94" s="1"/>
  <c r="P467" i="94" s="1"/>
  <c r="N403" i="94"/>
  <c r="O403" i="94" s="1"/>
  <c r="P403" i="94" s="1"/>
  <c r="N307" i="94"/>
  <c r="O307" i="94" s="1"/>
  <c r="P307" i="94" s="1"/>
  <c r="N243" i="94"/>
  <c r="O243" i="94" s="1"/>
  <c r="P243" i="94" s="1"/>
  <c r="N179" i="94"/>
  <c r="O179" i="94" s="1"/>
  <c r="P179" i="94" s="1"/>
  <c r="N611" i="94"/>
  <c r="O611" i="94" s="1"/>
  <c r="P611" i="94" s="1"/>
  <c r="N451" i="94"/>
  <c r="O451" i="94" s="1"/>
  <c r="P451" i="94" s="1"/>
  <c r="N291" i="94"/>
  <c r="O291" i="94" s="1"/>
  <c r="P291" i="94" s="1"/>
  <c r="N675" i="94"/>
  <c r="O675" i="94" s="1"/>
  <c r="P675" i="94" s="1"/>
  <c r="N531" i="94"/>
  <c r="O531" i="94" s="1"/>
  <c r="P531" i="94" s="1"/>
  <c r="N371" i="94"/>
  <c r="O371" i="94" s="1"/>
  <c r="P371" i="94" s="1"/>
  <c r="N211" i="94"/>
  <c r="O211" i="94" s="1"/>
  <c r="P211" i="94" s="1"/>
  <c r="N144" i="94"/>
  <c r="O144" i="94" s="1"/>
  <c r="P144" i="94" s="1"/>
  <c r="N67" i="94"/>
  <c r="O67" i="94" s="1"/>
  <c r="P67" i="94" s="1"/>
  <c r="N710" i="94"/>
  <c r="O710" i="94" s="1"/>
  <c r="P710" i="94" s="1"/>
  <c r="N93" i="94"/>
  <c r="O93" i="94" s="1"/>
  <c r="P93" i="94" s="1"/>
  <c r="N127" i="94"/>
  <c r="O127" i="94" s="1"/>
  <c r="P127" i="94" s="1"/>
  <c r="N110" i="94"/>
  <c r="O110" i="94" s="1"/>
  <c r="P110" i="94" s="1"/>
  <c r="N29" i="67"/>
  <c r="N677" i="94"/>
  <c r="O677" i="94" s="1"/>
  <c r="P677" i="94" s="1"/>
  <c r="N613" i="94"/>
  <c r="O613" i="94" s="1"/>
  <c r="P613" i="94" s="1"/>
  <c r="N549" i="94"/>
  <c r="O549" i="94" s="1"/>
  <c r="P549" i="94" s="1"/>
  <c r="N485" i="94"/>
  <c r="O485" i="94" s="1"/>
  <c r="P485" i="94" s="1"/>
  <c r="N421" i="94"/>
  <c r="O421" i="94" s="1"/>
  <c r="P421" i="94" s="1"/>
  <c r="N357" i="94"/>
  <c r="O357" i="94" s="1"/>
  <c r="P357" i="94" s="1"/>
  <c r="N293" i="94"/>
  <c r="O293" i="94" s="1"/>
  <c r="P293" i="94" s="1"/>
  <c r="N229" i="94"/>
  <c r="O229" i="94" s="1"/>
  <c r="P229" i="94" s="1"/>
  <c r="N165" i="94"/>
  <c r="O165" i="94" s="1"/>
  <c r="P165" i="94" s="1"/>
  <c r="N95" i="94"/>
  <c r="O95" i="94" s="1"/>
  <c r="P95" i="94" s="1"/>
  <c r="N712" i="94"/>
  <c r="O712" i="94" s="1"/>
  <c r="P712" i="94" s="1"/>
  <c r="N581" i="94"/>
  <c r="O581" i="94" s="1"/>
  <c r="P581" i="94" s="1"/>
  <c r="N453" i="94"/>
  <c r="O453" i="94" s="1"/>
  <c r="P453" i="94" s="1"/>
  <c r="N325" i="94"/>
  <c r="O325" i="94" s="1"/>
  <c r="P325" i="94" s="1"/>
  <c r="N197" i="94"/>
  <c r="O197" i="94" s="1"/>
  <c r="P197" i="94" s="1"/>
  <c r="N693" i="94"/>
  <c r="O693" i="94" s="1"/>
  <c r="P693" i="94" s="1"/>
  <c r="N565" i="94"/>
  <c r="O565" i="94" s="1"/>
  <c r="P565" i="94" s="1"/>
  <c r="N437" i="94"/>
  <c r="O437" i="94" s="1"/>
  <c r="P437" i="94" s="1"/>
  <c r="N309" i="94"/>
  <c r="O309" i="94" s="1"/>
  <c r="P309" i="94" s="1"/>
  <c r="N181" i="94"/>
  <c r="O181" i="94" s="1"/>
  <c r="P181" i="94" s="1"/>
  <c r="N112" i="94"/>
  <c r="O112" i="94" s="1"/>
  <c r="P112" i="94" s="1"/>
  <c r="N728" i="94"/>
  <c r="O728" i="94" s="1"/>
  <c r="P728" i="94" s="1"/>
  <c r="N661" i="94"/>
  <c r="O661" i="94" s="1"/>
  <c r="P661" i="94" s="1"/>
  <c r="N597" i="94"/>
  <c r="O597" i="94" s="1"/>
  <c r="P597" i="94" s="1"/>
  <c r="N533" i="94"/>
  <c r="O533" i="94" s="1"/>
  <c r="P533" i="94" s="1"/>
  <c r="N469" i="94"/>
  <c r="O469" i="94" s="1"/>
  <c r="P469" i="94" s="1"/>
  <c r="N405" i="94"/>
  <c r="O405" i="94" s="1"/>
  <c r="P405" i="94" s="1"/>
  <c r="N341" i="94"/>
  <c r="O341" i="94" s="1"/>
  <c r="P341" i="94" s="1"/>
  <c r="N277" i="94"/>
  <c r="O277" i="94" s="1"/>
  <c r="P277" i="94" s="1"/>
  <c r="N213" i="94"/>
  <c r="O213" i="94" s="1"/>
  <c r="P213" i="94" s="1"/>
  <c r="N146" i="94"/>
  <c r="O146" i="94" s="1"/>
  <c r="P146" i="94" s="1"/>
  <c r="N69" i="94"/>
  <c r="O69" i="94" s="1"/>
  <c r="P69" i="94" s="1"/>
  <c r="N645" i="94"/>
  <c r="O645" i="94" s="1"/>
  <c r="P645" i="94" s="1"/>
  <c r="N517" i="94"/>
  <c r="O517" i="94" s="1"/>
  <c r="P517" i="94" s="1"/>
  <c r="N389" i="94"/>
  <c r="O389" i="94" s="1"/>
  <c r="P389" i="94" s="1"/>
  <c r="N261" i="94"/>
  <c r="O261" i="94" s="1"/>
  <c r="P261" i="94" s="1"/>
  <c r="N129" i="94"/>
  <c r="O129" i="94" s="1"/>
  <c r="P129" i="94" s="1"/>
  <c r="N629" i="94"/>
  <c r="O629" i="94" s="1"/>
  <c r="P629" i="94" s="1"/>
  <c r="N501" i="94"/>
  <c r="O501" i="94" s="1"/>
  <c r="P501" i="94" s="1"/>
  <c r="N373" i="94"/>
  <c r="O373" i="94" s="1"/>
  <c r="P373" i="94" s="1"/>
  <c r="N245" i="94"/>
  <c r="O245" i="94" s="1"/>
  <c r="P245" i="94" s="1"/>
  <c r="O335" i="94"/>
  <c r="O431" i="94"/>
  <c r="O479" i="94"/>
  <c r="O447" i="94"/>
  <c r="O733" i="94"/>
  <c r="O415" i="94"/>
  <c r="O495" i="94"/>
  <c r="O655" i="94"/>
  <c r="O607" i="94"/>
  <c r="O255" i="94"/>
  <c r="O511" i="94"/>
  <c r="O18" i="70"/>
  <c r="N717" i="94"/>
  <c r="O175" i="94"/>
  <c r="O687" i="94"/>
  <c r="O191" i="94"/>
  <c r="O703" i="94"/>
  <c r="O74" i="94"/>
  <c r="O135" i="94"/>
  <c r="O591" i="94"/>
  <c r="O543" i="94"/>
  <c r="O303" i="94"/>
  <c r="O559" i="94"/>
  <c r="O271" i="94"/>
  <c r="O223" i="94"/>
  <c r="O671" i="94"/>
  <c r="O319" i="94"/>
  <c r="O575" i="94"/>
  <c r="O152" i="94"/>
  <c r="O118" i="94"/>
  <c r="O101" i="94"/>
  <c r="O287" i="94"/>
  <c r="O527" i="94"/>
  <c r="O463" i="94"/>
  <c r="O239" i="94"/>
  <c r="O207" i="94"/>
  <c r="O367" i="94"/>
  <c r="O623" i="94"/>
  <c r="O399" i="94"/>
  <c r="O351" i="94"/>
  <c r="O383" i="94"/>
  <c r="O639" i="94"/>
  <c r="L38" i="67"/>
  <c r="M38" i="67"/>
  <c r="L37" i="67"/>
  <c r="M37" i="67"/>
  <c r="N9" i="67"/>
  <c r="H9" i="67"/>
  <c r="M8" i="67"/>
  <c r="H8" i="67"/>
  <c r="N22" i="67" l="1"/>
  <c r="N727" i="94"/>
  <c r="O727" i="94" s="1"/>
  <c r="P727" i="94" s="1"/>
  <c r="N726" i="94"/>
  <c r="O726" i="94" s="1"/>
  <c r="P726" i="94" s="1"/>
  <c r="N10" i="67"/>
  <c r="N420" i="94"/>
  <c r="O420" i="94" s="1"/>
  <c r="P420" i="94" s="1"/>
  <c r="N276" i="94"/>
  <c r="O276" i="94" s="1"/>
  <c r="P276" i="94" s="1"/>
  <c r="N452" i="94"/>
  <c r="O452" i="94" s="1"/>
  <c r="P452" i="94" s="1"/>
  <c r="N145" i="94"/>
  <c r="O145" i="94" s="1"/>
  <c r="P145" i="94" s="1"/>
  <c r="N292" i="94"/>
  <c r="O292" i="94" s="1"/>
  <c r="P292" i="94" s="1"/>
  <c r="N260" i="94"/>
  <c r="O260" i="94" s="1"/>
  <c r="P260" i="94" s="1"/>
  <c r="N711" i="94"/>
  <c r="O711" i="94" s="1"/>
  <c r="P711" i="94" s="1"/>
  <c r="N164" i="94"/>
  <c r="O164" i="94" s="1"/>
  <c r="P164" i="94" s="1"/>
  <c r="N564" i="94"/>
  <c r="O564" i="94" s="1"/>
  <c r="P564" i="94" s="1"/>
  <c r="N468" i="94"/>
  <c r="O468" i="94" s="1"/>
  <c r="P468" i="94" s="1"/>
  <c r="N212" i="94"/>
  <c r="O212" i="94" s="1"/>
  <c r="P212" i="94" s="1"/>
  <c r="N340" i="94"/>
  <c r="O340" i="94" s="1"/>
  <c r="P340" i="94" s="1"/>
  <c r="N128" i="94"/>
  <c r="O128" i="94" s="1"/>
  <c r="P128" i="94" s="1"/>
  <c r="N692" i="94"/>
  <c r="O692" i="94" s="1"/>
  <c r="P692" i="94" s="1"/>
  <c r="N548" i="94"/>
  <c r="O548" i="94" s="1"/>
  <c r="P548" i="94" s="1"/>
  <c r="N196" i="94"/>
  <c r="O196" i="94" s="1"/>
  <c r="P196" i="94" s="1"/>
  <c r="N628" i="94"/>
  <c r="O628" i="94" s="1"/>
  <c r="P628" i="94" s="1"/>
  <c r="N676" i="94"/>
  <c r="O676" i="94" s="1"/>
  <c r="P676" i="94" s="1"/>
  <c r="N532" i="94"/>
  <c r="O532" i="94" s="1"/>
  <c r="P532" i="94" s="1"/>
  <c r="N372" i="94"/>
  <c r="O372" i="94" s="1"/>
  <c r="P372" i="94" s="1"/>
  <c r="N404" i="94"/>
  <c r="O404" i="94" s="1"/>
  <c r="P404" i="94" s="1"/>
  <c r="N388" i="94"/>
  <c r="O388" i="94" s="1"/>
  <c r="P388" i="94" s="1"/>
  <c r="N308" i="94"/>
  <c r="O308" i="94" s="1"/>
  <c r="P308" i="94" s="1"/>
  <c r="N68" i="94"/>
  <c r="O68" i="94" s="1"/>
  <c r="P68" i="94" s="1"/>
  <c r="N20" i="67"/>
  <c r="N228" i="94"/>
  <c r="O228" i="94" s="1"/>
  <c r="P228" i="94" s="1"/>
  <c r="N244" i="94"/>
  <c r="O244" i="94" s="1"/>
  <c r="P244" i="94" s="1"/>
  <c r="N644" i="94"/>
  <c r="O644" i="94" s="1"/>
  <c r="P644" i="94" s="1"/>
  <c r="N94" i="94"/>
  <c r="O94" i="94" s="1"/>
  <c r="P94" i="94" s="1"/>
  <c r="N180" i="94"/>
  <c r="O180" i="94" s="1"/>
  <c r="P180" i="94" s="1"/>
  <c r="N580" i="94"/>
  <c r="O580" i="94" s="1"/>
  <c r="P580" i="94" s="1"/>
  <c r="N596" i="94"/>
  <c r="O596" i="94" s="1"/>
  <c r="P596" i="94" s="1"/>
  <c r="N111" i="94"/>
  <c r="O111" i="94" s="1"/>
  <c r="P111" i="94" s="1"/>
  <c r="N484" i="94"/>
  <c r="O484" i="94" s="1"/>
  <c r="P484" i="94" s="1"/>
  <c r="N436" i="94"/>
  <c r="O436" i="94" s="1"/>
  <c r="P436" i="94" s="1"/>
  <c r="N612" i="94"/>
  <c r="O612" i="94" s="1"/>
  <c r="P612" i="94" s="1"/>
  <c r="N660" i="94"/>
  <c r="O660" i="94" s="1"/>
  <c r="P660" i="94" s="1"/>
  <c r="N356" i="94"/>
  <c r="O356" i="94" s="1"/>
  <c r="P356" i="94" s="1"/>
  <c r="N516" i="94"/>
  <c r="O516" i="94" s="1"/>
  <c r="P516" i="94" s="1"/>
  <c r="N500" i="94"/>
  <c r="O500" i="94" s="1"/>
  <c r="P500" i="94" s="1"/>
  <c r="N21" i="67"/>
  <c r="N324" i="94"/>
  <c r="O324" i="94" s="1"/>
  <c r="P324" i="94" s="1"/>
  <c r="N37" i="67"/>
  <c r="N662" i="94"/>
  <c r="O662" i="94" s="1"/>
  <c r="P662" i="94" s="1"/>
  <c r="N598" i="94"/>
  <c r="N534" i="94"/>
  <c r="O534" i="94" s="1"/>
  <c r="P534" i="94" s="1"/>
  <c r="N470" i="94"/>
  <c r="N406" i="94"/>
  <c r="O406" i="94" s="1"/>
  <c r="P406" i="94" s="1"/>
  <c r="N342" i="94"/>
  <c r="N278" i="94"/>
  <c r="N214" i="94"/>
  <c r="O214" i="94" s="1"/>
  <c r="P214" i="94" s="1"/>
  <c r="N147" i="94"/>
  <c r="O147" i="94" s="1"/>
  <c r="P147" i="94" s="1"/>
  <c r="N70" i="94"/>
  <c r="N694" i="94"/>
  <c r="N566" i="94"/>
  <c r="N438" i="94"/>
  <c r="O438" i="94" s="1"/>
  <c r="P438" i="94" s="1"/>
  <c r="N310" i="94"/>
  <c r="O310" i="94" s="1"/>
  <c r="P310" i="94" s="1"/>
  <c r="N182" i="94"/>
  <c r="N614" i="94"/>
  <c r="N550" i="94"/>
  <c r="O550" i="94" s="1"/>
  <c r="P550" i="94" s="1"/>
  <c r="N422" i="94"/>
  <c r="N294" i="94"/>
  <c r="N166" i="94"/>
  <c r="N713" i="94"/>
  <c r="O713" i="94" s="1"/>
  <c r="P713" i="94" s="1"/>
  <c r="N646" i="94"/>
  <c r="N582" i="94"/>
  <c r="N518" i="94"/>
  <c r="O518" i="94" s="1"/>
  <c r="P518" i="94" s="1"/>
  <c r="N454" i="94"/>
  <c r="N390" i="94"/>
  <c r="O390" i="94" s="1"/>
  <c r="P390" i="94" s="1"/>
  <c r="N326" i="94"/>
  <c r="O326" i="94" s="1"/>
  <c r="P326" i="94" s="1"/>
  <c r="N262" i="94"/>
  <c r="N198" i="94"/>
  <c r="N130" i="94"/>
  <c r="O130" i="94" s="1"/>
  <c r="P130" i="94" s="1"/>
  <c r="N630" i="94"/>
  <c r="N502" i="94"/>
  <c r="O502" i="94" s="1"/>
  <c r="P502" i="94" s="1"/>
  <c r="N374" i="94"/>
  <c r="N246" i="94"/>
  <c r="N113" i="94"/>
  <c r="N678" i="94"/>
  <c r="O678" i="94" s="1"/>
  <c r="P678" i="94" s="1"/>
  <c r="N486" i="94"/>
  <c r="N358" i="94"/>
  <c r="O358" i="94" s="1"/>
  <c r="P358" i="94" s="1"/>
  <c r="N230" i="94"/>
  <c r="O230" i="94" s="1"/>
  <c r="P230" i="94" s="1"/>
  <c r="N96" i="94"/>
  <c r="O96" i="94" s="1"/>
  <c r="P96" i="94" s="1"/>
  <c r="N8" i="67"/>
  <c r="N355" i="94"/>
  <c r="N499" i="94"/>
  <c r="N659" i="94"/>
  <c r="N323" i="94"/>
  <c r="N515" i="94"/>
  <c r="N38" i="67"/>
  <c r="N729" i="94"/>
  <c r="P383" i="94"/>
  <c r="P399" i="94"/>
  <c r="P367" i="94"/>
  <c r="P239" i="94"/>
  <c r="P527" i="94"/>
  <c r="P101" i="94"/>
  <c r="P152" i="94"/>
  <c r="P319" i="94"/>
  <c r="P223" i="94"/>
  <c r="P559" i="94"/>
  <c r="P543" i="94"/>
  <c r="P135" i="94"/>
  <c r="P703" i="94"/>
  <c r="P687" i="94"/>
  <c r="P255" i="94"/>
  <c r="P655" i="94"/>
  <c r="P415" i="94"/>
  <c r="P447" i="94"/>
  <c r="P431" i="94"/>
  <c r="O717" i="94"/>
  <c r="P639" i="94"/>
  <c r="P351" i="94"/>
  <c r="P623" i="94"/>
  <c r="P207" i="94"/>
  <c r="P463" i="94"/>
  <c r="P287" i="94"/>
  <c r="P118" i="94"/>
  <c r="P575" i="94"/>
  <c r="P671" i="94"/>
  <c r="P271" i="94"/>
  <c r="P303" i="94"/>
  <c r="P591" i="94"/>
  <c r="P74" i="94"/>
  <c r="P191" i="94"/>
  <c r="P175" i="94"/>
  <c r="P511" i="94"/>
  <c r="P607" i="94"/>
  <c r="P495" i="94"/>
  <c r="P733" i="94"/>
  <c r="P479" i="94"/>
  <c r="P335" i="94"/>
  <c r="L8" i="38"/>
  <c r="K9" i="38"/>
  <c r="L9" i="38" s="1"/>
  <c r="K7" i="38"/>
  <c r="L7" i="38" s="1"/>
  <c r="I8" i="38"/>
  <c r="I9" i="38"/>
  <c r="I7" i="38"/>
  <c r="F9" i="38"/>
  <c r="F8" i="38"/>
  <c r="F7" i="38"/>
  <c r="E8" i="38"/>
  <c r="E9" i="38"/>
  <c r="E7" i="38"/>
  <c r="O729" i="94" l="1"/>
  <c r="O659" i="94"/>
  <c r="O582" i="94"/>
  <c r="O182" i="94"/>
  <c r="O694" i="94"/>
  <c r="O278" i="94"/>
  <c r="O499" i="94"/>
  <c r="O246" i="94"/>
  <c r="O70" i="94"/>
  <c r="O342" i="94"/>
  <c r="O515" i="94"/>
  <c r="O355" i="94"/>
  <c r="O486" i="94"/>
  <c r="O374" i="94"/>
  <c r="O198" i="94"/>
  <c r="O454" i="94"/>
  <c r="O113" i="94"/>
  <c r="O630" i="94"/>
  <c r="O294" i="94"/>
  <c r="O646" i="94"/>
  <c r="O422" i="94"/>
  <c r="O598" i="94"/>
  <c r="O323" i="94"/>
  <c r="O262" i="94"/>
  <c r="O166" i="94"/>
  <c r="O614" i="94"/>
  <c r="O566" i="94"/>
  <c r="O470" i="94"/>
  <c r="P717" i="94"/>
  <c r="K12" i="31"/>
  <c r="H12" i="31"/>
  <c r="J12" i="31" s="1"/>
  <c r="K11" i="31"/>
  <c r="H11" i="31"/>
  <c r="J11" i="31" s="1"/>
  <c r="K10" i="31"/>
  <c r="H10" i="31"/>
  <c r="J10" i="31" s="1"/>
  <c r="L10" i="31" l="1"/>
  <c r="M10" i="31"/>
  <c r="G7" i="38" s="1"/>
  <c r="H7" i="38" s="1"/>
  <c r="L11" i="31"/>
  <c r="M11" i="31"/>
  <c r="G9" i="38" s="1"/>
  <c r="H9" i="38" s="1"/>
  <c r="L12" i="31"/>
  <c r="M12" i="31"/>
  <c r="G8" i="38" s="1"/>
  <c r="H8" i="38" s="1"/>
  <c r="P614" i="94"/>
  <c r="P262" i="94"/>
  <c r="P182" i="94"/>
  <c r="P646" i="94"/>
  <c r="P454" i="94"/>
  <c r="P374" i="94"/>
  <c r="P70" i="94"/>
  <c r="P499" i="94"/>
  <c r="P566" i="94"/>
  <c r="P166" i="94"/>
  <c r="P323" i="94"/>
  <c r="P694" i="94"/>
  <c r="P582" i="94"/>
  <c r="P729" i="94"/>
  <c r="P470" i="94"/>
  <c r="P278" i="94"/>
  <c r="P659" i="94"/>
  <c r="P598" i="94"/>
  <c r="P630" i="94"/>
  <c r="P515" i="94"/>
  <c r="P422" i="94"/>
  <c r="P294" i="94"/>
  <c r="P113" i="94"/>
  <c r="P198" i="94"/>
  <c r="P486" i="94"/>
  <c r="P355" i="94"/>
  <c r="P342" i="94"/>
  <c r="P246" i="94"/>
  <c r="R18" i="16"/>
  <c r="M17" i="16"/>
  <c r="M16" i="16"/>
  <c r="M15" i="16"/>
  <c r="L14" i="16"/>
  <c r="M14" i="16" s="1"/>
  <c r="K14" i="16"/>
  <c r="M13" i="16"/>
  <c r="J18" i="16"/>
  <c r="J17" i="16"/>
  <c r="J16" i="16"/>
  <c r="J15" i="16"/>
  <c r="J14" i="16"/>
  <c r="J13" i="16"/>
  <c r="J7" i="16"/>
  <c r="M18" i="16"/>
  <c r="M7" i="16"/>
  <c r="Q18" i="16"/>
  <c r="Q17" i="16"/>
  <c r="Q16" i="16"/>
  <c r="Q15" i="16"/>
  <c r="Q14" i="16"/>
  <c r="Q13" i="16"/>
  <c r="Q7" i="16"/>
  <c r="G17" i="16"/>
  <c r="G18" i="16"/>
  <c r="G16" i="16"/>
  <c r="G15" i="16"/>
  <c r="G14" i="16"/>
  <c r="G13" i="16"/>
  <c r="G7" i="16"/>
  <c r="E10" i="63"/>
  <c r="E9" i="63"/>
  <c r="E8" i="63"/>
  <c r="E6" i="63"/>
  <c r="E5" i="63"/>
  <c r="E4" i="63"/>
  <c r="E7" i="63"/>
  <c r="S18" i="16" l="1"/>
  <c r="N32" i="94"/>
  <c r="O32" i="94" s="1"/>
  <c r="P32" i="94" s="1"/>
  <c r="R16" i="16"/>
  <c r="R17" i="16"/>
  <c r="R15" i="16"/>
  <c r="S17" i="16" l="1"/>
  <c r="N31" i="94"/>
  <c r="O31" i="94" s="1"/>
  <c r="P31" i="94" s="1"/>
  <c r="S16" i="16"/>
  <c r="N30" i="94"/>
  <c r="O30" i="94" s="1"/>
  <c r="P30" i="94" s="1"/>
  <c r="S15" i="16"/>
  <c r="N29" i="94"/>
  <c r="O29" i="94" s="1"/>
  <c r="P29" i="94" s="1"/>
  <c r="H8" i="36"/>
  <c r="H13" i="36" s="1"/>
  <c r="M25" i="93" s="1"/>
  <c r="O25" i="93" l="1"/>
  <c r="N25" i="93"/>
  <c r="K8" i="49"/>
  <c r="O8" i="49" s="1"/>
  <c r="I8" i="49"/>
  <c r="L8" i="49"/>
  <c r="N52" i="94" l="1"/>
  <c r="O52" i="94" s="1"/>
  <c r="P52" i="94" s="1"/>
  <c r="P25" i="93"/>
  <c r="P8" i="49"/>
  <c r="R13" i="16" l="1"/>
  <c r="R7" i="16"/>
  <c r="L7" i="52"/>
  <c r="J7" i="52"/>
  <c r="F11" i="52"/>
  <c r="R14" i="16"/>
  <c r="N28" i="94" s="1"/>
  <c r="O28" i="94" s="1"/>
  <c r="P28" i="94" s="1"/>
  <c r="S13" i="16" l="1"/>
  <c r="N27" i="94"/>
  <c r="O27" i="94" s="1"/>
  <c r="S7" i="16"/>
  <c r="N15" i="94"/>
  <c r="O15" i="94" s="1"/>
  <c r="P15" i="94" s="1"/>
  <c r="N16" i="94"/>
  <c r="O16" i="94" s="1"/>
  <c r="P16" i="94" s="1"/>
  <c r="N14" i="94"/>
  <c r="O14" i="94" s="1"/>
  <c r="P14" i="94" s="1"/>
  <c r="N13" i="94"/>
  <c r="O13" i="94" s="1"/>
  <c r="P13" i="94" s="1"/>
  <c r="N12" i="94"/>
  <c r="O12" i="94" s="1"/>
  <c r="G11" i="52"/>
  <c r="O17" i="94" l="1"/>
  <c r="P12" i="94"/>
  <c r="O33" i="94"/>
  <c r="P33" i="94" s="1"/>
  <c r="P27" i="94"/>
  <c r="S14" i="16"/>
  <c r="O25" i="94" l="1"/>
  <c r="P17" i="94"/>
  <c r="M7" i="38"/>
  <c r="O34" i="94" l="1"/>
  <c r="P34" i="94" s="1"/>
  <c r="P25" i="94"/>
  <c r="N714" i="94"/>
  <c r="N647" i="94"/>
  <c r="N583" i="94"/>
  <c r="N519" i="94"/>
  <c r="N455" i="94"/>
  <c r="N391" i="94"/>
  <c r="N327" i="94"/>
  <c r="N263" i="94"/>
  <c r="N199" i="94"/>
  <c r="N132" i="94"/>
  <c r="N730" i="94"/>
  <c r="N471" i="94"/>
  <c r="N279" i="94"/>
  <c r="N71" i="94"/>
  <c r="N695" i="94"/>
  <c r="N631" i="94"/>
  <c r="N567" i="94"/>
  <c r="N503" i="94"/>
  <c r="N439" i="94"/>
  <c r="N375" i="94"/>
  <c r="N311" i="94"/>
  <c r="N247" i="94"/>
  <c r="N183" i="94"/>
  <c r="N115" i="94"/>
  <c r="N663" i="94"/>
  <c r="N535" i="94"/>
  <c r="N343" i="94"/>
  <c r="N149" i="94"/>
  <c r="N679" i="94"/>
  <c r="N615" i="94"/>
  <c r="N551" i="94"/>
  <c r="N487" i="94"/>
  <c r="N423" i="94"/>
  <c r="N359" i="94"/>
  <c r="N295" i="94"/>
  <c r="N231" i="94"/>
  <c r="N167" i="94"/>
  <c r="N98" i="94"/>
  <c r="N599" i="94"/>
  <c r="N407" i="94"/>
  <c r="N215" i="94"/>
  <c r="M8" i="38"/>
  <c r="O407" i="94" l="1"/>
  <c r="O231" i="94"/>
  <c r="O487" i="94"/>
  <c r="O149" i="94"/>
  <c r="O115" i="94"/>
  <c r="O375" i="94"/>
  <c r="O631" i="94"/>
  <c r="O471" i="94"/>
  <c r="O263" i="94"/>
  <c r="O519" i="94"/>
  <c r="O599" i="94"/>
  <c r="O295" i="94"/>
  <c r="O551" i="94"/>
  <c r="O343" i="94"/>
  <c r="O183" i="94"/>
  <c r="O439" i="94"/>
  <c r="O695" i="94"/>
  <c r="O730" i="94"/>
  <c r="O327" i="94"/>
  <c r="O583" i="94"/>
  <c r="N696" i="94"/>
  <c r="O696" i="94" s="1"/>
  <c r="P696" i="94" s="1"/>
  <c r="N632" i="94"/>
  <c r="O632" i="94" s="1"/>
  <c r="P632" i="94" s="1"/>
  <c r="N568" i="94"/>
  <c r="O568" i="94" s="1"/>
  <c r="P568" i="94" s="1"/>
  <c r="N504" i="94"/>
  <c r="O504" i="94" s="1"/>
  <c r="P504" i="94" s="1"/>
  <c r="N440" i="94"/>
  <c r="O440" i="94" s="1"/>
  <c r="P440" i="94" s="1"/>
  <c r="N376" i="94"/>
  <c r="O376" i="94" s="1"/>
  <c r="P376" i="94" s="1"/>
  <c r="N312" i="94"/>
  <c r="O312" i="94" s="1"/>
  <c r="P312" i="94" s="1"/>
  <c r="N248" i="94"/>
  <c r="O248" i="94" s="1"/>
  <c r="P248" i="94" s="1"/>
  <c r="N184" i="94"/>
  <c r="O184" i="94" s="1"/>
  <c r="P184" i="94" s="1"/>
  <c r="N116" i="94"/>
  <c r="O116" i="94" s="1"/>
  <c r="P116" i="94" s="1"/>
  <c r="N648" i="94"/>
  <c r="O648" i="94" s="1"/>
  <c r="P648" i="94" s="1"/>
  <c r="N456" i="94"/>
  <c r="O456" i="94" s="1"/>
  <c r="P456" i="94" s="1"/>
  <c r="N264" i="94"/>
  <c r="O264" i="94" s="1"/>
  <c r="P264" i="94" s="1"/>
  <c r="N680" i="94"/>
  <c r="O680" i="94" s="1"/>
  <c r="P680" i="94" s="1"/>
  <c r="N616" i="94"/>
  <c r="O616" i="94" s="1"/>
  <c r="P616" i="94" s="1"/>
  <c r="N552" i="94"/>
  <c r="O552" i="94" s="1"/>
  <c r="P552" i="94" s="1"/>
  <c r="N488" i="94"/>
  <c r="O488" i="94" s="1"/>
  <c r="P488" i="94" s="1"/>
  <c r="N424" i="94"/>
  <c r="O424" i="94" s="1"/>
  <c r="P424" i="94" s="1"/>
  <c r="N360" i="94"/>
  <c r="O360" i="94" s="1"/>
  <c r="P360" i="94" s="1"/>
  <c r="N296" i="94"/>
  <c r="O296" i="94" s="1"/>
  <c r="P296" i="94" s="1"/>
  <c r="N232" i="94"/>
  <c r="O232" i="94" s="1"/>
  <c r="P232" i="94" s="1"/>
  <c r="N168" i="94"/>
  <c r="O168" i="94" s="1"/>
  <c r="P168" i="94" s="1"/>
  <c r="N99" i="94"/>
  <c r="O99" i="94" s="1"/>
  <c r="P99" i="94" s="1"/>
  <c r="N584" i="94"/>
  <c r="O584" i="94" s="1"/>
  <c r="P584" i="94" s="1"/>
  <c r="N392" i="94"/>
  <c r="O392" i="94" s="1"/>
  <c r="P392" i="94" s="1"/>
  <c r="N200" i="94"/>
  <c r="O200" i="94" s="1"/>
  <c r="P200" i="94" s="1"/>
  <c r="N731" i="94"/>
  <c r="O731" i="94" s="1"/>
  <c r="P731" i="94" s="1"/>
  <c r="N664" i="94"/>
  <c r="O664" i="94" s="1"/>
  <c r="P664" i="94" s="1"/>
  <c r="N600" i="94"/>
  <c r="O600" i="94" s="1"/>
  <c r="P600" i="94" s="1"/>
  <c r="N536" i="94"/>
  <c r="O536" i="94" s="1"/>
  <c r="P536" i="94" s="1"/>
  <c r="N472" i="94"/>
  <c r="O472" i="94" s="1"/>
  <c r="P472" i="94" s="1"/>
  <c r="N408" i="94"/>
  <c r="O408" i="94" s="1"/>
  <c r="P408" i="94" s="1"/>
  <c r="N344" i="94"/>
  <c r="O344" i="94" s="1"/>
  <c r="P344" i="94" s="1"/>
  <c r="N280" i="94"/>
  <c r="O280" i="94" s="1"/>
  <c r="P280" i="94" s="1"/>
  <c r="N216" i="94"/>
  <c r="O216" i="94" s="1"/>
  <c r="P216" i="94" s="1"/>
  <c r="N150" i="94"/>
  <c r="O150" i="94" s="1"/>
  <c r="P150" i="94" s="1"/>
  <c r="N72" i="94"/>
  <c r="O72" i="94" s="1"/>
  <c r="P72" i="94" s="1"/>
  <c r="N715" i="94"/>
  <c r="O715" i="94" s="1"/>
  <c r="P715" i="94" s="1"/>
  <c r="N520" i="94"/>
  <c r="O520" i="94" s="1"/>
  <c r="P520" i="94" s="1"/>
  <c r="N328" i="94"/>
  <c r="O328" i="94" s="1"/>
  <c r="P328" i="94" s="1"/>
  <c r="N133" i="94"/>
  <c r="O133" i="94" s="1"/>
  <c r="P133" i="94" s="1"/>
  <c r="O98" i="94"/>
  <c r="O359" i="94"/>
  <c r="O615" i="94"/>
  <c r="O535" i="94"/>
  <c r="O247" i="94"/>
  <c r="O503" i="94"/>
  <c r="O71" i="94"/>
  <c r="O132" i="94"/>
  <c r="O391" i="94"/>
  <c r="O647" i="94"/>
  <c r="O215" i="94"/>
  <c r="O167" i="94"/>
  <c r="O423" i="94"/>
  <c r="O679" i="94"/>
  <c r="O663" i="94"/>
  <c r="O311" i="94"/>
  <c r="O567" i="94"/>
  <c r="O279" i="94"/>
  <c r="O199" i="94"/>
  <c r="O455" i="94"/>
  <c r="O714" i="94"/>
  <c r="M9" i="38"/>
  <c r="N8" i="38"/>
  <c r="N7" i="38"/>
  <c r="P455" i="94" l="1"/>
  <c r="P311" i="94"/>
  <c r="P167" i="94"/>
  <c r="P132" i="94"/>
  <c r="P535" i="94"/>
  <c r="N305" i="94"/>
  <c r="N159" i="94"/>
  <c r="P583" i="94"/>
  <c r="P730" i="94"/>
  <c r="P439" i="94"/>
  <c r="P343" i="94"/>
  <c r="P295" i="94"/>
  <c r="P519" i="94"/>
  <c r="P471" i="94"/>
  <c r="P375" i="94"/>
  <c r="N9" i="38"/>
  <c r="N681" i="94"/>
  <c r="N617" i="94"/>
  <c r="N553" i="94"/>
  <c r="O553" i="94" s="1"/>
  <c r="P553" i="94" s="1"/>
  <c r="N489" i="94"/>
  <c r="O489" i="94" s="1"/>
  <c r="P489" i="94" s="1"/>
  <c r="N425" i="94"/>
  <c r="N361" i="94"/>
  <c r="O361" i="94" s="1"/>
  <c r="P361" i="94" s="1"/>
  <c r="N297" i="94"/>
  <c r="O297" i="94" s="1"/>
  <c r="P297" i="94" s="1"/>
  <c r="N233" i="94"/>
  <c r="N169" i="94"/>
  <c r="N100" i="94"/>
  <c r="N697" i="94"/>
  <c r="N505" i="94"/>
  <c r="O505" i="94" s="1"/>
  <c r="P505" i="94" s="1"/>
  <c r="N377" i="94"/>
  <c r="N185" i="94"/>
  <c r="O185" i="94" s="1"/>
  <c r="P185" i="94" s="1"/>
  <c r="N732" i="94"/>
  <c r="N665" i="94"/>
  <c r="O665" i="94" s="1"/>
  <c r="P665" i="94" s="1"/>
  <c r="N601" i="94"/>
  <c r="O601" i="94" s="1"/>
  <c r="P601" i="94" s="1"/>
  <c r="N537" i="94"/>
  <c r="N473" i="94"/>
  <c r="N409" i="94"/>
  <c r="O409" i="94" s="1"/>
  <c r="P409" i="94" s="1"/>
  <c r="N345" i="94"/>
  <c r="N281" i="94"/>
  <c r="N217" i="94"/>
  <c r="N151" i="94"/>
  <c r="O151" i="94" s="1"/>
  <c r="P151" i="94" s="1"/>
  <c r="N73" i="94"/>
  <c r="N633" i="94"/>
  <c r="O633" i="94" s="1"/>
  <c r="P633" i="94" s="1"/>
  <c r="N441" i="94"/>
  <c r="N313" i="94"/>
  <c r="O313" i="94" s="1"/>
  <c r="P313" i="94" s="1"/>
  <c r="N117" i="94"/>
  <c r="O117" i="94" s="1"/>
  <c r="P117" i="94" s="1"/>
  <c r="N716" i="94"/>
  <c r="N649" i="94"/>
  <c r="O649" i="94" s="1"/>
  <c r="P649" i="94" s="1"/>
  <c r="N585" i="94"/>
  <c r="O585" i="94" s="1"/>
  <c r="P585" i="94" s="1"/>
  <c r="N521" i="94"/>
  <c r="N457" i="94"/>
  <c r="O457" i="94" s="1"/>
  <c r="P457" i="94" s="1"/>
  <c r="N393" i="94"/>
  <c r="N329" i="94"/>
  <c r="O329" i="94" s="1"/>
  <c r="P329" i="94" s="1"/>
  <c r="N265" i="94"/>
  <c r="O265" i="94" s="1"/>
  <c r="P265" i="94" s="1"/>
  <c r="N201" i="94"/>
  <c r="N134" i="94"/>
  <c r="N569" i="94"/>
  <c r="N249" i="94"/>
  <c r="O249" i="94" s="1"/>
  <c r="P249" i="94" s="1"/>
  <c r="P279" i="94"/>
  <c r="P679" i="94"/>
  <c r="P647" i="94"/>
  <c r="P503" i="94"/>
  <c r="P359" i="94"/>
  <c r="N593" i="94"/>
  <c r="P231" i="94"/>
  <c r="P714" i="94"/>
  <c r="P199" i="94"/>
  <c r="P567" i="94"/>
  <c r="P663" i="94"/>
  <c r="P423" i="94"/>
  <c r="P215" i="94"/>
  <c r="P391" i="94"/>
  <c r="P71" i="94"/>
  <c r="P247" i="94"/>
  <c r="P615" i="94"/>
  <c r="P98" i="94"/>
  <c r="N337" i="94"/>
  <c r="N193" i="94"/>
  <c r="N273" i="94"/>
  <c r="N417" i="94"/>
  <c r="P149" i="94"/>
  <c r="N657" i="94"/>
  <c r="N513" i="94"/>
  <c r="N369" i="94"/>
  <c r="P327" i="94"/>
  <c r="P695" i="94"/>
  <c r="P183" i="94"/>
  <c r="P551" i="94"/>
  <c r="P599" i="94"/>
  <c r="P263" i="94"/>
  <c r="P631" i="94"/>
  <c r="P115" i="94"/>
  <c r="P487" i="94"/>
  <c r="P407" i="94"/>
  <c r="O593" i="94" l="1"/>
  <c r="P593" i="94" s="1"/>
  <c r="O657" i="94"/>
  <c r="P657" i="94" s="1"/>
  <c r="O305" i="94"/>
  <c r="P305" i="94" s="1"/>
  <c r="O369" i="94"/>
  <c r="P369" i="94" s="1"/>
  <c r="O159" i="94"/>
  <c r="P159" i="94" s="1"/>
  <c r="O513" i="94"/>
  <c r="P513" i="94" s="1"/>
  <c r="O641" i="94"/>
  <c r="P641" i="94" s="1"/>
  <c r="O497" i="94"/>
  <c r="P497" i="94" s="1"/>
  <c r="N561" i="94"/>
  <c r="N321" i="94"/>
  <c r="N465" i="94"/>
  <c r="O561" i="94"/>
  <c r="P561" i="94" s="1"/>
  <c r="O193" i="94"/>
  <c r="P193" i="94" s="1"/>
  <c r="N497" i="94"/>
  <c r="O417" i="94"/>
  <c r="P417" i="94" s="1"/>
  <c r="N641" i="94"/>
  <c r="O521" i="94"/>
  <c r="N529" i="94"/>
  <c r="O73" i="94"/>
  <c r="N81" i="94"/>
  <c r="N88" i="94" s="1"/>
  <c r="O345" i="94"/>
  <c r="N353" i="94"/>
  <c r="O377" i="94"/>
  <c r="N385" i="94"/>
  <c r="O169" i="94"/>
  <c r="N177" i="94"/>
  <c r="O425" i="94"/>
  <c r="N433" i="94"/>
  <c r="O681" i="94"/>
  <c r="N689" i="94"/>
  <c r="O321" i="94"/>
  <c r="P321" i="94" s="1"/>
  <c r="O125" i="94"/>
  <c r="P125" i="94" s="1"/>
  <c r="O273" i="94"/>
  <c r="P273" i="94" s="1"/>
  <c r="N609" i="94"/>
  <c r="O257" i="94"/>
  <c r="P257" i="94" s="1"/>
  <c r="O569" i="94"/>
  <c r="N577" i="94"/>
  <c r="O233" i="94"/>
  <c r="N241" i="94"/>
  <c r="N125" i="94"/>
  <c r="O134" i="94"/>
  <c r="N142" i="94"/>
  <c r="O393" i="94"/>
  <c r="N401" i="94"/>
  <c r="O441" i="94"/>
  <c r="N449" i="94"/>
  <c r="O217" i="94"/>
  <c r="N225" i="94"/>
  <c r="O473" i="94"/>
  <c r="N481" i="94"/>
  <c r="O732" i="94"/>
  <c r="N740" i="94"/>
  <c r="O697" i="94"/>
  <c r="N705" i="94"/>
  <c r="N257" i="94"/>
  <c r="O465" i="94"/>
  <c r="P465" i="94" s="1"/>
  <c r="O609" i="94"/>
  <c r="P609" i="94" s="1"/>
  <c r="O337" i="94"/>
  <c r="P337" i="94" s="1"/>
  <c r="O673" i="94"/>
  <c r="P673" i="94" s="1"/>
  <c r="O201" i="94"/>
  <c r="N209" i="94"/>
  <c r="O716" i="94"/>
  <c r="N724" i="94"/>
  <c r="O281" i="94"/>
  <c r="N289" i="94"/>
  <c r="O537" i="94"/>
  <c r="N545" i="94"/>
  <c r="O100" i="94"/>
  <c r="N108" i="94"/>
  <c r="O617" i="94"/>
  <c r="N625" i="94"/>
  <c r="N673" i="94"/>
  <c r="N741" i="94" l="1"/>
  <c r="N160" i="94"/>
  <c r="P281" i="94"/>
  <c r="O289" i="94"/>
  <c r="P289" i="94" s="1"/>
  <c r="P569" i="94"/>
  <c r="O577" i="94"/>
  <c r="P577" i="94" s="1"/>
  <c r="P732" i="94"/>
  <c r="O740" i="94"/>
  <c r="P740" i="94" s="1"/>
  <c r="P217" i="94"/>
  <c r="O225" i="94"/>
  <c r="P225" i="94" s="1"/>
  <c r="P393" i="94"/>
  <c r="O401" i="94"/>
  <c r="P401" i="94" s="1"/>
  <c r="P425" i="94"/>
  <c r="O433" i="94"/>
  <c r="P433" i="94" s="1"/>
  <c r="P377" i="94"/>
  <c r="O385" i="94"/>
  <c r="P385" i="94" s="1"/>
  <c r="P73" i="94"/>
  <c r="O81" i="94"/>
  <c r="P100" i="94"/>
  <c r="O108" i="94"/>
  <c r="P201" i="94"/>
  <c r="O209" i="94"/>
  <c r="P209" i="94" s="1"/>
  <c r="P617" i="94"/>
  <c r="O625" i="94"/>
  <c r="P625" i="94" s="1"/>
  <c r="P537" i="94"/>
  <c r="O545" i="94"/>
  <c r="P545" i="94" s="1"/>
  <c r="P716" i="94"/>
  <c r="O724" i="94"/>
  <c r="P233" i="94"/>
  <c r="O241" i="94"/>
  <c r="P241" i="94" s="1"/>
  <c r="N706" i="94"/>
  <c r="N707" i="94" s="1"/>
  <c r="N742" i="94" s="1"/>
  <c r="P697" i="94"/>
  <c r="O705" i="94"/>
  <c r="P705" i="94" s="1"/>
  <c r="P473" i="94"/>
  <c r="O481" i="94"/>
  <c r="P481" i="94" s="1"/>
  <c r="P441" i="94"/>
  <c r="O449" i="94"/>
  <c r="P449" i="94" s="1"/>
  <c r="P134" i="94"/>
  <c r="O142" i="94"/>
  <c r="P142" i="94" s="1"/>
  <c r="P681" i="94"/>
  <c r="O689" i="94"/>
  <c r="P689" i="94" s="1"/>
  <c r="P169" i="94"/>
  <c r="O177" i="94"/>
  <c r="P345" i="94"/>
  <c r="O353" i="94"/>
  <c r="P353" i="94" s="1"/>
  <c r="P521" i="94"/>
  <c r="O529" i="94"/>
  <c r="P529" i="94" s="1"/>
  <c r="P81" i="94" l="1"/>
  <c r="O88" i="94"/>
  <c r="P724" i="94"/>
  <c r="O741" i="94"/>
  <c r="P741" i="94" s="1"/>
  <c r="P108" i="94"/>
  <c r="O160" i="94"/>
  <c r="P177" i="94"/>
  <c r="O706" i="94"/>
  <c r="P706" i="94" s="1"/>
  <c r="O707" i="94" l="1"/>
  <c r="P707" i="94" s="1"/>
  <c r="P160" i="94"/>
  <c r="P88" i="94"/>
  <c r="O742" i="94" l="1"/>
  <c r="P742" i="9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Francy</author>
  </authors>
  <commentList>
    <comment ref="C13" authorId="0" shapeId="0" xr:uid="{73B790E2-57A8-49D7-8E9E-2EC338C6E2CD}">
      <text>
        <r>
          <rPr>
            <b/>
            <sz val="9"/>
            <color indexed="81"/>
            <rFont val="Tahoma"/>
            <family val="2"/>
          </rPr>
          <t>Francy:</t>
        </r>
        <r>
          <rPr>
            <sz val="9"/>
            <color indexed="81"/>
            <rFont val="Tahoma"/>
            <family val="2"/>
          </rPr>
          <t xml:space="preserve">
Perfil definido es más bajo, pero sus honorarios son más altos con respecto al Eq. De Expertos</t>
        </r>
      </text>
    </comment>
  </commentList>
</comments>
</file>

<file path=xl/sharedStrings.xml><?xml version="1.0" encoding="utf-8"?>
<sst xmlns="http://schemas.openxmlformats.org/spreadsheetml/2006/main" count="5338" uniqueCount="1600">
  <si>
    <t>IPC</t>
  </si>
  <si>
    <t>Agosto</t>
  </si>
  <si>
    <t>Septiembre</t>
  </si>
  <si>
    <t>AÑO</t>
  </si>
  <si>
    <t>MES</t>
  </si>
  <si>
    <t>ENTIDAD</t>
  </si>
  <si>
    <t>PROCESO</t>
  </si>
  <si>
    <t>MES FIRMA CONTRATO</t>
  </si>
  <si>
    <t>LINK</t>
  </si>
  <si>
    <t>República de Colombia
Ministerio de Justicia y del Derecho
Oficina de Prensa y Comunicaciones</t>
  </si>
  <si>
    <t>FORMATO DE OFERTA ECONÓMICA</t>
  </si>
  <si>
    <t xml:space="preserve">EMPRESA: </t>
  </si>
  <si>
    <t>E-MAIL:</t>
  </si>
  <si>
    <t>INSTRUCCIONES PARA EL DILIGENCIAMIENTO DEL FORMATO DE OFERTA ECONÓMICA</t>
  </si>
  <si>
    <t>1. Comisión por actividades de comunicación</t>
  </si>
  <si>
    <t>SERVICIO</t>
  </si>
  <si>
    <t xml:space="preserve">Observación. Si ingresa algún porcentaje mayor al porcentaje techo se activará un mensaje para revisión por parte del oferente. </t>
  </si>
  <si>
    <t>Item</t>
  </si>
  <si>
    <t>Concepto</t>
  </si>
  <si>
    <t>cantidad</t>
  </si>
  <si>
    <t>Desayuno tipo Americano: Café y Té, Jugo de frutas (dos variedades) Pan, tostadas, mermelada, mantequilla, leche, yogurt (mínimo dos variedades) y variedad de cereales (mínimo dos tipos de cereal), jamón (bajo en grasa dos piezas), (Variedad de quesos: emmental, mozarela, cheddar, gouda, provolone, Edam, ((mínimo tres piezas, mínimo dos variedades)). menaje (cristalería, vajilla en cerámica o porcelana) debe incluir, menaje pesado para el servicio y transporte en perímetro urbano ida y regreso.</t>
  </si>
  <si>
    <t>Almuerzo o cena básico: Entrada, Plato Fuerte, Postre (fruta o chocolatina de 6 grs.), menaje (cristalería y vajilla en cerámica o porcelana, cubertería), menaje pesado (mesas y mantelería para estación de servicio), samovar Var para mantener la comida caliente (los que sean necesarios). Debe incluir transporte en perímetro Urbano ida y regreso.</t>
  </si>
  <si>
    <t>Almuerzo o cena para eventos itinerantes: 1 jugo en cajita, 150grs de proteína (pollo, carne o pescado), 100grs de papa, 100grs arroz, 40grs de grano, 1 porción de fruta (papaya, banano, fresas partidas en dos), postre (chocolatina de 6 grs. o brownie), empaque (debe ser ecológico, no se permite acopar o plástico), servilletas, cubiertos desechables biodegradables. Los almuerzos deben ser entregados calientes y debe incluir el transporte en perímetro urbano ida y regreso.</t>
  </si>
  <si>
    <t>Almuerzo o cena  tipo empresarial: Proteína en entrada, plato fuerte (menú a seleccionar), ensalada (se deben presentar mínimo dos propuestas para elección), jugo y postre. Menaje (cristalería y vajilla en cerámica o porcelana, cubertería), menaje pesado (mesas y mantelería para servicio), debe incluir samovar Var para mantener la comida caliente; (los que sean necesarios) y transporte en perímetro urbano ida y regreso.</t>
  </si>
  <si>
    <t>Paca de 24 Botellas de agua tipo PET sin gas x 600 ml</t>
  </si>
  <si>
    <t>Botella de agua biodegradable 600 mls</t>
  </si>
  <si>
    <t>Botella de agua biodegradable 300 mls</t>
  </si>
  <si>
    <t>Productor por evento (Valor por día jornada 12 horas diurnas)</t>
  </si>
  <si>
    <t xml:space="preserve">Productor Técnico General / Por 12 horas diurnas </t>
  </si>
  <si>
    <t>Personal de Protocolo (persona por día)</t>
  </si>
  <si>
    <t>Personal de Comunicación y Prensa (persona por día)</t>
  </si>
  <si>
    <t>Personal de Apoyo Operativo (persona por día)</t>
  </si>
  <si>
    <t>Personal de apoyo logístico y técnico (persona por día)</t>
  </si>
  <si>
    <t>Coordinador Logístico por 12 horas  (Personal con experiencia en eventos masivos y corporativos con mínimo 2 años de experiencia)</t>
  </si>
  <si>
    <t>Operador Logístico por 12 horas diurnas. Debe incluir transporte ida y regreso a un punto específico determinado por la entidad.</t>
  </si>
  <si>
    <t xml:space="preserve">Operador Logístico para montaje por 12 horas diurnas, debe incluir transporte e implementos de seguridad:  Guantes para cargue, Botas punta de acero, Faja, Gafas de protección. Debe incluir transporte ida y regreso a un punto específico determinado por la entidad </t>
  </si>
  <si>
    <t>Personal certificado en alturas con sus respectivos implementos (línea de vida, absolvedor de choque, botas de seguridad, guantes de seguridad, arnés de cuerpo completo, mosquetones, Coordino, ocho, casco, gafas de policarbonato, cinta de anclaje, amarres plásticos, herramienta básica y de más elementos necesarios para llevar a cabo su labor  ) por 8 horas diurnas.</t>
  </si>
  <si>
    <t>Recurso de seguridad para eventos masivos Requisito SUGA: Operadores por 12 horas  diurnas (deben tener uniforme, garret, capacitación de seguridad dictada por la policía metropolitana).</t>
  </si>
  <si>
    <t>Recurso de seguridad para eventos masivos Requisito SUGA: Operadores por 12 horas  nocturnas (deben tener uniforme, garret, capacitación de seguridad dictada por la policía metropolitana).</t>
  </si>
  <si>
    <t>Recurso de seguridad para eventos masivos Requisito SUGA: Operadores por 12 horas  dominical - Festivo  (deben tener uniforme, garret, capacitación de seguridad dictada por la policía metropolitana).</t>
  </si>
  <si>
    <t>Brigadas se aseo de 4 pax que incluya los insumos: 50 Bolsas de basura, escobas, recogedores, guantes para el personal de brigada, tapa bocas para el personal de brigada papel higiénico Industrial, jabón para lavar manos, desinfectante para pisos, ambientador por 12 horas Diurno</t>
  </si>
  <si>
    <t>Brigadas se aseo de 4 pax que incluya los insumos: 50 Bolsas de basura, escobas, recogedores, guantes para el personal de brigada, tapa bocas para el personal de brigada papel higiénico Industrial, jabón para lavar manos, desinfectante para pisos, ambientador por 12 horas Nocturno</t>
  </si>
  <si>
    <t>Electricista por 12 horas Diurno con los implementos necesarios para realizar sus labores como cinta aislante, herramienta, alicates, destornilladores, tornillos, detector de tensión, pelacables, remachadoras, tijeras especiales para cortar cables finos o pelar cables conductores, pinzas, regla, metro, escuadra, kit de al menos 5 juegos de clavijas (hembra - macho).</t>
  </si>
  <si>
    <t>Electricista por 12 horas Nocturno con los implementos necesarios para realizar sus labores como cinta aislante, herramienta, alicates, destornilladores, tornillos, detector de tensión, pelacables, remachadoras, tijeras especiales para cortar cables finos o pelar cables conductores, pinzas, regla, metro, escuadra, kit de al menos 5 juegos de clavijas (hembra - macho).</t>
  </si>
  <si>
    <t>Brigadista con su equipo por 12 horas Diurnas</t>
  </si>
  <si>
    <t>Personal de primeros auxilios (auxiliares de enfermería) por 8 horas Diurnas</t>
  </si>
  <si>
    <t>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Debe incluir los auxiliares requeridos para un evento de media por 12 horas.</t>
  </si>
  <si>
    <t>Guarda de Seguridad por 12 horas Diurnas</t>
  </si>
  <si>
    <t>Guarda de Seguridad por 12 horas Nocturnas</t>
  </si>
  <si>
    <t>Mesero turno 1 hora</t>
  </si>
  <si>
    <t>Mesero Turno 4 horas</t>
  </si>
  <si>
    <t>Mesero turno 8 horas</t>
  </si>
  <si>
    <t>Interprete lenguaje por señas jornada de 3 horas * Debe cumplir los parámetros de salud ocupacional</t>
  </si>
  <si>
    <t xml:space="preserve">Jefe de Audio por 12 horas diurnas </t>
  </si>
  <si>
    <t xml:space="preserve">Jefe de Video por 12 horas diurnas </t>
  </si>
  <si>
    <t xml:space="preserve">Stage manager por 12 horas diurnas </t>
  </si>
  <si>
    <t>Alquiler de Video bean de 6000 Lumens con operario jornada de 8 horas (valor por día)</t>
  </si>
  <si>
    <t>Alquiler de Video bean de 6000 Lumens proyección back con operario 8 horas (valor por día)</t>
  </si>
  <si>
    <t>Alquiler de Videobeam de 10000 Lumens con operario 8 horas (valor por día)</t>
  </si>
  <si>
    <t>Alquiler Pantalla Led De 32 Pulgadas con base a piso incluida (por día)</t>
  </si>
  <si>
    <t>Alquiler Pantalla Led De 42 Pulgadas con base a piso incluida  (por día)</t>
  </si>
  <si>
    <t>Alquiler Video Wall 4 Pantallas incluido montaje y desmontaje (por día)</t>
  </si>
  <si>
    <t>Video Wall 6 Pantallas incluido montaje y desmontaje (por día)</t>
  </si>
  <si>
    <t>Video Wall 8 Pantallas incluido montaje y desmontaje  (por día)</t>
  </si>
  <si>
    <t>Pantallas De Relevo Incluido montaje y desmontaje (por día)</t>
  </si>
  <si>
    <t>Alquiler canal dedicado de 10 Megas incluida instalación y desinstalación (valor por día)</t>
  </si>
  <si>
    <t>Alquiler canal dedicado de 20 Megas incluida instalación y desinstalación (valor por día)</t>
  </si>
  <si>
    <t>Alquiler canal dedicado de 30 megas incluida instalación y desinstalación (valor por día)</t>
  </si>
  <si>
    <t>Generadores Eléctricos 75 Kva (por día)</t>
  </si>
  <si>
    <t>Generadores Eléctricos 100 Kva (por día)</t>
  </si>
  <si>
    <t>Generadores Eléctricos 125 Kva (por día)</t>
  </si>
  <si>
    <t>Generadores Eléctricos 150 Kva (por día)</t>
  </si>
  <si>
    <t>Generadores Eléctricos 165 Kva (por día)</t>
  </si>
  <si>
    <t>Instalación y Desinstalación de punto de luz en carpa de 3x3, 4x4, 6x6, 6x12 y 12x12,debe incluir bombillo de ahorro, la electricidad saldrá de la Planta Eléctrica (valor unitario)</t>
  </si>
  <si>
    <t>Alquiler de punto de luz en carpa de 3x3, 4x4, 6x6, 6x12 y 12x12, con bombillo de ahorro, la electricidad saldrá de la Planta Eléctrica (valor unitario por día)</t>
  </si>
  <si>
    <t>Instalación y Desinstalación de Punto de corriente con toma doble tipo Levinton y cable encauchetado (valor unitario) la electricidad sale de las plantas que se alquilan para el evento</t>
  </si>
  <si>
    <t>Alquiler de Punto de corriente con toma doble tipo Levinton y cable encauchetado (valor unitario) la electricidad sale de las plantas que se alquilan para el evento</t>
  </si>
  <si>
    <t xml:space="preserve">Alquiler Torre de Luz de 6000 vatios de potencia en 4 lámparas independientes para uso por 8 horas </t>
  </si>
  <si>
    <t xml:space="preserve">Alquiler Torre de Luz de 6000 vatios de potencia en 4 lámparas independientes para uso por 24 horas </t>
  </si>
  <si>
    <t xml:space="preserve">Carpa de 2X2  a 4 aguas con laterales </t>
  </si>
  <si>
    <t xml:space="preserve">Carpa de 3X3  a 4 aguas con laterales </t>
  </si>
  <si>
    <t>Carpa Hexagonal  Diam  6MT</t>
  </si>
  <si>
    <t xml:space="preserve">Carpa  4X4 a  4 Aguas con laterales </t>
  </si>
  <si>
    <t xml:space="preserve">Carpa Pagoda de 2x2 </t>
  </si>
  <si>
    <t>Carpa Pagoda de 3x3</t>
  </si>
  <si>
    <t>Carpa Pagoda de 6x6</t>
  </si>
  <si>
    <t xml:space="preserve">Carpa 4X4 Nacional Pagoda con laterales </t>
  </si>
  <si>
    <t xml:space="preserve">Carpa negra 4X4 a 4 Aguas con laterales </t>
  </si>
  <si>
    <t>Alquiler de Carpa Tipo hangar de 12x6 cerrada * Requiere tener certificación estructural</t>
  </si>
  <si>
    <t>Alquiler de tarima de 4,88 x 3,66 (altura modular entre 0.20 y 1.60) con faldón negro,  escalera de embarque y desembarque, cinta anti deslizante y barandas.  (valor por día)</t>
  </si>
  <si>
    <t>Alquiler de Tarima De 3.60 X8.40 (altura modular entre 0.20 y 1.60) con faldón negro,  escalera de embarque y desembarque, cinta anti deslizante y barandas.  (valor por día)</t>
  </si>
  <si>
    <t>Alquiler de Tarima De 3x4 (altura modular entre 0.20 y 1.60) con faldón negro,  escalera de embarque y desembarque, cinta anti deslizante y barandas.  (valor por día)</t>
  </si>
  <si>
    <t>Alquiler de Tarima De 4X4 (altura modular entre 0.20 y 1.60) con faldón negro,  escalera de embarque y desembarque, cinta anti deslizante y barandas.  (valor por día)</t>
  </si>
  <si>
    <t>Alquiler Tarima de 6 x 4 (altura modular entre 0.20 y 1.60) con faldón negro,  escalera de embarque y desembarque, cinta anti deslizante y barandas.  (valor por día)</t>
  </si>
  <si>
    <t>Alquiler de Tarima De 6X 7.20 (altura modular entre 0.20 y 1.60) con faldón negro,  escalera de embarque y desembarque, cinta anti deslizante y barandas.  (valor por día) * Requiere tener certificación estructural.</t>
  </si>
  <si>
    <t>Tarima De 6 X 8 (altura modular entre 0.20 y 1.60) con faldón negro,  escalera de embarque y desembarque, cinta anti deslizante y barandas.  (valor por día) * Requiere tener certificación estructural.</t>
  </si>
  <si>
    <t>Tarima De 6 X 12 (por día) (altura modular entre 0.20 y 1.60) con faldón negro,  escalera de embarque y desembarque, cinta anti deslizante y barandas.  (valor por día) * Requiere tener certificación estructural.</t>
  </si>
  <si>
    <t xml:space="preserve">Alquiler Techo en estructura de Truss para tarima de 6x6 (valor unitario) </t>
  </si>
  <si>
    <t>Alquiler Techo en estructura de Truss para tarima de 8x8 por día  * Requiere tener certificación estructural</t>
  </si>
  <si>
    <t>Alquiler Techo en estructura de Truss para tarima de 10x8 por día  * Requiere tener certificación estructural</t>
  </si>
  <si>
    <t>Alquiler Techo en estructura de Truss para tarima de 10x10 por día  * Requiere tener certificación estructural</t>
  </si>
  <si>
    <t>Alquiler Techo en estructura de Truss para tarima de 12x12 por jornada de 12 horas (con montaje el día anterior) * Requiere tener certificación estructural</t>
  </si>
  <si>
    <t>Metro cuadrado instalado en Bogotá de Fondo Visual (valor del metro cuadrado).</t>
  </si>
  <si>
    <t>Alquiler Radios de comunicación de largo alcance con manos libres y su respectivo cargador (Valor unitario) por jornada de 12 horas</t>
  </si>
  <si>
    <t>Alquiler Bocadillo de 12 Tomas con polo a tierra por jornada de 12 horas  (valor unitario)</t>
  </si>
  <si>
    <t>Alquiler de Estantes 4 o 5 entrepaños que no supere 1, 80 Metros de alto</t>
  </si>
  <si>
    <t>Alquiler Carro valla por jornada diaria de ocho horas, para instalar impresiones de 3x2 a cada lado, debe incluir los permisos de circulación que se requieran.</t>
  </si>
  <si>
    <t>Alquiler Carro valla por 8 días con  jornada diaria de ocho horas, para instalar impresiones de 3x2 a cada lado, debe incluir los permisos de circulación que se requieran.</t>
  </si>
  <si>
    <t>Alquiler de vitrinas para joyería horizontales (valor unitario)</t>
  </si>
  <si>
    <t>Alquiler de rack (o burro)para ropa pequeño de 1.20 (mínimo) x 1.00 de ancho con rodachines</t>
  </si>
  <si>
    <t>Alquiler de piso en estiba (valor por metro cuadrado)</t>
  </si>
  <si>
    <t>Alquiler de piso plástico (valor por metro cuadrado)</t>
  </si>
  <si>
    <t>Alquiler de pasa cables o cubre cables o yellow jacket  de 5 canales (valor unitario)</t>
  </si>
  <si>
    <t>Alquiler de pasa cables o cubre cables o yellow jacket  de 2 canales (valor unitario)</t>
  </si>
  <si>
    <t>Alquiler de sección de estructuras En Truss de 1.5 metros  (por día)</t>
  </si>
  <si>
    <t>Muro De Contención (por día) (por metro)</t>
  </si>
  <si>
    <t>Alquiler baños móviles y/o portátiles con insumos que suplan 12 horas de labor , debe incluir  operario que se encargue de su manejo y aseo  por 12 horas,  (Valor Unitario)</t>
  </si>
  <si>
    <t>Alquiler baños móviles y/o portátiles con lavamanos con insumos que suplan 12 horas de labor, debe incluir operario que se encargue de su manejo y aseo  por 12 horas (Valor Unitario)</t>
  </si>
  <si>
    <t>Alquiler de Baño portátil para personas en condición de discapacidad con insumos que suplan 12 horas de labor, deben incluir operario que se encargue de su manejo y aseo por 12 horas. (Valor Unitario)</t>
  </si>
  <si>
    <t>Camión 600 tipo Furgón con 2,60 de altura libre 6.50 o 7.00 metros de profundidad y 3 metros de ancho ( por viaje perímetro urbano)</t>
  </si>
  <si>
    <t>Camión 350 tipo furgón refrigerado (por viaje) perímetro urbano</t>
  </si>
  <si>
    <t>Transporte de pasajeros Bus de 42 pasajeros por 8 horas</t>
  </si>
  <si>
    <t>Transporte de pasajeros Bus de 30 pasajeros por 8 horas</t>
  </si>
  <si>
    <t>Transporte de pasajeros Bus de 20 por 8 horas</t>
  </si>
  <si>
    <t>Transporte de pasajeros Van de 12 pasajeros por 8 horas</t>
  </si>
  <si>
    <t>Pantalla de gran formato - telón de proyección (front - back) de 3 x 4 m con video beam de 7000 lumens</t>
  </si>
  <si>
    <t>Pantalla de relevo - tv led de 42 " con base alta</t>
  </si>
  <si>
    <t>Pantalla de gran formato - tv led de 60 " con base alta</t>
  </si>
  <si>
    <t xml:space="preserve">Pantalla de gran formato - pantalla led de 2.9 pitch de 4 x 3 m </t>
  </si>
  <si>
    <t>Pantalla de relevo para evento masivo - pantalla led de 2.9 pitch de 3 x 2 m (mínimo)</t>
  </si>
  <si>
    <t>Pantalle LED outdoor 4x3m</t>
  </si>
  <si>
    <t>Alquiler de Pantalla Led con Estructura pitch 6 de 3 x 3 incluido Montaje y desmontaje  (valor por día mínimo 10 horas )</t>
  </si>
  <si>
    <t>Alquiler de Pantalla Led con Estructura pitch 3 de 4 x 3  incluido Montaje y desmontaje (valor por día mínimo 10 horas )</t>
  </si>
  <si>
    <t>Alquiler de Pantalla Led con Estructura pitch 3 de 3 x 3 incluido Montaje y desmontaje  (valor por día mínimo 10 horas )</t>
  </si>
  <si>
    <t>Alquiler de Pantalla Led con Estructura pitch 3 de 4 x 2 incluido Montaje y desmontaje  (valor por día mínimo 10 horas )</t>
  </si>
  <si>
    <t xml:space="preserve">Servicio de grabación de evento ya sea en streaming, circuito cerrado de tv o registro privado, incluido el personal técnico necesario. De acuerdo con las horas de grabación, enviar una tera, USB o disco con la grabación solicitada.  El alquiler incluye instalación, y transporte al lugar de origen y destino. Sin edición en formato. </t>
  </si>
  <si>
    <t>Alquiler de sonido. Mixer de sonido con mínimo 8 entradas XLR y TRS de 6,35mm, amplificador de sonido correspondiente a la necesidad, extensiones regletas, líneas plug para conexión y repuestos en caso de avería, audífonos para el monitoreo de sonido. El alquiler incluye instalación, y transporte al lugar de origen y destino.</t>
  </si>
  <si>
    <t>Alquiler de consola</t>
  </si>
  <si>
    <t>Alquiler de impresora Laser multifuncional puerto Centronics, un puerto USB y/o adicionalmente una tarjeta de red para conectividad Wi-Fi, tener cable USB en caso de ausencia de conectividad Wi-Fi o la falla de la misma, disponer de un respaldo de los controladores de la impresora tanto en cd como en USB. Impresora con fotocopiadora, escáner e impresión. Con tóner que se encuentre cargado o disponer de un tóner nuevo de repuesto en caso de que el tóner se encuentre por debajo del 50% de capacidad, IPM mínima de 75 hojas por minuto y hojas biodegradables para impresión. El alquiler incluye instalación, y transporte al lugar de origen y destino.</t>
  </si>
  <si>
    <t>Alquiler de micrófono de cable.Micrófono por cable que capta el sonido para su amplificación. Sensibilidad mayor de 135dB SPL y de 150, conectores de salida tipo XLR (External Live Return) o plug Trs de 6,35mm, filtro pop para evitar el popping en el discurso.</t>
  </si>
  <si>
    <t>Alquiler de micrófono inalámbrico. Micrófono con transmisor y receptor de frecuencia, entre los 50 y 16.000 Hz, canal de frecuencia, UHF, ISM o UWB. voltaje entre -60 dBV (0,001 voltios) y -40 dBV (0,010 voltios). Conectores de salida tipo XLR (External Live Return) o plug Trs de 6,35mm, filtro pop para evitar el popping en el discurso. El alquiler incluye instalación, y transporte al lugar de origen y destino.</t>
  </si>
  <si>
    <t xml:space="preserve">Alquiler de micrófono de solapa. Micrófono cardiode u omnidireccional con respuesta de frecuencia entre los 60 y los 18.000 Hz y pinza sujetadora y con emisor, rango de frecuencia de 175 a 270MHZ, rango dinámico de 70 DB, alcance de 30 metros conector de salida tipo plug Trs de 6,35mm, filtro pop para evitar el popping en el discurso. </t>
  </si>
  <si>
    <t>Alquiler de Cámara de video. Cámara de video con resolución mínima de 1080x1920, triple sensor con tres CCD y tres (3) canales de señal RGB, óptica de gran diámetro y luminosidad y aros de foco iris y zoom para el trabajo manual, salida de video analógico por conector BNS, sistema de anclaje para trípode, sistema de alimentación por batería y alimentador externo, trípode con rotación 360 grados, grabadora de video, computador para monitoreo de audio y video.  El alquiler incluye instalación, y transporte al lugar de origen y destino.</t>
  </si>
  <si>
    <t>Sumatoria de los items unitarios---&gt;</t>
  </si>
  <si>
    <t>OTROS PROCESOS</t>
  </si>
  <si>
    <t>CONTRATISTA</t>
  </si>
  <si>
    <t>IDENTIFICACION</t>
  </si>
  <si>
    <t>MESES</t>
  </si>
  <si>
    <t>VALOR MES</t>
  </si>
  <si>
    <t>ACTUALIZACION DE PRECIOS</t>
  </si>
  <si>
    <t>VARIABLE UTILIZADA PARA ACTUALIZACION DE PRECIO</t>
  </si>
  <si>
    <t>IPC Total 2024</t>
  </si>
  <si>
    <t>IPC ANUAL</t>
  </si>
  <si>
    <t>Valor mensual actualizado</t>
  </si>
  <si>
    <t>IPC Total 2023</t>
  </si>
  <si>
    <t>VR. UNITARIO ACTUALIZADO</t>
  </si>
  <si>
    <t>COMPARATIVO HOSPEDAJE</t>
  </si>
  <si>
    <t>COMPARATIVO ALIMENTACIÓN</t>
  </si>
  <si>
    <t>Ministerio de Justicia</t>
  </si>
  <si>
    <t>Link:</t>
  </si>
  <si>
    <t>https://www.minjusticia.gov.co/normatividad-co/Resoluciones/Resolucion-2175-DEL-31-DE-OCTUBRE-DE-2024.pdf</t>
  </si>
  <si>
    <t>TIPO Y GRADO</t>
  </si>
  <si>
    <t>FORMACION</t>
  </si>
  <si>
    <t>EXPERIENCIA</t>
  </si>
  <si>
    <t>HONORARIOS MÍNIMOS 2024</t>
  </si>
  <si>
    <t>HONORARIOS MÁXIMOS 2024</t>
  </si>
  <si>
    <t>Experto 2</t>
  </si>
  <si>
    <t>Título profesional con Título de Postgrado en modalidad maestría, o Título Profesional con Título de Postgrado en modalidad especialización</t>
  </si>
  <si>
    <t>Entre 44 y 54 meses de experiencia profesional relacionada o 55 y 66 meses de experiencia profesional relacionada</t>
  </si>
  <si>
    <t>Experto 1</t>
  </si>
  <si>
    <t>Título profesional con Título de Postgrado en modalidad especialización</t>
  </si>
  <si>
    <t>46 y 51 meses de experiencia profesional relacionada</t>
  </si>
  <si>
    <t>Profesionales 5</t>
  </si>
  <si>
    <t>31 y 40 meses de experiencia profesional relacionada</t>
  </si>
  <si>
    <t>Profesionales 4</t>
  </si>
  <si>
    <t>19 y 30 meses de experiencia profesional relacionada</t>
  </si>
  <si>
    <t>Profesionales 3</t>
  </si>
  <si>
    <t>7 y 18 meses de experiencia profesional relacionada</t>
  </si>
  <si>
    <t>Profesionales 2</t>
  </si>
  <si>
    <t>Título profesional</t>
  </si>
  <si>
    <t>12 y 24 meses de experiencia profesional relacionada</t>
  </si>
  <si>
    <t>Profesionales 1</t>
  </si>
  <si>
    <t>0 y 11 meses de experiencia profesional relacionada</t>
  </si>
  <si>
    <t>Técnicos 2</t>
  </si>
  <si>
    <t>Título de Formación Tecnologica o Aprobación de tres (3) años de educación superior en la modalidad de formación tecnológica o profesional o universitaria</t>
  </si>
  <si>
    <t>Entre 0 y 6 meses de experiencia relacionada o laboral o entre 10 y 16 meses de experiencia relacionada o laboral</t>
  </si>
  <si>
    <t>Técnicos 1</t>
  </si>
  <si>
    <t>Título de Formación Técnica o Aprobación de tres (3) años de educación superior en la modalidad de formación tecnológica o profesional o universitaria</t>
  </si>
  <si>
    <t>Entre 3 y 6 meses de experiencia relacionada o laboral o entre 6 y 9 meses de experiencia relacionada o laboral</t>
  </si>
  <si>
    <t>Asistenciales 2</t>
  </si>
  <si>
    <t>Aprobación de 2 años de educación superior de pregrado</t>
  </si>
  <si>
    <t>6 meses de experiencia relacionada o laboral</t>
  </si>
  <si>
    <t>Asistenciales 1</t>
  </si>
  <si>
    <t>Diploma bachiller</t>
  </si>
  <si>
    <t>0 meses de experiencia relacionada o laboral</t>
  </si>
  <si>
    <t>Valor Total</t>
  </si>
  <si>
    <t>CANT.</t>
  </si>
  <si>
    <t>V. UNITARIO</t>
  </si>
  <si>
    <t>https://community.secop.gov.co/Public/Tendering/OpportunityDetail/Index?noticeUID=CO1.NTC.4908805&amp;isFromPublicArea=True&amp;isModal=true&amp;asPopupView=true</t>
  </si>
  <si>
    <t>MJD-CD-1060-2023</t>
  </si>
  <si>
    <t>CRIC</t>
  </si>
  <si>
    <t>Sistematizador</t>
  </si>
  <si>
    <t>Corresponde a 4 recorridos ida y regreso, así: para 16 personas de cada zona a popayán</t>
  </si>
  <si>
    <t># DÍAS</t>
  </si>
  <si>
    <t>LINEA 1</t>
  </si>
  <si>
    <t>Valor Unitario</t>
  </si>
  <si>
    <t>Concertar y protocolizar acuerdos con las organizaciones indígenas del nivel nacional y el Gobierno Nacional sobre ley de coordinación interjurisdiccional</t>
  </si>
  <si>
    <t>OBJETI VO 1</t>
  </si>
  <si>
    <t>tiques aereos popayan -Bogota-popyaa</t>
  </si>
  <si>
    <t>Reuniones técnicas de nivel nacional con la participación del equipo técnico y autoridades, regionales. 10 reuniones de dos días. Con la participación de 5 personas por día para un total de 50 personas</t>
  </si>
  <si>
    <t>COMPARATIVO PERSONAL</t>
  </si>
  <si>
    <t>AUMENTO SMMLV</t>
  </si>
  <si>
    <t>Incremento</t>
  </si>
  <si>
    <t>#</t>
  </si>
  <si>
    <t xml:space="preserve">DESCRIPCIÓN </t>
  </si>
  <si>
    <t>CANTIDAD</t>
  </si>
  <si>
    <t xml:space="preserve">VALOR TOTAL </t>
  </si>
  <si>
    <t>PERFIL ASESOR</t>
  </si>
  <si>
    <t>TOTAL EQUIPO TÉCNICO ADMINISTRATIVO</t>
  </si>
  <si>
    <t>TOTAL EQUIPO TÉCNICO ASESOR</t>
  </si>
  <si>
    <t>VALORES DE REFERENCIA</t>
  </si>
  <si>
    <t>FUENTE 1</t>
  </si>
  <si>
    <t>FUENTE 2</t>
  </si>
  <si>
    <t>VARIACIÓN</t>
  </si>
  <si>
    <t>Proceso o  Resolución</t>
  </si>
  <si>
    <t>Perfil Equivalente</t>
  </si>
  <si>
    <t xml:space="preserve">Valor mensual </t>
  </si>
  <si>
    <t>Descripción Alimentación</t>
  </si>
  <si>
    <t>Valor unitario</t>
  </si>
  <si>
    <t>Proceso</t>
  </si>
  <si>
    <t>Equivalencia</t>
  </si>
  <si>
    <t>DESCRIPCIÓN</t>
  </si>
  <si>
    <t>UNIDAD</t>
  </si>
  <si>
    <t>COSTO UNITARIO</t>
  </si>
  <si>
    <t>VIATICOS</t>
  </si>
  <si>
    <t>COSTOS ADMINISTRATIVOS</t>
  </si>
  <si>
    <t>TOTAL COSTOS ADMINISTRATIVOS</t>
  </si>
  <si>
    <t>DÍAS</t>
  </si>
  <si>
    <t>PERSONA</t>
  </si>
  <si>
    <t>Viaticos Equipo Bogota (hospedaje por 3 dias)</t>
  </si>
  <si>
    <t>Proceso o página web</t>
  </si>
  <si>
    <t>FECHA DE CONSULTA</t>
  </si>
  <si>
    <t>PÁGINA WEB</t>
  </si>
  <si>
    <t>BUSCAR HOSPEDAJE EN BOGOTA. PONER PRECIO E IMAGEN</t>
  </si>
  <si>
    <t>Link</t>
  </si>
  <si>
    <t>https://community.secop.gov.co/Public/Tendering/OpportunityDetail/Index?noticeUID=CO1.NTC.6519283</t>
  </si>
  <si>
    <t>MJD-CD-627-2024 ONIC</t>
  </si>
  <si>
    <t>ONIC</t>
  </si>
  <si>
    <t xml:space="preserve">Descripción </t>
  </si>
  <si>
    <t>Cantidad</t>
  </si>
  <si>
    <t>Valor/mes</t>
  </si>
  <si>
    <t>Meses</t>
  </si>
  <si>
    <t>Valor total</t>
  </si>
  <si>
    <t>Perfil personal/Descripción Servicio o Bien</t>
  </si>
  <si>
    <t>Funciones</t>
  </si>
  <si>
    <t>EQUIPO POLÍTICO NACIONAL</t>
  </si>
  <si>
    <t>Coordinador General</t>
  </si>
  <si>
    <t>1.6</t>
  </si>
  <si>
    <t xml:space="preserve">Profesional Jurídico </t>
  </si>
  <si>
    <t>Profesional en Derecho, indígena o no, con título universitario y mínimo dos (2) años de experiencia en diseño, implementación y evaluación de políticas públicas. Deberá destacar en habilidades sólidas de coordinación y comunicación con organizaciones indígenas, especialmente aquellas vinculadas a la MPC. Se valorarán positivamente conocimientos en enfoques diferenciales, así como excelentes capacidades comunicativas, relaciones interculturales y profesionales. Es esencial que destaque en análisis, redacción escrita y expresión oral. Este perfil será fundamental para garantizar el éxito y la eficacia en el diseño e implementación de políticas públicas inclusivas y respetuosas de la diversidad cultural.</t>
  </si>
  <si>
    <t>1) Realizar análisis detallados de la legislación relevante, jurisprudencia y regulaciones aplicables al proyecto, identificando posibles implicaciones legales, 2) Colaborar en debates internos y reuniones relacionadas con la política del proyecto, aportando perspectivas jurídicas y contribuyendo a la toma de decisiones, 3) Brindar asesoramiento jurídico al equipo de proyecto en temas relacionados con la política, asegurando que las acciones estén alineadas con las leyes y regulaciones vigentes, 4) Elaborar documentos legales, contratos y otros documentos sistematizados que respalden la implementación y desarrollo del proyecto, 5) Revisar y editar documentos existentes para garantizar la coherencia legal, claridad y conformidad con los requisitos legales, 6) Realizar análisis de impacto legal para evaluar posibles consecuencias legales de las decisiones y acciones propuestas en el proyecto, 7) Contribuir al desarrollo de políticas internas del proyecto, asegurando que estén alineadas con las normativas legales y éticas, 8) Desarrollar estrategias legales que respalden los objetivos del proyecto, identificando posibles riesgos y proponiendo soluciones, 9)  Supervisar y garantizar la conformidad legal en todas las etapas del proyecto, trabajando en estrecha colaboración con el equipo para evitar posibles problemas legales, 10) Realizar revisiones exhaustivas de los documentos jurídicos del proyecto para garantizar su calidad y precisión, 11) Proporcionar capacitación interna sobre cuestiones legales relevantes para aumentar la conciencia y la comprensión dentro del equipo, 12) Colaborar con asesores legales externos cuando sea necesario, asegurando una asesoría legal adicional cuando sea crucial para el proyecto.</t>
  </si>
  <si>
    <t>1.7</t>
  </si>
  <si>
    <t>Profesional de Administración Pública</t>
  </si>
  <si>
    <t>Profesional con título en administración pública y al menos dos (2) años de experiencia. Debe destacar en coordinación, comunicación y relación con organizaciones indígenas, especialmente aquellas vinculadas a la Mesa Permanente de Concertación. Experiencia en planificación, monitoreo y evaluación institucional es crucial para este rol. Se valora positivamente conocimientos en enfoques diferenciales. Además, debe demostrar un excelente nivel de análisis y habilidades excepcionales de redacción escrita. Este perfil será esencial para fortalecer la institucionalidad del proyecto y su relación efectiva con las organizaciones indígenas involucradas.</t>
  </si>
  <si>
    <t>1) Realizar investigaciones exhaustivas sobre políticas públicas relevantes, identificando tendencias a corto, mediano y largo plazo que puedan fortalecer la arquitectura institucional del Estado en relación con la protección de los derechos de los pueblos indígenas, 2) Colaborar en discusiones estratégicas sobre políticas públicas, aportando perspectivas críticas y evaluando las posibles implicaciones en el proyecto, 3) Mantenerse informado sobre cambios en la política pública y ajustes en la arquitectura institucional, anticipando posibles efectos en el proyecto, 4) Contribuir a la construcción de documentos estratégicos que aborden la relación entre el proyecto y la política pública, proporcionando análisis y recomendaciones, 5) Colaborar en la formulación de propuestas de política que respalden los objetivos del proyecto, teniendo en cuenta los cambios en la política pública, 6) Analizar documentos normativos relevantes para asegurar que la implementación del proyecto esté alineada con las políticas públicas vigentes, 7) Realizar evaluaciones de impacto de las políticas públicas en el proyecto, considerando tanto los aspectos a corto plazo como los efectos a largo plazo, 8) Brindar asesoramiento estratégico al equipo del proyecto sobre cómo adaptarse y beneficiarse de los cambios en la política pública, 9) Contribuir activamente en la toma de decisiones estratégicas, asegurando que se consideren las implicaciones a largo plazo de las políticas públicas, 10) participar en la planificación a largo plazo del proyecto, anticipando cambios en la política pública y ajustando la estrategia en consecuencia.</t>
  </si>
  <si>
    <t>1.8</t>
  </si>
  <si>
    <t>Profesional en pedagogia</t>
  </si>
  <si>
    <t>Profesional en Ciencias Sociales, indígena o no, con título universitario y al menos dos (2) años de experiencia. Deberá certificar conocimientos en diseño e implementación de metodologías para el trabajo con grupos sociales. Es esencial tener habilidades de coordinación y comunicación con organizaciones indígenas, especialmente aquellas vinculadas a la MPC. Se valorará conocimiento en enfoques diferenciales, excelentes habilidades comunicativas, relaciones interculturales, capacidad analítica, redacción escrita y expresión oral. Se requiere una actitud positiva hacia contenidos humanísticos, interés en la transformación social, desarrollo investigativo y apoyo en el diseño metodológico para procesos archivísticos. Este perfil será fundamental para garantizar un enfoque participativo y respetuoso en la implementación de procesos sociales dentro del proyecto.</t>
  </si>
  <si>
    <t>1) Realizar investigaciones detalladas sobre las prácticas culturales y contextos específicos de las autoridades indígenas, identificando métodos de participación culturalmente apropiados para abordar la problemática relacionada con drogas, 2)  Desarrollar talleres y dinámicas que fomenten la participación activa de las autoridades indígenas, asegurando que se ajusten a sus preferencias y modos tradicionales de interacción, 3) Integrar métodos participativos tradicionales de las comunidades indígenas en la metodología, respetando sus formas de toma de decisiones y expresión, 4) Colaborar en la creación de materiales de difusión que sean participativos y culturalmente sensibles, utilizando medios visuales, orales y escritos según sea necesario, 5) Facilitar sesiones informativas y participativas para garantizar que la difusión de información sea bidireccional, permitiendo la retroalimentación y preguntas de las autoridades indígenas, 6) Adaptar mensajes de difusión para que sean culturalmente relevantes y respetuosos, asegurando que la información se presente de manera comprensible y significativa, 7) Participar activamente en sesiones de trabajo con autoridades indígenas, utilizando las metodologías construidas para fomentar la contribución significativa, 8) Facilitar procesos participativos para analizar información y resultados del proyecto, involucrando a las autoridades indígenas en la interpretación y evaluación, 9) Cocrear documentos sistematizados junto con las autoridades indígenas, permitiendo su participación en la construcción de narrativas y conclusiones, 10) Recopilar retroalimentación continua sobre la efectividad de las metodologías de participación, ajustándolas según las necesidades y expectativas de las autoridades indígenas, 11) Monitorear el nivel de involucramiento y participación de las autoridades indígenas en las distintas etapas del proyecto, asegurando que sus voces sean debidamente representadas, 12) Colaborar estrechamente con facilitadores culturales locales para asegurar la autenticidad y relevancia cultural de las metodologías y la estrategia de difusión, 13) Realizar sesiones de planificación participativa con autoridades indígenas para adaptar y mejorar constantemente las estrategias de participación y difusión.</t>
  </si>
  <si>
    <t>1.9</t>
  </si>
  <si>
    <t xml:space="preserve">Comunicador </t>
  </si>
  <si>
    <t>Comunicador Indígena o no, con experiencia de dos (2) años en manejo de redes sociales, diseño gráfico y con excelente expresión oral y escrita. Se valorará favorablemente pertenecer a un pueblo indígena y manejo de la aplicación del enfoque diferencial y buena disposición para trabajar en equipo.</t>
  </si>
  <si>
    <t>1) Crear mensajes que respeten y reflejen la sensibilidad cultural, utilizando un lenguaje apropiado y evitando la apropiación cultural, 2) Utilizar medios de comunicación tradicionales, como la oralidad, la narrativa visual y las representaciones artísticas, para llegar de manera efectiva a las comunidades indígenas, 3) Desarrollar un plan estratégico para la difusión que considere los momentos clave del proyecto y los canales de comunicación más efectivos, 4) Adaptar la difusión de información según el tiempo y el contexto cultural, considerando eventos significativos y festividades en las comunidades indígenas, 5) Establecer canales de comunicación bidireccional para permitir que las comunidades indígenas también expresen sus inquietudes y preguntas, 6) Realizar grupos de enfoque y consultas con miembros de la comunidad para entender sus preocupaciones y adaptar la estrategia de difusión en consecuencia 7) Realizar un seguimiento constante de la recepción de la información, ajustando la estrategia de difusión según la retroalimentación y los cambios en la dinámica comunitaria, 8) Evaluar el impacto de la comunicación en las comunidades, midiendo la comprensión, la aceptación y la participación en el proyecto, 9) Asegurarse de obtener el consentimiento informado de las comunidades antes de la difusión de información relacionada con el proyecto, 10) Garantizar la privacidad y confidencialidad de la información sensible, respetando las normas éticas y legales.</t>
  </si>
  <si>
    <t>1.10</t>
  </si>
  <si>
    <t>Sistematizador (profesional del área social y/o en gestión documental)</t>
  </si>
  <si>
    <t>Profesional, indígena o no, en ciencias sociales o áreas afines, con experiencia mínima de dos (2) años, preferiblemente en trabajo con comunidades y organizaciones indígenas. Debe demostrar buena disposición para el trabajo en equipo, así como excelentes capacidades comunicacionales, relaciones interculturales y profesionales. Un excelente nivel analítico, expresión oral y escrita son fundamentales. Se requiere habilidad en el manejo de herramientas informáticas, incluyendo Excel, Word y PowerPoint, y experiencia en la sistematización de documentos. Este perfil será esencial para asegurar una comunicación efectiva y un enfoque participativo en el trabajo comunitario del proyecto.</t>
  </si>
  <si>
    <t>1) Facilitar y participar en ejercicios de sistematización durante eventos clave del proyecto, capturando detalladamente las discusiones, decisiones y aportes de las autoridades indígenas,  2) Realizar transcripciones precisas de entrevistas y reuniones con las autoridades indígenas, asegurando una documentación detallada de sus perspectivas y contribuciones, 3) Utilizar medios audiovisuales, cuando sea posible y apropiado, para complementar la captura de información, garantizando la fidelidad de los datos registrados, 4) Organizar la información recopilada en formatos accesibles y comprensibles, estableciendo una estructura lógica para facilitar la sistematización, 5) Analizar la información para identificar temas clave, patrones y tendencias que puedan ser relevantes para el análisis de las autoridades indígenas, 6) Elaborar reportes parciales durante diferentes fases del proyecto, proporcionando actualizaciones y resúmenes que contribuyan al análisis continuo, 7) Colaborar con el equipo en la redacción de documentos finales sistematizados, integrando la información recopilada de manera coherente y articulada, 8) Revisar y editar documentos para garantizar la precisión, coherencia y claridad en la presentación de resultados y conclusiones, 9) Asegurar que los documentos finales reflejen fielmente las perspectivas y voces de las autoridades indígenas, respetando su contexto cultural y lingüístico, 10) Validar los documentos finales con las autoridades indígenas, solicitando su revisión y aportes para garantizar la exactitud y autenticidad de la representación, 11) Integrar recomendaciones y acciones sugeridas por las autoridades indígenas en los documentos finales, asegurando una presentación completa de sus visiones y propuestas, 12) Facilitar sesiones de retroalimentación con las autoridades indígenas para validar la interpretación de la información y corregir posibles malentendidos, 13) Adaptar la sistematización de acuerdo con los comentarios recibidos durante las sesiones de retroalimentación, garantizando la precisión y relevancia de la información presentada.</t>
  </si>
  <si>
    <t>EQUIPO TECNICO ADMINISTRATIVO</t>
  </si>
  <si>
    <t>2.1</t>
  </si>
  <si>
    <t>Contador</t>
  </si>
  <si>
    <t>Profesional, indígena o no, con título de pregrado en contabilidad pública y al menos dos (2) años de experiencia. Debe destacar en habilidades de coordinación y poseer capacidad para supervisar procesos contables y realizar un control presupuestal efectivo. Este perfil será crucial para garantizar la integridad y eficiencia en la gestión financiera del proyecto, contribuyendo al éxito y cumplimiento de objetivos.</t>
  </si>
  <si>
    <t>1) Establecer y supervisar procesos contables sólidos para todas las transacciones relacionadas con el proyecto, desde la recepción de fondos hasta los pagos y registros, 2) Garantizar la integridad y precisión en los registros financieros, asegurándose de que todas las transacciones sean debidamente documentadas y registradas, 3) Mantenerse actualizado sobre las normativas contables y financieras pertinentes, asegurando el cumplimiento con las regulaciones locales e internacionales, 4) Coordinar y supervisar al equipo contable, asegurando una distribución eficiente de responsabilidades y una comunicación efectiva, 5) Asignar recursos de manera eficiente para cubrir las necesidades contables del proyecto, considerando las cargas de trabajo y las habilidades del equipo, 6) Identificar y gestionar proactivamente los riesgos financieros, implementando controles adecuados para mitigar posibles problemas, 7) Establecer y mantener la segregación de funciones en el equipo contable para prevenir conflictos de interés y fortalecer la transparencia, 8) Generar informes financieros periódicos que proporcionen una visión clara y precisa del estado financiero del proyecto, cumpliendo con los requisitos establecidos, 9) Asegurar que todas las obligaciones contables, como declaraciones fiscales y reportes financieros, se realicen en tiempo y forma de acuerdo con los plazos establecidos, 10) Facilitar y colaborar con auditores externos durante las auditorías periódicas, proporcionando toda la documentación necesaria y asegurando un proceso sin contratiempos.</t>
  </si>
  <si>
    <t>2.2</t>
  </si>
  <si>
    <t xml:space="preserve">Auxiliar contable </t>
  </si>
  <si>
    <t>Persona, indígena o no, con título de formación técnica contable y un año de experiencia. Debe demostrar un adecuado manejo de los programas de Office y conocimientos en procesos administrativos y control interno. Experiencia en procesos contables vinculados a la ejecución de proyectos y habilidades en la elaboración de informes contables son esenciales. Además, se requiere capacidad para atender y servir de manera ágil, amable y eficaz las solicitudes de organizaciones de la MPC y el Gobierno Nacional. Debe contar con conocimientos en la realización de inventarios y control de recursos como materiales, mobiliario, equipos de oficina, suministros y papelería asignados. La colaboración continua en otras labores asignadas es un aspecto clave para este rol.</t>
  </si>
  <si>
    <t>1) Mantener una comunicación abierta y continua con el equipo contable para comprender las necesidades específicas del convenio y los procedimientos establecidos, 2) Colaborar en la coordinación de tareas contables, asegurando que la carga de trabajo se distribuya eficientemente y se cumplan los plazos, 3) Asistir en el registro preciso de transacciones financieras, asegurando la documentación adecuada y la consistencia con los requisitos contables, 4) Revisar documentos financieros para garantizar su precisión y conformidad con las normativas y políticas establecidas, 5) Organizar y mantener la documentación de respaldo necesaria para las transacciones contables, facilitando auditorías internas y externas, 6) Colaborar en la recopilación de información necesaria para la elaboración de informes financieros, asegurando que se incluyan todos los datos relevantes, 7) Asistir en el análisis de datos contables para identificar tendencias, variaciones y cualquier aspecto que requiera atención especial, 8) Contribuir en la preparación de informes financieros parciales, proporcionando actualizaciones periódicas sobre el estado financiero del proyecto, 9) Mantenerse informado sobre las normativas contables y financieras vigentes, asegurando que el equipo esté al tanto de cualquier cambio relevante, 10) Colaborar en la revisión de procesos para garantizar que todas las operaciones contables cumplan con las normativas y requisitos establecidos.</t>
  </si>
  <si>
    <t xml:space="preserve">Transporte multimodal Ida </t>
  </si>
  <si>
    <t>Personas</t>
  </si>
  <si>
    <t>Transporte multimodal regreso</t>
  </si>
  <si>
    <t>DESCRIPCION</t>
  </si>
  <si>
    <t>UNIDAD DE MEDIDA</t>
  </si>
  <si>
    <t>VALOR UNITARIO</t>
  </si>
  <si>
    <t>DESPEGAR.COM</t>
  </si>
  <si>
    <t>https://www.booking.com/hotel/co/abitare56.es.html?label=city-bogota-PbTpHElwOE3GErj7zkvBxgS139966993611%3Apl%3Ata%3Ap1%3Ap2%3Aac%3Aap%3Aneg%3Afi%3Atikwd-6377791283%3Alp9198568%3Ali%3Adec%3Adm%3Appccp%3DUmFuZG9tSVYkc2RlIyh9YXdX6HrtnYy-4LJ4uqHDt4U&amp;sid=1587734b4098ea317f97e6fc2e31aa74&amp;aid=379401&amp;ucfs=1&amp;arphpl=1&amp;checkin=2025-04-05&amp;checkout=2025-04-06&amp;dest_id=-578472&amp;dest_type=city&amp;group_adults=1&amp;req_adults=1&amp;no_rooms=1&amp;group_children=0&amp;req_children=0&amp;hpos=12&amp;hapos=12&amp;sr_order=popularity&amp;nflt=ht_id%3D204%3Bdi%3D4135%3Bdi%3D7583&amp;srpvid=96f30c088589032c&amp;srepoch=1741658012&amp;all_sr_blocks=27849408_362371390_1_2_0&amp;highlighted_blocks=27849408_362371390_1_2_0&amp;matching_block_id=27849408_362371390_1_2_0&amp;sr_pri_blocks=27849408_362371390_1_2_0__12468900&amp;from=searchresults</t>
  </si>
  <si>
    <t>Booking.com</t>
  </si>
  <si>
    <t>https://www.despegar.com.co/hoteles/hl/854/z183210/i1/hoteles-en-centro-bogota</t>
  </si>
  <si>
    <t>Ministerio de Cultura</t>
  </si>
  <si>
    <t>Julio</t>
  </si>
  <si>
    <t>UNITARIO</t>
  </si>
  <si>
    <t>TOTAL</t>
  </si>
  <si>
    <t xml:space="preserve">Esta actividad no tiene asignación presupuestal </t>
  </si>
  <si>
    <t>TOTAL ACTIVIDAD 1</t>
  </si>
  <si>
    <t>TOTAL ACTIVIDAD 2</t>
  </si>
  <si>
    <t>TOTAL ACTIVIDAD 3</t>
  </si>
  <si>
    <t>TOTAL ACTIVIDAD 4</t>
  </si>
  <si>
    <t>TOTAL ACTIVIDAD 5</t>
  </si>
  <si>
    <t>TOTAL ACTIVIDAD 6</t>
  </si>
  <si>
    <t>TOTAL ACTIVIDAD 7</t>
  </si>
  <si>
    <t>TOTAL ETAPA DE ALISTAMIENTO</t>
  </si>
  <si>
    <t>TOTAL DESPLIEGUES TERRITORIALES</t>
  </si>
  <si>
    <t>TOTAL FASE DE ARMONIZACIÓN</t>
  </si>
  <si>
    <t>TOTAL FASE DE CONCERTACIÓN</t>
  </si>
  <si>
    <t>FASE DE PROTOCOLIZACIÓN</t>
  </si>
  <si>
    <t>TOTAL FASE DE PROTOCOLIZACIÓN</t>
  </si>
  <si>
    <t>TOTAL  PRESUPUESTO DETALLADO</t>
  </si>
  <si>
    <t>Unidad</t>
  </si>
  <si>
    <t>Transporte Multimodal</t>
  </si>
  <si>
    <t xml:space="preserve">Transporte Multimodal </t>
  </si>
  <si>
    <t>MC-CI-3882-2024</t>
  </si>
  <si>
    <t>https://community.secop.gov.co/Public/Tendering/OpportunityDetail/Index?noticeUID=CO1.NTC.6392642&amp;isFromPublicArea=True&amp;isModal=true&amp;asPopupView=true</t>
  </si>
  <si>
    <t>ASAMBLEA ORDINARIA ONIC I</t>
  </si>
  <si>
    <t xml:space="preserve">Transporte multimodal </t>
  </si>
  <si>
    <t>ENCUENTROS MACROREGIONALES</t>
  </si>
  <si>
    <t>MACRO NORTE</t>
  </si>
  <si>
    <t>MACRO AMAZONÍA</t>
  </si>
  <si>
    <t xml:space="preserve">MACRO CENTRO </t>
  </si>
  <si>
    <t>MACRO OCCIDENTE</t>
  </si>
  <si>
    <t>MACRO ORINOQUIA</t>
  </si>
  <si>
    <t>ASAMBLEA ORDINARIA ONIC II</t>
  </si>
  <si>
    <t xml:space="preserve">Encuentro técnico político para el cierre de la territorialización </t>
  </si>
  <si>
    <t>VALOR</t>
  </si>
  <si>
    <t>MINISTERIO DEL INTERIOR</t>
  </si>
  <si>
    <t>PROMEDIO DE REFERENCIA</t>
  </si>
  <si>
    <t>PROPUESTA CRIC
FASE DE PROTOCOLIZACION</t>
  </si>
  <si>
    <t>Ministerio de Salud</t>
  </si>
  <si>
    <t>Junio</t>
  </si>
  <si>
    <t>COSTOS OPERATIVOS</t>
  </si>
  <si>
    <t>Papeleria</t>
  </si>
  <si>
    <t xml:space="preserve"> COSTOS OPERATIVOS </t>
  </si>
  <si>
    <t xml:space="preserve">Gastos bancarios </t>
  </si>
  <si>
    <t>Alquiler de espacios para reuniones - equipo regional</t>
  </si>
  <si>
    <t>% de Gastos administrativos sobre el total</t>
  </si>
  <si>
    <t>MSPS-CD-306-2023.</t>
  </si>
  <si>
    <t>https://community.secop.gov.co/Public/Tendering/OpportunityDetail/Index?noticeUID=CO1.NTC.4481743&amp;isFromPublicArea=True&amp;isModal=true&amp;asPopupView=true</t>
  </si>
  <si>
    <t>Transporte multimodal para los participantes en cada sesión - diplomado tecnologias propias e interculturales para la crianza de la vida (intensidad horaria 160)</t>
  </si>
  <si>
    <t>Valor unitario (trayecto)</t>
  </si>
  <si>
    <t>RUBRO O FASE</t>
  </si>
  <si>
    <t>% TOTAL</t>
  </si>
  <si>
    <t>COSTO</t>
  </si>
  <si>
    <t># DE MESES , FASE O DIAS DESEMBOLSO POR PRODUCTO</t>
  </si>
  <si>
    <t>APORTE PCA</t>
  </si>
  <si>
    <t>APORTE MJD</t>
  </si>
  <si>
    <t>EQUIPO ASESOR ENCP Y PCA</t>
  </si>
  <si>
    <t>Equipo Asesor de Expertos ENCP</t>
  </si>
  <si>
    <t>Asesor uno (1) experto en temas étnicos y consulta Previa.</t>
  </si>
  <si>
    <t>Asesor dos (2) experto en temas étnicos y consulta Previa.</t>
  </si>
  <si>
    <t>Asesor tres (3) experto en temas étnicos y consulta Previa.</t>
  </si>
  <si>
    <t>Asesor cuatro (4) experto en temas étnicos y consulta Previa.</t>
  </si>
  <si>
    <t>Asesor cinco (5) experto en temas étnicos y consulta Previa.</t>
  </si>
  <si>
    <t>TOTAL, Equipo de Expertos ENCP</t>
  </si>
  <si>
    <t>Equipo Asesor Técnico ENCP</t>
  </si>
  <si>
    <t>Asesor uno (1) Técnico en temas étnicos y consulta Previa.</t>
  </si>
  <si>
    <t>Asesor dos (2) Técnico en temas étnicos y consulta Previa.</t>
  </si>
  <si>
    <t>Asesor tres (3) Técnico en temas étnicos y consulta Previa.</t>
  </si>
  <si>
    <t>Asesor cuatro (4) Técnico en temas étnicos y consulta Previa.</t>
  </si>
  <si>
    <t>Asesor cinco (5) Técnico en temas étnicos y consulta Previa.</t>
  </si>
  <si>
    <t>TOTAL, Equipo Técnico ENCP</t>
  </si>
  <si>
    <t>TOTAL, EQUIPO EXPERTO Y TÉCNICO ASESOR ENCP</t>
  </si>
  <si>
    <t>EQUIPO TÉCNICO ADMINISTRATIVO PCA</t>
  </si>
  <si>
    <t>Coordinador Financiero</t>
  </si>
  <si>
    <t>Secretaria</t>
  </si>
  <si>
    <t>Apoyo financiero</t>
  </si>
  <si>
    <t>Apoyo Técnico-administrativo</t>
  </si>
  <si>
    <t>TOTAL, EQUIPO ASESOR ENCP Y PCA</t>
  </si>
  <si>
    <t>GASTOS ADMINISTRATIVOS OPERATIVOS</t>
  </si>
  <si>
    <t xml:space="preserve"> Arrendamiento de oficina sede nacional PCA.</t>
  </si>
  <si>
    <t xml:space="preserve"> Persona de limpieza oficina para sede nacional PCA.</t>
  </si>
  <si>
    <t>Servicio de mensajería y vigilancia para sede nacional PCA.</t>
  </si>
  <si>
    <t>Servicios públicos (agua, luz, e internet) para sede nacional PCA.</t>
  </si>
  <si>
    <t>Papelería Oficina Nacional (Fotocopias, Bolígrafos, grapadoras, ganchos de grapadoras, lápiz, borradores, clip mariposas, resaltador, sacapuntas, sacagrapas, resmas de papel carta y oficio, carpetas alas, AZ y demás relacionados). Sede nacional.</t>
  </si>
  <si>
    <t xml:space="preserve">Arrendamiento impresora y equipo de computo para punto en Cali. (dos computadores de escritorio y un computador portátil, una impresora para la oficina y una para trabajo de campo). </t>
  </si>
  <si>
    <t>Personal de aseo para Oficina en Cali.</t>
  </si>
  <si>
    <t xml:space="preserve">Servicios públicos (agua, luz, e internet) para oficina en Cali </t>
  </si>
  <si>
    <t xml:space="preserve">Servicio de mensajería y Vigilancia para oficina en Cali </t>
  </si>
  <si>
    <t>Papelería Oficina punto Cali (Fotocopias, Bolígrafos, grapadoras, ganchos de grapadoras, lápiz, borradores, clip mariposas, resaltador, sacapuntas, sacagrapas, resmas de papel carta y oficio, carpetas alas, AZ y demás relacionados).oficina en Cali.</t>
  </si>
  <si>
    <t>TOTAL, GASTOS ADMINISTRATIVOS OPERATIVOS</t>
  </si>
  <si>
    <t>GASTOS ADMINISTRATIVOS FINANCIEROS</t>
  </si>
  <si>
    <t xml:space="preserve">Gravamen a los Movimientos financieros (4 X mil). </t>
  </si>
  <si>
    <t>TOTAL, GASTOS ADMINISTRATIVOS FINANCIEROS</t>
  </si>
  <si>
    <t>FASE DE PRECONSULTA</t>
  </si>
  <si>
    <t>GLOBAL</t>
  </si>
  <si>
    <t>TOTAL, FASE DE PRECONSULTA</t>
  </si>
  <si>
    <t xml:space="preserve">FASE DE CONSULTA PREVIA </t>
  </si>
  <si>
    <t>ETAPA FOROS DEPARTAMENTALES</t>
  </si>
  <si>
    <t>TOTAL,  8. ACTIVIDAD  FORO NORTE DE SANTANDER</t>
  </si>
  <si>
    <t>TOTAL, 9. ACTIVIDAD  FORO  PUTUMAYO</t>
  </si>
  <si>
    <t>UND</t>
  </si>
  <si>
    <t>TOTAL, 10. ACTIVIDAD  FORO CAUCA</t>
  </si>
  <si>
    <t>TOTAL, 11. ACTIVIDAD FORO NARIÑO</t>
  </si>
  <si>
    <t>TOTAL 4 FOROS DEPARTAMENTALES</t>
  </si>
  <si>
    <t>ETAPA ASAMBLEAS TERRITORIALES</t>
  </si>
  <si>
    <t>TOTAL ACTIVIDAD: 12. ASAMBLEA DEPARTAMENTAL AMAZONAS.</t>
  </si>
  <si>
    <t>TOTAL, 13. ASAMBLEA DEPARTAMENTAL ANTIOQUIA</t>
  </si>
  <si>
    <t>TOTAL 14. ASAMBLEA DEPARTAMENTAL ARAUCA:</t>
  </si>
  <si>
    <t>TOTAL 15. ASAMBLEA DEPARTAMENTAL ATLÁNTICO</t>
  </si>
  <si>
    <t>TOTAL 16. ASAMBLEA DEPARTAMENTAL BOGOTÁ DC</t>
  </si>
  <si>
    <t>TOTAL, 17. ASAMBLEA DEPARTAMENTAL BOLÍVAR</t>
  </si>
  <si>
    <t>TOTAL 18. ASAMBLEA DEPARTAMENTAL BOYACÁ</t>
  </si>
  <si>
    <t>TOTAL 19. ASAMBLEA DEPARTAMENTAL CALDAS</t>
  </si>
  <si>
    <t>TOTAL 20. ASAMBLEA DEPARTAMENTAL CAQUETÁ</t>
  </si>
  <si>
    <t>TOTAL 21. ASAMBLEA DEPARTAMENTAL CASANARE</t>
  </si>
  <si>
    <t>TOTAL 22. ASAMBLEA DEPARTAMENTAL CAUCA</t>
  </si>
  <si>
    <t>TOTAL 23. ASAMBLEA DEPARTAMENTAL CESAR</t>
  </si>
  <si>
    <t>TOTAL 24. ASAMBLEA DEPARTAMENTAL CHOCO</t>
  </si>
  <si>
    <t>TOTAL 25. ASAMBLEA DEPARTAMENTAL CÓRDOBA</t>
  </si>
  <si>
    <t>TOTAL26. ASAMBLEA DEPARTAMENTAL CUNDINAMARCA</t>
  </si>
  <si>
    <t>TOTAL 27. ASAMBLEA DEPARTAMENTAL GUAINÍA</t>
  </si>
  <si>
    <t>TOTAL 28. ASAMBLEA DEPARTAMENTAL GUAVIARE</t>
  </si>
  <si>
    <t>TOTAL 29. ASAMBLEA DEPARTAMENTAL HUILA</t>
  </si>
  <si>
    <t>TOTAL 30. ASAMBLEA DEPARTAMENTAL DE LA GUAJIRA</t>
  </si>
  <si>
    <t>TOTAL 31. ASAMBLEA DEPARTAMENTAL DE MAGDALENA</t>
  </si>
  <si>
    <t>TOTAL 32. ASAMBLEA DEPARTAMENTAL DE META</t>
  </si>
  <si>
    <t>TOTAL 33. ASAMBLEA DEPARTAMENTAL DE NARIÑO</t>
  </si>
  <si>
    <t>TOTAL 34. ASAMBLEA DEPARTAMENTAL NORTE DE SANTANDER</t>
  </si>
  <si>
    <t>TOTAL 35. ASAMBLEA DEPARTAMENTAL DE PUTUMAYO</t>
  </si>
  <si>
    <t>TOTAL 36. ASAMBLEA DEPARTAMENTAL DE QUINDÍO</t>
  </si>
  <si>
    <t>TOTAL 37. ASAMBLEA DEPARTAMENTAL DE RISARALDA</t>
  </si>
  <si>
    <t>TOTAL 38. ASAMBLEA SAN ANDRÉS Y PROVIDENCIA</t>
  </si>
  <si>
    <t>TOTAL 39. ASAMBLEA  SAN BASILO DE PALENQUE</t>
  </si>
  <si>
    <t>TOTAL 40. ASAMBLEA SANTANDER:</t>
  </si>
  <si>
    <t>TOTAL 41. ASAMBLEA SUCRE</t>
  </si>
  <si>
    <t>TOTAL 42. ASAMBLEA TOLIMA</t>
  </si>
  <si>
    <t>TOTAL 43. ASAMBLEA VALLE DEL CAUCA</t>
  </si>
  <si>
    <t>TOTAL 44. ASAMBLEA VAUPÉS</t>
  </si>
  <si>
    <t>TOTAL 45. ASAMBLEA VICHADA</t>
  </si>
  <si>
    <t>TOTAL, ETAPA ASAMBLEAS TERRITORIALES</t>
  </si>
  <si>
    <t>TOTAL, FASE CONSULTA PREVIA</t>
  </si>
  <si>
    <t>TOTAL PREACUERDOS</t>
  </si>
  <si>
    <t>TOTAL PLENARIA</t>
  </si>
  <si>
    <t>TOTAL, FASE PROTOCOLIZACIÓN</t>
  </si>
  <si>
    <t>TOTAL PRESUPUESTO DETALLADO</t>
  </si>
  <si>
    <t>Equipo de Expertos</t>
  </si>
  <si>
    <t>Equipo Técnico</t>
  </si>
  <si>
    <t>Variación</t>
  </si>
  <si>
    <t>Coordinador Finaciero</t>
  </si>
  <si>
    <t>Resolución 2157 del 31 de octubre de 2024 con honorarios  de 2025 - Ministerio de Justicia</t>
  </si>
  <si>
    <t>Un (1), Refrigerio ancestral matutino (a.m.), orientado a fortalecer el reconocimiento y la valoración de las prácticas alimenticias tradicionales de los pueblos étnicos. El refrigerio incluye productos propios de la cultura ancestral, elaborados con ingredientes autóctonos y bajo técnicas culinarias tradicionales, promoviendo la soberanía alimentaria y el enfoque diferencial e intercultural.</t>
  </si>
  <si>
    <t>Un (1), Almuerzo ancestral completo, preparado con base en recetas, ingredientes y técnicas culinarias propias de los pueblos étnicos, promoviendo el respeto por la diversidad cultural, la soberanía alimentaria y la valoración de los saberes tradicionales en contextos institucionales y pedagógicos.</t>
  </si>
  <si>
    <t>Un (1), Refrigerio ancestral vespertino (p.m.), compuesto por preparaciones tradicionales de los pueblos étnicos, elaboradas con ingredientes nativos y técnicas culinarias ancestrales. Este servicio busca fortalecer la identidad cultural a través de la alimentación, visibilizando prácticas y saberes gastronómicos propios en el marco de actividades institucionales.</t>
  </si>
  <si>
    <t>*Para todos los foros departamentales y la etapa de preconsulta, sin importar el lugar y la cantidad de participantes, la propuesta relaciona el mismo valor para cada tipo de comida</t>
  </si>
  <si>
    <t>https://community.secop.gov.co/Public/Tendering/OpportunityDetail/Index?noticeUID=CO1.NTC.6749898&amp;isFromPublicArea=True&amp;isModal=true&amp;asPopupView=true</t>
  </si>
  <si>
    <t>MINISTERIO DE MINAS Y ENERGIA</t>
  </si>
  <si>
    <t>ASOCIACION PROYECTO CULTURAL AFRODESCENDIENTE</t>
  </si>
  <si>
    <t>ITEM( Bien o servicios)</t>
  </si>
  <si>
    <t>Nº De dias/meses</t>
  </si>
  <si>
    <t>Dias/meses</t>
  </si>
  <si>
    <t>Costo Unitario</t>
  </si>
  <si>
    <t xml:space="preserve">Cantidad </t>
  </si>
  <si>
    <t>Unidad de medida</t>
  </si>
  <si>
    <t>IVA</t>
  </si>
  <si>
    <t>% IVA</t>
  </si>
  <si>
    <t>Valor Unitario Incluido IVA</t>
  </si>
  <si>
    <t>Subtotal</t>
  </si>
  <si>
    <t>Valor Total Incluido IVA</t>
  </si>
  <si>
    <t>Dias</t>
  </si>
  <si>
    <t>Refrigerios  ancestrales am (Delegados/as y Funcionarios/as)</t>
  </si>
  <si>
    <t xml:space="preserve"> Unidad </t>
  </si>
  <si>
    <t>Refrigerios  ancestrales pm (Delegados/as y Funcionarios/as)</t>
  </si>
  <si>
    <t>Almuerzos ancestrales (Delegados/as y Funcionarios/as)</t>
  </si>
  <si>
    <t>Precio Actualizado</t>
  </si>
  <si>
    <t>MINISTERIO DE JUSTICIA</t>
  </si>
  <si>
    <t>Refrigerios Básicos: Producto de panadería (pastel de pollo o pastel de carne o pastel gloria o dedito de queso) + Bebida en caja, empaque en bolsa de papel y servilletas. (Incluido transporte en perímetro urbano).(EL VALOR UNITARIO CORRESPONDE AL VALOR POR PERSONA). * No está permitido el uso de plástico para empaques, los desechables deben ser aptos por acciones amigables con el medio ambiente.</t>
  </si>
  <si>
    <t>Refrigerios Básicos con fruta: Producto de panadería (pastel de pollo o pastel de carne o pastel gloria o dedito de queso) + Bebida en caja+ Fruta (mandarina o manzana verde o pera verde), empaque en bolsa de papel y servilletas. (Incluido transporte en perímetro urbano) (EL VALOR UNITARIO CORRESPONDE AL VALOR POR PERSONA). * No está permitido el uso de plástico para empaques, los desechables deben ser aptos por acciones amigables con el medio ambiente.</t>
  </si>
  <si>
    <t>Refrigerios Especiales 1: Sánduche de pollo o rosbif en pan baguete de 15 cm , sin lechuga, con vegetales a elección  o Wrap de Pollo o carne sin lechuga+ vegetales a elección + Bebida (jugo en botella de vidrio) + Fruta (mandarina o manzana verde o pera verde) + Chocolatina de 6 grs. con empaque en bolsa de papel y servilletas, (Incluido transporte en perímetro Urbano ). * (EL VALOR UNITARIO CORRESPONDE AL VALOR POR PERSONA). * No está permitido el uso de plástico para empaques, los desechables deben ser aptos por acciones amigables con el medio ambiente.</t>
  </si>
  <si>
    <t>Desayuno tipo Brunch: Variedad de Jugos (naranja, mandarina, lulo, maracuyá), canasta de panes y croissants, Tortilla de huevos (de 65 grs. a 100 grs. ,caliente), fruta picada (papaya, melón, fresas de exportación partidas en dos), Bebida Caliente (café con leche, café negro, Té, Aromática, chocolate con leche) queso en rodajas: variedad de quesos: emmental, mozarela, cheddar, gouda, provolone, Edam, ((mínimo tres piezas, mínimo dos variedades)), jamón bajo en grasa (dos piezas), menaje (cristalería y vajilla en cerámica o porcelana, cubertería), samovar Var para mantener la comida caliente (los que sean necesarios),debe incluir menaje pesado (mesas y mantelería para estación de servicio) y transporte en perímetro urbano ida y regreso.</t>
  </si>
  <si>
    <t>Estación de café para 100 pax con galletas, agua (botellón), aromática, tinto, menaje pesado (mesas y mantelería para estación de servicio), menaje para atender al público (vasos de vidrio para el agua, vajilla de porcelana o cerámica), mezcladores, azúcar, splenda e instacream, debe incluir personal de servicio (Mínimo 2 meseros) y transporte en perímetro urbano (ida y regreso). La estación de café debe estar muy bien presentada y el azúcar, aromáticas, splenda e instacream deben estar en recipientes que permitan que la estación se vea organizada. (EL VALOR UNITARIO CORRESPONDE A LA ESTACIÓN COMPLETA PARA LAS 100 PAX NO AL VALOR POR PERSONA ) *No está permitido el uso de plástico para empaques, los desechables deben ser aptos por acciones amigables con el medio ambiente.</t>
  </si>
  <si>
    <t>CD-399-2024.</t>
  </si>
  <si>
    <t>https://community.secop.gov.co/Public/Tendering/OpportunityDetail/Index?noticeUID=CO1.NTC.7932794&amp;isFromPublicArea=True&amp;isModal=true&amp;asPopupView=true</t>
  </si>
  <si>
    <t>MJD-LP-001-2025</t>
  </si>
  <si>
    <t>CENTURY</t>
  </si>
  <si>
    <t>Refrigerios Especiales 1</t>
  </si>
  <si>
    <t>Almuerzo o cena  tipo empresarial</t>
  </si>
  <si>
    <t>MSPS-CD-1412-2024</t>
  </si>
  <si>
    <t>OPIAC</t>
  </si>
  <si>
    <t>https://community.secop.gov.co/Public/Tendering/OpportunityDetail/Index?noticeUID=CO1.NTC.6636980&amp;isFromPublicArea=True&amp;isModal=true&amp;asPopupView=true</t>
  </si>
  <si>
    <t>DETALLE</t>
  </si>
  <si>
    <t># DE PAGOS</t>
  </si>
  <si>
    <t>VALOR TOTAL</t>
  </si>
  <si>
    <t>DESCRIPCIÓN DEL PERFIL</t>
  </si>
  <si>
    <t xml:space="preserve">Coordinador General </t>
  </si>
  <si>
    <t>Profesional en ciencias de la salud o carreras afines, con posgrado en áreas relacionadas con experiencia profesional mínima de (52) meses o 
Experto indígena en salud propia de preferencia en temas enfocados en SISPI con mínimo  (mínimo (76) meses de experiencia  laboral en dirección de procesos, convenios y/o proyectos con pueblos indígenas amazónicos certificada por una estructura organizativa indígena.</t>
  </si>
  <si>
    <t>Profesional Contable</t>
  </si>
  <si>
    <t>Titulo profesional en contabilidad con especializacion experiencia profesional de  (28) meses  o 
Profesional en contabilidad con experiencia profesional mínima de cuatro (52) mes preferiblemente de trabajo con Pueblos Indígenas certificada por una estructura organizativa indígena</t>
  </si>
  <si>
    <t>Asistente juridico</t>
  </si>
  <si>
    <t>Profesional en Derecho con posgrado con experiencia profesional mínima de diez (10) meses  o  
Profesional en Derecho preferiblemente indígena con experiencia profesional mínima de (34) meses preferiblemente en trabajo con Pueblos Indígenas certificada por una estructura organizativa indígena.</t>
  </si>
  <si>
    <t>Apoyo administrativo y logistico</t>
  </si>
  <si>
    <t>Profesional en áreas administrativas, contables o afines con especialización en áreas afines con experiencia profesional de trece (13) meses con habilidades en desarrollo de espacios comunitarios y logística de eventos, con conocimientos ofimáticos e informática y funciones administrativas de archivo, control, elaboración de correspondencia. 
Lider indígena de apoyo en áreas administrativas y logísticas con experiencia de (37) meses en desarrollo de espacios comunitarios y logística de eventos, con conocimientos ofimáticos e informática y funciones administrativas de archivo, control, elaboración de correspondencia, certificada por una estructura organizativa indígena.</t>
  </si>
  <si>
    <t>Profesional en Derecho con especializacion en areas relacionada con experiencia profesional mínima (28) meses preferiblemente en trabajo con Pueblos Indígenas certificada por una estructura organizativa, o
Profesional en Derecho con  experiencia profesional minima de 52 meses preferiblemente en trabajo con Pueblos Indígenas certificada por una estructura organizativa indígena.</t>
  </si>
  <si>
    <t>Analista  Financiero</t>
  </si>
  <si>
    <t xml:space="preserve">Profesional en ingeniería industrial, administración, finanzas, ciencias económicas, o afines  con especialización en areas relacionadas y experiencia profesional de  (28) meses preferiblemente con pueblos indígenas certificada por una estructura organizativa indígena, o 
Profesional en ingeniería industrial, administración, finanzas, ciencias económicas, o afines, con experienciaprofesional de 52 meses preferiblemente en trabajo  con pueblos indígenas certificada por una estructura organizativa indígena. </t>
  </si>
  <si>
    <t>Asesor en salud tipo 1</t>
  </si>
  <si>
    <t>Profesional en ciencias de la salud con especializacion en salud o areas afines con experiencia profesional de  (28) meses o 
Experto indígena en salud propia de preferencia enfocados en SISPI con experiencia de 52 meses en el desarrollo de procesos de  acompañamiento y asesoría en acciones de salud propia e intercultural, certificada por una estructura organizativa indígena.</t>
  </si>
  <si>
    <t>Asesor politico organizativo y cultural Linea 1  y 2</t>
  </si>
  <si>
    <t>Líder indígena con conocimientos en salud propia preferiblemente enfocado en SISPI, con experiencia profesional de mínimo 52 meses en procesos politicos organizativos, certificada por una estructura organizativa indígena.</t>
  </si>
  <si>
    <t xml:space="preserve">Profesional en Ciencias Económicas o Administrativas </t>
  </si>
  <si>
    <t>Profesional en ciencias económicas y/o administrativas con especialización y experiencia profesional de  (28) meses o 
Profesional en ciencias económicas y/o administrativas con especialización con experiencia profesional de 52 meses de preferencia con conocimientos en SISPI, financiamiento sistema de salud propia, certificada por una estructura organizativa indígena.</t>
  </si>
  <si>
    <t>Sistematizador Tipo 1</t>
  </si>
  <si>
    <t>Profesional en cualquier área del conocimiento con especialización y experiencia profesional mínima xperiencia profesional de  (13) meses o
Experto indígena, con experiencia profesional mínima de 37 meses con conocimiento en procesos de sistematización, construcción y consolidación de documentos técnicos, certificada por una estructura organizativa indígena.</t>
  </si>
  <si>
    <t>Profesional  de sistema de información geografica tipo I</t>
  </si>
  <si>
    <t>Profesional geógrafo, ingeniero catastral y/o afines a la actividad a desempeñar con especialización, experiencia profesional de  (19) meses preferiblemente que haya apoyado procesos del área a desempeñar con Organizaciones o Asociaciones Indígenas, certificada por una estructura organizativa indígena o 
Profesional geógrafo, ingeniero catastral y/o afines a la actividad a desempeñar , con experiencia profesional de 43 meses preferiblemente que haya apoyado procesos del área a desempeñar con Organizaciones o Asociaciones Indígenas, certificada por una estructura organizativa indígena.</t>
  </si>
  <si>
    <t>Profesional en Comunicación Social</t>
  </si>
  <si>
    <t>Profesional en comunicaciones o areas afines con posgrado y experiencia profesional de 19 meses o  
Profesional en comunicaciones o areas afines con experiencia profesional de 43 meses de preferencia de trabajo con Pueblos Indpigenas certificado por una estructura Organizativa Indígena.</t>
  </si>
  <si>
    <t xml:space="preserve">Profesional de Seguimiento y Acompañamiento  </t>
  </si>
  <si>
    <t>Profesional en ciencias de la salud con posgrado en salud o carreras afines con experiencia profesional mínima de 28 meses o 
Experto indígena en salud propia de preferencia en SISPI con experiencia laboral mínima de 52 meses certificada por una estructura organizativa indígena.</t>
  </si>
  <si>
    <t>Experto en comunicación indigena propia</t>
  </si>
  <si>
    <t xml:space="preserve">Experto indigena en comunicación propia con tres (3) años de experiencia certificada por estructura organizativa indígena. </t>
  </si>
  <si>
    <t>SMMLV 2025</t>
  </si>
  <si>
    <t>https://www.ant.gov.co/sites/default/files/2025-04/documentos/archivos/circular-ndeg-45-tabla-de-honorarios-2024_0.pdf</t>
  </si>
  <si>
    <t>AGENCIA NACIONAL DE TIERRAS -ANT</t>
  </si>
  <si>
    <t>EQUIVALENCIAS</t>
  </si>
  <si>
    <t>CATEGORIA</t>
  </si>
  <si>
    <t>NIVEL</t>
  </si>
  <si>
    <t>HONORARIOS</t>
  </si>
  <si>
    <t>REQUISITOS</t>
  </si>
  <si>
    <t>Doctor</t>
  </si>
  <si>
    <t>Magister</t>
  </si>
  <si>
    <t>Profesional Especializado</t>
  </si>
  <si>
    <t>Profesional</t>
  </si>
  <si>
    <t>Título de Formación Técnica o Tecnológica</t>
  </si>
  <si>
    <t>Asistencial</t>
  </si>
  <si>
    <t>I</t>
  </si>
  <si>
    <t>V</t>
  </si>
  <si>
    <t>IV</t>
  </si>
  <si>
    <t>III</t>
  </si>
  <si>
    <t>II</t>
  </si>
  <si>
    <t>Circular No. 45 del 09 Dic 2024 - Tabla de honorarios de la Agencia Nacional de Tierras Vigencia 2025</t>
  </si>
  <si>
    <t>Título de Formación Técnica o Tecnológica Nivel II</t>
  </si>
  <si>
    <t>Profesional Nivel III</t>
  </si>
  <si>
    <t>Descripción Salones</t>
  </si>
  <si>
    <t>PROPUESTA PCA</t>
  </si>
  <si>
    <t>Alquiler de UN (1), salón de eventos por Un (1), día de ocho (8) horas, con ayudas audiovisuales (video beam/proyector - sonido y micrófonos, silletería y mesas) 
Capacidad: 109 personas</t>
  </si>
  <si>
    <t xml:space="preserve">Salón de eventos, dotado con ayudas audiovisuales (video beam/proyector - sonido y microfonos) Pax 70 personas, en acomodación tipo aula </t>
  </si>
  <si>
    <t>Estacion de Agua, Café y Aromatica</t>
  </si>
  <si>
    <t>Meseros</t>
  </si>
  <si>
    <t xml:space="preserve">Registro fotográfico y video </t>
  </si>
  <si>
    <t>Sesión</t>
  </si>
  <si>
    <t>70 PERSONAS</t>
  </si>
  <si>
    <t>TOTAL SESION COMISION V</t>
  </si>
  <si>
    <t xml:space="preserve">Salón de eventos, dotado con ayudas audiovisuales (video beam/proyector - sonido y microfonos) Pax 55 personas, en acomodación tipo aula  </t>
  </si>
  <si>
    <t>Día</t>
  </si>
  <si>
    <t>51-55-65 PERSONAS</t>
  </si>
  <si>
    <t>ACTUALIZACION</t>
  </si>
  <si>
    <t>https://community.secop.gov.co/Public/Tendering/OpportunityDetail/Index?noticeUID=CO1.NTC.7162524&amp;isFromPublicArea=True&amp;isModal=true&amp;asPopupView=true</t>
  </si>
  <si>
    <t>MINISTERIO DE JUSTICIA Y DEL DERECHO</t>
  </si>
  <si>
    <t>MJD-CD-892-2024</t>
  </si>
  <si>
    <t>Salòn de eventos</t>
  </si>
  <si>
    <t>Salòn de eventos Pax 70 (Ayudas audiovisuales y sonido) Sesion Comision VI - ENCP</t>
  </si>
  <si>
    <t xml:space="preserve">No. </t>
  </si>
  <si>
    <t>Costo Total</t>
  </si>
  <si>
    <t>ACTUALIZADO</t>
  </si>
  <si>
    <r>
      <rPr>
        <sz val="12"/>
        <color theme="1"/>
        <rFont val="Arial Narrow"/>
        <family val="2"/>
      </rPr>
      <t>Objeto:</t>
    </r>
    <r>
      <rPr>
        <b/>
        <sz val="12"/>
        <color theme="1"/>
        <rFont val="Arial Narrow"/>
        <family val="2"/>
      </rPr>
      <t xml:space="preserve"> </t>
    </r>
    <r>
      <rPr>
        <i/>
        <sz val="12"/>
        <color theme="1"/>
        <rFont val="Arial Narrow"/>
        <family val="2"/>
      </rPr>
      <t>Prestar servicios integrales como operador de comunicación y logística, para la organización y ejecución de las actividades en todo el territorio nacional requeridas para la divulgación y promoción de las estrategias institucionales del Ministerio de Justicia y del Derecho en cumplimiento de su objeto misional, apoyando la socialización, sensibilización y apropiación de las políticas públicas, planes, programas y proyectos</t>
    </r>
  </si>
  <si>
    <t>CENTURY MEDIA SAS</t>
  </si>
  <si>
    <t>licitaciones@century-media.net</t>
  </si>
  <si>
    <t xml:space="preserve">• Por favor diligenciar solo las celdas en AZUL. 
• Revisar todos los requerimientos que se exponen en el documentos "Ficha Técnica, ANÁLISIS DEL SECTOR, Estudios Pevios " y formular su oferta economica en concordancia con estos, garantizando que los bienes y/o servcicios ofrecidos cumplan en su  totalidad con las especificaciones técnicas descritas.
• El precio de la oferta economica debe ser expresado en PESOS COLOMBIANOS.
• Los valores unitarios deberán aproximarse por exceso o por defecto al entero más cercano así: (i) Si es igual o superior a 50 centavos, se aproxima al entero siguiente; (ii)  si es inferior a 50 centavos se baja al entero anterior. 
• No modificar, agregar o quitar ningún ítem o sub-ítem.      </t>
  </si>
  <si>
    <r>
      <t xml:space="preserve">Plazo estimado de Ejecución en meses: </t>
    </r>
    <r>
      <rPr>
        <b/>
        <sz val="9"/>
        <color rgb="FFFF0000"/>
        <rFont val="Arial Narrow"/>
        <family val="2"/>
      </rPr>
      <t>Nota 1</t>
    </r>
    <r>
      <rPr>
        <b/>
        <sz val="9"/>
        <color theme="1"/>
        <rFont val="Arial Narrow"/>
        <family val="2"/>
      </rPr>
      <t xml:space="preserve"> --&gt;</t>
    </r>
  </si>
  <si>
    <r>
      <t xml:space="preserve">Comisión (%) TECHO </t>
    </r>
    <r>
      <rPr>
        <b/>
        <sz val="9"/>
        <color rgb="FFFF0000"/>
        <rFont val="Arial Narrow"/>
        <family val="2"/>
      </rPr>
      <t>incluidos todos los impuestos de ley</t>
    </r>
  </si>
  <si>
    <r>
      <t xml:space="preserve">Comisión (%) </t>
    </r>
    <r>
      <rPr>
        <b/>
        <sz val="9"/>
        <color rgb="FFFF0000"/>
        <rFont val="Arial Narrow"/>
        <family val="2"/>
      </rPr>
      <t>incluidos todos los impuestos de ley</t>
    </r>
  </si>
  <si>
    <r>
      <t xml:space="preserve">% de Comisión por Acciones de Comunicación </t>
    </r>
    <r>
      <rPr>
        <b/>
        <u/>
        <sz val="9"/>
        <color rgb="FFFF0000"/>
        <rFont val="Arial Narrow"/>
        <family val="2"/>
      </rPr>
      <t>Los porcentajes ofertados deben estar limitados solo a dos decimales</t>
    </r>
  </si>
  <si>
    <t>2. Comisión por actividades logísticas ítems no previstos en el tarifario</t>
  </si>
  <si>
    <r>
      <t xml:space="preserve">% de Comisión por actividades logistica de ítems no previstos en el tarifario </t>
    </r>
    <r>
      <rPr>
        <b/>
        <u/>
        <sz val="9"/>
        <color rgb="FFFF0000"/>
        <rFont val="Arial Narrow"/>
        <family val="2"/>
      </rPr>
      <t>Los porcentajes ofertados deben estar limitados solo a dos decimales</t>
    </r>
  </si>
  <si>
    <t>3. Comisión por eventos gestionados colectivamente con comunidades</t>
  </si>
  <si>
    <r>
      <t xml:space="preserve">% de Comisión por eventos gestionados colectivamente con comunidades </t>
    </r>
    <r>
      <rPr>
        <b/>
        <u/>
        <sz val="9"/>
        <color rgb="FFFF0000"/>
        <rFont val="Arial Narrow"/>
        <family val="2"/>
      </rPr>
      <t>Los porcentajes ofertados deben estar limitados solo a dos decimales</t>
    </r>
  </si>
  <si>
    <t>4. Tarifario de los productos para la realización de eventos</t>
  </si>
  <si>
    <r>
      <t xml:space="preserve">Concepto </t>
    </r>
    <r>
      <rPr>
        <b/>
        <sz val="12"/>
        <color rgb="FFFF0000"/>
        <rFont val="Arial Narrow"/>
        <family val="2"/>
      </rPr>
      <t>Los precios ofertados deben ser sin decimales</t>
    </r>
  </si>
  <si>
    <r>
      <t>PRECIO</t>
    </r>
    <r>
      <rPr>
        <b/>
        <sz val="9"/>
        <color rgb="FFFF0000"/>
        <rFont val="Arial Narrow"/>
        <family val="2"/>
      </rPr>
      <t xml:space="preserve"> TECHO </t>
    </r>
    <r>
      <rPr>
        <b/>
        <sz val="9"/>
        <color rgb="FF000000"/>
        <rFont val="Arial Narrow"/>
        <family val="2"/>
      </rPr>
      <t>TOTAL  INCLUIDOS IMPUESTOS DE LEY</t>
    </r>
  </si>
  <si>
    <r>
      <t>PRECIO</t>
    </r>
    <r>
      <rPr>
        <b/>
        <sz val="9"/>
        <color rgb="FFFF0000"/>
        <rFont val="Arial Narrow"/>
        <family val="2"/>
      </rPr>
      <t xml:space="preserve"> OFERTADO </t>
    </r>
    <r>
      <rPr>
        <b/>
        <sz val="9"/>
        <color rgb="FF000000"/>
        <rFont val="Arial Narrow"/>
        <family val="2"/>
      </rPr>
      <t>TOTAL  INCLUIDOS IMPUESTOS DE LEY</t>
    </r>
  </si>
  <si>
    <t>Alquiler Máquina eléctrica, dispensadora de agua con botellón</t>
  </si>
  <si>
    <t>Volanteadores de 8:00 am a 5:00 pm De Lunes a Sábado valor dia</t>
  </si>
  <si>
    <t>Volanteadores de 8:00 am a 5:00 pm Dominical - Festivo valor dia</t>
  </si>
  <si>
    <t>Alquiler de Equipos de Videoconferencia: Debe incluir equipo para atención de 80 pax en la ciudad de Bogotá, kit a una pantalla con dos pantallas de relevo por un total de 8 horas de evento, debe  incluir montaje y desmontaje (por día)</t>
  </si>
  <si>
    <t>Alquiler Planta eléctrica insonora 25 kva, parcial de corriente de 10 metros, trifásica tierra y un neutro por 10 horas continuas con operario incluido para operar en instalaciones del evento por el tiempo de servicio (12 horas).</t>
  </si>
  <si>
    <t>Alquiler Planta eléctrica insonora 30 kva, parcial de corriente de 10 metros, trifásica tierra y un neutro por 10 horas continuas con operario incluido para operar en instalaciones del evento por el tiempo de servicio (12 horas).</t>
  </si>
  <si>
    <t>Alquiler Planta eléctrica insonora 50 kva parcial de corriente de 10 metros, trifásica tierra y un neutro por 10 horas continuas con operario incluido para operar en instalaciones del evento por el tiempo de servicio (12 horas).</t>
  </si>
  <si>
    <t>Alquiler Planta eléctrica insonora 75 kva parcial de corriente de 10 metros, trifásica tierra y un neutro por 10 horas continuas con operario incluido para operar en instalaciones del evento por el tiempo de servicio (12 horas).</t>
  </si>
  <si>
    <t>Alquiler Planta eléctrica insonora 100 kva parcial de corriente de 10 metros, trifásica tierra y un neutro por 10 horas continuas  con operario incluido para operar en instalaciones del evento por el tiempo de servicio (12 horas).</t>
  </si>
  <si>
    <t>Alquiler Planta eléctrica insonora 150 kva parcial de corriente de 10 metros, trifásica tierra y un neutro por 10 horas continuas con operario incluido para operar en instalaciones del evento por el tiempo de servicio (12 horas).</t>
  </si>
  <si>
    <t>Alquiler Generadores Eléctricos 60 Kva (por día)</t>
  </si>
  <si>
    <t xml:space="preserve">Bombillos Tipo Ping Pong Para Exteriores </t>
  </si>
  <si>
    <t>Puntos de Luz (Bombillo) Instalados 110 W</t>
  </si>
  <si>
    <t>Puntos de Corriente Instalados a Corriente 110</t>
  </si>
  <si>
    <t>Puntos de Corriente a 220 W</t>
  </si>
  <si>
    <t xml:space="preserve">Extensiones de 40 Metros Encauchetadas 3:10 Con Clavijas Levinton Hembra y Macho </t>
  </si>
  <si>
    <t xml:space="preserve">Extensiones de 20 Metros Encauchetadas 3:10 Con Clavijas Levinton Hembra y Macho </t>
  </si>
  <si>
    <t xml:space="preserve">Carpa 6x4 transparente 2 aguas con laterales </t>
  </si>
  <si>
    <t xml:space="preserve">Carpa 6x4 2 aguas con laterales </t>
  </si>
  <si>
    <t xml:space="preserve">Carpa 6x3 imp hangar con laterales </t>
  </si>
  <si>
    <t xml:space="preserve">Carpa 6x6 imp hangar con laterales </t>
  </si>
  <si>
    <t>Carpa 6x9 imp hangar con laterales  (por día) * Requiere tener certificación estructural</t>
  </si>
  <si>
    <t>Carpa 6x12 imp hangar con laterales  (por día) * Requiere tener certificación estructural</t>
  </si>
  <si>
    <t xml:space="preserve">Carpa 6x6 imp pagoda con laterales  </t>
  </si>
  <si>
    <t xml:space="preserve">carpa tipo hangar de 6x6 para escenario con laterales </t>
  </si>
  <si>
    <t>contrapesos maletín</t>
  </si>
  <si>
    <t>Alquiler Sillas Rimax Con Brazos</t>
  </si>
  <si>
    <t>Alquiler Sillas Rimax Sin Brazos</t>
  </si>
  <si>
    <t xml:space="preserve">Alquiler De Mesones Rectangulares </t>
  </si>
  <si>
    <t>Alquiler De Manteles Para Mesas Rectangulares</t>
  </si>
  <si>
    <t xml:space="preserve">Alquiler De Mesa Counter De 1,50m X 0,60m X 0,90m </t>
  </si>
  <si>
    <t>Alquiler De Sillas Plegables Para Picnic (Valor Por Día)</t>
  </si>
  <si>
    <t>Alquiler De Mesas Plegables Para Picnic (Valor Por Día)</t>
  </si>
  <si>
    <t>Alquiler Mobiliarios : Mesas, 4 Sillas, Base Parasol Y Parasoles</t>
  </si>
  <si>
    <t>Alquiler Caneca 45 Litros</t>
  </si>
  <si>
    <t xml:space="preserve">Alquiler Contrapesos De Piso </t>
  </si>
  <si>
    <t xml:space="preserve">Alquiler Avisos Neón 24 Horas </t>
  </si>
  <si>
    <t>Alquiler Estibas Plásticas De 60x60</t>
  </si>
  <si>
    <t>Alquiler de trimalla  50 x50</t>
  </si>
  <si>
    <t>Alquiler de vallas</t>
  </si>
  <si>
    <t xml:space="preserve">Piso Plastico 105 metros cuadrados: Piso modular fabricado en material plástico (polipropileno).
Cada módulo es de 30 x 60 x 2,8 cm, tiene una capacidad de carga de 20 toneladas distribuidas de manera uniforme por m2. 
Superficie perforada antideslizante que permite el drenaje del agua y la aireación de la gramilla protegiéndola contra el deterioro por el tráfico. </t>
  </si>
  <si>
    <t>Transporte de pasajeros Van de 16 pasajeros por 8 horas</t>
  </si>
  <si>
    <t>Alquiler Multitoma de 10 puertos (por día)</t>
  </si>
  <si>
    <t>Alquiler Multitoma de 8 puertos (por día)</t>
  </si>
  <si>
    <t>Alquiler Multitoma de 6 puertos (por día)</t>
  </si>
  <si>
    <t>Servicio de ambulancia básica</t>
  </si>
  <si>
    <t>Servicio de ambulancia medicalizada</t>
  </si>
  <si>
    <t>Transporte de Personas vehiculo tipo automovil o camioneta capacidad hasta 4 personas (Dentro del permietro urbano o Rural)  (Disponibilidad dia de 18 horas)  seguridad reglamentaria-  Modelo &gt; 2020</t>
  </si>
  <si>
    <t>Transporte de Personas vehiculo tipo automovil o camioneta capacidad hasta 4 personas (Dentro del permietro urbano o Rural)  (Disponibilidad por hora) - seguridad reglamentaria-  Modelo &gt; 2020</t>
  </si>
  <si>
    <t>Transporte de Personas vehiculo tipo van capacidad hasta 6 personas (Dentro del permietro urbano o Rural)  (Disponibilidad dia de 18 horas)  seguridad reglamentaria-  Modelo &gt; 2020</t>
  </si>
  <si>
    <t>Transporte de Personas vehiculo tipo van capacidad hasta 6 personas (Dentro del permietro urbano o Rural)  (Disponibilidad por hora) -  seguridad reglamentaria-  Modelo &gt; 2020</t>
  </si>
  <si>
    <t>Transporte de Personas vehiculo tipo van capacidad hasta 15 personas (Dentro del permietro urbano o Rural)  (Disponibilidad dia de 18 horas) -  seguridad reglamentaria-  Modelo &gt; 2020</t>
  </si>
  <si>
    <t>Transporte de Personas vehiculo tipo bus capacidad hasta 40 personas (Dentro del permietro urbano o Rural)  (Disponibilidad dia de 18 horas)  seguridad reglamentaria-  Modelo &gt; 2020</t>
  </si>
  <si>
    <t>Transporte de Personas vehiculo tipo bus capacidad hasta 40 personas (Dentro del permietro urbano o Rural)  (Disponibilidad por hora)  seguridad reglamentaria-  Modelo &gt; 2020</t>
  </si>
  <si>
    <t>Valor monitor bus (1 persona) (X dia)</t>
  </si>
  <si>
    <t>Valor monitor bus (1 persona) (X hora )</t>
  </si>
  <si>
    <t>suministro de Block en papel Bond 75g, tamaño media carta por 50 hojas (Blanco, rayado o cuadriculado). Paquete x 12 Unidades para eventos</t>
  </si>
  <si>
    <t>Block en papel Iris, tamaño carta por 40 hojas. Paquete x 12 Unidades</t>
  </si>
  <si>
    <t>Cuaderno o agenda cuadriculado de 50 hojas sin diseño en la portada. Paquete x 12 Unidades</t>
  </si>
  <si>
    <t>Borrador de nata, Medidas aproximadas 5.5 a 6.3 cm de largo * 0.8 a 1 cm de ancho y espesor de 1.9 a 2.3 cm. Paquete x 10 Unidades</t>
  </si>
  <si>
    <t>Cartulina Pliego 100 cm *70 cm  de 150 a 165 g/m2, variedad de colores.Paquete x 12 Unidades</t>
  </si>
  <si>
    <t>Paquetes de post - it x 100 hojas (cuadrados o de formas de flores o corazones)</t>
  </si>
  <si>
    <t>Cinta adhesiva pequeña 12 mm * 33 mm. Paquete x 12 Unidades</t>
  </si>
  <si>
    <t>Cinta adhesiva 55 mm * 33 mm. Paquete x 12 Unidades</t>
  </si>
  <si>
    <t>Cinta de enmascarar. Tamaño de 18 mm x 40 metros. Paquete x 6 Unidades</t>
  </si>
  <si>
    <t>Cinta de enmascarar. Tamaño de 24 mm x 40 metros. Paquete x 8 Unidades</t>
  </si>
  <si>
    <t>Esferos Tinta negra o azul, resistente, buena calidad. Paquete x 12 Unidades</t>
  </si>
  <si>
    <t>Lápiz No. 2 punta fina con borrador. Paquete x 12 Unidades</t>
  </si>
  <si>
    <t>Fichas bibliográficas variedad de colores, tamaño 10*15, paquete * 100 unidades</t>
  </si>
  <si>
    <t>Marcadores borrables, Variedad de colores, resistentes, buena calidad (cotizar unidad).Paquete x 12 Unidades</t>
  </si>
  <si>
    <t>Marcadores delgados plumones, Variedad de colores, resistentes, buena calidad (cotizar unidad). Paquete x 12 Unidades</t>
  </si>
  <si>
    <t>Marcadores permanentes, Variedad de colores, resistentes, buena calidad (cotizar unidad). Paquete x 12 Unidades</t>
  </si>
  <si>
    <t>Octavos de cartulina, Variedad de colores paquete, Tamaño octavo..Paquete x 12 Unidades</t>
  </si>
  <si>
    <t>Papel bond, Pliego 100 cm *70 cm.Paquete x 12 Unidades</t>
  </si>
  <si>
    <t>Papel blanco Kimberly paquete * 50 hojas - carta, blanco, 90 gramos</t>
  </si>
  <si>
    <t>Papel periódico, Pliego 100 cm *70 cm.Paquete x 12 Unidades</t>
  </si>
  <si>
    <t>Resma de papel bond de 75 g/m2.  tamaño carta. resma 500 hojas.</t>
  </si>
  <si>
    <t>Resma de papel bond de 75 g/m2.  tamaño oficio. resma 500 hojas.</t>
  </si>
  <si>
    <t>Pegante en barra de 20gr de limpia y fácil aplicación producto de rápido secado para aplicar sobre papel, cartón y cartulina. no toxico. Paquete x 2 Unidades</t>
  </si>
  <si>
    <t>Tajalápiz metálico caja * 12.Paquete x 12 Unidades</t>
  </si>
  <si>
    <t>Tijera punta roma No. 6, colores surtidos. Paquete x 1 Unidad</t>
  </si>
  <si>
    <t>Papel Higiénico doble hoja.Paquete x 4 Unidades (industrial o jumbo)</t>
  </si>
  <si>
    <t>Papel Kraft, Rollo de  0.90 X 297 MT.  90GRMS</t>
  </si>
  <si>
    <t>Papel Kraft rollo de  1.25 X 296 MT. 90GRMS</t>
  </si>
  <si>
    <t>263 PERSONAS</t>
  </si>
  <si>
    <t>SILLAS</t>
  </si>
  <si>
    <t>VIDEOBEAM</t>
  </si>
  <si>
    <t>Sillas sin brazos</t>
  </si>
  <si>
    <t>MICROFONO</t>
  </si>
  <si>
    <t>MESAS</t>
  </si>
  <si>
    <t>PANTALLAS ADICIONALES</t>
  </si>
  <si>
    <t>Descripción Estación Coffe Break</t>
  </si>
  <si>
    <t>PRECIO COMPUESTO SALON</t>
  </si>
  <si>
    <t>Alquiler de Una (1), Estación de Coffee Break, por ocho (8) horas, que incluya Café ilimitado (tinto y/o americano), aromática y agua, galletas o pasabocas dulces/salados, vasos, servilletas, menaje desechable
Capacidad: 263 personas</t>
  </si>
  <si>
    <t xml:space="preserve">Estación de café para 100 pax con galletas, agua (botellón), aromática, tinto, menaje pesado (mesas y mantelería para estación de servicio), menaje para atender al público (vasos de vidrio para el agua, vajilla de porcelana o cerámica), mezcladores, azúcar, splenda e instacream, debe incluir personal de servicio (Mínimo 2 meseros) y transporte en perímetro urbano (ida y regreso). La estación de café debe estar muy bien presentada y el azúcar, aromáticas, splenda e instacream deben estar en recipientes que permitan que la estación se vea organizada. </t>
  </si>
  <si>
    <t>Estación de café para 100 pax con galletas, agua (botellón), aromática, tinto, menaje pesado (mesas y mantelería para estación de servicio), menaje para atender al público (vasos de vidrio para el agua, vajilla de porcelana o cerámica), mezcladores, azúcar, splenda e instacream, debe incluir personal de servicio (Mínimo 2 meseros) y transporte en perímetro urbano (ida y regreso). La estación de café debe estar muy bien presentada y el azúcar, aromáticas, splenda e instacream deben estar en recipientes que permitan que la estación se vea organizada. Se hace equivalencia para 70 personas</t>
  </si>
  <si>
    <t>Estación de café para 100 pax con galletas, agua (botellón), aromática, tinto, menaje pesado (mesas y mantelería para estación de servicio), menaje para atender al público (vasos de vidrio para el agua, vajilla de porcelana o cerámica), mezcladores, azúcar, splenda e instacream, debe incluir personal de servicio (Mínimo 2 meseros) y transporte en perímetro urbano (ida y regreso). La estación de café debe estar muy bien presentada y el azúcar, aromáticas, splenda e instacream deben estar en recipientes que permitan que la estación se vea organizada. Se hace equivalencia para 263 personas</t>
  </si>
  <si>
    <t>Descripción Meseros</t>
  </si>
  <si>
    <t>Meseros, uniformados, capacitados y con experiencia en atención de eventos étnicos, para una jornada de ocho (8) horas continuas, con funciones orientadas a garantizar la atención directa a los participantes, apoyo en el montaje y prestación del servicio y reposición de la estación de Coffee Brack y recolección de residuos.</t>
  </si>
  <si>
    <t>El precio unitario del mesero es el mismo en todos los casos</t>
  </si>
  <si>
    <t>Registo de las sesiones</t>
  </si>
  <si>
    <t>Registro fotogràfico, audio y video Sesion Comision VI - ENCP y Sesión Subcomisión de Mujeres</t>
  </si>
  <si>
    <t>Descripción Registro fotográfico y/o audiovisual</t>
  </si>
  <si>
    <t>Descripción Transporte Multimodal</t>
  </si>
  <si>
    <t>Valor global</t>
  </si>
  <si>
    <t>Valor por persona (ida y vuelta)</t>
  </si>
  <si>
    <t>Cálculo MJD</t>
  </si>
  <si>
    <t>Valor por persona (por trayecto)</t>
  </si>
  <si>
    <t xml:space="preserve">CONVOCATORIA A LA COMISION V DEL ESPACIO NACIONAL DE CONSULTA PREVIA (SEPTIEMBRE DE 2024) </t>
  </si>
  <si>
    <t>Sesión de la Comisión Quinta del ENCP con una duración de 4 dias así: 1 dia de llegada, 1 dia de salida de los/las delegado/as y 2 dias de trabajo efectivo (50 delegados/as, 10 Funcionarios/as y 10 personas Equipo PCA)</t>
  </si>
  <si>
    <t>Hospedaje, Alimentación y Transporte interno (Delegados/as)</t>
  </si>
  <si>
    <t>Transporte multimodal (50 Delegados/as)</t>
  </si>
  <si>
    <t>Global</t>
  </si>
  <si>
    <t xml:space="preserve">Global </t>
  </si>
  <si>
    <t>Transporte aèreo Ida y Regreso (50 Delegados/as)</t>
  </si>
  <si>
    <t>Transporte multimodal (50 Delegados/as) - Valor Global. Se hace la equivalencia para 48 personas</t>
  </si>
  <si>
    <t>Transporte multimodal (50 Delegados/as) - Valor Global. Se hace la equivalencia para 70 personas</t>
  </si>
  <si>
    <t>Transporte multimodal (50 Delegados/as) - Valor Global. Se hace la equivalencia para 80 personas</t>
  </si>
  <si>
    <t>Transporte multimodal (50 Delegados/as) - Valor Global. Se hace la equivalencia para 237 personas</t>
  </si>
  <si>
    <t>Transporte Multimodal (Aéreo, Terrestre, Fluvial, semoviente, otros) delegados/as Ida y Regreso
COSTOS PROMEDIO</t>
  </si>
  <si>
    <t>Tiquetes aéreos</t>
  </si>
  <si>
    <t>Lancha</t>
  </si>
  <si>
    <t>Tiquete aéreo charter</t>
  </si>
  <si>
    <t>Animal</t>
  </si>
  <si>
    <t>Bus</t>
  </si>
  <si>
    <t>Moto</t>
  </si>
  <si>
    <t>Multimodal Ida y Regreso por persona sin transporte aéreo</t>
  </si>
  <si>
    <t>Multimodal trayecto por persona sin tranporte aéreo</t>
  </si>
  <si>
    <t>Descripción Transporte Aéreo</t>
  </si>
  <si>
    <t>MINJUSTICIA</t>
  </si>
  <si>
    <t>OBJETO</t>
  </si>
  <si>
    <t>Realizar las acciones encaminadas al desarrollo de la ruta metodológica para el cumplimiento de los acuerdos efectuados con el Ministerio de Justicia y del Derecho en el Plan Nacional de Desarrollo 2022-2026 en el marco de la sesión con la Comisión Sexta del Espacio Nacional de Consulta Previa para comunidades Negras, Afrocolombianas, Raizales y Palenqueras.</t>
  </si>
  <si>
    <t>DESAGREGACIÓN DE COSTOS UNITARIOS SESIÓN COMISIÓN SEXTA DEL ENCP</t>
  </si>
  <si>
    <t>Comprobación</t>
  </si>
  <si>
    <t>Validación</t>
  </si>
  <si>
    <t>ACTIVIDAD</t>
  </si>
  <si>
    <t>%Variación</t>
  </si>
  <si>
    <t>Valor comparativo</t>
  </si>
  <si>
    <t>%variación</t>
  </si>
  <si>
    <t>Costos de Delegados/as Comisión VI- ENCP para Hospedaje, Alimentaciòn y Transporte y traslado interno en la ciudad de la convocatoria (48 personas / 3 días)</t>
  </si>
  <si>
    <t>Hospedaje diario</t>
  </si>
  <si>
    <t>Traslado interio de la ciudad</t>
  </si>
  <si>
    <t>Fuente: Búsqueda en transportes terrestres en zonas del pacífico colombiano – Disponible en: https://buscobus.com.co/transportes/transipiales/tumaco/</t>
  </si>
  <si>
    <t>Desayuno</t>
  </si>
  <si>
    <t>Refrigerio AM</t>
  </si>
  <si>
    <t>Almuerzo</t>
  </si>
  <si>
    <t>Refrigerio PM</t>
  </si>
  <si>
    <t>Cena</t>
  </si>
  <si>
    <t>Costos de Delegados/as Subcomisión de Mujeres, Delegadas Comisión VI- ENCP para Hospedaje, Alimentaciòn y Transporte Interno en la ciudad de la convocatoria (20 personas / 1 día)</t>
  </si>
  <si>
    <t>Materiales e insumos prácticos de papelería</t>
  </si>
  <si>
    <t>50 Agendas ($28.000 cada una)</t>
  </si>
  <si>
    <t>50 Lapiceros ($1.000 cada uno)</t>
  </si>
  <si>
    <t>Armonización Cultural Sesion Comision VI - ENCP y Subcomisión de Mujeres</t>
  </si>
  <si>
    <t>Costo de armonización cultural propia con elementos, prácticas y bebidas ancestrales</t>
  </si>
  <si>
    <t>Salòn de eventos Pax 70 (Ayudas audiovisuales y sonido, meseros) Sesion Comision VI - ENCP</t>
  </si>
  <si>
    <t>Contratación de Coordinador(a) General / Equipo técnico y profesional para la entrega de productos</t>
  </si>
  <si>
    <t>Se ajusta el valor, pero el comparativo ahora queda muy bajo</t>
  </si>
  <si>
    <t>Profesional para la elaboración de productos técnicos en el marco del contrato</t>
  </si>
  <si>
    <t>Contratación de personal para Apoyo Técnico, Logistico y Operativo / Equipo técnico y profesional para la entrega de productos</t>
  </si>
  <si>
    <t>Profesionales de apoyo y gestión para la realización de la sesión y acompañamiento a elaboración de documentos técnicos.</t>
  </si>
  <si>
    <t>Alquiler equipos</t>
  </si>
  <si>
    <t>https://www.rentapc.com.co/port%C3%A1til-procesamiento-alto</t>
  </si>
  <si>
    <t>Alquiler equipos de cómputo e impresoras</t>
  </si>
  <si>
    <t>Gastos de Hospedaje/Alimentaciòn /Transporte interno para personal contratado</t>
  </si>
  <si>
    <t>Transporte aèreo o Terrestre para personal contratado</t>
  </si>
  <si>
    <t>Transporte aéreo para 3 personas contratadas que no se encuetran en Cali</t>
  </si>
  <si>
    <t xml:space="preserve">Salòn de eventos </t>
  </si>
  <si>
    <t>Pax 30 (estación de agua, café y aromática, ayudas audiovisuales y sonido, meseros) Subcomisión de Mujeres</t>
  </si>
  <si>
    <t>Total Plenaria Comisión Sexta</t>
  </si>
  <si>
    <t>Contratar los servicios para apoyar actividades en la implementación del Decreto 1396 de 2023, en los territorios de Comunidades Negras, Afrocolombianas, Raizales y Palenqueras.</t>
  </si>
  <si>
    <t xml:space="preserve">Objetivo del Convenio: </t>
  </si>
  <si>
    <t>Aunar esfuerzos técnicos, financieros y administrativos para la realización de nueve (9) Capacitaciones en los Territorios Priorizados de Socialización del Decreto 1396 de 2023, "Por el cual se reglamenta el Capítulo V de la Ley 70 de 1993"</t>
  </si>
  <si>
    <t>Organización que celebra el Convenio</t>
  </si>
  <si>
    <t>ASOCIACIÓN PROYECTO CULTURAL AFRODESCENDIENTE - PCA</t>
  </si>
  <si>
    <t>PRODUCTOS</t>
  </si>
  <si>
    <t>1. Listados de Asistencia. 2. Acta de la sesión de la Comisión V del ENCP.  3. Registro Fotográfico y/o Video</t>
  </si>
  <si>
    <t>Kit de papeleria para Delegados/as y Funcionarios/as (Agenda, Lapicero, Bolsa reutilizable)</t>
  </si>
  <si>
    <t>Elementos</t>
  </si>
  <si>
    <t>DEPARTAMENTO</t>
  </si>
  <si>
    <t>CHOCÓ                    (90 Asistentes)</t>
  </si>
  <si>
    <t xml:space="preserve">CAPACITACION N° 1 (Atrato) 45 Asistentes, 5 Funcionarios y 5 personas Equipo PCA
</t>
  </si>
  <si>
    <t xml:space="preserve">Un (1) documento con avances del resultado de las capacitaciones de implementación del Decreto 1393 de 2023 en los municipios priorizados que incluya a) Listas de asistencia. b) Memorias de los espacios. C) Registro fotográfico. 
</t>
  </si>
  <si>
    <t>Hospedaje, Alimentación y Transporte interno, (45 Participantes)</t>
  </si>
  <si>
    <t xml:space="preserve">Refrigerios  ancestrales am </t>
  </si>
  <si>
    <t xml:space="preserve">Unidad </t>
  </si>
  <si>
    <t xml:space="preserve">Refrigerios  ancestrales pm </t>
  </si>
  <si>
    <t>Almuerzos ancestrales</t>
  </si>
  <si>
    <t>Kit de papeleria para participantes (Agenda, Lapicero, Bolsa reutilizable)</t>
  </si>
  <si>
    <t>Materiales de Papeleria, Publicidad, Impresiones, Fotocopias y otros relacionados con alquiler de equipos</t>
  </si>
  <si>
    <t>SUBTOTAL</t>
  </si>
  <si>
    <t xml:space="preserve">CAPACITACION N° 2    (San Juan) 45 Asistentes, 5 Funcionarios y 5 personas Equipo PCA
</t>
  </si>
  <si>
    <t xml:space="preserve">Valor Total </t>
  </si>
  <si>
    <t>Kit de papeleria para participantes(Agenda, Lapicero, Bolsa reutilizable)</t>
  </si>
  <si>
    <t>NARIÑO                (123 Asistentes)</t>
  </si>
  <si>
    <t xml:space="preserve">CAPACITACION N° 3     (Tumaco) 41 Asistentes, 5 Funcionarios y 5 personas Equipo PCA
</t>
  </si>
  <si>
    <t xml:space="preserve">Un (1) documento con avances del resultado de las capacitaciones de implementación del Decreto 1393 de 2023 en los municipios priorizados que incluya a) Listas de asistencia. b) Memorias de los espacios. C) Registro fotográfico. </t>
  </si>
  <si>
    <t xml:space="preserve">Salón de eventos, dotado con ayudas audiovisuales (video beam/proyector - sonido y microfonos) Pax 51 personas, en acomodación tipo aula  </t>
  </si>
  <si>
    <t>Hospedaje, Alimentación y Transporte interno, (41 Participantes)</t>
  </si>
  <si>
    <t xml:space="preserve">CAPACITACION N° 4    (Barbacoas) 41 Asistentes, 5 Funcionarios y 5 personas Equipo PCA
</t>
  </si>
  <si>
    <t xml:space="preserve">CAPACITACION N° 5    (Magüe, Roberto Payán y el Charco) 41 Asistentes, 5 Funcionarios y 5 personas Equipo PCA
</t>
  </si>
  <si>
    <t>CAUCA                    (110Asistentes)</t>
  </si>
  <si>
    <t>CAPACITACION N° 6    (Timbiquí, López de Micay y Guapi) 55 Asistentes, 5 Funcionarios y 5 personas Equipo PCA</t>
  </si>
  <si>
    <t>Un (1) documento con avances del resultado de las capacitaciones de implementación del Decreto 1393 de 2023 en los municipios priorizados que incluya a) Listas de asistencia. b) Memorias de los espacios. C) Registro fotográfico.</t>
  </si>
  <si>
    <t xml:space="preserve">Salón de eventos, dotado con ayudas audiovisuales (video beam/proyector - sonido y microfonos) Pax 65 personas, en acomodación tipo aula  </t>
  </si>
  <si>
    <t>Hospedaje, Alimentación y Transporte interno, (55 Participantes)</t>
  </si>
  <si>
    <t xml:space="preserve">CAPACITACION N° 7  (Patía y Suárez) 55 Asistentes, 5 Funcionarios y 5 personas Equipo PCA
 </t>
  </si>
  <si>
    <t>VALLE DEL CAUCA         (54 Asistentes)</t>
  </si>
  <si>
    <t>CAPACITACION N° 8           (Buenaventura) 54 Asistentes, 5 Funcionarios y 5 personas Equipo PCA</t>
  </si>
  <si>
    <t xml:space="preserve">Salón de eventos, dotado con ayudas audiovisuales (video beam/proyector - sonido y microfonos) Pax 64 personas, en acomodación tipo aula  </t>
  </si>
  <si>
    <t>Hospedaje, Alimentación y Transporte interno, (54 Participantes)</t>
  </si>
  <si>
    <t>ANTIOQUIA          (36 Asistentes)</t>
  </si>
  <si>
    <t>CAPACITACION N° 9          (El Bagre, Turbo, Zaragoza y Anorí) 36 Asistentes, 5 Funcionarios y 5 personas Equipo PCA</t>
  </si>
  <si>
    <t xml:space="preserve">Salón de eventos, dotado con ayudas audiovisuales (video beam/proyector - sonido y microfonos) Pax 36 personas, en acomodación tipo aula  </t>
  </si>
  <si>
    <t>Hospedaje, Alimentación y Transporte interno, (36 Participantes)</t>
  </si>
  <si>
    <t>TOTAL 9 CAPACITACIONES</t>
  </si>
  <si>
    <t xml:space="preserve">SESIÓN DE SEGUIMIENTO Y PLAN DE IMPLEMENTACIÓN </t>
  </si>
  <si>
    <t>TOTAL SESIÓN SEGUIMIENTO Y PLAN DE IMPLEMENTACIÓN</t>
  </si>
  <si>
    <t>COMPONENTE</t>
  </si>
  <si>
    <t>ACCIÓN</t>
  </si>
  <si>
    <t>PRODUCTO</t>
  </si>
  <si>
    <t xml:space="preserve">Equipo </t>
  </si>
  <si>
    <t xml:space="preserve">Contratación de 4 Profesionales para Acompañar la ejecución del Convenio </t>
  </si>
  <si>
    <t xml:space="preserve">Hojas de Vida de Profesionales </t>
  </si>
  <si>
    <t>Profesional Jurídico</t>
  </si>
  <si>
    <t xml:space="preserve">Profesional Ambiental </t>
  </si>
  <si>
    <t>Profesional Social</t>
  </si>
  <si>
    <t>Bolsa agotable para Transporte aèreo Ida y Regreso Equipo PCA</t>
  </si>
  <si>
    <t>Bolsa agotable para Hospedaje, Alimentación y Transporte interno Equipo PCA</t>
  </si>
  <si>
    <t>TOTAL CONTRATACION PROFESIONALES</t>
  </si>
  <si>
    <t>COSTOS OPERATIVOS Y FINANCIEROS</t>
  </si>
  <si>
    <t>Desplegue técnico, administrativo y financiero para la ejecución</t>
  </si>
  <si>
    <t>Soportes de legalización financiera</t>
  </si>
  <si>
    <t>Bolsa agotable para Transporte aèreo Ida y Regreso (Equipo PCA)</t>
  </si>
  <si>
    <t>Bolsa agotable para Hospedaje, Alimentación y Transporte interno (Equipo PCA)</t>
  </si>
  <si>
    <t>Coordinador/a General</t>
  </si>
  <si>
    <t>Contador/a</t>
  </si>
  <si>
    <t>Apoyo Técnico y Administrativo</t>
  </si>
  <si>
    <t>Arrendamiento de oficina</t>
  </si>
  <si>
    <t>Elemento</t>
  </si>
  <si>
    <t>Persona de limpieza oficina</t>
  </si>
  <si>
    <t>Servicios públicos, de telefonia e internet</t>
  </si>
  <si>
    <t>TOTAL COSTOS OPERATIVOS Y FINANCIEROS</t>
  </si>
  <si>
    <t>TOTAL PROPUESTA</t>
  </si>
  <si>
    <t>https://community.secop.gov.co/Public/Tendering/OpportunityDetail/Index?noticeUID=CO1.NTC.4752732&amp;isFromPublicArea=True&amp;isModal=true&amp;asPopupView=true</t>
  </si>
  <si>
    <t>UARIV-UNIDAD PARA LA ATENCION Y REPARACION INTEGRAL A LAS VICTIMAS</t>
  </si>
  <si>
    <t>PRESTACIÓN DE SERVICIOS PARA GARANTIZAR LOS ASPECTOS TÉCNICOS, FINANCIEROS, Y LOGÍSTICOS QUE PERMITAN LA FORMULACIÓN Y AJUSTE DEL PLAN DE ACCIÓN PARA IMPLEMENTAR DE MANERA ACELERADA DEL DECRETO LEY 4635 DE 2011.</t>
  </si>
  <si>
    <t>Ruta Aérea 
Ida y Regreso</t>
  </si>
  <si>
    <t>Ruta de Movilidad Mulitimodal</t>
  </si>
  <si>
    <t>Valor Reembolso Transporte Multimodal</t>
  </si>
  <si>
    <t>Valor Reconocimiento Diario</t>
  </si>
  <si>
    <t>Quibdò - ciudad de convocatoria - Quibdò</t>
  </si>
  <si>
    <t>La Loma - Napipi - Bojaya:
Terrestre. Bojaya - Quibdo:
Fluvial  (3-5 Horas)</t>
  </si>
  <si>
    <t>Tumaco - ciudad de convocatoria - Tumaco</t>
  </si>
  <si>
    <t>Saquinga - La Tola - Olaya Herrera: Fluvial, Olaya Herrera - San Andres de Tumaco: Terrestre.</t>
  </si>
  <si>
    <t>Vereda Aurora - Magui Payan:
Fluvial, Magui Payan - Barbacoas - Tumaco: Terrestre</t>
  </si>
  <si>
    <t>Armenia - Ciudad de Convocatoria - Armenia.</t>
  </si>
  <si>
    <t>La Concha - Circasia - La Tebaida - Armenia: Terrestre</t>
  </si>
  <si>
    <t>Bogotà - ciudad de convocatoria - Bogotà</t>
  </si>
  <si>
    <t>Soacha - Bogotà: Terrestre</t>
  </si>
  <si>
    <t>Valledupar - ciudad de convocatoria - Valledupar</t>
  </si>
  <si>
    <t>Guamaral - Caracoli - Valledupar: Terrestre</t>
  </si>
  <si>
    <t>Cùcuta - ciudad de convocatoria - Cùcuta</t>
  </si>
  <si>
    <t>Vereda Surrucuto - Rio de Oro: 
Fluvial, Rio de Oro - Vereda el Silencio - Teorama- via Convenciòn - Ocaña - Cùcuta: Terrestre</t>
  </si>
  <si>
    <t>Cartagena - ciudad de convocatoria - Cartagena</t>
  </si>
  <si>
    <t>El nispero - Retiro nuevo - Maria la Baja - Cartagena: Terrestre</t>
  </si>
  <si>
    <t>Santa Marta - ciudad de convocatoria - Santa Marta</t>
  </si>
  <si>
    <t>Corregimiento de Palmar - San Jose - Santa Marta: Terrestre</t>
  </si>
  <si>
    <t>Pereira - ciudad de convocatoria - Pereira</t>
  </si>
  <si>
    <t>Corregimiento Santa Cecilia - Pereira: Terrestre</t>
  </si>
  <si>
    <t>Neiva - ciudad de convocatoria - Neiva</t>
  </si>
  <si>
    <t>Inspecciòn de alpecito - Aype - Palermo - Neiva: Terrestre</t>
  </si>
  <si>
    <t>Lugar y Fecha</t>
  </si>
  <si>
    <t>No de Personas</t>
  </si>
  <si>
    <t>Trayecto</t>
  </si>
  <si>
    <t>Descripciòn</t>
  </si>
  <si>
    <t>Valor Unitario X Trayecto 
(12 Personas)</t>
  </si>
  <si>
    <t>TUMACO - primera semana de junio de 2023</t>
  </si>
  <si>
    <t>Transporte Multimodal Comision Formuladora (tradicional)</t>
  </si>
  <si>
    <t>IDA Y VUELTA</t>
  </si>
  <si>
    <t>TOTAL TRANSPORTE MULTIMODAL Y AEREO</t>
  </si>
  <si>
    <t>Total</t>
  </si>
  <si>
    <t>Reconocimiento diario Comision Formuladora (desagregado en punto 3.3.1 Costos de comisiòn formuladora)</t>
  </si>
  <si>
    <t>N/A</t>
  </si>
  <si>
    <t>Salón con capacidad para 130 personas, dotado con ayuda audiovisuales - videobeam, impresora Multifuncional a blanco y negro, sonido, microfono inalambrico - Estacion de Agua y Cafè.</t>
  </si>
  <si>
    <t xml:space="preserve">Desayunos: Estos se garantizan para los participantes que representan a las comunidades Negras, Afrocolombianas, Raizales y Palenqueras. </t>
  </si>
  <si>
    <t>Almuerzos: Estos se garantizan para los participantes que representan a las comunidades Negras, Afrocolombianas, Raizales y Palenqueras.</t>
  </si>
  <si>
    <t>Cenas: Estos se garantizan para los participantes que representan a las comunidades Negras, Afrocolombianas, Raizales y Palenqueras.</t>
  </si>
  <si>
    <t>Refrigerio a.m. y p.m.: Estos se garantizan para los participantes que representan a las comunidades Negras, Afrocolombianas, Raizalez y Palenqueras, para los funcionarios de la Unidad para las Victimas, del Ministerio del interior y el equipo tecnico y operativo de la Asociacion PCA.</t>
  </si>
  <si>
    <t xml:space="preserve">Cuadernos: Estos se garantizan para los participantes que representan a las comunidades Negras, Afrocolombianas, Raizales y Palenqueras, para los funcionarios de la Unidad para las Victimas, del Ministerio del Interior y el equipo tecnico y operativo de la Asociacion PCA. </t>
  </si>
  <si>
    <t xml:space="preserve">Lapiceros: Estos se garantizan para los participantes que representan a las comunidades Negras, Afrocolombianas, Raizales y Palenqueras, para los funcionarios de la Unidad para las Victimas, del Ministerio del Interior y el equipo tecnico y operativo de la Asociacion PCA. </t>
  </si>
  <si>
    <t>Resmas de papel</t>
  </si>
  <si>
    <t>Escarapelas</t>
  </si>
  <si>
    <t>Impresiones</t>
  </si>
  <si>
    <t>Armonizacion: Se contara con un espacio dirigido por un sabedor  o sabedora, cuyo objetivo principal sera crear un ambiente propicio para reconectar con las tradiciones culturales del pueblo Negro, Afrocolombiano, Raizal y Palenquero. Esta iniciativa busca fomentar el repeto, la comprension y la apreciacion de la diversidad cultural, fortaleciendo asi la identidad y generando espacios de intercambio y apredizaje mutuo en el marco de la actividad.</t>
  </si>
  <si>
    <t>Hospedaje en acomodacion doble</t>
  </si>
  <si>
    <t>Reembolso Transporte invitados Choco (Multimodal. Ida y regreso)</t>
  </si>
  <si>
    <t>Reembolso Transporte invitados Cauca (Multimodal. Ida y regreso)</t>
  </si>
  <si>
    <t>Reembolso Transporte invitados Risaralda (Multimodal. Ida y regreso)</t>
  </si>
  <si>
    <t>Reembolso Transporte invitados Quindio (Multimodal. Ida y regreso)</t>
  </si>
  <si>
    <t>Reembolso Transporte invitados Caldas (Multimodal. Ida y regreso)</t>
  </si>
  <si>
    <t>Reembolso Transporte invitados Antioquia (Multimodal. Ida y regreso)</t>
  </si>
  <si>
    <t>Reembolso Transporte invitados Cordoba (Multimodal. Ida y regreso)</t>
  </si>
  <si>
    <t>Reembolso Transporte invitados Sucre  (Multimodal. Ida y regreso)</t>
  </si>
  <si>
    <t>Reembolso Transporte invitados Bogota  (Multimodal. Ida y regreso)</t>
  </si>
  <si>
    <t>Reembolso Transporte invitados Tolima (Multimodal. Ida y regreso)</t>
  </si>
  <si>
    <t>Reembolso Transporte invitados Meta (Multimodal. Ida y regreso)</t>
  </si>
  <si>
    <t>Reembolso Transporte invitados Caqueta (Multimodal. Ida y regreso)</t>
  </si>
  <si>
    <t>Reembolso Transporte invitados Putumayo (Multimodal. Ida y regreso)</t>
  </si>
  <si>
    <t>Reembolso Transporte invitados Cundinamarca (Multimodal. Ida y regreso)</t>
  </si>
  <si>
    <t>Reembolso Transporte invitados Vaupes (Multimodal. Ida y regreso)</t>
  </si>
  <si>
    <t>Reembolso Transporte invitados Amazonas (Multimodal. Ida y regreso)</t>
  </si>
  <si>
    <t>Reembolso Transporte invitados Guania (Multimodal. Ida y regreso)</t>
  </si>
  <si>
    <t>Reembolso Transporte invitados San Andres (Multimodal. Ida y regreso)</t>
  </si>
  <si>
    <t>Reembolso Transporte invitados Providencia (Multimodal. Ida y regreso)</t>
  </si>
  <si>
    <t>Reembolso Transporte invitados Huila (Multimodal. Ida y regreso)</t>
  </si>
  <si>
    <t>Compra de tiquete aèreo ida y regreso, invitados Choco.</t>
  </si>
  <si>
    <t>Compra de tiquete aèreo ida y regreso, invitados Cauca</t>
  </si>
  <si>
    <t>Compra de tiquete aèreo ida y regreso, invitados Risaralda</t>
  </si>
  <si>
    <t>Compra de tiquete aèreo ida y regreso, invitados Quindio</t>
  </si>
  <si>
    <t>Compra de tiquete aèreo ida y regreso, invitados Caldas</t>
  </si>
  <si>
    <t>Compra de tiquete aèreo ida y regreso, invitados Antioquia</t>
  </si>
  <si>
    <t>Compra de tiquete aèreo ida y regreso, invitados Cordoba</t>
  </si>
  <si>
    <t>Compra de tiquete aèreo ida y regreso, invitados Sucre</t>
  </si>
  <si>
    <t>Compra de tiquete aèreo ida y regreso, invitados Bogota</t>
  </si>
  <si>
    <t>Compra de tiquete aèreo ida y regreso, invitados Tolima</t>
  </si>
  <si>
    <t>Compra de tiquete aèreo ida y regreso, invitados Meta</t>
  </si>
  <si>
    <t>Compra de tiquete aèreo ida y regreso, invitados Caqueta</t>
  </si>
  <si>
    <t>Compra de tiquete aèreo ida y regreso, invitados Putumayo</t>
  </si>
  <si>
    <t>Compra de tiquete aèreo ida y regreso, invitados Cundinamarca</t>
  </si>
  <si>
    <t>Compra de tiquete aèreo ida y regreso, invitados vaupes</t>
  </si>
  <si>
    <t>Compra de tiquete aèreo ida y regreso, invitados Amazonas</t>
  </si>
  <si>
    <t>Compra de tiquete aèreo ida y regreso, invitados Guainia</t>
  </si>
  <si>
    <t>Compra de tiquete aèreo ida y regreso, invitados San Andres</t>
  </si>
  <si>
    <t>Compra de tiquete aèreo ida y regreso, invitados Providencia</t>
  </si>
  <si>
    <t>Compra de tiquete aèreo ida y regreso, invitados Huila</t>
  </si>
  <si>
    <t>Relator Comunitario: Los relatores se encargaran de recoger en medio digital las memorias e insumos de cada mesa, consolidar de manera clara y precisa las ideas discutidas y resguadar las ayudas didacticas o pedagogicas que se utilicen, compartir la conclusion final del dialogo y verificar que los integrantes de la mesa esten de acuerdo, organizar la informacion que los participantes presentaran en las conclusiones del encuentro como los resultados obtenidos e identificados en el trabajado de cada mesa.</t>
  </si>
  <si>
    <t>Subtotal Gastos encuentro Macro Regional</t>
  </si>
  <si>
    <t>Transporte Multimodal y aereo Comision Formuladora</t>
  </si>
  <si>
    <t>Total Encuentro Macro Regional</t>
  </si>
  <si>
    <t>Numero de Contrato</t>
  </si>
  <si>
    <t>ITEM</t>
  </si>
  <si>
    <t>ENTRE</t>
  </si>
  <si>
    <t>1241 de 2023 UT COPEVICOL</t>
  </si>
  <si>
    <t>Propuesta ASOCIACION PROYECTO CULTURAL AFRODESCENDIENTE -(PCA)</t>
  </si>
  <si>
    <t>Reconocimiento Diario</t>
  </si>
  <si>
    <t>Nombre</t>
  </si>
  <si>
    <t>Unidad de Medida</t>
  </si>
  <si>
    <t>Propuesta PCA</t>
  </si>
  <si>
    <t>Valor Porcentual de la propuesta</t>
  </si>
  <si>
    <t>Alojamiento acomodacion doble</t>
  </si>
  <si>
    <t>Noche pernotada</t>
  </si>
  <si>
    <t>Refrigerio</t>
  </si>
  <si>
    <t>Salon Dotado - Capacidad hasta 200 Pax</t>
  </si>
  <si>
    <t>Cuaderno</t>
  </si>
  <si>
    <t>Escarapela y Porta Escarapela</t>
  </si>
  <si>
    <t>Docena</t>
  </si>
  <si>
    <t>Esferos (Negro o Azul) x 12 Unidades</t>
  </si>
  <si>
    <t>Paquete x 12 Unidades</t>
  </si>
  <si>
    <t>impresiones (Blanco y Negro Papel Carta Estandar)</t>
  </si>
  <si>
    <t>Resma de Papel Tamaño Carta (75G/M2 Resma 500 Hojas)</t>
  </si>
  <si>
    <t>https://community.secop.gov.co/Public/Tendering/OpportunityDetail/Index?noticeUID=CO1.NTC.5139485&amp;isFromPublicArea=True&amp;isModal=true&amp;asPopupView=true</t>
  </si>
  <si>
    <t>MINISTERIO DE AGRICULTURA Y DESARROLLO RURAL</t>
  </si>
  <si>
    <t>REALIZAR LAS ACTIVIDADES DE LA RUTA METODOLÓGICA PARA LA CONSULTA PREVIA DEL PROYECTO DE DECRETO RELACIONADO CON LA REGLAMENTACIÓN DE LOS PROCEDIMIENTOS DE AMPLIACIÓN Y SANEAMIENTO DE LOS TERRITORIOS COLECTIVOS DE LAS COMUNIDADES NEGRAS, AFROCOLOMBIANAS, RAIZALES Y PALENQUERAS</t>
  </si>
  <si>
    <t>Buscar el Estudio previo - Presupuesto</t>
  </si>
  <si>
    <t xml:space="preserve"> PRODUCTOS</t>
  </si>
  <si>
    <t xml:space="preserve"> CONCEPTO</t>
  </si>
  <si>
    <t xml:space="preserve"> VALOR CONCEPTO</t>
  </si>
  <si>
    <t xml:space="preserve"> PRESUPUESTO</t>
  </si>
  <si>
    <t>1. Acta de la sesion de capacitacion y diseño y construccion de instrumentos para la recoleccion de insumos en territorio con participacion del equipo tecnico de la Comision V.
2, Instrumentos diseñados para la recoleccion de insumos en territorio mediante la realizacion de las asambleas territoriales.
3. Registro fotografico de la sesion.
4. Listado de asistencia.
5. Registro Filmico.</t>
  </si>
  <si>
    <t>Transporte Aereo ida y regreso (delegados)</t>
  </si>
  <si>
    <t>Transporte Aereo ida y regreso (Equipo tecnico y logistico)</t>
  </si>
  <si>
    <t>Hospedaje, alimentacion y Transporte interno (Equipo Tecnico y Logistico)</t>
  </si>
  <si>
    <t>Alimentacion</t>
  </si>
  <si>
    <t>Hospedaje, alimentacion y Transporte interno (delegados)</t>
  </si>
  <si>
    <t>Multimodal (delegados)</t>
  </si>
  <si>
    <t>Locacion</t>
  </si>
  <si>
    <t>Ayudas audiovisuales</t>
  </si>
  <si>
    <t>papeleria</t>
  </si>
  <si>
    <t>publicidad</t>
  </si>
  <si>
    <t>Registro Fotografico y video</t>
  </si>
  <si>
    <t>Armonizacion</t>
  </si>
  <si>
    <t>Relator/Relatora</t>
  </si>
  <si>
    <t>1. Memoria de cada una de las 34 asambleas reallizada, con los insumos recolectados en territorio. 
2. Listados de asistencia.
3. Registro fotografico.</t>
  </si>
  <si>
    <t>Amazonas</t>
  </si>
  <si>
    <t>Antioquia</t>
  </si>
  <si>
    <t>Arauca</t>
  </si>
  <si>
    <t>Atlantico</t>
  </si>
  <si>
    <t>Bogota D.C.</t>
  </si>
  <si>
    <t>Bolivar</t>
  </si>
  <si>
    <t>Boyaca</t>
  </si>
  <si>
    <t>Caldas</t>
  </si>
  <si>
    <t>Caqueta</t>
  </si>
  <si>
    <t>Casanare</t>
  </si>
  <si>
    <t>Cauca</t>
  </si>
  <si>
    <t>Cesar</t>
  </si>
  <si>
    <t>Choco</t>
  </si>
  <si>
    <t>Cordoba</t>
  </si>
  <si>
    <t>Cundinamarca</t>
  </si>
  <si>
    <t>Guainia</t>
  </si>
  <si>
    <t>Guaviare</t>
  </si>
  <si>
    <t>Huila</t>
  </si>
  <si>
    <t>La Guajira</t>
  </si>
  <si>
    <t>Magdalena</t>
  </si>
  <si>
    <t>Meta</t>
  </si>
  <si>
    <t>Nariño</t>
  </si>
  <si>
    <t>Norte de Santander</t>
  </si>
  <si>
    <t>Putumayo</t>
  </si>
  <si>
    <t>Quindio</t>
  </si>
  <si>
    <t>Risaralda</t>
  </si>
  <si>
    <t>San Andres y Providencia</t>
  </si>
  <si>
    <t>Santander</t>
  </si>
  <si>
    <t>Sucre</t>
  </si>
  <si>
    <t>Tolima</t>
  </si>
  <si>
    <t>Valle del Cauca</t>
  </si>
  <si>
    <t>Vaupes</t>
  </si>
  <si>
    <t>Vichada</t>
  </si>
  <si>
    <t>San Basilio de Palenque</t>
  </si>
  <si>
    <t>1. Acta de sesion de preacuerdos entre la Comision V del ENCP y el MARD.
2. Registro fotografico.
3. Listados de asistencia.
4. Registro Filmico.</t>
  </si>
  <si>
    <t>Protocolizacion del ENCP 2. Registro fotografico. 3. Listados de asistencia. 4. Registro filmico.</t>
  </si>
  <si>
    <t>hospedaje, almentacion y transporte interno (Delegados)</t>
  </si>
  <si>
    <t>1. Hojas de vida de los Porfesionales.
2. Hojas de vida de los logisticos.
3. Contratos de los profesionales.
4. Contratos de los Logisticos.</t>
  </si>
  <si>
    <t>Equipo tecnico</t>
  </si>
  <si>
    <t>Equipo Logistico</t>
  </si>
  <si>
    <t>1. Acta de la sesion de plenaria de</t>
  </si>
  <si>
    <t>Transporte aèreo Ida y Regreso (50 Delegados/as). Se hace la equivalencia para un trayecto por persona</t>
  </si>
  <si>
    <t>Valor por día</t>
  </si>
  <si>
    <t>Valor por día por persona</t>
  </si>
  <si>
    <t>Un (1),  grupo folclórico local o de expresión cultural con el objetivo de brindar armonización y ambientación cultural durante el desarrollo del evento o actividad. Este servicio busca enriquecer la experiencia de los asistentes mediante la presentación de manifestaciones artísticas y culturales propias de la región o comunidad.</t>
  </si>
  <si>
    <t>MADR-CD-610-2023</t>
  </si>
  <si>
    <t>COMERCIAL PAPELERA</t>
  </si>
  <si>
    <t>PANAMERICANA</t>
  </si>
  <si>
    <t>https://www.panamericana.com.co/libreta-ejecutiva-negra-classic-didex-21bl-625650/p</t>
  </si>
  <si>
    <t>https://www.panamericana.com.co/libreta-ejecutiva-de-20-6-x-14-5-cm-flores-journal-677442/p</t>
  </si>
  <si>
    <t>https://www.panamericana.com.co/libreta-ejecutiva-de-20-x-14-cm-negra-664113/p</t>
  </si>
  <si>
    <t>https://www.panamericana.com.co/libreta-ejecutiva-multicolor-21-x-14-cm-650703/p</t>
  </si>
  <si>
    <t>https://www.panamericana.com.co/libreta-ejecutiva-14-x-20-cm-hojas-azul-647563/p</t>
  </si>
  <si>
    <t>PUBLICITAR</t>
  </si>
  <si>
    <t>https://publicitar.com.co/tienda/morrales/bolsos/bolsa-ecologica-recycled-rpet/?srsltid=AfmBOooxcgDa1C8CO8_HVKTay0CHFoF5ePjeIIJod-vCIZwaT_Dv_Rvc</t>
  </si>
  <si>
    <t>MERCADOLIBRE</t>
  </si>
  <si>
    <t>https://www.panamericana.com.co/boligrafo-faber-castell-poly-caja-x-12-unidades-626793/p</t>
  </si>
  <si>
    <t>https://www.panamericana.com.co/boligrafo-gel-0-7-mm-x-12-unidades-rojo-687346/p</t>
  </si>
  <si>
    <t>https://www.panamericana.com.co/boligrafo-pilot-x-4-unidades-tinta-roja-y-negra-660630/p</t>
  </si>
  <si>
    <t>https://articulo.mercadolibre.com.co/MCO-960519374-agenda-sketchbook-diario-cuaderno-bitacora-a5-pachacute-_JM?searchVariation=175243339200#polycard_client=search-nordic&amp;searchVariation=175243339200&amp;position=17&amp;search_layout=grid&amp;type=item&amp;tracking_id=ec5d20d4-4558-4da9-a3a3-9c134397b38d</t>
  </si>
  <si>
    <t>https://articulo.mercadolibre.com.co/MCO-804624307-libreta-agenda-bullet-journal-punteada-grande-_JM?searchVariation=179011042409#polycard_client=search-nordic&amp;searchVariation=179011042409&amp;position=46&amp;search_layout=grid&amp;type=item&amp;tracking_id=09313311-6daf-4211-83fb-6ad21120f325</t>
  </si>
  <si>
    <t>https://comercialpapelera.com.co/tienda/estudiantil/20821-esfero-kilometrico-100-st-negro-paper-mate-caja-x-12-und.html</t>
  </si>
  <si>
    <t>https://auros.com.co/producto/bolsas-de-tela-personalizadas/</t>
  </si>
  <si>
    <t>AUROS</t>
  </si>
  <si>
    <t>JOS IMPRESORES</t>
  </si>
  <si>
    <t>https://www.josimpresores.com/tienda/Impresi%C3%B3n-de-Planos-p303759296</t>
  </si>
  <si>
    <t>GRUPO GRAFCOL</t>
  </si>
  <si>
    <t>https://www.grupografcol.com/tienda/impresion/por-demanda/medio-pliego/</t>
  </si>
  <si>
    <t>https://www.josimpresores.com/tienda/Carn%C3%A9-p302284728</t>
  </si>
  <si>
    <t>https://www.josimpresores.com/tienda/Carta-Men%C3%BA-Plegable-p304507127</t>
  </si>
  <si>
    <t>https://papeleriaempresarial.com/?product=carnet-impreso</t>
  </si>
  <si>
    <t>https://articulo.mercadolibre.com.co/MCO-1396031647-bolsas-ecologicas-bogota-en-tela-algodon-34cm-x-34cm-_JM?searchVariation=181845855337#polycard_client=search-nordic&amp;searchVariation=181845855337&amp;position=9&amp;search_layout=grid&amp;type=item&amp;tracking_id=d1ad1b13-81f3-4491-86f1-f4a935ff06ee</t>
  </si>
  <si>
    <t>https://articulo.mercadolibre.com.co/MCO-2836586528-bolsa-ecologica-x10un-tela-algodon-35x40-pintar-estampar-bag-_JM?searchVariation=187285919201#polycard_client=search-nordic&amp;searchVariation=187285919201&amp;position=27&amp;search_layout=grid&amp;type=item&amp;tracking_id=d1ad1b13-81f3-4491-86f1-f4a935ff06ee</t>
  </si>
  <si>
    <t>PAPELERIA EMPRESARIAL</t>
  </si>
  <si>
    <t>Un (1), Sabedor o sabedora ancestral por Un (1), día encargado(a) de realizar el proceso de armonización espiritual y cultural al inicio y cierre de las jornadas de trabajo, con el propósito de propiciar un ambiente de respeto, equilibrio y conexión con los saberes propios del territorio.</t>
  </si>
  <si>
    <t>https://community.secop.gov.co/Public/Tendering/OpportunityDetail/Index?noticeUID=CO1.NTC.7051632&amp;isFromPublicArea=True&amp;isModal=true&amp;asPopupView=true</t>
  </si>
  <si>
    <t>IMCCA</t>
  </si>
  <si>
    <t>Instituto Municipal De Cultura Y Ciudadanía de Apartadó, Antioquia – IMCCA</t>
  </si>
  <si>
    <t>CI 001-2024 copia</t>
  </si>
  <si>
    <t>https://community.secop.gov.co/Public/Tendering/OpportunityDetail/Index?noticeUID=CO1.NTC.7053477&amp;isFromPublicArea=True&amp;isModal=true&amp;asPopupView=true</t>
  </si>
  <si>
    <t>FUNDACION SOÑANDO POR NUESTRO MUNDO</t>
  </si>
  <si>
    <t>MUNICIPIO DE SORA</t>
  </si>
  <si>
    <t xml:space="preserve">MS-SA-MC-010-2024 </t>
  </si>
  <si>
    <t>Presentación musical Grupo 5</t>
  </si>
  <si>
    <t>Presentación artística y cultural para actividad de cohesión grupal</t>
  </si>
  <si>
    <t>Arrendamiento de oficina en Cali.
Nota: La sede operativa del Proceso de Consulta Previa estará ubicada en la ciudad de Cali, ya que es uno de los lugares con mayor participación de comunidades Negras, Afrocolombianas, Raizales y Palenqueras.</t>
  </si>
  <si>
    <t>PCA</t>
  </si>
  <si>
    <t>MJD</t>
  </si>
  <si>
    <t>Hay un error en determinar un costo de salón ($5.000.000) para capacidades menores
Incluir nota explicativa de los diferentes precios para los salones</t>
  </si>
  <si>
    <t>Profesional con formación en derecho, ciencias sociales, políticas o áreas afines, con estudios de posgrado. Debe contar con una trayectoria mínima de dieciocho (18) meses en diseño, análisis o implementación de políticas públicas, especialmente en contextos relacionados con comunidades Negras, Afrocolombianas, Raizales y Palenqueras.</t>
  </si>
  <si>
    <t xml:space="preserve">Técnico/Tecnólogo en las áreas del conocimiento de Ingenierías y Afines, Ciencias de la Educación, Ciencias Sociales y Humanas, Telemática y afines, al menos seis (6) meses de experiencia en consulta previa con comunidades Negras, Afrocolombianas, Raizales y Palenqueras.        </t>
  </si>
  <si>
    <t xml:space="preserve">Profesional en ciencias sociales, jurídicas o humanas, con estudios de posgrado y mínimo Treinta y cinco (35) meses de experiencia en coordinación de procesos participativos o consulta previa con comunidades Negras, Afrocolombianas, Raizales y Palenqueras.        </t>
  </si>
  <si>
    <t xml:space="preserve">Profesional en contaduría pública o finanzas, con especialización y al menos veinticinco (25) meses de experiencia en administración presupuestal de procesos con comunidades Negras, Afrocolombianas, Raizales y Palenqueras.        </t>
  </si>
  <si>
    <t xml:space="preserve">Título de formación tecnológica o aprobación de tres años de educación superior en la modalidad de formación tecnológica o profesional o universitaria, con una experiencia mínima comprobada de seis (6) meses en funciones relacionadas con la gestión administrativa de proyectos o convenios interinstitucionales. Debe contar con conocimientos y habilidades demostradas en gestión documental conforme a la normatividad archivística vigente, así como en la organización y planeación de agendas institucionales, coordinación logística de actividades, y seguimiento a cronogramas de ejecución. Se valorará experiencia en el manejo de herramientas ofimáticas, plataformas colaborativas y sistemas de información administrativa con comunidades Negras, Afrocolombianas, Raizales y Palenqueras.        </t>
  </si>
  <si>
    <t>Profesional en economía, contaduría o administración, con mínimo dieciseis (16) meses de experiencia en seguimiento financiero y elaboración de informes en proyectos con comunidades Negras, Afrocolombianas, Raizales y Palenqueras.</t>
  </si>
  <si>
    <t xml:space="preserve">Profesional o estudiante avanzado en áreas administrativas, sociales o logísticas, con mínimo veinticuatro (24) meses de experiencia en apoyo a proyectos dirigidos a comunidades Negras, Afrocolombianas, Raizales y Palenqueras.        </t>
  </si>
  <si>
    <t xml:space="preserve">Profesional o estudiante avanzado en ingeniería de sistemas, estadística, informática o áreas afines, con mínimo seis (6) meses de experiencia en gestión de datos o sistematización en procesos sociales con comunidades Negras, Afrocolombianas, Raizales y Palenqueras.        </t>
  </si>
  <si>
    <t>Profesional Especializado Nivel II</t>
  </si>
  <si>
    <t>Profesional Especializado Nivel III</t>
  </si>
  <si>
    <t>Profesional Nivel I</t>
  </si>
  <si>
    <t>OK</t>
  </si>
  <si>
    <t>l</t>
  </si>
  <si>
    <t>SALON</t>
  </si>
  <si>
    <t>GRUPO</t>
  </si>
  <si>
    <t>PERSONAS</t>
  </si>
  <si>
    <t>Alquiler de UN (1), salón de eventos por Un (1), día de ocho (8) horas, con ayudas audiovisuales (video beam/proyector - sonido y micrófonos, silletería y mesas) 
Capacidad: 59 a 69 personas 79 (Riohacha)</t>
  </si>
  <si>
    <r>
      <t xml:space="preserve">Alquiler de Un (1), salón de eventos, por Un (1) día de ocho (8) horas, que cuente con ayudas audiovisuales (video beam o proyector, sistema de sonido, micrófonos, silletería , mesas </t>
    </r>
    <r>
      <rPr>
        <b/>
        <sz val="8"/>
        <color rgb="FFFF0000"/>
        <rFont val="Arial Narrow"/>
        <family val="2"/>
      </rPr>
      <t>y salon auxiliar para funcionarios o equipo)</t>
    </r>
    <r>
      <rPr>
        <sz val="8"/>
        <color theme="1"/>
        <rFont val="Arial Narrow"/>
        <family val="2"/>
      </rPr>
      <t>, en acomodación tipo aula, 
Capacidad: 74 a 89 personas</t>
    </r>
  </si>
  <si>
    <r>
      <t xml:space="preserve">Alquiler de Un (1), salón de eventos por ocho (8) horas, que cuente con ayudas audiovisuales (video beam o proyector, sistema de sonido, micrófonos, silletería , mesas </t>
    </r>
    <r>
      <rPr>
        <sz val="8"/>
        <color rgb="FFFF0000"/>
        <rFont val="Arial Narrow"/>
        <family val="2"/>
      </rPr>
      <t>y salon auxiliar para funcionarios o equipo</t>
    </r>
    <r>
      <rPr>
        <sz val="8"/>
        <color theme="1"/>
        <rFont val="Arial Narrow"/>
        <family val="2"/>
      </rPr>
      <t>), en acomodación tipo media aula,
Capacidad: 263 personas</t>
    </r>
  </si>
  <si>
    <t>Alquiler de Una (1), Estación de Coffee Break, por ocho (8) horas, que incluya Café ilimitado (tinto y/o americano), aromática y agua, galletas o pasabocas dulces/salados, vasos, servilletas, menaje desechable
Capacidad: 59, 69, 74 y 89, 79 personas.</t>
  </si>
  <si>
    <t>Alquiler de Una (1), Estación de Coffee Break, por ocho (8) horas, que incluya Café ilimitado (tinto y/o americano), aromática y agua, galletas o pasabocas dulces/salados, vasos, servilletas, menaje desechable
Capacidad: 109 personas</t>
  </si>
  <si>
    <r>
      <t xml:space="preserve">Un (1),  Tallerista ,encargado de socializar la Política Nacional de Drogas, "Sembrando Vida, Desterramos el Narcotráfico 2023-2033", quien desarrollará sesiones pedagógicas dirigidas a actores comunitarios y sociales del territorio, utilizando herramientas didácticas y metodologías participativas que permitan una apropiación significativa de los contenidos. El tallerista también será responsable de aplicar instrumentos de recolección de información previamente diseñados, con el objetivo de identificar percepciones, conocimientos y necesidades en torno a la Política Nacional de Drogas en el contexto local. 
</t>
    </r>
    <r>
      <rPr>
        <b/>
        <sz val="8"/>
        <color theme="1"/>
        <rFont val="Arial Narrow"/>
        <family val="2"/>
      </rPr>
      <t xml:space="preserve">
Nota: El tallerista debera cubrir dentro del costo del servicio los gastos necesario para el desarrollo de la actividad (Alimentacion, Transporte y hospedaje)</t>
    </r>
  </si>
  <si>
    <t>Promedio valor mensual de Referencia</t>
  </si>
  <si>
    <t>Equipo Técnico Administrativo PCA</t>
  </si>
  <si>
    <t>Promedio de Referencia</t>
  </si>
  <si>
    <t>PROPUESTA PCA
FASE DE PRECONSULTA (ACTIVIDAD No. 5), FASE DE CONSULTA PREVIA (FOROS DEPARTAMENTALES) Y FASE DE PROTOCOLIZACIÓN</t>
  </si>
  <si>
    <t>IPC a Junio 2025</t>
  </si>
  <si>
    <t>Incremento SMMLV 2025</t>
  </si>
  <si>
    <r>
      <t xml:space="preserve">Contratación de Una (1), persona encargada de realizar el registro fotográfico y/o audiovisual del evento.  La persona seleccionada deberá ser originaria del territorio, contar con una experiencia mínima de un (1) año en fotografía y video, conocer las dinámicas territoriales, y mantener una buena relación con las comunidades Negras, Afrocolombianas, Raizales y Palenqueras. </t>
    </r>
    <r>
      <rPr>
        <sz val="8"/>
        <rFont val="Arial Narrow"/>
        <family val="2"/>
      </rPr>
      <t>Nota: debera cubrir dentro del costo del servicio los gastos necesario para el desarrollo de la actividad (Alimentacion, Transporte y hospedaje)</t>
    </r>
    <r>
      <rPr>
        <sz val="8"/>
        <color theme="1"/>
        <rFont val="Arial Narrow"/>
        <family val="2"/>
      </rPr>
      <t xml:space="preserve">
Costo por un día</t>
    </r>
  </si>
  <si>
    <r>
      <rPr>
        <sz val="8"/>
        <rFont val="Arial Narrow"/>
        <family val="2"/>
      </rPr>
      <t xml:space="preserve">Contratación de Una (1), persona encargada de realizar el registro fotográfico y/o audiovisual del evento.  </t>
    </r>
    <r>
      <rPr>
        <i/>
        <sz val="8"/>
        <rFont val="Arial Narrow"/>
        <family val="2"/>
      </rPr>
      <t>La persona seleccionada deberá contar con un auxiliar para el cubrimiento del espacio con camara profesional para tomas principales de filmacion y tomas de apoyo adicionales</t>
    </r>
    <r>
      <rPr>
        <sz val="8"/>
        <rFont val="Arial Narrow"/>
        <family val="2"/>
      </rPr>
      <t xml:space="preserve">, estas personas deberan ser originarias del territorio, contar con una experiencia mínima de un (1) año en fotografía y video, conocer las dinámicas territoriales, y mantener una buena relación con las comunidades Negras, Afrocolombianas, Raizales y Palenqueras.
</t>
    </r>
    <r>
      <rPr>
        <i/>
        <sz val="8"/>
        <rFont val="Arial Narrow"/>
        <family val="2"/>
      </rPr>
      <t>Nota: debera cubrir dentro del costo del servicio los gastos necesario para el desarrollo de la actividad (Alimentacion, Transporte y hospedaje)</t>
    </r>
    <r>
      <rPr>
        <sz val="8"/>
        <rFont val="Arial Narrow"/>
        <family val="2"/>
      </rPr>
      <t xml:space="preserve">
Costo por un día</t>
    </r>
  </si>
  <si>
    <t>ASOCIACION DE 
MUNICIPIOS DEL URABA 
NORTE - ASOURANOR</t>
  </si>
  <si>
    <t>VALOR TOTAL DEL CONTRATO</t>
  </si>
  <si>
    <t>VARIACIÓN 1</t>
  </si>
  <si>
    <t>VARIACIÓN 2</t>
  </si>
  <si>
    <t>Porcentaje de los gastos administrativos sobre el total del contrato</t>
  </si>
  <si>
    <t>https://articulo.mercadolibre.com.co/MCO-1516338389-tote-bag-bolsa-ecologica-personalizable-logo-foto-imagen-_JM#polycard_client=search-nordic&amp;position=6&amp;search_layout=grid&amp;type=item&amp;tracking_id=ba7be6eb-3618-4a70-a9d8-ffca190a5942&amp;wid=MCO1516338389&amp;sid=search</t>
  </si>
  <si>
    <t>https://auros.com.co/producto/carnets-de-identificacion/?_gl=1*6psjuu*_up*MQ..*_gs*MQ..&amp;gclid=Cj0KCQjwss3DBhC3ARIsALdgYxOLYsfBJmYszy33Nk3NK9Cqv3d7CEGojgBxkCZU91hXxWz1hsJJsXwaAobaEALw_wcB</t>
  </si>
  <si>
    <t>https://www.josimpresores.com/tienda/Esferos-Personalizados-Sublimados-p303750468</t>
  </si>
  <si>
    <t>https://articulo.mercadolibre.com.co/MCO-595764556-pack-20-esferos-personalizados-_JM?searchVariation=69063453846#polycard_client=search-nordic&amp;searchVariation=69063453846&amp;position=33&amp;search_layout=grid&amp;type=item&amp;tracking_id=f74da532-3445-40bd-a084-1d4cc88003e7</t>
  </si>
  <si>
    <t>VETTA STORE</t>
  </si>
  <si>
    <t>https://vettastore.com/products/agenda-media-carta</t>
  </si>
  <si>
    <t>VETTA STORE, MERCADOLIBRE Y JOS IMPRESORES</t>
  </si>
  <si>
    <t>PANAMERICANA, AUROS, GRUPO GRAFCOL Y MERCADOLIBRE</t>
  </si>
  <si>
    <t>Sumatoria del precio de: i) una agenda tamaño A5 personalizada, ii) 2 esferos  personalizados, iii) Impresión plano medio pliego a color, iv) carné y v) Bolsa tela reutilizable personalizada</t>
  </si>
  <si>
    <t>Sumatoria del precio de: i) una agenda tamaño A5, ii) 2 esferos personalizados, iii) Impresión planos medio pliego, iv) carné y v) Bolsa tela reutilizable personalizada</t>
  </si>
  <si>
    <t>MJD-CD-1039-2023.</t>
  </si>
  <si>
    <t>AUTORIDADES TRADICIONALES INDIGENAS DE COLOMBIA</t>
  </si>
  <si>
    <t>https://community.secop.gov.co/Public/Tendering/OpportunityDetail/Index?noticeUID=CO1.NTC.4851374&amp;isFromPublicArea=True&amp;isModal=true&amp;asPopupView=true</t>
  </si>
  <si>
    <t>ITEM 2</t>
  </si>
  <si>
    <t>ACTIVIDAD - REUNION DE ALISTAMIENTO - BOGOTA CUNDINAMARCA</t>
  </si>
  <si>
    <t>No.</t>
  </si>
  <si>
    <t>PERFIL</t>
  </si>
  <si>
    <t>Cantidad Personas</t>
  </si>
  <si>
    <t>Cant</t>
  </si>
  <si>
    <t>VR.</t>
  </si>
  <si>
    <t>Alquiler de salón y equipos</t>
  </si>
  <si>
    <t>MJD-CD-892-2024 y MJD-CD-1039-2023</t>
  </si>
  <si>
    <t>CD-399-2024  y MJD-CD-1039-2023</t>
  </si>
  <si>
    <t>CD-399-2024: Salón de eventos, dotado con ayudas audiovisuales (video beam/proyector - sonido y microfonos) Pax 70 personas, en acomodación tipo aula. Se multiplica por dos para contemplar el alquiler de un salon de mayor capacidad. Al precio anterior se suma el costo de un salón para 18 personas del proceso MJD-CD-1039-2023</t>
  </si>
  <si>
    <t>MJD-CD-892-2024: Salòn de eventos Pax 70 (Ayudas audiovisuales y sonido) Sesion Comision VI - ENCP. Se multiplica por dos para contemplar el alquiler de un salon de mayor capacidad. Al precio anterior se suma el costo de un salón para 18 personas del proceso MJD-CD-1039-2023</t>
  </si>
  <si>
    <t>MJD-CD-892-2024 Salòn de eventos Pax 70 (Ayudas audiovisuales y sonido) Sesion Comision VI - ENCP. Al precio anterior se suma el costo de un salón para 18 personas del proceso MJD-CD-1039-2023</t>
  </si>
  <si>
    <t>MJD-CD-892-2024 Salón de eventos, dotado con ayudas audiovisuales (video beam/proyector - sonido y microfonos) Pax 70 personas, en acomodación tipo aula. Al precio anterior se suma el costo de un salón para 18 personas del proceso MJD-CD-1039-2023</t>
  </si>
  <si>
    <t xml:space="preserve">Estacion de Agua, Café y Aromatica. La actividad asociada a este costo está planteada para 55 personas. </t>
  </si>
  <si>
    <t>Estacion de Agua, Café y Aromatica. La actividad asociada a este costo está planteada para 55 personas. Se hace equivalencia para 263 personas</t>
  </si>
  <si>
    <t>Estacion de Agua, Café y Aromatica. La actividad asociada a este costo está planteada para 55 personas. Se hace equivalencia para 109 personas</t>
  </si>
  <si>
    <t>Porcentaje</t>
  </si>
  <si>
    <t>Porcentaje de los gastos administrativos sobre el total del contrato. Se descuentan costos asociados a bolsas a monto agotable de transporte, hospedaje y alimentación que se cargaron a este concepto</t>
  </si>
  <si>
    <t>MINISTERIO DE EDUCACION NACIONAL (MEN)</t>
  </si>
  <si>
    <t>CPSE-MEN-0928-2024</t>
  </si>
  <si>
    <t>ARIT</t>
  </si>
  <si>
    <t>https://community.secop.gov.co/Public/Tendering/OpportunityDetail/Index?noticeUID=CO1.NTC.6445490&amp;isFromPublicArea=True&amp;isModal=true&amp;asPopupView=true</t>
  </si>
  <si>
    <t>PORCENTAJE DE COSTOS ADMINISTRATIVOS CON RESPECTO AL VALOR TOTAL DEL CONVENIO</t>
  </si>
  <si>
    <t>PROPUESTA PRESENTADA POR PCA</t>
  </si>
  <si>
    <t>GASTOS INTERBANCARIOS</t>
  </si>
  <si>
    <t>ORGANIZACIÓN</t>
  </si>
  <si>
    <t>PRESUPUESTO</t>
  </si>
  <si>
    <t>NÚMERO DE PROCESO</t>
  </si>
  <si>
    <t>% COSTOS / GASTOS ADMINISTRATIVOS</t>
  </si>
  <si>
    <t>LINK PROCESO EN SECOP</t>
  </si>
  <si>
    <t>ICBF</t>
  </si>
  <si>
    <t>MINISTERIO DE SALUD</t>
  </si>
  <si>
    <t>CONSEJO REGIONAL INDÍGENA DEL CAUCA CRIC</t>
  </si>
  <si>
    <t>MSPS-CD-1406-2024</t>
  </si>
  <si>
    <t>https://community.secop.gov.co/Public/Tendering/OpportunityDetail/Index?noticeUID=CO1.NTC.6626664&amp;isFromPublicArea=True&amp;isModal=true&amp;asPopupView=true</t>
  </si>
  <si>
    <t>ASOCIACION POR LOS DERECHOS DE LAS COMUNIDADES NEGRAS DE LA ZONA SUR ORIENTAL</t>
  </si>
  <si>
    <t>MSPS-CD-1539-2024</t>
  </si>
  <si>
    <t>https://community.secop.gov.co/Public/Tendering/OpportunityDetail/Index?noticeUID=CO1.NTC.6840450&amp;isFromPublicArea=True&amp;isModal=true&amp;asPopupView=true</t>
  </si>
  <si>
    <t>PROMEDIO % COSTOS ADMINISTRATIVOS</t>
  </si>
  <si>
    <t xml:space="preserve"> PRESUPUESTO SESION DE COMISION SISTEMA DE SALUD PROPIO </t>
  </si>
  <si>
    <t xml:space="preserve"> CONCEPTO </t>
  </si>
  <si>
    <t xml:space="preserve"> VALOR UNIT </t>
  </si>
  <si>
    <t xml:space="preserve"> VALOR DIA </t>
  </si>
  <si>
    <t xml:space="preserve"> DIAS </t>
  </si>
  <si>
    <t xml:space="preserve"> VALOR TOTAL </t>
  </si>
  <si>
    <t xml:space="preserve"> GARANTÍA DE PARTICIPACIÓN( Se otorga 500.000 mil pesos cada dia por reconocimiento a cada uno de los delegados por concepto de permanencia, incluyendo el dia de llegada y el dia de salida.) </t>
  </si>
  <si>
    <t xml:space="preserve"> GARANTÍA DE MOVILIDAD </t>
  </si>
  <si>
    <t xml:space="preserve"> REGISTRO FOTOGRAFICO Y FILMICO </t>
  </si>
  <si>
    <t xml:space="preserve"> ALMUERZOS PARA EQUIPO TECNICO </t>
  </si>
  <si>
    <t xml:space="preserve"> CENAS PARA EQUIPO TECNICO </t>
  </si>
  <si>
    <t xml:space="preserve"> REFRIGERIOS AM y PM PARA LOS COMISIONADOS  </t>
  </si>
  <si>
    <t xml:space="preserve"> REFRIGERIOS AM y PM PARA EQUIPO TECNICO </t>
  </si>
  <si>
    <t xml:space="preserve"> ESTACION DE CAFETERIA E HIDRATACION PARA LOS ASISTENTES </t>
  </si>
  <si>
    <t>MATERIAL DIDACTICO Y PAPELERIA PARA EL DESARROLLO DE LA ACTIVIDAD (1.  material impresos de papeleria, marcadores, cartulina,escarapela para los asistentes, marcadores y papel periodico) cada asamblea utiliza los materiales acorde a la metodologia de consulta y concertacion.</t>
  </si>
  <si>
    <t xml:space="preserve"> KIT DE TRABAJO  PARA ASISTENTES ( material impreso para cada asistente. esfero, 1 agenda tamaño media carta, carpeta, hojas, escarapela para los asistentes) </t>
  </si>
  <si>
    <t xml:space="preserve">EVENTO DE APERTURA  son dos muestras culturales ancestrales  de las comunidades NARP con instrumentos propios de la cultura afrocolombiana  para la apertura evento.  en cada uno de los salones que se estara desarrollando la actividad                                                                                                                                                Cada muestra se comone de 8 parejas de baile con trajes tipicos del caribe y el pacifico afrocolombianos, la muestra tendra una duracion de 20 minutos con tres presentaciones de bailes tipicos afrooclombianos.                                                               Garantizando las costumbres y traciones de las comuniades NARP </t>
  </si>
  <si>
    <t>ALQUILER DE UN AUDITORIO, LUGAR A REALIZAR LA ACTIVIDAD con capacidad para 60 personas teniendo encuenta, este debera contar con Video proyector, sonido, equipo de computo, silleteria, mesas, internet, aire aconicionao con disponibilidad de ocho (8) horas diarias, para cuatro (4) de actividad.</t>
  </si>
  <si>
    <t>SESION DE COMISIÓN 1</t>
  </si>
  <si>
    <t>VALOR ACTUALIZADO</t>
  </si>
  <si>
    <t xml:space="preserve"> TRANSPORTE AEREO IDA Y VUELTA</t>
  </si>
  <si>
    <t>Valor trayecto</t>
  </si>
  <si>
    <t>Se toma el valor del ítem "TRANSPORTE AEREO IDA Y VUELTA" de los costos presentados en el evento Sesión Comisión 1. Se hace el cálculo para encontrar el valor de un trayecto por persona</t>
  </si>
  <si>
    <t>Un (1),Transporte multimodal de ida y regreso para un total de cuarenta y ocho (48) personas, integrantes delegados del ENCP, desde el punto de origen desde el área rural o urbana hasta la cabecera municipal  del aereopuerto mas cercano ida y regreso. (De acuerdo a la tabla remitida por el ministerio del interior)</t>
  </si>
  <si>
    <t>Un (1), Transporte multimodal de ida y regreso (Terrestre, Aereo y Fluvial para el caso que aplique) para un total de ochenta (80) personas del territorio participantes de comunidades NARP, desde el punto de origen hasta el lugar de desarrollo de las actividades programadas.
Nota: se debe tomar en cuenta que estos desplazamientos territoriales se causan desde las diferente condiciones geograficas y de accesibilidad para llegar al lugar convocado, en la mayoria de los casos son de dificil acceso o distancias prolongadas (Zonas Rurales) de los diferentes municipios que requieren de uno o varios medios de transporte (Fluviales, terretres y/o Aereos ) por participantes y en otros casos son de facil acceso y distancias cortas (Zonas Urbanas), lo que constituye  una variacion significativa en los valores de dichos transporte por participantes.</t>
  </si>
  <si>
    <t>Un (1), Transporte multimodal de ida y regreso (Terrestre, Aereo y Fluvial para el caso que aplique) para un total de setenta  (70) personas del territorio participantes de comunidades NARP, desde el punto de origen hasta el lugar de desarrollo de las actividades programadas.
Nota: se debe tomar en cuenta que estos desplazamientos territoriales se causan desde las diferente condiciones geograficas y de accesibilidad para llegar al lugar convocado, en la mayoria de los casos son de dificil acceso o distancias prolongadas (Zonas Rurales) de los diferentes municipios que requieren de uno o varios medios de transporte (Fluviales, terretres y/o Aereos ) por participantes y en otros casos son de facil acceso y distancias cortas (Zonas Urbanas), lo que constituye  una variacion significativa en los valores de dichos transporte por participantes.</t>
  </si>
  <si>
    <t>FASE DE CONSULTA PREVIA. Foros Departamentales. Actividad 10. Foro Cauca</t>
  </si>
  <si>
    <t>FASE DE CONSULTA PREVIA. Foros Departamentales. Actividad 9. Foro Putumayo</t>
  </si>
  <si>
    <t>FASE DE CONSULTA PREVIA. Foros Departamentales. Actividad 8. Foro Norte de Santander</t>
  </si>
  <si>
    <t>FASE DE CONSULTA PREVIA. Foros Departamentales. Actividad 11. Foro Nariño</t>
  </si>
  <si>
    <t>Un (1),Transporte multimodal de ida y regreso para un total de cuarenta y ocho (48) personas, integrantes delegados del ENCP, desde el punto de origen desde el área rural o urbana hasta la cabecera municipal del aeropuerto más cercano  ida y regreso.  (de acuerdo a tabla remitida por el ministerio del interior)</t>
  </si>
  <si>
    <t>Un (1),Transporte multimodal de ida y regreso para un total de doscientos treinta y siete (237) personas, integrantes delegados del ENCP, desde el punto de origen desde el área rural o urbana hasta la cabecera municipal del aeropuerto más cercano  ida y regreso.  (de acuerdo a tabla remitida por el ministerio del interior)</t>
  </si>
  <si>
    <t>FASE DE PROTOCOLIZACIÓN. Actividad 46</t>
  </si>
  <si>
    <t>FASE DE PROTOCOLIZACIÓN. Actividad 47</t>
  </si>
  <si>
    <t>FASE DE PRECONSULTA. Actividad 5. Lugar: Cali</t>
  </si>
  <si>
    <t>Valor Global</t>
  </si>
  <si>
    <t>CD-1869-2024</t>
  </si>
  <si>
    <t>https://community.secop.gov.co/Public/Tendering/OpportunityDetail/Index?noticeUID=CO1.NTC.6533500&amp;isFromPublicArea=True&amp;isModal=true&amp;asPopupView=true</t>
  </si>
  <si>
    <t>EJECUCIÓN DE ACTIVIDADES - Encuentros Locales</t>
  </si>
  <si>
    <t>EJECUCIÓN DE ACTIVIDADES - 
Primer Encuentro Local Amazonas</t>
  </si>
  <si>
    <t>VALOR UNIT.</t>
  </si>
  <si>
    <t xml:space="preserve">Transporte Multimodal - Amazonas </t>
  </si>
  <si>
    <t>Apoyo para traslado de los 35 participantes del departamento de Amazonas desde su territorio de origen hasta el lugar del encuentro (Fluvial, Terrestre y Aéreo).</t>
  </si>
  <si>
    <t>PROMEDIO TRANSPORTE MULTIMODAL</t>
  </si>
  <si>
    <t>EJECUCIÓN DE ACTIVIDADES - 
Primer Encuentro Local Caquetá</t>
  </si>
  <si>
    <t xml:space="preserve">Transporte Multimodal - Caquetá </t>
  </si>
  <si>
    <t>Apoyo para traslado de los 35 participantes del departamento de Caquetá desde su territorio de origen hasta el lugar del encuentro (Fluvial, Terrestre y Aéreo).</t>
  </si>
  <si>
    <t>EJECUCIÓN DE ACTIVIDADES - 
Primer Encuentro Local Guainía</t>
  </si>
  <si>
    <t xml:space="preserve">Transporte Multimodal - Guainía </t>
  </si>
  <si>
    <t>Apoyo para traslado de los 35 participantes del departamento de Guainía desde su territorio de origen hasta el lugar del encuentro (Fluvial, Terrestre y Aéreo).</t>
  </si>
  <si>
    <t>EJECUCIÓN DE ACTIVIDADES - 
Primer Encuentro Local Guaviare</t>
  </si>
  <si>
    <t xml:space="preserve">Transporte Multimodal - Guaviare </t>
  </si>
  <si>
    <t>Apoyo para traslado de los 35 participantes del departamento de Guaviare desde su territorio de origen hasta el lugar del encuentro (Fluvial, Terrestre y Aéreo).</t>
  </si>
  <si>
    <t>EJECUCIÓN DE ACTIVIDADES - 
Primer Encuentro Local Putumayo</t>
  </si>
  <si>
    <t xml:space="preserve">Transporte Multimodal - Putumayo </t>
  </si>
  <si>
    <t>Apoyo para traslado de los 35 participantes del departamento de Putumayo desde su territorio de origen hasta el lugar del encuentro (Fluvial, Terrestre y Aéreo).</t>
  </si>
  <si>
    <t>EJECUCIÓN DE ACTIVIDADES - 
Primer Encuentro Local Vaupés</t>
  </si>
  <si>
    <t xml:space="preserve">Transporte Multimodal - Vaupés </t>
  </si>
  <si>
    <t>Apoyo para traslado de los 35 participantes del departamento de Vaupés desde su territorio de origen hasta el lugar del encuentro (Fluvial, Terrestre y Aéreo).</t>
  </si>
  <si>
    <t>Ministerio de justicia</t>
  </si>
  <si>
    <t>MJD-CD-1042-2023 OPIAC</t>
  </si>
  <si>
    <t>https://community.secop.gov.co/Public/Tendering/OpportunityDetail/Index?noticeUID=CO1.NTC.4897887&amp;isFromPublicArea=True&amp;isModal=true&amp;asPopupView=true</t>
  </si>
  <si>
    <t>Minga de Pensamiento: Departamento de Guaviare</t>
  </si>
  <si>
    <t>Número de días</t>
  </si>
  <si>
    <t>Vr Unidad</t>
  </si>
  <si>
    <t>Vr Total</t>
  </si>
  <si>
    <t>Transporte multimodal (Terrestre, aéreo y fluvial),</t>
  </si>
  <si>
    <t>Transporte de San José a Miraflores</t>
  </si>
  <si>
    <t>Minga de Pensamiento: Departamento de Guainía</t>
  </si>
  <si>
    <t>Transporte multimodal (Terrestre, aereo y fluvial),</t>
  </si>
  <si>
    <t>Minga de Pensamiento: Departamento de Putumayo</t>
  </si>
  <si>
    <t>Transporte multimodal (Terrestre, aéreo y fluvial), Participantes (Puerto Asís, La Hormiga y Orito),</t>
  </si>
  <si>
    <t>Minga de Pensamiento: Departamento de Vaupés</t>
  </si>
  <si>
    <t>Transporte multimodal (de Carurú a Mitú).</t>
  </si>
  <si>
    <t>Transporte multimodal (Mitú).</t>
  </si>
  <si>
    <t>Minga de Pensamiento: Departamento de Amazonas</t>
  </si>
  <si>
    <t>Transporte multimodal (Terrestre. aereo y fluvial).</t>
  </si>
  <si>
    <t>Minga de Pensamiento: Departamento de Caquetá</t>
  </si>
  <si>
    <t>Transporte aéreo de Bogotá a San José</t>
  </si>
  <si>
    <t>San José a Miraflores - vuelo chárter</t>
  </si>
  <si>
    <t>$ 4.000.000.</t>
  </si>
  <si>
    <t>Transporte terrestre</t>
  </si>
  <si>
    <t>Tiquetes aéreos (ida y regreso a Puerto Inírida)</t>
  </si>
  <si>
    <t>Tiquetes aéreos (ida y regreso a Puerto Leguizamo)</t>
  </si>
  <si>
    <t>Tiquetes aereos (ida y regreso a Mitú)</t>
  </si>
  <si>
    <t>$ 6.400.000.00</t>
  </si>
  <si>
    <t>$ 1.380.000.00</t>
  </si>
  <si>
    <t>Tiquetes aereos (ida y regreso a Leticia)</t>
  </si>
  <si>
    <t>Tiquetes aereos (ida y regreso a Florencia)</t>
  </si>
  <si>
    <t>Transporte Aéreo delegados Indígenas</t>
  </si>
  <si>
    <t>Leticia-Bogotá - Leticia</t>
  </si>
  <si>
    <t>Caruru-Bogotá - Caruru</t>
  </si>
  <si>
    <t>MINGA DE PENSAMIENTO</t>
  </si>
  <si>
    <t>TRANSPORTE INTERNO MULTIMIDAL DELEGADOS</t>
  </si>
  <si>
    <t>Tiempo contrato</t>
  </si>
  <si>
    <t>DELEGACION VAUPES:</t>
  </si>
  <si>
    <t>DELEGACION GUAINIA</t>
  </si>
  <si>
    <t>DELEGACION GUAVIARE</t>
  </si>
  <si>
    <t>DELEGACION PUTUMAYO</t>
  </si>
  <si>
    <t>DELEGACION CAQUETA</t>
  </si>
  <si>
    <t>DELEGACION AMAZONAS</t>
  </si>
  <si>
    <t>Mitú-Bogotá - Mitu</t>
  </si>
  <si>
    <t>Inírida- Bogotá - Inirida</t>
  </si>
  <si>
    <t>Florencia-Bogotá - Florencia</t>
  </si>
  <si>
    <t>Puerto Asís- Bogotá - Puerto Asís</t>
  </si>
  <si>
    <t>Puerto Leguizamo- Bogotá - Puerto Leguizamo</t>
  </si>
  <si>
    <t>Villa Garzón- Bogotá - Villa Garzón</t>
  </si>
  <si>
    <t>Miraflores- San José-Bogotá - San José - Miraflores</t>
  </si>
  <si>
    <t>San José-Bogotá - San José</t>
  </si>
  <si>
    <t>Se toma el promedio del transporte multimodal (Fluvial, Terrestre y Aéreo), establecido para los encuentros locales, que está definido de manera unitaria para el traslado de 35 participantes. Se hace la equivalencia para encontrar el valor global para 48 personas</t>
  </si>
  <si>
    <t>Se toma el promedio del transporte multimodal (Fluvial, Terrestre y Aéreo), establecido para los encuentros locales, que está definido de manera unitaria para el traslado de 35 participantes. Se hace la equivalencia para encontrar el valor global para 80 personas</t>
  </si>
  <si>
    <t>Se toma el promedio del transporte multimodal (Fluvial, Terrestre y Aéreo), establecido para los encuentros locales, que está definido de manera unitaria para el traslado de 35 participantes. Se hace la equivalencia para encontrar el valor global para 70 personas</t>
  </si>
  <si>
    <t>Se toma el promedio del transporte multimodal (Fluvial, Terrestre y Aéreo), establecido para los encuentros locales, que está definido de manera unitaria para el traslado de 35 participantes. Se hace la equivalencia para encontrar el valor global para 237 personas</t>
  </si>
  <si>
    <t>CANT</t>
  </si>
  <si>
    <t>No. Dias</t>
  </si>
  <si>
    <t>TOTAL CON IVA</t>
  </si>
  <si>
    <t xml:space="preserve">ENCUENTRO RAIZAL SAN ANDRES - 30 ASISTENTES </t>
  </si>
  <si>
    <t>1.1</t>
  </si>
  <si>
    <t>GARANTIA DE PARTICIPACIÓN  se entregara un reconocimiento a asistentes para que puedean pernoctar durante  las dos noches de la actividad, lo haran acorde a sus costumbres y tradiciones en el espacio de mayor comodida para ellos. lo anterior teniendo en cuenta la modalida de convocatoria para las comisiones y el espacio.( 2 noches).</t>
  </si>
  <si>
    <t>ASISTENTES</t>
  </si>
  <si>
    <t>1.2</t>
  </si>
  <si>
    <t>GARANTIA DE TRANSPORTE (A todo costo desde el lugar de residencia al lugar donde se va a realizar la asamblea. Incluye el taxi y demas medios de transportes de los asistentes desde la residencia al terminal y viceversa. ) (ida y regreso)</t>
  </si>
  <si>
    <t>1.3</t>
  </si>
  <si>
    <t>DESAYUNO:  Incluye, una porción de fruta, huevos al gusto o porcion de higado, arroz, patacon o arepa, sopa de pescado y una bebida caliente  o fría (café, chocolate o jugo natural). Seran los desayunos del dia de la actividad</t>
  </si>
  <si>
    <t>1.4</t>
  </si>
  <si>
    <t>ALIMENTACION – ALMUERZO: para el almuerzo presentamos dos menús
Menu 1: Se compone de una bebida fría (jugo natural) porción de arroz, patacón, pescado frito o sudado, ensalada, y sopa. 
Menu 2: se compone de una bebida fría (jugo natural) y arroz mixto o arrecho, este arroz lleva verduras, carne, pollo, chorizo, salchicha, costilla. Acompañado con patacon o papa a la francesa, ensalada y sopa.
Teniendo en cuenta las costumbres y tradiciones gastronómicas de las comunidades NARP                                                                  
solo seran los almuerzos del dia de la actividad</t>
  </si>
  <si>
    <t>1.5</t>
  </si>
  <si>
    <t xml:space="preserve">COMPLEMENTO NUTRICIONAL - REFRIGERIOS.  El refrigerio que ofrecemos es el siguiente: 
Refrigerio 1. Alimento de sal, jugo natural y una fruta.
Refrigerio 2. Porción de fruta con helado y galleta.                                                               Teniendo en cuenta las costumbres y tradiciones gastronómicas de las comunidades NARP. seran los regrigerios de la mañana y la tarde del dia de la actividad
</t>
  </si>
  <si>
    <t xml:space="preserve">ALIMENTACION - CENA                   
Menu: se compone de una bebida fría (jugo natural), porción de arroz, carne o pollo al gusto, ensalada, patacon y sopa. 
Teniendo en cuenta las costumbres y tradiciones gastronómicas de las comunidades NARP       </t>
  </si>
  <si>
    <t>ALQUILER DE UN AUDITORIO, LUGAR A REALIZAR LA ACTIVIDAD con capacidad para 50 personas teniendo encuenta, este debera contar con Video proyector, sonido, equipo de computo, silleteria, mesas, internet, aire aconicionao con disponibilidad de ocho (8) horas diarias, para dos (2) de actividad.</t>
  </si>
  <si>
    <t>DIAS</t>
  </si>
  <si>
    <t>ESTACION DE CAFÉ E HIDRATACION DURANTE EL DESARROLLO DEL EVENTO.Estacion de bebidas calientes y bebidas frias (Tinto y agua aromatica y agua potable  fria). Se instalan varias zonas e café para los asistenes.</t>
  </si>
  <si>
    <t>KIT DE TRABAJO  PARA ASISTENTES ( material impreso para cada asistnte. esfero, 1 agenda tamaño media carta, carpeta, hojas, escarapela para los asistentes)</t>
  </si>
  <si>
    <t>1.11</t>
  </si>
  <si>
    <t xml:space="preserve">PERSONAL DE APOYO - COORDINAR. es el Coordinador de la asamblea, con perfil de Sabedor ancestral y tradicional de las comunidades negras, con experiencia en parteria, secretos, bebidas ancestrales y demas costrumbres y tradiciones de las comunidades NARP en el marco de la salud Ancestral.  o un profesional  en ciencias sociales, administivas, contables y economicas, de la salud, ingenierias, ciencias basicas y licenciaturas. esta persona desarrolla actiividades previa a la realizacion del kilombo y posterior a el desarrollo del mismo. </t>
  </si>
  <si>
    <t>1.12</t>
  </si>
  <si>
    <t>APOYO LOGISTICO POR DEPARTAMENTO. Perfil Bachiller. (apoyan con la relatoria, actas y actividades de apoyo de la asamblea o kilombo)</t>
  </si>
  <si>
    <t>Bachilleres</t>
  </si>
  <si>
    <t>1.13</t>
  </si>
  <si>
    <t xml:space="preserve">PERSONAL DE APOYO TERRITORIAL - CAPACITADORES en enfoques de salud ancestral y tradicional en los territorios de comunidades Negras, Afrocolombianas, Raizales y Palenqueras, esta capacitacion se realizara durante el inicio de la consulta tendra una duracion de 4 horas.  Estas capacitaciones se realizan para dar a conocer a las comundiades lo concerniente con el tema a consultar o concertar, busca que la consulta sea informada. </t>
  </si>
  <si>
    <t>1.14</t>
  </si>
  <si>
    <t xml:space="preserve">PERSONAL DE APOYO TERRITORIOAL - DINAIZADORES POR DEPARTAMENTO. perfil:  Sabedores ancestrales y tradicionales de las comunidades negras, con experiencia en parteria, secretos, bebidas ancestrales y demas costrumbres y tradiciones de las comunidades NARP en el marco de la salud Ancestral. realizan actividades de apoyo durante el desarrollo del kilombo en las distintas mesas de trabajo durante la socializacion del proyecto, presentacion de propuestas y consolidacion de la informacion. sus actividades se desarrollan, antes, durante y despues del desarrollo del kilombo. los dianaminadores. son encargado de realizar acompañamiento a cada una de las meas de la reunion, explicar sobre los temas en los que se presenten dudas en la asmblea o kilombo, presentar la metodologia que se va a desarrollar y hacer seguimiento a la misma durante la asamblea. </t>
  </si>
  <si>
    <t>1.15</t>
  </si>
  <si>
    <t>MUESTRAS</t>
  </si>
  <si>
    <t>Días</t>
  </si>
  <si>
    <t>Se toman los valores unitarios de Hospedaje, alimentación y transporte interno y se calcula el valor total del costo, teniendo en cuenta la descripción relacionada: Se toman 5 días de hospedaje, 5 desayunos, 2 almuerzos, 5 cenas, y transporte interno para 5 días. Lo anterior para 48 personas</t>
  </si>
  <si>
    <t>Se toman los valores unitarios de Hospedaje, alimentación y transporte interno y se calcula el valor total del costo, teniendo en cuenta la descripción relacionada: Se toman 5 días de hospedaje, 5 desayunos, 2 almuerzos, 5 cenas, y transporte interno para 5 días. Lo anterior para 20 personas</t>
  </si>
  <si>
    <t>FASE DE PRECONSULTA. Actividad 5</t>
  </si>
  <si>
    <t>Tres (3),  Hospedaje con acomodación individual, Transporte terrestre municipal interno y Alimentacion (Desayunos, Almuerzos y Cenas) para un (1) dia de llegada, un (1) dia de salida y (Desayunos y Cenas) para un (1) dia de sesion para Tres (3) Equipo Administrativo PCA, el hospedaje deberá garantizar condiciones de descanso digno, comodidad y seguridad durante su participación en las actividades programadas.</t>
  </si>
  <si>
    <t>FASE DE CONSULTA PREVIA. Actividades 8 a 45</t>
  </si>
  <si>
    <t>Se toman los valores unitarios de Hospedaje, alimentación y transporte interno y se calcula el valor total del costo, teniendo en cuenta la descripción relacionada: Se toman 3 días de hospedaje, 3 desayunos, 2 almuerzos, 3 cenas, y transporte interno para 3 días. Lo anterior para 3 personas</t>
  </si>
  <si>
    <t>ACTUALIZADO Unitario por día</t>
  </si>
  <si>
    <t>Hospedaje, Alimentación y Transporte interno (Delegados/as). Lo anterior para 5 días por 48 personas</t>
  </si>
  <si>
    <t>Hospedaje, Alimentación y Transporte interno (Delegados/as). Lo anterior para 5 días por 20 personas</t>
  </si>
  <si>
    <t>Hospedaje, Alimentación y Transporte interno (Delegados/as). Lo anterior para 3 días por 3 personas</t>
  </si>
  <si>
    <t xml:space="preserve">Cuatro (4), días de Hospedaje con acomodación individual, Transporte terrestre municipal interno y Alimentacion (Desayunos, Almuerzos y Cenas) para un (1) dia de llegada, un (1) dia de salida y (Desayunos y Cenas) para los dos (2) dias de sesion para cinco (5) integrantes del equipo asesor de expertos, cinco (5) integrantes del equipo asesor técnico del ENCP y diez (10) integrantes del equipo administrativo del PCA, para un total de veinte (20) personas.  deberá respetarse la decisión individual respecto al lugar donde desee hospedarse, Alimentarse y Transportarse garantizando un entorno adecuado para su comodidad y seguridad </t>
  </si>
  <si>
    <t>Se toman los valores unitarios de Hospedaje, alimentación y transporte interno y se calcula el valor total del costo, teniendo en cuenta la descripción relacionada: Se toman 4 días de hospedaje, 4 desayunos, 2 almuerzos, 4 cenas, y transporte interno para 4 días. Lo anterior para 20 personas</t>
  </si>
  <si>
    <t>Hospedaje, Alimentación y Transporte interno (Delegados/as). Lo anterior para 4 días por 20 personas</t>
  </si>
  <si>
    <t>FASE DE PROTOCOLIZACION. Actividad 47</t>
  </si>
  <si>
    <t>FASE DE PROTOCOLIZACION. Actividad 46</t>
  </si>
  <si>
    <t xml:space="preserve">Cinco (5), días de Hospedaje con acomodación individual, Transporte terrestre municipal interno y Alimentacion (Desayunos, Almuerzos y Cenas) para un (1) dia de llegada, un (1) dia de salida y (Desayunos y Cenas) para los tres (3) dias de sesion para cinco (5) integrantes del equipo asesor de expertos, cinco (5) integrantes del equipo asesor técnico del ENCP y diez (10) integrantes del equipo administrativo del PCA, para un total de veinte (20) personas.  deberá respetarse la decisión individual respecto al lugar donde desee hospedarse, Alimentarse y Transportarse garantizando un entorno adecuado para su comodidad y seguridad </t>
  </si>
  <si>
    <t>FASE DE CONSULTA PREVIA. Actividades 12, 13, 14, 17, 18, 19, 20, 21, 23, 25, 26, 27, 28, 29, 31, 32,  35, 36, 37, 38, 39, 40, 42, 44, 45 ASAMBLEAS TERRITORIRALES</t>
  </si>
  <si>
    <t xml:space="preserve">Tres (3), día de Hospedaje con acomodación individual, Transporte terrestre municipal interno y Alimentacion (Desayunos, Almuerzos y Cenas) para un (1) dia de llegada, un (1) dia de salida y (Desayunos y Cenas) para un (1) dia de sesion,  para cincuenta(50) personas de las comunidades Negras, Afrocolombianas, Raizales y Palenqueras del territorio ,  deberá respetarse la decisión individual de cada persona respecto al lugar donde desee hospedarse, Alimentarse y Transportarse garantizando un entorno adecuado para su comodidad y seguridad. </t>
  </si>
  <si>
    <t>Se toman los valores unitarios de Hospedaje, alimentación y transporte interno y se calcula el valor total del costo, teniendo en cuenta la descripción relacionada: Se toman 3 días de hospedaje, 3 desayunos, 2 almuerzos, 3 cenas, y transporte interno para 3 días. Lo anterior para 50 personas</t>
  </si>
  <si>
    <t>FASE DE CONSULTA PREVIA. Actividades 15, 16 y 41 Aasamblea departamental</t>
  </si>
  <si>
    <t xml:space="preserve">Tres (3), día de Hospedaje con acomodación individual, Transporte terrestre municipal interno y Alimentacion (Desayunos, Almuerzos y Cenas) para un (1) dia de llegada, un (1) dia de salida y (Desayunos y Cenas) para un (1) dia de sesion,  para sesenta (60) personas de las comunidades Negras, Afrocolombianas, Raizales y Palenqueras del territorio ,  deberá respetarse la decisión individual de cada persona respecto al lugar donde desee hospedarse, Alimentarse y Transportarse garantizando un entorno adecuado para su comodidad y seguridad. </t>
  </si>
  <si>
    <t>Se toman los valores unitarios de Hospedaje, alimentación y transporte interno y se calcula el valor total del costo, teniendo en cuenta la descripción relacionada: Se toman 3 días de hospedaje, 3 desayunos, 2 almuerzos, 3 cenas, y transporte interno para 3 días. Lo anterior para 60 personas</t>
  </si>
  <si>
    <t>Hospedaje, Alimentación y Transporte interno (Delegados/as). Lo anterior para 3 días por 60 personas</t>
  </si>
  <si>
    <t>Hospedaje, Alimentación y Transporte interno (Delegados/as). Lo anterior para 3 días por 50 personas</t>
  </si>
  <si>
    <t xml:space="preserve">Tres (3), día de Hospedaje con acomodación individual, Transporte terrestre municipal interno y Alimentacion (Desayunos, Almuerzos y Cenas) para un (1) dia de llegada, un (1) dia de salida y (Desayunos y Cenas) para un (1) dia de sesion,  para setenta(70) personas de las comunidades Negras, Afrocolombianas, Raizales y Palenqueras del territorio ,  deberá respetarse la decisión individual de cada persona respecto al lugar donde desee hospedarse, Alimentarse y Transportarse garantizando un entorno adecuado para su comodidad y seguridad. </t>
  </si>
  <si>
    <t>FASE DE CONSULTA PREVIA. Actividades 9 y 30 Aasamblea departamental</t>
  </si>
  <si>
    <t>Se toman los valores unitarios de Hospedaje, alimentación y transporte interno y se calcula el valor total del costo, teniendo en cuenta la descripción relacionada: Se toman 3 días de hospedaje, 3 desayunos, 2 almuerzos, 3 cenas, y transporte interno para 3 días. Lo anterior para 70 personas</t>
  </si>
  <si>
    <t>Hospedaje, Alimentación y Transporte interno (Delegados/as). Lo anterior para 3 días por 70 personas</t>
  </si>
  <si>
    <t xml:space="preserve">Tres (3), día de Hospedaje con acomodación individual, Transporte terrestre municipal interno y Alimentacion (Desayunos, Almuerzos y Cenas) para un (1) dia de llegada, un (1) dia de salida y (Desayunos y Cenas) para un (1) dia de sesion,  para ochenta (80) personas de las comunidades Negras, Afrocolombianas, Raizales y Palenqueras del territorio ,  deberá respetarse la decisión individual de cada persona respecto al lugar donde desee hospedarse, Alimentarse y Transportarse garantizando un entorno adecuado para su comodidad y seguridad. </t>
  </si>
  <si>
    <t xml:space="preserve">Cinco (5), días de Hospedaje con acomodación individual, Transporte terrestre municipal interno y Alimentacion (Desayunos, Almuerzos y Cenas) para un (1) dia de llegada, un (1) dia de salida y (Desayunos y Cenas) para los tres (3) dias de sesion, para los y las  delegado(a) del ENCP para un total de cuarenta y ocho (48) ,  deberá respetarse la decisión individual de cada delegado(a) respecto al lugar donde desee hospedarse, Alimentarse y Transportarse garantizando un entorno adecuado para su comodidad y seguridad </t>
  </si>
  <si>
    <t>FASE DE CONSULTA PREVIA. Actividades 8, 10 y 11  Aasamblea departamental</t>
  </si>
  <si>
    <t>Hospedaje, Alimentación y Transporte interno (Delegados/as). Lo anterior para 3 días por 80 personas</t>
  </si>
  <si>
    <t>FASE DE CONSULTA PREVIA. Actividades 22, Cauca, 24 Chocó, 33 Nariño,  34. Norte dde Santander 43 Valle del Cauca Aasamblea departamental</t>
  </si>
  <si>
    <t xml:space="preserve">Cuatro (4), días de Hospedaje con acomodación individual, Transporte terrestre municipal interno y Alimentacion (Desayunos, Almuerzos y Cenas) para un (1) dia de llegada, un (1) dia de salida y (Desayunos y Cenas) para los dos (2) dias de sesion, para los y las  delegado(a) del ENCP para un total de doscientos treinta y siete (237) ,  deberá respetarse la decisión individual de cada delegado(a) respecto al lugar donde desee hospedarse, Alimentarse y Transportarse garantizando un entorno adecuado para su comodidad y seguridad </t>
  </si>
  <si>
    <t>Se toman los valores unitarios de Hospedaje, alimentación y transporte interno y se calcula el valor total del costo, teniendo en cuenta la descripción relacionada: Se toman 4 días de hospedaje, 4 desayunos, 2 almuerzos, 4 cenas, y transporte interno para 4 días. Lo anterior para 237 personas</t>
  </si>
  <si>
    <t>Hospedaje, Alimentación y Transporte interno (Delegados/as). Lo anterior para 4 días por 237 personas</t>
  </si>
  <si>
    <t>ICBF-CD-196166-2024-SEN</t>
  </si>
  <si>
    <t>Universidad Nacional de Colombis</t>
  </si>
  <si>
    <t>https://community.secop.gov.co/Public/Tendering/OpportunityDetail/Index?noticeUID=CO1.NTC.6549237&amp;isFromPublicArea=True&amp;isModal=true&amp;asPopupView=true</t>
  </si>
  <si>
    <t>Precio unitario</t>
  </si>
  <si>
    <t>Capacitación No. 9 - Inteligencia Emocional (Manejo de Crisis y Relaciones Interpersonales). Modalidad Presencial. 1 sesión de 8 horas para 30 participantes</t>
  </si>
  <si>
    <t>Precio actualizado</t>
  </si>
  <si>
    <t>Precio por hora</t>
  </si>
  <si>
    <t>Capacitación No. 9 - Inteligencia Emocional (Manejo de Crisis y Relaciones Interpersonales). Modalidad Presencial. 1 sesión de 8 horas para 30 participantes. Se hace la equivalencia para 2 horas de duración</t>
  </si>
  <si>
    <r>
      <rPr>
        <sz val="7"/>
        <color theme="1"/>
        <rFont val="Calibri"/>
        <family val="2"/>
      </rPr>
      <t xml:space="preserve">CONVENIO INTERADMINISTRATIVO
MINISTERIO DE JUSTICIA Y DEL DERECHO Y PROYECTO CULTURAL AFRODESCENDIENTE "PCA"
</t>
    </r>
    <r>
      <rPr>
        <b/>
        <sz val="7"/>
        <color theme="1"/>
        <rFont val="Calibri"/>
        <family val="2"/>
      </rPr>
      <t>OBJETO:</t>
    </r>
    <r>
      <rPr>
        <sz val="7"/>
        <color theme="1"/>
        <rFont val="Calibri"/>
        <family val="2"/>
      </rPr>
      <t xml:space="preserve"> Implementar el proceso de Consulta Previa con la Asociación Proyecto Cultural Afrodescendiente PCA,  en el marco de la ruta metodológica de Consulta Previa e informada de la Política Nacional de Drogas:  Sembrando vida desterramos el narcotráfico 2023-20233.
Anexo No. 2 - PRESUPUESTO GENERAL</t>
    </r>
  </si>
  <si>
    <t>FASE</t>
  </si>
  <si>
    <t>MINISTERIO DE JUSTICIA Y DEL DERECHO 
EFECTIVO</t>
  </si>
  <si>
    <t>FASE PRECONSULTA</t>
  </si>
  <si>
    <t xml:space="preserve">FASE CONSULTA PREVIA </t>
  </si>
  <si>
    <t>TOTAL APORTES</t>
  </si>
  <si>
    <t>APORTES MIINSTERIO DE JUSTICIA Y DEL  DERECHO</t>
  </si>
  <si>
    <t>APORTES PCA</t>
  </si>
  <si>
    <t>TOTAL EQUIPO ASESOR</t>
  </si>
  <si>
    <t>TOTAL FASE DE PRECONSULTA</t>
  </si>
  <si>
    <t>TOTAL FASE DE CONSULTA PREVIA</t>
  </si>
  <si>
    <t>CONVENIO</t>
  </si>
  <si>
    <t>MINISTERIO DE JUSTICIA Y DEL DERECHO Y PCA</t>
  </si>
  <si>
    <t>ETAPA/FASE</t>
  </si>
  <si>
    <t># DE ACTIVIDADES</t>
  </si>
  <si>
    <t>PROYECCION PPTO CON PRECIOS DE REFERENCIA</t>
  </si>
  <si>
    <t>PRECIO REFERENCIA</t>
  </si>
  <si>
    <t xml:space="preserve">Nota 3: El ministerio de justicia cubrira parcialmente los costos administrativos asociaciodo a la sede nacional ubicada en la Ciudad de Cucuta y cubrira los costos administrativos y operativos en la sede alterna ubicada en la Ciudad de Cali para el proceso de cosulta Previa y demas relacionado con esta sede, en cuanto a la organizacion PCA cubrira los costos administrativos de la sede Nacional úbicada en la Ciudad de Cucuta </t>
  </si>
  <si>
    <t>Tres (3), día de Hospedaje con acomodación individual, Transporte multimodal  municipal interno y Alimentacion (Desayunos, Almuerzos y Cenas) para un (1) dia de llegada, un (1) dia de salida y (Desayunos y Cenas) para un (1) dia de sesion,  para cien (100) personas de las comunidades Negras, Afrocolombianas, Raizales y Palenqueras del territorio ,  deberá respetarse la decisión individual de cada persona respecto al lugar donde desee hospedarse, Alimentarse y Transportarse garantizando un entorno adecuado para su comodidad y seguridad. 
Nota: se debe tomar en cuenta que estos desplazamientos territoriales se causan desde las diferente condiciones geograficas y de accesibilidad para llegar al lugar convocado, en la mayoria de los casos son de dificil acceso o distancias prolongadas (Zonas Rurales) de los diferentes municipios que requieren de uno o varios medios de transporte (Fluviales, terretres y/o Aereos ) por participantes y en otros casos son de facil acceso y distancias cortas (Zonas Urbanas), lo que constituye  una variacion significativa en los valores de dichos transporte por participantes.</t>
  </si>
  <si>
    <r>
      <t xml:space="preserve">Un (1), suministro de un kit de herramientas de trabajo completo para los participantes. El kit incluye una Agenda para toma de apuntes, tamaño estándar (A5) con hojas cuadriculadas; un esfero de color negro, tinta permanente, de calidad media para escritura cómoda y legible; un esfero de color rojo para anotaciones o correcciones destacadas;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 
</t>
    </r>
    <r>
      <rPr>
        <b/>
        <sz val="8"/>
        <color theme="1"/>
        <rFont val="Arial Narrow"/>
        <family val="2"/>
      </rPr>
      <t>"Cada elemento que conforma el kit estará rotulado con logotipos de PCA e información del convenio"</t>
    </r>
  </si>
  <si>
    <r>
      <t xml:space="preserve">Un (1), Transporte Aereo de ida y regreso para los integrantes del equipo administrativo de PCA, desde la ciudad Capital mas cercana al lugar de origen, respetando la decision individual con respecto a las aerolineas, horarios y condiciones de viajes garantizando su comodidady seguridad. 
</t>
    </r>
    <r>
      <rPr>
        <b/>
        <sz val="8"/>
        <color theme="1"/>
        <rFont val="Arial Narrow"/>
        <family val="2"/>
      </rPr>
      <t>Nota: Valor por trayecto. (incluye minimamente tarifa que contenga; un (1) aticulo personal (bolso),  un (1) equipaje de mano de (10 kg) .</t>
    </r>
  </si>
  <si>
    <r>
      <t xml:space="preserve">Un (1), Transporte Aereo de ida y regreso para integrantes equipo asesor de expertos, integrantes del equipo asesor técnico del ENCP  e integrantes del equipo administrativo de PCA, desde la ciudad Capital mas cercana al lugar de origen, respetando la decision individual con respecto a las aerolineas, horarios y condiciones de viajes garantizando su comodidady seguridad. 
</t>
    </r>
    <r>
      <rPr>
        <b/>
        <sz val="8"/>
        <color theme="1"/>
        <rFont val="Arial Narrow"/>
        <family val="2"/>
      </rPr>
      <t xml:space="preserve">Nota Valor por trayecto. (incluye minimamente tarifa que contenga; un (1) aticulo personal (bolso),  un (1) equipaje de mano de (10 kg) y  un (1) equipaje de bodega de (23 kg). </t>
    </r>
  </si>
  <si>
    <r>
      <t xml:space="preserve">Un (1), Transporte Aereo de ida y regreso para integrantes delegados del ENCP, desde la ciudad Capital mas cercana al lugar de origen, respetando la decision individual de cada delegado(a) con respecto a las aerolineas, horarios y condiciones de viajes garantizando su comodidad y seguridad. 
</t>
    </r>
    <r>
      <rPr>
        <b/>
        <sz val="8"/>
        <color theme="1"/>
        <rFont val="Arial Narrow"/>
        <family val="2"/>
      </rPr>
      <t xml:space="preserve">Nota Valor por trayecto (incluye minimamente tarifa que contenga; un (1) aticulo personal (bolso),  un (1) equipaje de mano de (10 kg) y  un (1) equipaje de bodega de (23 kg). </t>
    </r>
  </si>
  <si>
    <t>MJD-CD-892-2024 y CD-399-2024</t>
  </si>
  <si>
    <t>Del proceso MJD-CD-892-2024 se toman los valores unitarios de Hospedaje y alimentación. Del proceso CD-399-2024 se toma el valor del transporte multimodal. Se calcula el valor total del costo, teniendo en cuenta la descripción relacionada: Se toman 3 días de hospedaje, 3 desayunos, 2 almuerzos, 3 cenas, y transporte multimodal ida y regreso . Lo anterior para 100 personas</t>
  </si>
  <si>
    <t>ENCUENTRO NACIONAL LGTBI - SAN BASILIO DE PALENQUE</t>
  </si>
  <si>
    <t># PARTICIPANTES</t>
  </si>
  <si>
    <t># DIAS</t>
  </si>
  <si>
    <t>HOSPEDAJE POR 4 DIAS (Habitacion con servicio de internet, con cama doble, individual (300.000) incluido desayuno. )</t>
  </si>
  <si>
    <t>-</t>
  </si>
  <si>
    <t>MJD-LP-001-2025, MSPS-CD-1539-2024 y MC-CI-3882-2024</t>
  </si>
  <si>
    <t>Del proceso MJD-LP-001-2025 se toman los valores unitarios de almuerzo y cena (Almuerzo o cena  tipo empresarial). Del proceso MSPS-CD-1539-2024 se toma el valor del hospedaje (que incluye desayuno). Finalmente, del proceso MC-CI-3882-2024 se toma el valor del transporte multimodal promedio contratado. Se calcula el valor total del costo, teniendo en cuenta la descripción relacionada: Se toman 3 días de hospedaje, 3 desayunos, 2 almuerzos, 3 cenas, y transporte multimodal ida y regreso . Lo anterior para 100 personas</t>
  </si>
  <si>
    <r>
      <t xml:space="preserve">CONVENIO INTERADMINISTRATIVO
MINISTERIO DE JUSTICIA Y DEL DERECHO Y ASOCIACIÓN PROYECTO CULTURAL AFRODESCENDIENTE "PCA"
</t>
    </r>
    <r>
      <rPr>
        <b/>
        <sz val="9"/>
        <color theme="1"/>
        <rFont val="Arial Narrow"/>
        <family val="2"/>
      </rPr>
      <t>OBJETO:</t>
    </r>
    <r>
      <rPr>
        <sz val="9"/>
        <color theme="1"/>
        <rFont val="Arial Narrow"/>
        <family val="2"/>
      </rPr>
      <t xml:space="preserve"> Implementar el proceso de Consulta Previa con la Asociación Proyecto Cultural Afrodescendiente PCA, en el marco de la ruta metodológica de consulta previa libre e informada de la Política Nacional de Drogas: Sembrando vida desterramos el narcotráfico 2023-2033.
Anexo No. 2.2 - PRESUPUESTO DETALLADO</t>
    </r>
  </si>
  <si>
    <r>
      <t xml:space="preserve">Arrendamiento de oficina en Cali.
</t>
    </r>
    <r>
      <rPr>
        <b/>
        <sz val="9"/>
        <color theme="1"/>
        <rFont val="Arial Narrow"/>
        <family val="2"/>
      </rPr>
      <t>Nota:</t>
    </r>
    <r>
      <rPr>
        <sz val="9"/>
        <color theme="1"/>
        <rFont val="Arial Narrow"/>
        <family val="2"/>
      </rPr>
      <t xml:space="preserve"> La sede operativa del Proceso de Consulta Previa estará ubicada en la ciudad de Cali, ya que es uno de los lugares con mayor participación de comunidades Negras, Afrocolombianas, Raizales y Palenqueras.</t>
    </r>
  </si>
  <si>
    <r>
      <t>1. ACTIVIDAD:</t>
    </r>
    <r>
      <rPr>
        <sz val="9"/>
        <color theme="1"/>
        <rFont val="Arial Narrow"/>
        <family val="2"/>
      </rPr>
      <t xml:space="preserve"> Presentar un documento con la relación del PERSONAL A CONTRATAR acompañado de las hojas de vida y respectivos soportes por contratista.</t>
    </r>
  </si>
  <si>
    <r>
      <t xml:space="preserve">2. ACTIVIDAD: </t>
    </r>
    <r>
      <rPr>
        <sz val="9"/>
        <color theme="1"/>
        <rFont val="Arial Narrow"/>
        <family val="2"/>
      </rPr>
      <t>Planificar a través de un cronograma operativo de actividades la ejecución de las acciones del convenio.</t>
    </r>
  </si>
  <si>
    <r>
      <t>3. ACTIVIDAD:</t>
    </r>
    <r>
      <rPr>
        <sz val="9"/>
        <color theme="1"/>
        <rFont val="Arial Narrow"/>
        <family val="2"/>
      </rPr>
      <t xml:space="preserve"> Socializar al equipo técnico asesor de la Organización Proyecto Cultural Afrodescendiente (PCA), sobre la Política Nacional de Drogas "Sembrando Vida, Desterramos el Narcotráfico 2023 - 2033".</t>
    </r>
  </si>
  <si>
    <r>
      <t>4. ACTIVIDAD:</t>
    </r>
    <r>
      <rPr>
        <sz val="9"/>
        <color theme="1"/>
        <rFont val="Arial Narrow"/>
        <family val="2"/>
      </rPr>
      <t xml:space="preserve"> Socializar al equipo asesor de expertos y técnicos de la Comisión Sexta del Espacio Nacional de Consulta Previa -ENCP-; la Política Nacional de Drogas "Sembrando Vida, Desterramos el Narcotráfico 2023 - 2033".</t>
    </r>
  </si>
  <si>
    <r>
      <t xml:space="preserve">5. ACTIVIDAD: </t>
    </r>
    <r>
      <rPr>
        <sz val="9"/>
        <color theme="1"/>
        <rFont val="Arial Narrow"/>
        <family val="2"/>
      </rPr>
      <t>Construir, de manera conjunta entre el Ministerio de Justicia y del Derecho (MJD), la Comisión Sexta del Espacio Nacional de Consulta Previa (ENCP) de Comunidades Afrocolombianas, Raizales y Palenqueras (NARP), el equipo asesor del ENCP y el equipo del Proyecto Cultural Afrodescendiente (PCA), los instrumentos de recolección de información para la Fase de Consulta Previa, con base en la Ruta Metodológica previamente concertada.</t>
    </r>
  </si>
  <si>
    <r>
      <t xml:space="preserve">Alquiler de </t>
    </r>
    <r>
      <rPr>
        <b/>
        <sz val="9"/>
        <color theme="1"/>
        <rFont val="Arial Narrow"/>
        <family val="2"/>
      </rPr>
      <t>Un (1),</t>
    </r>
    <r>
      <rPr>
        <sz val="9"/>
        <color theme="1"/>
        <rFont val="Arial Narrow"/>
        <family val="2"/>
      </rPr>
      <t xml:space="preserve"> </t>
    </r>
    <r>
      <rPr>
        <b/>
        <sz val="9"/>
        <color rgb="FFFF0000"/>
        <rFont val="Arial Narrow"/>
        <family val="2"/>
      </rPr>
      <t>salón de eventos</t>
    </r>
    <r>
      <rPr>
        <sz val="9"/>
        <color theme="1"/>
        <rFont val="Arial Narrow"/>
        <family val="2"/>
      </rPr>
      <t xml:space="preserve"> por ocho (8) horas, que cuente con ayudas audiovisuales</t>
    </r>
    <r>
      <rPr>
        <b/>
        <sz val="9"/>
        <color theme="1"/>
        <rFont val="Arial Narrow"/>
        <family val="2"/>
      </rPr>
      <t xml:space="preserve"> (video beam o proyector, sistema de sonido, micrófonos, silletería , mesas y salon auxiliar para funcionarios o equipo)</t>
    </r>
    <r>
      <rPr>
        <sz val="9"/>
        <color theme="1"/>
        <rFont val="Arial Narrow"/>
        <family val="2"/>
      </rPr>
      <t xml:space="preserve">, en acomodación tipo aula, para una jornada de trabajo de </t>
    </r>
    <r>
      <rPr>
        <b/>
        <sz val="9"/>
        <color theme="1"/>
        <rFont val="Arial Narrow"/>
        <family val="2"/>
      </rPr>
      <t>Tres (3) días,</t>
    </r>
    <r>
      <rPr>
        <sz val="9"/>
        <color theme="1"/>
        <rFont val="Arial Narrow"/>
        <family val="2"/>
      </rPr>
      <t xml:space="preserve"> en la ciudad de Cali. El espacio debe tener capacidad para atender a diez (10) personas del equipo de asesores expertos y técnicos del ENCP, diez (10) integrantes del equipo administrativo del PCA, cuarenta y ocho (48) delegados del ENCP, dos (2) delegados del Ministerio de Justicia y del Derecho (MJD), dos (2) delegados de la Dirección de Asuntos para Comunidades Negras (DANCP) y dos (2) delegados de la Dirección de Consulta Previa (DCN), para un total de </t>
    </r>
    <r>
      <rPr>
        <b/>
        <sz val="9"/>
        <color rgb="FFFF0000"/>
        <rFont val="Arial Narrow"/>
        <family val="2"/>
      </rPr>
      <t>setenta y cuatro (74) personas.</t>
    </r>
  </si>
  <si>
    <r>
      <t xml:space="preserve">Alquiler de </t>
    </r>
    <r>
      <rPr>
        <b/>
        <sz val="9"/>
        <color rgb="FF000000"/>
        <rFont val="Arial Narrow"/>
        <family val="2"/>
      </rPr>
      <t>Una (1)</t>
    </r>
    <r>
      <rPr>
        <sz val="9"/>
        <color rgb="FF000000"/>
        <rFont val="Arial Narrow"/>
        <family val="2"/>
      </rPr>
      <t>,</t>
    </r>
    <r>
      <rPr>
        <sz val="9"/>
        <color rgb="FFED0000"/>
        <rFont val="Arial Narrow"/>
        <family val="2"/>
      </rPr>
      <t xml:space="preserve"> E</t>
    </r>
    <r>
      <rPr>
        <b/>
        <sz val="9"/>
        <color rgb="FFED0000"/>
        <rFont val="Arial Narrow"/>
        <family val="2"/>
      </rPr>
      <t>stación de Coffee Break</t>
    </r>
    <r>
      <rPr>
        <sz val="9"/>
        <color rgb="FF000000"/>
        <rFont val="Arial Narrow"/>
        <family val="2"/>
      </rPr>
      <t xml:space="preserve">, por ocho (8) horas, para los </t>
    </r>
    <r>
      <rPr>
        <b/>
        <sz val="9"/>
        <color rgb="FF000000"/>
        <rFont val="Arial Narrow"/>
        <family val="2"/>
      </rPr>
      <t>Tres (3) días</t>
    </r>
    <r>
      <rPr>
        <sz val="9"/>
        <color rgb="FF000000"/>
        <rFont val="Arial Narrow"/>
        <family val="2"/>
      </rPr>
      <t xml:space="preserve"> de trabajo que incluya Café ilimitado (tinto y/o americano), aromática y agua, galletas o pasabocas dulces/salados, vasos, servilletas, menaje desechable, para </t>
    </r>
    <r>
      <rPr>
        <b/>
        <sz val="9"/>
        <color rgb="FFED0000"/>
        <rFont val="Arial Narrow"/>
        <family val="2"/>
      </rPr>
      <t>setenta y cuatro (74) personas.</t>
    </r>
  </si>
  <si>
    <r>
      <t>Contratación para la prestación del servicio de</t>
    </r>
    <r>
      <rPr>
        <b/>
        <sz val="9"/>
        <color rgb="FF000000"/>
        <rFont val="Arial Narrow"/>
        <family val="2"/>
      </rPr>
      <t xml:space="preserve"> Cuatro (4)</t>
    </r>
    <r>
      <rPr>
        <sz val="9"/>
        <color rgb="FF000000"/>
        <rFont val="Arial Narrow"/>
        <family val="2"/>
      </rPr>
      <t xml:space="preserve"> </t>
    </r>
    <r>
      <rPr>
        <b/>
        <sz val="9"/>
        <color rgb="FFED0000"/>
        <rFont val="Arial Narrow"/>
        <family val="2"/>
      </rPr>
      <t>meseros</t>
    </r>
    <r>
      <rPr>
        <sz val="9"/>
        <color rgb="FF000000"/>
        <rFont val="Arial Narrow"/>
        <family val="2"/>
      </rPr>
      <t xml:space="preserve">, uniformados, capacitados y con experiencia en atención de eventos étnicos, para una jornada de ocho (8) horas continuas, para los </t>
    </r>
    <r>
      <rPr>
        <b/>
        <sz val="9"/>
        <color rgb="FF000000"/>
        <rFont val="Arial Narrow"/>
        <family val="2"/>
      </rPr>
      <t>Tres (3) días</t>
    </r>
    <r>
      <rPr>
        <sz val="9"/>
        <color rgb="FF000000"/>
        <rFont val="Arial Narrow"/>
        <family val="2"/>
      </rPr>
      <t xml:space="preserve"> de trabajo,  con funciones orientadas a garantizar la atención directa a los participantes, apoyo en el montaje y prestación del servicio y reposición de la estación de Coffee Brack y recolección de residuos.</t>
    </r>
  </si>
  <si>
    <r>
      <t xml:space="preserve">Contratación de </t>
    </r>
    <r>
      <rPr>
        <b/>
        <sz val="9"/>
        <color theme="1"/>
        <rFont val="Arial Narrow"/>
        <family val="2"/>
      </rPr>
      <t>Una (1)</t>
    </r>
    <r>
      <rPr>
        <sz val="9"/>
        <color theme="1"/>
        <rFont val="Arial Narrow"/>
        <family val="2"/>
      </rPr>
      <t xml:space="preserve">, persona encargada de realizar el </t>
    </r>
    <r>
      <rPr>
        <b/>
        <sz val="9"/>
        <color rgb="FFED0000"/>
        <rFont val="Arial Narrow"/>
        <family val="2"/>
      </rPr>
      <t>registro fotográfico y/o audiovisual</t>
    </r>
    <r>
      <rPr>
        <sz val="9"/>
        <color theme="1"/>
        <rFont val="Arial Narrow"/>
        <family val="2"/>
      </rPr>
      <t xml:space="preserve"> del evento por </t>
    </r>
    <r>
      <rPr>
        <b/>
        <sz val="9"/>
        <color theme="1"/>
        <rFont val="Arial Narrow"/>
        <family val="2"/>
      </rPr>
      <t>Tres (3) días</t>
    </r>
    <r>
      <rPr>
        <sz val="9"/>
        <color theme="1"/>
        <rFont val="Arial Narrow"/>
        <family val="2"/>
      </rPr>
      <t xml:space="preserve">. La persona seleccionada deberá ser originaria del territorio, contar con una experiencia mínima de un (1) año en fotografía y video, conocer las dinámicas territoriales, y mantener una buena relación con las comunidades Negras, Afrocolombianas, Raizales y Palenqueras.
</t>
    </r>
    <r>
      <rPr>
        <b/>
        <sz val="9"/>
        <color theme="1"/>
        <rFont val="Arial Narrow"/>
        <family val="2"/>
      </rPr>
      <t>Nota: debera cubrir dentro del costo del servicio los gastos necesario para el desarrollo de la actividad (Alimentacion, Transporte y hospedaje)</t>
    </r>
  </si>
  <si>
    <r>
      <t xml:space="preserve">Suministro de </t>
    </r>
    <r>
      <rPr>
        <b/>
        <sz val="9"/>
        <color rgb="FFED0000"/>
        <rFont val="Arial Narrow"/>
        <family val="2"/>
      </rPr>
      <t xml:space="preserve">refrigerio ancestral matutino (a.m.), </t>
    </r>
    <r>
      <rPr>
        <sz val="9"/>
        <color rgb="FF000000"/>
        <rFont val="Arial Narrow"/>
        <family val="2"/>
      </rPr>
      <t xml:space="preserve">durante </t>
    </r>
    <r>
      <rPr>
        <b/>
        <sz val="9"/>
        <color rgb="FF000000"/>
        <rFont val="Arial Narrow"/>
        <family val="2"/>
      </rPr>
      <t>Tres (3) días,</t>
    </r>
    <r>
      <rPr>
        <sz val="9"/>
        <color rgb="FF000000"/>
        <rFont val="Arial Narrow"/>
        <family val="2"/>
      </rPr>
      <t xml:space="preserve"> dirigido a diez (10) personas del equipo de asesores expertos y técnicos del ENCP, diez (10) integrantes del equipo administrativo del PCA y cuarenta y ocho (48) delegados del ENCP, para un total de </t>
    </r>
    <r>
      <rPr>
        <b/>
        <sz val="9"/>
        <color rgb="FF000000"/>
        <rFont val="Arial Narrow"/>
        <family val="2"/>
      </rPr>
      <t>sesenta y ocho (68) personas.</t>
    </r>
    <r>
      <rPr>
        <sz val="9"/>
        <color rgb="FF000000"/>
        <rFont val="Arial Narrow"/>
        <family val="2"/>
      </rPr>
      <t xml:space="preserve"> El refrigerio deberá ser diseñado con un enfoque cultural y nutricional propio de las comunidades étnicas, preparado con ingredientes locales, frescos y de calidad, respetando las prácticas culinarias tradicionales. Esta actividad tiene como propósito fortalecer la identidad cultural y promover la soberanía alimentaria en el marco de eventos institucionales con participación de pueblos étnicos.</t>
    </r>
  </si>
  <si>
    <r>
      <t xml:space="preserve">Suministro de </t>
    </r>
    <r>
      <rPr>
        <b/>
        <sz val="9"/>
        <color rgb="FFED0000"/>
        <rFont val="Arial Narrow"/>
        <family val="2"/>
      </rPr>
      <t>almuerzo ancestral</t>
    </r>
    <r>
      <rPr>
        <sz val="9"/>
        <color rgb="FF000000"/>
        <rFont val="Arial Narrow"/>
        <family val="2"/>
      </rPr>
      <t xml:space="preserve"> completo durante </t>
    </r>
    <r>
      <rPr>
        <b/>
        <sz val="9"/>
        <color rgb="FF000000"/>
        <rFont val="Arial Narrow"/>
        <family val="2"/>
      </rPr>
      <t>Tres (3) días</t>
    </r>
    <r>
      <rPr>
        <sz val="9"/>
        <color rgb="FF000000"/>
        <rFont val="Arial Narrow"/>
        <family val="2"/>
      </rPr>
      <t xml:space="preserve">, dirigido a diez (10) personas del equipo de asesores expertos y técnicos del ENCP, diez (10) integrantes del equipo administrativo del PCA y cuarenta y ocho (48) delegados del ENCP, para un total de </t>
    </r>
    <r>
      <rPr>
        <b/>
        <sz val="9"/>
        <color rgb="FF000000"/>
        <rFont val="Arial Narrow"/>
        <family val="2"/>
      </rPr>
      <t>sesenta y ocho (68) personas.</t>
    </r>
    <r>
      <rPr>
        <sz val="9"/>
        <color rgb="FF000000"/>
        <rFont val="Arial Narrow"/>
        <family val="2"/>
      </rPr>
      <t xml:space="preserve"> El almuerzo deberá ser diseñado con un enfoque cultural y nutricional propio de las comunidades étnicas, preparado con ingredientes locales, frescos y de calidad, respetando las prácticas culinarias tradicionales. Esta actividad tiene como propósito fortalecer la identidad cultural y promover la soberanía alimentaria en el marco de eventos institucionales con participación de pueblos étnicos.</t>
    </r>
  </si>
  <si>
    <r>
      <t xml:space="preserve">Suministro de </t>
    </r>
    <r>
      <rPr>
        <b/>
        <sz val="9"/>
        <color rgb="FFED0000"/>
        <rFont val="Arial Narrow"/>
        <family val="2"/>
      </rPr>
      <t>refrigerio ancestral vespertino (p.m.)</t>
    </r>
    <r>
      <rPr>
        <sz val="9"/>
        <color rgb="FF000000"/>
        <rFont val="Arial Narrow"/>
        <family val="2"/>
      </rPr>
      <t xml:space="preserve">,  durante </t>
    </r>
    <r>
      <rPr>
        <b/>
        <sz val="9"/>
        <color rgb="FF000000"/>
        <rFont val="Arial Narrow"/>
        <family val="2"/>
      </rPr>
      <t>Tres (3) días</t>
    </r>
    <r>
      <rPr>
        <sz val="9"/>
        <color rgb="FF000000"/>
        <rFont val="Arial Narrow"/>
        <family val="2"/>
      </rPr>
      <t xml:space="preserve">, dirigido a diez (10) personas del equipo de asesores expertos y técnicos del ENCP, diez (10) integrantes del equipo administrativo del PCA y cuarenta y ocho (48) delegados del ENCP, para un total de </t>
    </r>
    <r>
      <rPr>
        <b/>
        <sz val="9"/>
        <color rgb="FF000000"/>
        <rFont val="Arial Narrow"/>
        <family val="2"/>
      </rPr>
      <t>sesenta y ocho (68) personas</t>
    </r>
    <r>
      <rPr>
        <sz val="9"/>
        <color rgb="FF000000"/>
        <rFont val="Arial Narrow"/>
        <family val="2"/>
      </rPr>
      <t>. El refrigerio deberá ser diseñado con un enfoque cultural y nutricional propio de las comunidades étnicas, preparado con ingredientes locales, frescos y de calidad, respetando las prácticas culinarias tradicionales. Esta actividad tiene como propósito fortalecer la identidad cultural y promover la soberanía alimentaria en el marco de eventos institucionales con participación de pueblos étnicos.</t>
    </r>
  </si>
  <si>
    <r>
      <rPr>
        <b/>
        <sz val="9"/>
        <color rgb="FF000000"/>
        <rFont val="Arial Narrow"/>
        <family val="2"/>
      </rPr>
      <t>Un (1),</t>
    </r>
    <r>
      <rPr>
        <b/>
        <sz val="9"/>
        <color rgb="FFED0000"/>
        <rFont val="Arial Narrow"/>
        <family val="2"/>
      </rPr>
      <t>Transporte multimodal de ida</t>
    </r>
    <r>
      <rPr>
        <sz val="9"/>
        <color rgb="FF000000"/>
        <rFont val="Arial Narrow"/>
        <family val="2"/>
      </rPr>
      <t xml:space="preserve"> </t>
    </r>
    <r>
      <rPr>
        <b/>
        <sz val="9"/>
        <color rgb="FFFF0000"/>
        <rFont val="Arial Narrow"/>
        <family val="2"/>
      </rPr>
      <t>y regreso</t>
    </r>
    <r>
      <rPr>
        <sz val="9"/>
        <color rgb="FF000000"/>
        <rFont val="Arial Narrow"/>
        <family val="2"/>
      </rPr>
      <t xml:space="preserve"> para un total de </t>
    </r>
    <r>
      <rPr>
        <b/>
        <sz val="9"/>
        <color rgb="FF000000"/>
        <rFont val="Arial Narrow"/>
        <family val="2"/>
      </rPr>
      <t>cuarenta y ocho (48) personas</t>
    </r>
    <r>
      <rPr>
        <sz val="9"/>
        <color rgb="FF000000"/>
        <rFont val="Arial Narrow"/>
        <family val="2"/>
      </rPr>
      <t xml:space="preserve">, integrantes delegados del ENCP, desde el punto de origen desde el área rural o urbana hasta la cabecera municipal  del aereopuerto mas cercano ida y regreso. </t>
    </r>
    <r>
      <rPr>
        <b/>
        <sz val="9"/>
        <color rgb="FF000000"/>
        <rFont val="Arial Narrow"/>
        <family val="2"/>
      </rPr>
      <t>(De acuerdo a la tabla remitida por el ministerio del interior)</t>
    </r>
  </si>
  <si>
    <r>
      <rPr>
        <b/>
        <sz val="9"/>
        <color rgb="FF000000"/>
        <rFont val="Arial Narrow"/>
        <family val="2"/>
      </rPr>
      <t xml:space="preserve">Cinco (5), </t>
    </r>
    <r>
      <rPr>
        <sz val="9"/>
        <color rgb="FF000000"/>
        <rFont val="Arial Narrow"/>
        <family val="2"/>
      </rPr>
      <t>días de</t>
    </r>
    <r>
      <rPr>
        <b/>
        <sz val="9"/>
        <color rgb="FF000000"/>
        <rFont val="Arial Narrow"/>
        <family val="2"/>
      </rPr>
      <t xml:space="preserve"> </t>
    </r>
    <r>
      <rPr>
        <b/>
        <sz val="9"/>
        <color rgb="FFED0000"/>
        <rFont val="Arial Narrow"/>
        <family val="2"/>
      </rPr>
      <t>Hospedaje con acomodación individual, Transporte terrestre municipal interno y Alimentacion (Desayunos, Almuerzos y Cenas) para un (1) dia de llegada, un (1) dia de salida y (Desayunos y Cenas) para los tres (3) dias de sesion,</t>
    </r>
    <r>
      <rPr>
        <sz val="9"/>
        <color rgb="FF000000"/>
        <rFont val="Arial Narrow"/>
        <family val="2"/>
      </rPr>
      <t xml:space="preserve"> para los y las  delegado(a) del ENCP para un total de </t>
    </r>
    <r>
      <rPr>
        <b/>
        <sz val="9"/>
        <color rgb="FF000000"/>
        <rFont val="Arial Narrow"/>
        <family val="2"/>
      </rPr>
      <t xml:space="preserve">cuarenta y ocho (48) </t>
    </r>
    <r>
      <rPr>
        <sz val="9"/>
        <color rgb="FF000000"/>
        <rFont val="Arial Narrow"/>
        <family val="2"/>
      </rPr>
      <t xml:space="preserve">,  deberá respetarse la decisión individual de cada delegado(a) respecto al lugar donde desee hospedarse, Alimentarse y Transportarse garantizando un entorno adecuado para su comodidad y seguridad </t>
    </r>
  </si>
  <si>
    <r>
      <rPr>
        <b/>
        <sz val="9"/>
        <color rgb="FF000000"/>
        <rFont val="Arial Narrow"/>
        <family val="2"/>
      </rPr>
      <t>Cinco (5), días de</t>
    </r>
    <r>
      <rPr>
        <b/>
        <sz val="9"/>
        <color rgb="FFFF0000"/>
        <rFont val="Arial Narrow"/>
        <family val="2"/>
      </rPr>
      <t xml:space="preserve"> Hospedaje con acomodación individual, Transporte terrestre municipal interno y Alimentacion (Desayunos, Almuerzos y Cenas) para un (1) dia de llegada, un (1) dia de salida y (Desayunos y Cenas) para los tres (3) dias de sesion</t>
    </r>
    <r>
      <rPr>
        <sz val="9"/>
        <color rgb="FF000000"/>
        <rFont val="Arial Narrow"/>
        <family val="2"/>
      </rPr>
      <t xml:space="preserve"> para cinco (5) integrantes del equipo asesor de expertos, cinco (5) integrantes del equipo asesor técnico del ENCP y diez (10) integrantes del equipo administrativo del PCA, para un total de </t>
    </r>
    <r>
      <rPr>
        <b/>
        <sz val="9"/>
        <color rgb="FF000000"/>
        <rFont val="Arial Narrow"/>
        <family val="2"/>
      </rPr>
      <t xml:space="preserve">veinte (20) personas. </t>
    </r>
    <r>
      <rPr>
        <sz val="9"/>
        <color rgb="FF000000"/>
        <rFont val="Arial Narrow"/>
        <family val="2"/>
      </rPr>
      <t xml:space="preserve">deberá respetarse la decisión individual respecto al lugar donde desee hospedarse, Alimentarse y Transportarse garantizando un entorno adecuado para su comodidad y seguridad </t>
    </r>
  </si>
  <si>
    <r>
      <rPr>
        <b/>
        <sz val="9"/>
        <color rgb="FF000000"/>
        <rFont val="Arial Narrow"/>
        <family val="2"/>
      </rPr>
      <t>Un (1),</t>
    </r>
    <r>
      <rPr>
        <b/>
        <sz val="9"/>
        <color rgb="FFFF0000"/>
        <rFont val="Arial Narrow"/>
        <family val="2"/>
      </rPr>
      <t xml:space="preserve"> Transporte Aereo de ida y regreso</t>
    </r>
    <r>
      <rPr>
        <sz val="9"/>
        <color rgb="FF000000"/>
        <rFont val="Arial Narrow"/>
        <family val="2"/>
      </rPr>
      <t xml:space="preserve"> para un total de cuarenta y ocho (48) personas, integrantes delegados del ENCP, desde la ciudad Capital mas cercana al lugar de origen, respetando la decision individual de cada delegado(a) con respecto a las aerolineas, horarios y condiciones de viajes garantizando su comodidad y seguridad 
</t>
    </r>
    <r>
      <rPr>
        <b/>
        <sz val="9"/>
        <color rgb="FF000000"/>
        <rFont val="Arial Narrow"/>
        <family val="2"/>
      </rPr>
      <t xml:space="preserve">Nota: Valor por trayecto. (incluye minimamente tarifa que contenga; un (1) aticulo personal (bolso),  un (1) equipaje de mano de (10 kg) y  un (1) equipaje de bodega de (23 kg). </t>
    </r>
  </si>
  <si>
    <r>
      <rPr>
        <b/>
        <sz val="9"/>
        <color theme="1"/>
        <rFont val="Arial Narrow"/>
        <family val="2"/>
      </rPr>
      <t>Un (1),</t>
    </r>
    <r>
      <rPr>
        <b/>
        <sz val="9"/>
        <color rgb="FFFF0000"/>
        <rFont val="Arial Narrow"/>
        <family val="2"/>
      </rPr>
      <t xml:space="preserve"> Transporte Aereo de ida y regreso</t>
    </r>
    <r>
      <rPr>
        <sz val="9"/>
        <color theme="1"/>
        <rFont val="Arial Narrow"/>
        <family val="2"/>
      </rPr>
      <t xml:space="preserve"> para un total de veinte (20) personas, cinco (05) integrantes equipo asesor de expertos, cinco (05) integrantes del equipo asesor técnico del ENCP  y diez (10) integrantes del equipo administrativo de PCA, desde la ciudad Capital mas cercana al lugar de origen, respetando la decision individual con respecto a las aerolineas, horarios y condiciones de viajes garantizando su comodidady seguridad. 
</t>
    </r>
    <r>
      <rPr>
        <b/>
        <sz val="9"/>
        <color theme="1"/>
        <rFont val="Arial Narrow"/>
        <family val="2"/>
      </rPr>
      <t xml:space="preserve">Nota: Valor por trayecto. (incluye minimamente tarifa que contenga; un (1) aticulo personal (bolso),  un (1) equipaje de mano de (10 kg) y  un (1) equipaje de bodega de (23 kg). </t>
    </r>
  </si>
  <si>
    <r>
      <t xml:space="preserve">Contratación de </t>
    </r>
    <r>
      <rPr>
        <b/>
        <sz val="9"/>
        <color rgb="FF000000"/>
        <rFont val="Arial Narrow"/>
        <family val="2"/>
      </rPr>
      <t>Un (1),</t>
    </r>
    <r>
      <rPr>
        <sz val="9"/>
        <color rgb="FF000000"/>
        <rFont val="Arial Narrow"/>
        <family val="2"/>
      </rPr>
      <t xml:space="preserve">  </t>
    </r>
    <r>
      <rPr>
        <b/>
        <sz val="9"/>
        <color rgb="FFFF0000"/>
        <rFont val="Arial Narrow"/>
        <family val="2"/>
      </rPr>
      <t>grupo folclórico local o de expresión cultural</t>
    </r>
    <r>
      <rPr>
        <sz val="9"/>
        <color rgb="FF000000"/>
        <rFont val="Arial Narrow"/>
        <family val="2"/>
      </rPr>
      <t xml:space="preserve"> por </t>
    </r>
    <r>
      <rPr>
        <b/>
        <sz val="9"/>
        <color rgb="FF000000"/>
        <rFont val="Arial Narrow"/>
        <family val="2"/>
      </rPr>
      <t>Tres (3), día</t>
    </r>
    <r>
      <rPr>
        <sz val="9"/>
        <color rgb="FF000000"/>
        <rFont val="Arial Narrow"/>
        <family val="2"/>
      </rPr>
      <t xml:space="preserve">, por con el objetivo de brindar armonización y ambientación cultural durante el desarrollo del evento o actividad. Este servicio busca enriquecer la experiencia de los asistentes mediante la presentación de manifestaciones artísticas y culturales propias de la región o comunidad.
</t>
    </r>
    <r>
      <rPr>
        <b/>
        <sz val="9"/>
        <color rgb="FF000000"/>
        <rFont val="Arial Narrow"/>
        <family val="2"/>
      </rPr>
      <t>Nota: debera cubrir dentro del costo del servicio los gastos necesario para el desarrollo de la actividad (Alimentacion, Transporte y hospedaje)</t>
    </r>
  </si>
  <si>
    <r>
      <rPr>
        <b/>
        <sz val="9"/>
        <color rgb="FF000000"/>
        <rFont val="Arial Narrow"/>
        <family val="2"/>
      </rPr>
      <t>Un (1)</t>
    </r>
    <r>
      <rPr>
        <sz val="9"/>
        <color rgb="FF000000"/>
        <rFont val="Arial Narrow"/>
        <family val="2"/>
      </rPr>
      <t xml:space="preserve">, suministro de un </t>
    </r>
    <r>
      <rPr>
        <b/>
        <sz val="9"/>
        <color rgb="FFED0000"/>
        <rFont val="Arial Narrow"/>
        <family val="2"/>
      </rPr>
      <t>kit de herramientas de trabajo</t>
    </r>
    <r>
      <rPr>
        <sz val="9"/>
        <color rgb="FF000000"/>
        <rFont val="Arial Narrow"/>
        <family val="2"/>
      </rPr>
      <t xml:space="preserve"> completo para cada integrante delegado del ENCP para cuarenta y ocho (48)  personas, cinco (5), personas del equipo asesor de expertos, cinco (5)personas del equipo técnico del ENCP para un total de</t>
    </r>
    <r>
      <rPr>
        <b/>
        <sz val="9"/>
        <color rgb="FF000000"/>
        <rFont val="Arial Narrow"/>
        <family val="2"/>
      </rPr>
      <t xml:space="preserve"> Cincuenta y ocho (58)</t>
    </r>
    <r>
      <rPr>
        <sz val="9"/>
        <color rgb="FF000000"/>
        <rFont val="Arial Narrow"/>
        <family val="2"/>
      </rPr>
      <t xml:space="preserve"> personas, con el fin de facilitar la organización, toma de notas y apoyo durante las actividades y reuniones del proyecto. El kit incluye una Agenda para toma de apuntes, tamaño estándar (A5) con hojas cuadriculadas; un esfero de color negro, tinta permanente, de calidad media para escritura cómoda y legible; un esfero de color rojo, para anotaciones o correcciones destacadas </t>
    </r>
    <r>
      <rPr>
        <b/>
        <sz val="9"/>
        <color rgb="FF000000"/>
        <rFont val="Arial Narrow"/>
        <family val="2"/>
      </rPr>
      <t>"Cada elemento que conforma el Kit estara Rotulado con logotipos de PCA e informacion del convenio"</t>
    </r>
    <r>
      <rPr>
        <sz val="9"/>
        <color rgb="FF000000"/>
        <rFont val="Arial Narrow"/>
        <family val="2"/>
      </rPr>
      <t>;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t>
    </r>
  </si>
  <si>
    <r>
      <t xml:space="preserve">6. ACTIVIDAD: </t>
    </r>
    <r>
      <rPr>
        <sz val="9"/>
        <color theme="1"/>
        <rFont val="Arial Narrow"/>
        <family val="2"/>
      </rPr>
      <t xml:space="preserve"> Construir los  instrumentos pedagógicos para los cuatro (4) foros departamentales y las Asambleas departamentales, entre la Comisión Sexta del Espacio Nacional de Consulta Previa y el Ministerio de Justicia y del Derecho, para enseñar y explicar la ruta metodológica  acordada y la Política Nacional de Drogas "Sembrando Vida, Desterramos el Narcotráfico 2023-2033".</t>
    </r>
  </si>
  <si>
    <r>
      <t xml:space="preserve">7. ACTIVIDAD: </t>
    </r>
    <r>
      <rPr>
        <sz val="9"/>
        <color theme="1"/>
        <rFont val="Arial Narrow"/>
        <family val="2"/>
      </rPr>
      <t>Construir la metodología que contenga la preparación logística, agenda, convocatoria y procedimiento para los foros departamentales y las Asambleas Departamentales.</t>
    </r>
  </si>
  <si>
    <r>
      <rPr>
        <b/>
        <sz val="9"/>
        <color theme="1"/>
        <rFont val="Arial Narrow"/>
        <family val="2"/>
      </rPr>
      <t>Nota 1:</t>
    </r>
    <r>
      <rPr>
        <sz val="9"/>
        <color theme="1"/>
        <rFont val="Arial Narrow"/>
        <family val="2"/>
      </rPr>
      <t xml:space="preserve"> Las actividades tres (3), cuatro (4), cinco (5), seis (6) y siete (7) corresponden a espacios de trabajo distintos, cada uno con objetivos y productos específicos. Sin embargo, con el fin de garantizar un uso eficiente, efectivo y eficaz del presupuesto, todas se desarrollarán de manera articulada en una única jornada de trabajo de tres (3) días. Desde el punto de vista presupuestal, estas actividades estarán consolidadas en la actividad número cinco (5).</t>
    </r>
  </si>
  <si>
    <r>
      <t xml:space="preserve">8. ACTIVIDAD  FORO NORTE DE SANTANDER: </t>
    </r>
    <r>
      <rPr>
        <sz val="9"/>
        <color theme="1"/>
        <rFont val="Arial Narrow"/>
        <family val="2"/>
      </rPr>
      <t>Realizar el foro departamental en Norte de Santander para socializar la Política Nacional de Drogas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</si>
  <si>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ED0000"/>
        <rFont val="Arial Narrow"/>
        <family val="2"/>
      </rPr>
      <t xml:space="preserve">salón de eventos, </t>
    </r>
    <r>
      <rPr>
        <sz val="9"/>
        <color rgb="FF000000"/>
        <rFont val="Arial Narrow"/>
        <family val="2"/>
      </rPr>
      <t xml:space="preserve">por </t>
    </r>
    <r>
      <rPr>
        <b/>
        <sz val="9"/>
        <color rgb="FF000000"/>
        <rFont val="Arial Narrow"/>
        <family val="2"/>
      </rPr>
      <t>Un (1)</t>
    </r>
    <r>
      <rPr>
        <sz val="9"/>
        <color rgb="FF000000"/>
        <rFont val="Arial Narrow"/>
        <family val="2"/>
      </rPr>
      <t xml:space="preserve"> día de ocho (8) horas, que cuente con ayudas audiovisuales </t>
    </r>
    <r>
      <rPr>
        <b/>
        <sz val="9"/>
        <color rgb="FF000000"/>
        <rFont val="Arial Narrow"/>
        <family val="2"/>
      </rPr>
      <t>(video beam o proyector, sistema de sonido, micrófonos, silletería , mesas y salon auxiliar para funcionarios o equipo)</t>
    </r>
    <r>
      <rPr>
        <sz val="9"/>
        <color rgb="FF000000"/>
        <rFont val="Arial Narrow"/>
        <family val="2"/>
      </rPr>
      <t xml:space="preserve">, en acomodación tipo media luna, Para </t>
    </r>
    <r>
      <rPr>
        <b/>
        <sz val="9"/>
        <color rgb="FFED0000"/>
        <rFont val="Arial Narrow"/>
        <family val="2"/>
      </rPr>
      <t xml:space="preserve">ochenta (80), </t>
    </r>
    <r>
      <rPr>
        <sz val="9"/>
        <color rgb="FF000000"/>
        <rFont val="Arial Narrow"/>
        <family val="2"/>
      </rPr>
      <t xml:space="preserve">personas de comunidades Negras, Afrocolombianas, Raizales y Palenqueras del territorio, con la participación de dos (2) delegados del MJD, dos (2) delegados de DANCP, (2) delegados de DCN y Tres (3) integrantes del equipo administrativo del PCA, para un total de </t>
    </r>
    <r>
      <rPr>
        <b/>
        <sz val="9"/>
        <color rgb="FFED0000"/>
        <rFont val="Arial Narrow"/>
        <family val="2"/>
      </rPr>
      <t>ochenta y nueve (89)</t>
    </r>
    <r>
      <rPr>
        <sz val="9"/>
        <color rgb="FF000000"/>
        <rFont val="Arial Narrow"/>
        <family val="2"/>
      </rPr>
      <t xml:space="preserve"> personas. En acomodación tipo aula para 1 día de trabajo. </t>
    </r>
    <r>
      <rPr>
        <b/>
        <sz val="9"/>
        <color rgb="FFED0000"/>
        <rFont val="Arial Narrow"/>
        <family val="2"/>
      </rPr>
      <t>en la ciudad de Cúcuta.</t>
    </r>
  </si>
  <si>
    <r>
      <t xml:space="preserve">Alquiler de </t>
    </r>
    <r>
      <rPr>
        <b/>
        <sz val="9"/>
        <color rgb="FF000000"/>
        <rFont val="Arial Narrow"/>
        <family val="2"/>
      </rPr>
      <t>Una (1)</t>
    </r>
    <r>
      <rPr>
        <sz val="9"/>
        <color rgb="FF000000"/>
        <rFont val="Arial Narrow"/>
        <family val="2"/>
      </rPr>
      <t xml:space="preserve">, </t>
    </r>
    <r>
      <rPr>
        <b/>
        <sz val="9"/>
        <color rgb="FFED0000"/>
        <rFont val="Arial Narrow"/>
        <family val="2"/>
      </rPr>
      <t>Estación de Coffee Break</t>
    </r>
    <r>
      <rPr>
        <sz val="9"/>
        <color rgb="FF000000"/>
        <rFont val="Arial Narrow"/>
        <family val="2"/>
      </rPr>
      <t xml:space="preserve">, por ocho (8) horas, para </t>
    </r>
    <r>
      <rPr>
        <b/>
        <sz val="9"/>
        <color rgb="FF000000"/>
        <rFont val="Arial Narrow"/>
        <family val="2"/>
      </rPr>
      <t>Un (1)</t>
    </r>
    <r>
      <rPr>
        <sz val="9"/>
        <color rgb="FF000000"/>
        <rFont val="Arial Narrow"/>
        <family val="2"/>
      </rPr>
      <t xml:space="preserve">, día de trabajo que incluya Café ilimitado (tinto y/o americano), aromática y agua, galletas o pasabocas dulces/salados, vasos, servilletas, menaje desechable, para </t>
    </r>
    <r>
      <rPr>
        <b/>
        <sz val="9"/>
        <color rgb="FFED0000"/>
        <rFont val="Arial Narrow"/>
        <family val="2"/>
      </rPr>
      <t>ochenta y nueve (89) personas.</t>
    </r>
  </si>
  <si>
    <r>
      <rPr>
        <b/>
        <sz val="9"/>
        <color rgb="FF000000"/>
        <rFont val="Arial Narrow"/>
        <family val="2"/>
      </rPr>
      <t>Tres (4)</t>
    </r>
    <r>
      <rPr>
        <sz val="9"/>
        <color rgb="FF000000"/>
        <rFont val="Arial Narrow"/>
        <family val="2"/>
      </rPr>
      <t xml:space="preserve"> </t>
    </r>
    <r>
      <rPr>
        <b/>
        <sz val="9"/>
        <color rgb="FFFF0000"/>
        <rFont val="Arial Narrow"/>
        <family val="2"/>
      </rPr>
      <t>Meseros</t>
    </r>
    <r>
      <rPr>
        <sz val="9"/>
        <color rgb="FF000000"/>
        <rFont val="Arial Narrow"/>
        <family val="2"/>
      </rPr>
      <t xml:space="preserve">, uniformados, capacitados y con experiencia en atención de eventos étnicos, para una jornada de ocho (8) horas continuas, para </t>
    </r>
    <r>
      <rPr>
        <b/>
        <sz val="9"/>
        <color rgb="FF000000"/>
        <rFont val="Arial Narrow"/>
        <family val="2"/>
      </rPr>
      <t>Un (1)</t>
    </r>
    <r>
      <rPr>
        <sz val="9"/>
        <color rgb="FF000000"/>
        <rFont val="Arial Narrow"/>
        <family val="2"/>
      </rPr>
      <t>, día de trabajo, con funciones orientadas a garantizar la atención directa a los participantes, apoyo en el montaje y prestación del servicio y reposición de la estación de Coffee Brack y recolección de residuos.</t>
    </r>
  </si>
  <si>
    <r>
      <rPr>
        <b/>
        <sz val="9"/>
        <color rgb="FF000000"/>
        <rFont val="Arial Narrow"/>
        <family val="2"/>
      </rPr>
      <t>Una (1)</t>
    </r>
    <r>
      <rPr>
        <sz val="9"/>
        <color rgb="FF000000"/>
        <rFont val="Arial Narrow"/>
        <family val="2"/>
      </rPr>
      <t xml:space="preserve">, </t>
    </r>
    <r>
      <rPr>
        <b/>
        <sz val="9"/>
        <color rgb="FFFF0000"/>
        <rFont val="Arial Narrow"/>
        <family val="2"/>
      </rPr>
      <t>Persona</t>
    </r>
    <r>
      <rPr>
        <sz val="9"/>
        <color rgb="FF000000"/>
        <rFont val="Arial Narrow"/>
        <family val="2"/>
      </rPr>
      <t xml:space="preserve"> encargada de realizar el </t>
    </r>
    <r>
      <rPr>
        <b/>
        <sz val="9"/>
        <color rgb="FFED0000"/>
        <rFont val="Arial Narrow"/>
        <family val="2"/>
      </rPr>
      <t xml:space="preserve">registro fotográfico y/o audiovisual </t>
    </r>
    <r>
      <rPr>
        <sz val="9"/>
        <color rgb="FF000000"/>
        <rFont val="Arial Narrow"/>
        <family val="2"/>
      </rPr>
      <t xml:space="preserve">del evento por </t>
    </r>
    <r>
      <rPr>
        <b/>
        <sz val="9"/>
        <color rgb="FF000000"/>
        <rFont val="Arial Narrow"/>
        <family val="2"/>
      </rPr>
      <t>Un (1)</t>
    </r>
    <r>
      <rPr>
        <sz val="9"/>
        <color rgb="FF000000"/>
        <rFont val="Arial Narrow"/>
        <family val="2"/>
      </rPr>
      <t xml:space="preserve"> día. La persona seleccionada deberá ser originaria del territorio, contar con una experiencia mínima de un (1) año en fotografía y video, conocer las dinámicas territoriales, y mantener una buena relación con las comunidades Negras, Afrocolombianas, Raizales y Palenqueras.
</t>
    </r>
    <r>
      <rPr>
        <b/>
        <sz val="9"/>
        <color rgb="FF000000"/>
        <rFont val="Arial Narrow"/>
        <family val="2"/>
      </rPr>
      <t>Nota: debera cubrir dentro del costo del servicio los gastos necesario para el desarrollo de la actividad (Alimentacion, Transporte y hospedaje)</t>
    </r>
  </si>
  <si>
    <r>
      <rPr>
        <b/>
        <sz val="9"/>
        <color rgb="FF000000"/>
        <rFont val="Arial Narrow"/>
        <family val="2"/>
      </rPr>
      <t>Tres (3)</t>
    </r>
    <r>
      <rPr>
        <sz val="9"/>
        <color rgb="FF000000"/>
        <rFont val="Arial Narrow"/>
        <family val="2"/>
      </rPr>
      <t xml:space="preserve">, día de </t>
    </r>
    <r>
      <rPr>
        <b/>
        <sz val="9"/>
        <color rgb="FFFF0000"/>
        <rFont val="Arial Narrow"/>
        <family val="2"/>
      </rPr>
      <t>Hospedaje con acomodación individual, Transporte terrestre municipal interno y Alimentacion (Desayunos, Almuerzos y Cenas) para un (1) dia de llegada, un (1) dia de salida y (Desayunos y Cenas) para un (1) dia de sesion</t>
    </r>
    <r>
      <rPr>
        <b/>
        <sz val="9"/>
        <color rgb="FF000000"/>
        <rFont val="Arial Narrow"/>
        <family val="2"/>
      </rPr>
      <t xml:space="preserve">,  </t>
    </r>
    <r>
      <rPr>
        <sz val="9"/>
        <color rgb="FF000000"/>
        <rFont val="Arial Narrow"/>
        <family val="2"/>
      </rPr>
      <t xml:space="preserve">para ochenta (80) personas de las comunidades Negras, Afrocolombianas, Raizales y Palenqueras del territorio ,  deberá respetarse la decisión individual de cada persona respecto al lugar donde desee hospedarse, Alimentarse y Transportarse garantizando un entorno adecuado para su comodidad y seguridad. </t>
    </r>
  </si>
  <si>
    <r>
      <rPr>
        <b/>
        <sz val="9"/>
        <color rgb="FF000000"/>
        <rFont val="Arial Narrow"/>
        <family val="2"/>
      </rPr>
      <t>Un (1)</t>
    </r>
    <r>
      <rPr>
        <sz val="9"/>
        <color rgb="FF000000"/>
        <rFont val="Arial Narrow"/>
        <family val="2"/>
      </rPr>
      <t xml:space="preserve">, </t>
    </r>
    <r>
      <rPr>
        <b/>
        <sz val="9"/>
        <color rgb="FFFF0000"/>
        <rFont val="Arial Narrow"/>
        <family val="2"/>
      </rPr>
      <t>Refrigerio ancestral matutino (a.m.)</t>
    </r>
    <r>
      <rPr>
        <sz val="9"/>
        <color rgb="FF000000"/>
        <rFont val="Arial Narrow"/>
        <family val="2"/>
      </rPr>
      <t xml:space="preserve"> para </t>
    </r>
    <r>
      <rPr>
        <b/>
        <sz val="9"/>
        <color rgb="FF000000"/>
        <rFont val="Arial Narrow"/>
        <family val="2"/>
      </rPr>
      <t>ochenta y tres (83)</t>
    </r>
    <r>
      <rPr>
        <sz val="9"/>
        <color rgb="FF000000"/>
        <rFont val="Arial Narrow"/>
        <family val="2"/>
      </rPr>
      <t xml:space="preserve"> ochenta (80) personas asistentes de la comunidad y </t>
    </r>
    <r>
      <rPr>
        <b/>
        <sz val="9"/>
        <color rgb="FF000000"/>
        <rFont val="Arial Narrow"/>
        <family val="2"/>
      </rPr>
      <t xml:space="preserve">tres (03) personas del equipo PCA. </t>
    </r>
    <r>
      <rPr>
        <sz val="9"/>
        <color rgb="FF000000"/>
        <rFont val="Arial Narrow"/>
        <family val="2"/>
      </rPr>
      <t xml:space="preserve"> orientado a fortalecer el reconocimiento y la valoración de las prácticas alimenticias tradicionales de los pueblos étnicos. El refrigerio incluye productos propios de la cultura ancestral, elaborados con ingredientes autóctonos y bajo técnicas culinarias tradicionales, promoviendo la soberanía alimentaria y el enfoque diferencial e intercultural.</t>
    </r>
  </si>
  <si>
    <r>
      <rPr>
        <b/>
        <sz val="9"/>
        <color rgb="FF000000"/>
        <rFont val="Arial Narrow"/>
        <family val="2"/>
      </rPr>
      <t>Un (1)</t>
    </r>
    <r>
      <rPr>
        <sz val="9"/>
        <color rgb="FF000000"/>
        <rFont val="Arial Narrow"/>
        <family val="2"/>
      </rPr>
      <t xml:space="preserve">, </t>
    </r>
    <r>
      <rPr>
        <sz val="9"/>
        <color rgb="FFFF0000"/>
        <rFont val="Arial Narrow"/>
        <family val="2"/>
      </rPr>
      <t>A</t>
    </r>
    <r>
      <rPr>
        <b/>
        <sz val="9"/>
        <color rgb="FFFF0000"/>
        <rFont val="Arial Narrow"/>
        <family val="2"/>
      </rPr>
      <t>lmuerzo ancestral</t>
    </r>
    <r>
      <rPr>
        <sz val="9"/>
        <color rgb="FF000000"/>
        <rFont val="Arial Narrow"/>
        <family val="2"/>
      </rPr>
      <t xml:space="preserve"> completo para </t>
    </r>
    <r>
      <rPr>
        <b/>
        <sz val="9"/>
        <color rgb="FF000000"/>
        <rFont val="Arial Narrow"/>
        <family val="2"/>
      </rPr>
      <t>ochenta y tres (83)</t>
    </r>
    <r>
      <rPr>
        <sz val="9"/>
        <color rgb="FF000000"/>
        <rFont val="Arial Narrow"/>
        <family val="2"/>
      </rPr>
      <t xml:space="preserve"> personas,  ochenta  (80) personas asistentes comunidad y tres (03) personas del equipo PCA.  preparado con base en recetas, ingredientes y técnicas culinarias propias de los pueblos étnicos, promoviendo el respeto por la diversidad cultural, la soberanía alimentaria y la valoración de los saberes tradicionales en contextos institucionales y pedagógicos.</t>
    </r>
  </si>
  <si>
    <r>
      <rPr>
        <b/>
        <sz val="9"/>
        <color rgb="FF000000"/>
        <rFont val="Arial Narrow"/>
        <family val="2"/>
      </rPr>
      <t>Un (1)</t>
    </r>
    <r>
      <rPr>
        <sz val="9"/>
        <color rgb="FF000000"/>
        <rFont val="Arial Narrow"/>
        <family val="2"/>
      </rPr>
      <t xml:space="preserve">, </t>
    </r>
    <r>
      <rPr>
        <b/>
        <sz val="9"/>
        <color rgb="FFED0000"/>
        <rFont val="Arial Narrow"/>
        <family val="2"/>
      </rPr>
      <t>Refrigerio ancestral vespertino (p.m.)</t>
    </r>
    <r>
      <rPr>
        <sz val="9"/>
        <color rgb="FF000000"/>
        <rFont val="Arial Narrow"/>
        <family val="2"/>
      </rPr>
      <t xml:space="preserve"> para </t>
    </r>
    <r>
      <rPr>
        <b/>
        <sz val="9"/>
        <color rgb="FF000000"/>
        <rFont val="Arial Narrow"/>
        <family val="2"/>
      </rPr>
      <t>ochenta y tres(83)</t>
    </r>
    <r>
      <rPr>
        <sz val="9"/>
        <color rgb="FF000000"/>
        <rFont val="Arial Narrow"/>
        <family val="2"/>
      </rPr>
      <t xml:space="preserve"> personas, ochenta (80) personaas asistentes comunidad y tres (03) personas del equipo PCA.  compuesto por preparaciones tradicionales de los pueblos étnicos, elaboradas con ingredientes nativos y técnicas culinarias ancestrales. Este servicio busca fortalecer la identidad cultural a través de la alimentación, visibilizando prácticas y saberes gastronómicos propios en el marco de actividades institucionales.</t>
    </r>
  </si>
  <si>
    <r>
      <rPr>
        <b/>
        <sz val="9"/>
        <color rgb="FF000000"/>
        <rFont val="Arial Narrow"/>
        <family val="2"/>
      </rPr>
      <t>Un (1)</t>
    </r>
    <r>
      <rPr>
        <sz val="9"/>
        <color rgb="FF000000"/>
        <rFont val="Arial Narrow"/>
        <family val="2"/>
      </rPr>
      <t xml:space="preserve">, </t>
    </r>
    <r>
      <rPr>
        <b/>
        <sz val="9"/>
        <color rgb="FFED0000"/>
        <rFont val="Arial Narrow"/>
        <family val="2"/>
      </rPr>
      <t>Transporte multimodal de ida y regreso (Terrestre, Aereo y Fluvial para el caso que aplique)</t>
    </r>
    <r>
      <rPr>
        <sz val="9"/>
        <color rgb="FF000000"/>
        <rFont val="Arial Narrow"/>
        <family val="2"/>
      </rPr>
      <t xml:space="preserve"> para un total de </t>
    </r>
    <r>
      <rPr>
        <b/>
        <sz val="9"/>
        <color rgb="FF000000"/>
        <rFont val="Arial Narrow"/>
        <family val="2"/>
      </rPr>
      <t>ochenta (80)</t>
    </r>
    <r>
      <rPr>
        <sz val="9"/>
        <color rgb="FF000000"/>
        <rFont val="Arial Narrow"/>
        <family val="2"/>
      </rPr>
      <t xml:space="preserve"> personas del territorio participantes de comunidades NARP, desde el punto de origen hasta el lugar de desarrollo de las actividades programadas.
</t>
    </r>
    <r>
      <rPr>
        <b/>
        <sz val="9"/>
        <color rgb="FF000000"/>
        <rFont val="Arial Narrow"/>
        <family val="2"/>
      </rPr>
      <t>Nota: se debe tomar en cuenta que estos desplazamientos territoriales se causan desde las diferente condiciones geograficas y de accesibilidad para llegar al lugar convocado, en la mayoria de los casos son de dificil acceso o distancias prolongadas (Zonas Rurales) de los diferentes municipios que requieren de uno o varios medios de transporte (Fluviales, terretres y/o Aereos ) por participantes y en otros casos son de facil acceso y distancias cortas (Zonas Urbanas), lo que constituye  una variacion significativa en los valores de dichos transporte por participantes.</t>
    </r>
  </si>
  <si>
    <r>
      <rPr>
        <b/>
        <sz val="9"/>
        <color rgb="FF000000"/>
        <rFont val="Arial Narrow"/>
        <family val="2"/>
      </rPr>
      <t>Un (1)</t>
    </r>
    <r>
      <rPr>
        <sz val="9"/>
        <color rgb="FF000000"/>
        <rFont val="Arial Narrow"/>
        <family val="2"/>
      </rPr>
      <t xml:space="preserve">,  </t>
    </r>
    <r>
      <rPr>
        <b/>
        <sz val="9"/>
        <color rgb="FFED0000"/>
        <rFont val="Arial Narrow"/>
        <family val="2"/>
      </rPr>
      <t>Tallerista</t>
    </r>
    <r>
      <rPr>
        <sz val="9"/>
        <color rgb="FF000000"/>
        <rFont val="Arial Narrow"/>
        <family val="2"/>
      </rPr>
      <t xml:space="preserve"> por </t>
    </r>
    <r>
      <rPr>
        <b/>
        <sz val="9"/>
        <color rgb="FF000000"/>
        <rFont val="Arial Narrow"/>
        <family val="2"/>
      </rPr>
      <t>Un (1)</t>
    </r>
    <r>
      <rPr>
        <sz val="9"/>
        <color rgb="FF000000"/>
        <rFont val="Arial Narrow"/>
        <family val="2"/>
      </rPr>
      <t xml:space="preserve">,encargado de socializar la Política Nacional de Drogas, "Sembrando Vida, Desterramos el Narcotráfico 2023-2033", quien desarrollará sesiones pedagógicas dirigidas a actores comunitarios y sociales del territorio, utilizando herramientas didácticas y metodologías participativas que permitan una apropiación significativa de los contenidos. El tallerista también será responsable de aplicar instrumentos de recolección de información previamente diseñados, con el objetivo de identificar percepciones, conocimientos y necesidades en torno a la Política Nacional de Drogas en el contexto local.
</t>
    </r>
    <r>
      <rPr>
        <b/>
        <sz val="9"/>
        <color rgb="FF000000"/>
        <rFont val="Arial Narrow"/>
        <family val="2"/>
      </rPr>
      <t>Nota: El tallerista debera cubrir dentro del costo del servicio los gastos necesario para el desarrollo de la actividad (Alimentacion, Transporte y hospedaje)</t>
    </r>
  </si>
  <si>
    <r>
      <rPr>
        <b/>
        <sz val="9"/>
        <color rgb="FF000000"/>
        <rFont val="Arial Narrow"/>
        <family val="2"/>
      </rPr>
      <t>Tres (3)</t>
    </r>
    <r>
      <rPr>
        <sz val="9"/>
        <color rgb="FF000000"/>
        <rFont val="Arial Narrow"/>
        <family val="2"/>
      </rPr>
      <t xml:space="preserve">, </t>
    </r>
    <r>
      <rPr>
        <b/>
        <sz val="9"/>
        <color rgb="FFFF0000"/>
        <rFont val="Arial Narrow"/>
        <family val="2"/>
      </rPr>
      <t xml:space="preserve"> Hospedaje con acomodación individual, Transporte terrestre municipal interno y Alimentacion (Desayunos, Almuerzos y Cenas) para un (1) dia de llegada, un (1) dia de salida y (Desayunos y Cenas) para un (1) dia de sesion</t>
    </r>
    <r>
      <rPr>
        <sz val="9"/>
        <color rgb="FF000000"/>
        <rFont val="Arial Narrow"/>
        <family val="2"/>
      </rPr>
      <t xml:space="preserve"> para </t>
    </r>
    <r>
      <rPr>
        <b/>
        <sz val="9"/>
        <color rgb="FF000000"/>
        <rFont val="Arial Narrow"/>
        <family val="2"/>
      </rPr>
      <t>Tres (3)</t>
    </r>
    <r>
      <rPr>
        <sz val="9"/>
        <color rgb="FF000000"/>
        <rFont val="Arial Narrow"/>
        <family val="2"/>
      </rPr>
      <t xml:space="preserve"> </t>
    </r>
    <r>
      <rPr>
        <b/>
        <sz val="9"/>
        <color rgb="FFFF0000"/>
        <rFont val="Arial Narrow"/>
        <family val="2"/>
      </rPr>
      <t>Equipo Administrativo PCA</t>
    </r>
    <r>
      <rPr>
        <sz val="9"/>
        <color rgb="FF000000"/>
        <rFont val="Arial Narrow"/>
        <family val="2"/>
      </rPr>
      <t>, el hospedaje deberá garantizar condiciones de descanso digno, comodidad y seguridad durante su participación en las actividades programadas.</t>
    </r>
  </si>
  <si>
    <r>
      <rPr>
        <b/>
        <sz val="9"/>
        <color rgb="FF000000"/>
        <rFont val="Arial Narrow"/>
        <family val="2"/>
      </rPr>
      <t>Un (1)</t>
    </r>
    <r>
      <rPr>
        <sz val="9"/>
        <color rgb="FF000000"/>
        <rFont val="Arial Narrow"/>
        <family val="2"/>
      </rPr>
      <t xml:space="preserve">, </t>
    </r>
    <r>
      <rPr>
        <b/>
        <sz val="9"/>
        <color rgb="FFFF0000"/>
        <rFont val="Arial Narrow"/>
        <family val="2"/>
      </rPr>
      <t>Sabedor o sabedora ancestral</t>
    </r>
    <r>
      <rPr>
        <sz val="9"/>
        <color rgb="FF000000"/>
        <rFont val="Arial Narrow"/>
        <family val="2"/>
      </rPr>
      <t xml:space="preserve"> por </t>
    </r>
    <r>
      <rPr>
        <b/>
        <sz val="9"/>
        <color rgb="FF000000"/>
        <rFont val="Arial Narrow"/>
        <family val="2"/>
      </rPr>
      <t>Un (1)</t>
    </r>
    <r>
      <rPr>
        <sz val="9"/>
        <color rgb="FF000000"/>
        <rFont val="Arial Narrow"/>
        <family val="2"/>
      </rPr>
      <t xml:space="preserve">, día encargado(a) de realizar el proceso de armonización espiritual y cultural al inicio y cierre de las jornadas de trabajo, con el propósito de propiciar un ambiente de respeto, equilibrio y conexión con los saberes propios del territorio.
</t>
    </r>
    <r>
      <rPr>
        <b/>
        <sz val="9"/>
        <color rgb="FF000000"/>
        <rFont val="Arial Narrow"/>
        <family val="2"/>
      </rPr>
      <t>Nota: El Sabedor(a) debera cubrir dentro del costo del servicio los gastos necesario para el desarrollo de la actividad (Alimentacion, Transporte y hospedaje)</t>
    </r>
  </si>
  <si>
    <r>
      <rPr>
        <b/>
        <sz val="9"/>
        <color rgb="FF000000"/>
        <rFont val="Arial Narrow"/>
        <family val="2"/>
      </rPr>
      <t>Un (1)</t>
    </r>
    <r>
      <rPr>
        <sz val="9"/>
        <color rgb="FF000000"/>
        <rFont val="Arial Narrow"/>
        <family val="2"/>
      </rPr>
      <t xml:space="preserve">,  </t>
    </r>
    <r>
      <rPr>
        <b/>
        <sz val="9"/>
        <color rgb="FFFF0000"/>
        <rFont val="Arial Narrow"/>
        <family val="2"/>
      </rPr>
      <t>Grupo folclórico local o de expresión cultural</t>
    </r>
    <r>
      <rPr>
        <sz val="9"/>
        <color rgb="FF000000"/>
        <rFont val="Arial Narrow"/>
        <family val="2"/>
      </rPr>
      <t xml:space="preserve"> por </t>
    </r>
    <r>
      <rPr>
        <b/>
        <sz val="9"/>
        <color rgb="FF000000"/>
        <rFont val="Arial Narrow"/>
        <family val="2"/>
      </rPr>
      <t>Un (1)</t>
    </r>
    <r>
      <rPr>
        <sz val="9"/>
        <color rgb="FF000000"/>
        <rFont val="Arial Narrow"/>
        <family val="2"/>
      </rPr>
      <t xml:space="preserve">, día, con el objetivo de brindar armonización y ambientación cultural durante el desarrollo del evento o actividad. Este servicio busca enriquecer la experiencia de los asistentes mediante la presentación de manifestaciones artísticas y culturales propias de la región o comunidad.
</t>
    </r>
    <r>
      <rPr>
        <b/>
        <sz val="9"/>
        <color rgb="FF000000"/>
        <rFont val="Arial Narrow"/>
        <family val="2"/>
      </rPr>
      <t>Nota: debera cubrir dentro del costo del servicio los gastos necesario para el desarrollo de la actividad (Alimentacion, Transporte y hospedaje)</t>
    </r>
  </si>
  <si>
    <r>
      <rPr>
        <b/>
        <sz val="9"/>
        <color theme="1"/>
        <rFont val="Arial Narrow"/>
        <family val="2"/>
      </rPr>
      <t>Un (1),</t>
    </r>
    <r>
      <rPr>
        <b/>
        <sz val="9"/>
        <color rgb="FFFF0000"/>
        <rFont val="Arial Narrow"/>
        <family val="2"/>
      </rPr>
      <t xml:space="preserve"> Transporte Aereo de ida y regreso</t>
    </r>
    <r>
      <rPr>
        <sz val="9"/>
        <color theme="1"/>
        <rFont val="Arial Narrow"/>
        <family val="2"/>
      </rPr>
      <t xml:space="preserve"> para un total de tres (03) personas, integrantes del equipo administrativo de PCA, desde la ciudad Capital mas cercana al lugar de origen, respetando la decision individual con respecto a las aerolineas, horarios y condiciones de viajes garantizando su comodidady seguridad. 
</t>
    </r>
    <r>
      <rPr>
        <b/>
        <sz val="9"/>
        <color theme="1"/>
        <rFont val="Arial Narrow"/>
        <family val="2"/>
      </rPr>
      <t>Nota: Valor por trayecto.  (incluye minimamente tarifa que contenga; un (1) aticulo personal (bolso),  un (1) equipaje de mano de (10 kg) .</t>
    </r>
  </si>
  <si>
    <r>
      <rPr>
        <b/>
        <sz val="9"/>
        <color rgb="FF000000"/>
        <rFont val="Arial Narrow"/>
        <family val="2"/>
      </rPr>
      <t>Un (1)</t>
    </r>
    <r>
      <rPr>
        <sz val="9"/>
        <color rgb="FF000000"/>
        <rFont val="Arial Narrow"/>
        <family val="2"/>
      </rPr>
      <t xml:space="preserve">, suministro de un </t>
    </r>
    <r>
      <rPr>
        <b/>
        <sz val="9"/>
        <color rgb="FFED0000"/>
        <rFont val="Arial Narrow"/>
        <family val="2"/>
      </rPr>
      <t>kit de herramientas de trabajo</t>
    </r>
    <r>
      <rPr>
        <sz val="9"/>
        <color rgb="FF000000"/>
        <rFont val="Arial Narrow"/>
        <family val="2"/>
      </rPr>
      <t xml:space="preserve"> completo para cada asistente de la comunidad. ochenta (80)  personas, con el fin de facilitar la organización, toma de notas y apoyo durante las actividades y reuniones del proyecto. El kit incluye una Agenda para toma de apuntes, tamaño estándar (A5) con hojas cuadriculadas; un esfero de color negro, tinta permanente, de calidad media para escritura cómoda y legible; un esfero de color rojo para anotaciones o correcciones destacadas; "</t>
    </r>
    <r>
      <rPr>
        <b/>
        <sz val="9"/>
        <color rgb="FF000000"/>
        <rFont val="Arial Narrow"/>
        <family val="2"/>
      </rPr>
      <t>Cada elemento que conforma el kit. estará rotulado con el logotipo de PCA e información del convenio"</t>
    </r>
    <r>
      <rPr>
        <sz val="9"/>
        <color rgb="FF000000"/>
        <rFont val="Arial Narrow"/>
        <family val="2"/>
      </rPr>
      <t>,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t>
    </r>
  </si>
  <si>
    <r>
      <t xml:space="preserve">9. ACTIVIDAD  FORO  PUTUMAYO: </t>
    </r>
    <r>
      <rPr>
        <sz val="9"/>
        <color theme="1"/>
        <rFont val="Arial Narrow"/>
        <family val="2"/>
      </rPr>
      <t>Realizar el foro departamental en Putumayo para socializar la Política Nacional de Drogas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</si>
  <si>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ED0000"/>
        <rFont val="Arial Narrow"/>
        <family val="2"/>
      </rPr>
      <t xml:space="preserve">salón de eventos, </t>
    </r>
    <r>
      <rPr>
        <sz val="9"/>
        <color rgb="FF000000"/>
        <rFont val="Arial Narrow"/>
        <family val="2"/>
      </rPr>
      <t xml:space="preserve">por </t>
    </r>
    <r>
      <rPr>
        <b/>
        <sz val="9"/>
        <color rgb="FF000000"/>
        <rFont val="Arial Narrow"/>
        <family val="2"/>
      </rPr>
      <t>Un (1)</t>
    </r>
    <r>
      <rPr>
        <sz val="9"/>
        <color rgb="FF000000"/>
        <rFont val="Arial Narrow"/>
        <family val="2"/>
      </rPr>
      <t xml:space="preserve"> día de ocho (8) horas, que cuente con ayudas audiovisuales </t>
    </r>
    <r>
      <rPr>
        <b/>
        <sz val="9"/>
        <color rgb="FF000000"/>
        <rFont val="Arial Narrow"/>
        <family val="2"/>
      </rPr>
      <t>(video beam o proyector, sistema de sonido, micrófonos, silletería , mesas y salon auxiliar para funcionarios o equipo)</t>
    </r>
    <r>
      <rPr>
        <sz val="9"/>
        <color rgb="FF000000"/>
        <rFont val="Arial Narrow"/>
        <family val="2"/>
      </rPr>
      <t xml:space="preserve">, en acomodación tipo aula, Para </t>
    </r>
    <r>
      <rPr>
        <b/>
        <sz val="9"/>
        <color rgb="FFFF0000"/>
        <rFont val="Arial Narrow"/>
        <family val="2"/>
      </rPr>
      <t>setenta (70),</t>
    </r>
    <r>
      <rPr>
        <b/>
        <sz val="9"/>
        <color rgb="FFED0000"/>
        <rFont val="Arial Narrow"/>
        <family val="2"/>
      </rPr>
      <t xml:space="preserve"> </t>
    </r>
    <r>
      <rPr>
        <sz val="9"/>
        <color rgb="FF000000"/>
        <rFont val="Arial Narrow"/>
        <family val="2"/>
      </rPr>
      <t xml:space="preserve">personas de comunidades NARP del territorio, con la participación de dos (2) delegados del MJD, dos (2) delegados de DANCP  dos (2) delegados de DCN, y tres (03) personas del equipo de apoyo PCA. para un total de </t>
    </r>
    <r>
      <rPr>
        <b/>
        <sz val="9"/>
        <color rgb="FFED0000"/>
        <rFont val="Arial Narrow"/>
        <family val="2"/>
      </rPr>
      <t>setenta y nueve (79) personas</t>
    </r>
    <r>
      <rPr>
        <sz val="9"/>
        <color rgb="FF000000"/>
        <rFont val="Arial Narrow"/>
        <family val="2"/>
      </rPr>
      <t xml:space="preserve">  </t>
    </r>
    <r>
      <rPr>
        <b/>
        <sz val="9"/>
        <color rgb="FFED0000"/>
        <rFont val="Arial Narrow"/>
        <family val="2"/>
      </rPr>
      <t>en la ciudad de Mocoa.</t>
    </r>
  </si>
  <si>
    <r>
      <t xml:space="preserve">Alquiler de </t>
    </r>
    <r>
      <rPr>
        <b/>
        <sz val="9"/>
        <color rgb="FF000000"/>
        <rFont val="Arial Narrow"/>
        <family val="2"/>
      </rPr>
      <t>Una (1)</t>
    </r>
    <r>
      <rPr>
        <sz val="9"/>
        <color rgb="FF000000"/>
        <rFont val="Arial Narrow"/>
        <family val="2"/>
      </rPr>
      <t xml:space="preserve">, </t>
    </r>
    <r>
      <rPr>
        <b/>
        <sz val="9"/>
        <color rgb="FFED0000"/>
        <rFont val="Arial Narrow"/>
        <family val="2"/>
      </rPr>
      <t>Estación de Coffee Break</t>
    </r>
    <r>
      <rPr>
        <sz val="9"/>
        <color rgb="FF000000"/>
        <rFont val="Arial Narrow"/>
        <family val="2"/>
      </rPr>
      <t xml:space="preserve">, por ocho (8) horas, para </t>
    </r>
    <r>
      <rPr>
        <b/>
        <sz val="9"/>
        <color rgb="FF000000"/>
        <rFont val="Arial Narrow"/>
        <family val="2"/>
      </rPr>
      <t>Un (1)</t>
    </r>
    <r>
      <rPr>
        <sz val="9"/>
        <color rgb="FF000000"/>
        <rFont val="Arial Narrow"/>
        <family val="2"/>
      </rPr>
      <t xml:space="preserve">, día de trabajo que incluya Café ilimitado (tinto y/o americano), aromática y agua, galletas o pasabocas dulces/salados, vasos, servilletas, menaje desechable, para </t>
    </r>
    <r>
      <rPr>
        <b/>
        <sz val="9"/>
        <color rgb="FFED0000"/>
        <rFont val="Arial Narrow"/>
        <family val="2"/>
      </rPr>
      <t>setenta y nueve (79) personas.</t>
    </r>
  </si>
  <si>
    <r>
      <rPr>
        <b/>
        <sz val="9"/>
        <color rgb="FF000000"/>
        <rFont val="Arial Narrow"/>
        <family val="2"/>
      </rPr>
      <t>Tres (3)</t>
    </r>
    <r>
      <rPr>
        <sz val="9"/>
        <color rgb="FF000000"/>
        <rFont val="Arial Narrow"/>
        <family val="2"/>
      </rPr>
      <t xml:space="preserve"> </t>
    </r>
    <r>
      <rPr>
        <b/>
        <sz val="9"/>
        <color rgb="FFFF0000"/>
        <rFont val="Arial Narrow"/>
        <family val="2"/>
      </rPr>
      <t>Meseros</t>
    </r>
    <r>
      <rPr>
        <sz val="9"/>
        <color rgb="FF000000"/>
        <rFont val="Arial Narrow"/>
        <family val="2"/>
      </rPr>
      <t xml:space="preserve">, uniformados, capacitados y con experiencia en atención de eventos étnicos, para una jornada de ocho (8) horas continuas, para </t>
    </r>
    <r>
      <rPr>
        <b/>
        <sz val="9"/>
        <color rgb="FF000000"/>
        <rFont val="Arial Narrow"/>
        <family val="2"/>
      </rPr>
      <t>Un (1)</t>
    </r>
    <r>
      <rPr>
        <sz val="9"/>
        <color rgb="FF000000"/>
        <rFont val="Arial Narrow"/>
        <family val="2"/>
      </rPr>
      <t>, día de trabajo, con funciones orientadas a garantizar la atención directa a los participantes, apoyo en el montaje y prestación del servicio y reposición de la estación de Coffee Brack y recolección de residuos.</t>
    </r>
  </si>
  <si>
    <r>
      <rPr>
        <b/>
        <sz val="9"/>
        <color rgb="FF000000"/>
        <rFont val="Arial Narrow"/>
        <family val="2"/>
      </rPr>
      <t>Tres (3)</t>
    </r>
    <r>
      <rPr>
        <sz val="9"/>
        <color rgb="FF000000"/>
        <rFont val="Arial Narrow"/>
        <family val="2"/>
      </rPr>
      <t xml:space="preserve">, día de </t>
    </r>
    <r>
      <rPr>
        <b/>
        <sz val="9"/>
        <color rgb="FFFF0000"/>
        <rFont val="Arial Narrow"/>
        <family val="2"/>
      </rPr>
      <t>Hospedaje con acomodación individual, Transporte terrestre municipal interno y Alimentacion (Desayunos, Almuerzos y Cenas) para un (1) dia de llegada, un (1) dia de salida y (Desayunos y Cenas) para un (1) dia de sesion</t>
    </r>
    <r>
      <rPr>
        <b/>
        <sz val="9"/>
        <color rgb="FF000000"/>
        <rFont val="Arial Narrow"/>
        <family val="2"/>
      </rPr>
      <t xml:space="preserve">,  </t>
    </r>
    <r>
      <rPr>
        <sz val="9"/>
        <color rgb="FF000000"/>
        <rFont val="Arial Narrow"/>
        <family val="2"/>
      </rPr>
      <t xml:space="preserve">para setenta(70) personas de las comunidades Negras, Afrocolombianas, Raizales y Palenqueras del territorio ,  deberá respetarse la decisión individual de cada persona respecto al lugar donde desee hospedarse, Alimentarse y Transportarse garantizando un entorno adecuado para su comodidad y seguridad. </t>
    </r>
  </si>
  <si>
    <r>
      <rPr>
        <b/>
        <sz val="9"/>
        <color rgb="FF000000"/>
        <rFont val="Arial Narrow"/>
        <family val="2"/>
      </rPr>
      <t>Un (1)</t>
    </r>
    <r>
      <rPr>
        <sz val="9"/>
        <color rgb="FF000000"/>
        <rFont val="Arial Narrow"/>
        <family val="2"/>
      </rPr>
      <t xml:space="preserve">, </t>
    </r>
    <r>
      <rPr>
        <b/>
        <sz val="9"/>
        <color rgb="FFFF0000"/>
        <rFont val="Arial Narrow"/>
        <family val="2"/>
      </rPr>
      <t>Refrigerio ancestral matutino (a.m.)</t>
    </r>
    <r>
      <rPr>
        <sz val="9"/>
        <color rgb="FF000000"/>
        <rFont val="Arial Narrow"/>
        <family val="2"/>
      </rPr>
      <t xml:space="preserve"> para </t>
    </r>
    <r>
      <rPr>
        <b/>
        <sz val="9"/>
        <color rgb="FF000000"/>
        <rFont val="Arial Narrow"/>
        <family val="2"/>
      </rPr>
      <t>setenta y tres (73)</t>
    </r>
    <r>
      <rPr>
        <sz val="9"/>
        <color rgb="FF000000"/>
        <rFont val="Arial Narrow"/>
        <family val="2"/>
      </rPr>
      <t xml:space="preserve">  setenta (70) personas asistentes de la comunidad y </t>
    </r>
    <r>
      <rPr>
        <b/>
        <sz val="9"/>
        <color rgb="FF000000"/>
        <rFont val="Arial Narrow"/>
        <family val="2"/>
      </rPr>
      <t xml:space="preserve">tres (03) personas del equipo PCA. </t>
    </r>
    <r>
      <rPr>
        <sz val="9"/>
        <color rgb="FF000000"/>
        <rFont val="Arial Narrow"/>
        <family val="2"/>
      </rPr>
      <t xml:space="preserve"> orientado a fortalecer el reconocimiento y la valoración de las prácticas alimenticias tradicionales de los pueblos étnicos. El refrigerio incluye productos propios de la cultura ancestral, elaborados con ingredientes autóctonos y bajo técnicas culinarias tradicionales, promoviendo la soberanía alimentaria y el enfoque diferencial e intercultural.</t>
    </r>
  </si>
  <si>
    <r>
      <rPr>
        <b/>
        <sz val="9"/>
        <color rgb="FF000000"/>
        <rFont val="Arial Narrow"/>
        <family val="2"/>
      </rPr>
      <t>Un (1)</t>
    </r>
    <r>
      <rPr>
        <sz val="9"/>
        <color rgb="FF000000"/>
        <rFont val="Arial Narrow"/>
        <family val="2"/>
      </rPr>
      <t xml:space="preserve">, </t>
    </r>
    <r>
      <rPr>
        <sz val="9"/>
        <color rgb="FFFF0000"/>
        <rFont val="Arial Narrow"/>
        <family val="2"/>
      </rPr>
      <t>A</t>
    </r>
    <r>
      <rPr>
        <b/>
        <sz val="9"/>
        <color rgb="FFFF0000"/>
        <rFont val="Arial Narrow"/>
        <family val="2"/>
      </rPr>
      <t>lmuerzo ancestral</t>
    </r>
    <r>
      <rPr>
        <sz val="9"/>
        <color rgb="FF000000"/>
        <rFont val="Arial Narrow"/>
        <family val="2"/>
      </rPr>
      <t xml:space="preserve"> completo para </t>
    </r>
    <r>
      <rPr>
        <b/>
        <sz val="9"/>
        <color rgb="FF000000"/>
        <rFont val="Arial Narrow"/>
        <family val="2"/>
      </rPr>
      <t xml:space="preserve"> setenta y tres (73)</t>
    </r>
    <r>
      <rPr>
        <sz val="9"/>
        <color rgb="FF000000"/>
        <rFont val="Arial Narrow"/>
        <family val="2"/>
      </rPr>
      <t xml:space="preserve"> personas,  setenta  (70) personas asistentes comunidad y tres (03) personas del equipo PCA.  preparado con base en recetas, ingredientes y técnicas culinarias propias de los pueblos étnicos, promoviendo el respeto por la diversidad cultural, la soberanía alimentaria y la valoración de los saberes tradicionales en contextos institucionales y pedagógicos.</t>
    </r>
  </si>
  <si>
    <r>
      <rPr>
        <b/>
        <sz val="9"/>
        <color rgb="FF000000"/>
        <rFont val="Arial Narrow"/>
        <family val="2"/>
      </rPr>
      <t>Un (1)</t>
    </r>
    <r>
      <rPr>
        <sz val="9"/>
        <color rgb="FF000000"/>
        <rFont val="Arial Narrow"/>
        <family val="2"/>
      </rPr>
      <t xml:space="preserve">, </t>
    </r>
    <r>
      <rPr>
        <b/>
        <sz val="9"/>
        <color rgb="FFED0000"/>
        <rFont val="Arial Narrow"/>
        <family val="2"/>
      </rPr>
      <t>Refrigerio ancestral vespertino (p.m.)</t>
    </r>
    <r>
      <rPr>
        <sz val="9"/>
        <color rgb="FF000000"/>
        <rFont val="Arial Narrow"/>
        <family val="2"/>
      </rPr>
      <t xml:space="preserve"> para </t>
    </r>
    <r>
      <rPr>
        <b/>
        <sz val="9"/>
        <color rgb="FF000000"/>
        <rFont val="Arial Narrow"/>
        <family val="2"/>
      </rPr>
      <t>setenta y tres(73)</t>
    </r>
    <r>
      <rPr>
        <sz val="9"/>
        <color rgb="FF000000"/>
        <rFont val="Arial Narrow"/>
        <family val="2"/>
      </rPr>
      <t xml:space="preserve"> personas, setenta (70) personaas asistentes comunidad y tres (03) personas del equipo PCA.  compuesto por preparaciones tradicionales de los pueblos étnicos, elaboradas con ingredientes nativos y técnicas culinarias ancestrales. Este servicio busca fortalecer la identidad cultural a través de la alimentación, visibilizando prácticas y saberes gastronómicos propios en el marco de actividades institucionales.</t>
    </r>
  </si>
  <si>
    <r>
      <rPr>
        <b/>
        <sz val="9"/>
        <color rgb="FF000000"/>
        <rFont val="Arial Narrow"/>
        <family val="2"/>
      </rPr>
      <t>Un (1)</t>
    </r>
    <r>
      <rPr>
        <sz val="9"/>
        <color rgb="FF000000"/>
        <rFont val="Arial Narrow"/>
        <family val="2"/>
      </rPr>
      <t xml:space="preserve">, </t>
    </r>
    <r>
      <rPr>
        <b/>
        <sz val="9"/>
        <color rgb="FFED0000"/>
        <rFont val="Arial Narrow"/>
        <family val="2"/>
      </rPr>
      <t>Transporte multimodal de ida y regreso (Terrestre, Aereo y Fluvial para el caso que aplique)</t>
    </r>
    <r>
      <rPr>
        <sz val="9"/>
        <color rgb="FF000000"/>
        <rFont val="Arial Narrow"/>
        <family val="2"/>
      </rPr>
      <t xml:space="preserve"> para un total de </t>
    </r>
    <r>
      <rPr>
        <b/>
        <sz val="9"/>
        <color rgb="FF000000"/>
        <rFont val="Arial Narrow"/>
        <family val="2"/>
      </rPr>
      <t>setenta  (70)</t>
    </r>
    <r>
      <rPr>
        <sz val="9"/>
        <color rgb="FF000000"/>
        <rFont val="Arial Narrow"/>
        <family val="2"/>
      </rPr>
      <t xml:space="preserve"> personas del territorio participantes de comunidades NARP, desde el punto de origen hasta el lugar de desarrollo de las actividades programadas.
</t>
    </r>
    <r>
      <rPr>
        <b/>
        <sz val="9"/>
        <color rgb="FF000000"/>
        <rFont val="Arial Narrow"/>
        <family val="2"/>
      </rPr>
      <t>Nota: se debe tomar en cuenta que estos desplazamientos territoriales se causan desde las diferente condiciones geograficas y de accesibilidad para llegar al lugar convocado, en la mayoria de los casos son de dificil acceso o distancias prolongadas (Zonas Rurales) de los diferentes municipios que requieren de uno o varios medios de transporte (Fluviales, terretres y/o Aereos ) por participantes y en otros casos son de facil acceso y distancias cortas (Zonas Urbanas), lo que constituye  una variacion significativa en los valores de dichos transporte por participantes.</t>
    </r>
  </si>
  <si>
    <r>
      <rPr>
        <b/>
        <sz val="9"/>
        <color rgb="FF000000"/>
        <rFont val="Arial Narrow"/>
        <family val="2"/>
      </rPr>
      <t>Tres (3)</t>
    </r>
    <r>
      <rPr>
        <sz val="9"/>
        <color rgb="FF000000"/>
        <rFont val="Arial Narrow"/>
        <family val="2"/>
      </rPr>
      <t xml:space="preserve">, </t>
    </r>
    <r>
      <rPr>
        <b/>
        <sz val="9"/>
        <color rgb="FFFF0000"/>
        <rFont val="Arial Narrow"/>
        <family val="2"/>
      </rPr>
      <t xml:space="preserve"> Hospedaje con acomodación individual, Transporte terrestre municipal interno y Alimentacion (Desayunos, Almuerzos y Cenas) para un (1) dia de llegada, un (1) dia de salida y (Desayunos y Cenas) para un (1) dia de sesion</t>
    </r>
    <r>
      <rPr>
        <sz val="9"/>
        <color rgb="FF000000"/>
        <rFont val="Arial Narrow"/>
        <family val="2"/>
      </rPr>
      <t xml:space="preserve"> para </t>
    </r>
    <r>
      <rPr>
        <b/>
        <sz val="9"/>
        <color rgb="FF000000"/>
        <rFont val="Arial Narrow"/>
        <family val="2"/>
      </rPr>
      <t>Tres (3) personas</t>
    </r>
    <r>
      <rPr>
        <sz val="9"/>
        <color rgb="FF000000"/>
        <rFont val="Arial Narrow"/>
        <family val="2"/>
      </rPr>
      <t xml:space="preserve"> </t>
    </r>
    <r>
      <rPr>
        <b/>
        <sz val="9"/>
        <color rgb="FFFF0000"/>
        <rFont val="Arial Narrow"/>
        <family val="2"/>
      </rPr>
      <t>Equipo Administrativo PCA</t>
    </r>
    <r>
      <rPr>
        <sz val="9"/>
        <color rgb="FF000000"/>
        <rFont val="Arial Narrow"/>
        <family val="2"/>
      </rPr>
      <t>, el hospedaje deberá garantizar condiciones de descanso digno, comodidad y seguridad durante su participación en las actividades programadas.</t>
    </r>
  </si>
  <si>
    <r>
      <rPr>
        <b/>
        <sz val="9"/>
        <color rgb="FF000000"/>
        <rFont val="Arial Narrow"/>
        <family val="2"/>
      </rPr>
      <t>Un (1)</t>
    </r>
    <r>
      <rPr>
        <sz val="9"/>
        <color rgb="FF000000"/>
        <rFont val="Arial Narrow"/>
        <family val="2"/>
      </rPr>
      <t xml:space="preserve">, suministro de un </t>
    </r>
    <r>
      <rPr>
        <b/>
        <sz val="9"/>
        <color rgb="FFED0000"/>
        <rFont val="Arial Narrow"/>
        <family val="2"/>
      </rPr>
      <t>kit de herramientas de trabajo</t>
    </r>
    <r>
      <rPr>
        <sz val="9"/>
        <color rgb="FF000000"/>
        <rFont val="Arial Narrow"/>
        <family val="2"/>
      </rPr>
      <t xml:space="preserve"> completo para cada asistente de la comunidad.  setenta (70)  personas, con el fin de facilitar la organización, toma de notas y apoyo durante las actividades y reuniones del proyecto. El kit incluye una Agenda para toma de apuntes, tamaño estándar (A5) con hojas cuadriculadas; un esfero de color negro, tinta permanente, de calidad media para escritura cómoda y legible; un esfero de color rojo para anotaciones o correcciones destacadas; "</t>
    </r>
    <r>
      <rPr>
        <b/>
        <sz val="9"/>
        <color rgb="FF000000"/>
        <rFont val="Arial Narrow"/>
        <family val="2"/>
      </rPr>
      <t>Cada elemento que conforma el kit estará rotulado con logotipos de PCA e información del convenio"</t>
    </r>
    <r>
      <rPr>
        <sz val="9"/>
        <color rgb="FF000000"/>
        <rFont val="Arial Narrow"/>
        <family val="2"/>
      </rPr>
      <t>,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t>
    </r>
  </si>
  <si>
    <r>
      <t xml:space="preserve">10. ACTIVIDAD  FORO CAUCA: </t>
    </r>
    <r>
      <rPr>
        <sz val="9"/>
        <color theme="1"/>
        <rFont val="Arial Narrow"/>
        <family val="2"/>
      </rPr>
      <t>Realizar el foro departamental en Cauca para socializar la Política Nacional de Drogas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</si>
  <si>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ED0000"/>
        <rFont val="Arial Narrow"/>
        <family val="2"/>
      </rPr>
      <t xml:space="preserve">salón de eventos, </t>
    </r>
    <r>
      <rPr>
        <sz val="9"/>
        <color rgb="FF000000"/>
        <rFont val="Arial Narrow"/>
        <family val="2"/>
      </rPr>
      <t xml:space="preserve">por </t>
    </r>
    <r>
      <rPr>
        <b/>
        <sz val="9"/>
        <color rgb="FF000000"/>
        <rFont val="Arial Narrow"/>
        <family val="2"/>
      </rPr>
      <t>Un (1)</t>
    </r>
    <r>
      <rPr>
        <sz val="9"/>
        <color rgb="FF000000"/>
        <rFont val="Arial Narrow"/>
        <family val="2"/>
      </rPr>
      <t xml:space="preserve"> día de ocho (8) horas, que cuente con ayudas audiovisuales</t>
    </r>
    <r>
      <rPr>
        <b/>
        <sz val="9"/>
        <color rgb="FF000000"/>
        <rFont val="Arial Narrow"/>
        <family val="2"/>
      </rPr>
      <t xml:space="preserve"> (video beam o proyector, sistema de sonido, micrófonos, silletería , mesas y salon auxiliar para funcionarios o equipo)</t>
    </r>
    <r>
      <rPr>
        <sz val="9"/>
        <color rgb="FF000000"/>
        <rFont val="Arial Narrow"/>
        <family val="2"/>
      </rPr>
      <t xml:space="preserve">, en acomodación tipo aula, Para </t>
    </r>
    <r>
      <rPr>
        <b/>
        <sz val="9"/>
        <color rgb="FFED0000"/>
        <rFont val="Arial Narrow"/>
        <family val="2"/>
      </rPr>
      <t xml:space="preserve">ochenta (80), </t>
    </r>
    <r>
      <rPr>
        <sz val="9"/>
        <color rgb="FF000000"/>
        <rFont val="Arial Narrow"/>
        <family val="2"/>
      </rPr>
      <t xml:space="preserve">personas de comunidades Negras, Afrocolombianas, Raizales y Palenqueras del territorio, con la participación de dos (2) delegados del MJD, dos (2) delegados de DANCP, (2) delegados de DCN y Tres (3) integrantes del equipo administrativo del PCA, para un total de </t>
    </r>
    <r>
      <rPr>
        <b/>
        <sz val="9"/>
        <color rgb="FFED0000"/>
        <rFont val="Arial Narrow"/>
        <family val="2"/>
      </rPr>
      <t>ochenta y nueve (89)</t>
    </r>
    <r>
      <rPr>
        <sz val="9"/>
        <color rgb="FF000000"/>
        <rFont val="Arial Narrow"/>
        <family val="2"/>
      </rPr>
      <t xml:space="preserve"> personas. En acomodación tipo aula para 1 día de trabajo. </t>
    </r>
    <r>
      <rPr>
        <b/>
        <sz val="9"/>
        <color rgb="FFED0000"/>
        <rFont val="Arial Narrow"/>
        <family val="2"/>
      </rPr>
      <t>en la ciudad de Santander de Quilichao.</t>
    </r>
  </si>
  <si>
    <r>
      <rPr>
        <b/>
        <sz val="9"/>
        <color rgb="FF000000"/>
        <rFont val="Arial Narrow"/>
        <family val="2"/>
      </rPr>
      <t>Un (1)</t>
    </r>
    <r>
      <rPr>
        <sz val="9"/>
        <color rgb="FF000000"/>
        <rFont val="Arial Narrow"/>
        <family val="2"/>
      </rPr>
      <t xml:space="preserve">, suministro de un </t>
    </r>
    <r>
      <rPr>
        <b/>
        <sz val="9"/>
        <color rgb="FFED0000"/>
        <rFont val="Arial Narrow"/>
        <family val="2"/>
      </rPr>
      <t>kit de herramientas de trabajo</t>
    </r>
    <r>
      <rPr>
        <sz val="9"/>
        <color rgb="FF000000"/>
        <rFont val="Arial Narrow"/>
        <family val="2"/>
      </rPr>
      <t xml:space="preserve"> completo para cada asistente de la comunidad. ochenta (80)  personas, con el fin de facilitar la organización, toma de notas y apoyo durante las actividades y reuniones del proyecto. El kit incluye una Agenda para toma de apuntes, tamaño estándar (A5) con hojas cuadriculadas; un esfero de color negro, tinta permanente, de calidad media para escritura cómoda y legible; un esfero de color rojo para anotaciones o correcciones destacadas;</t>
    </r>
    <r>
      <rPr>
        <b/>
        <sz val="9"/>
        <color rgb="FF000000"/>
        <rFont val="Arial Narrow"/>
        <family val="2"/>
      </rPr>
      <t>"Cada elemento que conforma el kit estará rotulado con logotipos de PCA e información del convenio"</t>
    </r>
    <r>
      <rPr>
        <sz val="9"/>
        <color rgb="FF000000"/>
        <rFont val="Arial Narrow"/>
        <family val="2"/>
      </rPr>
      <t>,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t>
    </r>
  </si>
  <si>
    <r>
      <t xml:space="preserve">11. ACTIVIDAD FORO NARIÑO: </t>
    </r>
    <r>
      <rPr>
        <sz val="9"/>
        <color theme="1"/>
        <rFont val="Arial Narrow"/>
        <family val="2"/>
      </rPr>
      <t>Realizar el foro departamental en Nariño para socializar la Política Nacional de Drogas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</si>
  <si>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ED0000"/>
        <rFont val="Arial Narrow"/>
        <family val="2"/>
      </rPr>
      <t xml:space="preserve">salón de eventos, </t>
    </r>
    <r>
      <rPr>
        <sz val="9"/>
        <color rgb="FF000000"/>
        <rFont val="Arial Narrow"/>
        <family val="2"/>
      </rPr>
      <t xml:space="preserve">por </t>
    </r>
    <r>
      <rPr>
        <b/>
        <sz val="9"/>
        <color rgb="FF000000"/>
        <rFont val="Arial Narrow"/>
        <family val="2"/>
      </rPr>
      <t>Un (1)</t>
    </r>
    <r>
      <rPr>
        <sz val="9"/>
        <color rgb="FF000000"/>
        <rFont val="Arial Narrow"/>
        <family val="2"/>
      </rPr>
      <t xml:space="preserve"> día de ocho (8) horas, que cuente con ayudas audiovisuales </t>
    </r>
    <r>
      <rPr>
        <b/>
        <sz val="9"/>
        <color rgb="FF000000"/>
        <rFont val="Arial Narrow"/>
        <family val="2"/>
      </rPr>
      <t>(video beam o proyector, sistema de sonido, micrófonos, silletería , mesas y salon auxiliar para funcionarios o equipo)</t>
    </r>
    <r>
      <rPr>
        <sz val="9"/>
        <color rgb="FF000000"/>
        <rFont val="Arial Narrow"/>
        <family val="2"/>
      </rPr>
      <t xml:space="preserve">, en acomodación tipo aula, Para </t>
    </r>
    <r>
      <rPr>
        <b/>
        <sz val="9"/>
        <color rgb="FFED0000"/>
        <rFont val="Arial Narrow"/>
        <family val="2"/>
      </rPr>
      <t xml:space="preserve">ochenta (80), </t>
    </r>
    <r>
      <rPr>
        <sz val="9"/>
        <color rgb="FF000000"/>
        <rFont val="Arial Narrow"/>
        <family val="2"/>
      </rPr>
      <t xml:space="preserve">personas de comunidades Negras, Afrocolombianas, Raizales y Palenqueras del territorio, con la participación de dos (2) delegados del MJD, dos (2) delegados de DANCP, (2) delegados de DCN y Tres (3) integrantes del equipo administrativo del PCA, para un total de </t>
    </r>
    <r>
      <rPr>
        <b/>
        <sz val="9"/>
        <color rgb="FFED0000"/>
        <rFont val="Arial Narrow"/>
        <family val="2"/>
      </rPr>
      <t>ochenta y nueve (89)</t>
    </r>
    <r>
      <rPr>
        <sz val="9"/>
        <color rgb="FF000000"/>
        <rFont val="Arial Narrow"/>
        <family val="2"/>
      </rPr>
      <t xml:space="preserve"> personas. En acomodación tipo aula para 1 día de trabajo. </t>
    </r>
    <r>
      <rPr>
        <b/>
        <sz val="9"/>
        <color rgb="FFED0000"/>
        <rFont val="Arial Narrow"/>
        <family val="2"/>
      </rPr>
      <t>en la ciudad de Tumaco.</t>
    </r>
  </si>
  <si>
    <r>
      <rPr>
        <b/>
        <sz val="9"/>
        <color rgb="FF000000"/>
        <rFont val="Arial Narrow"/>
        <family val="2"/>
      </rPr>
      <t>Un (1)</t>
    </r>
    <r>
      <rPr>
        <sz val="9"/>
        <color rgb="FF000000"/>
        <rFont val="Arial Narrow"/>
        <family val="2"/>
      </rPr>
      <t xml:space="preserve">, </t>
    </r>
    <r>
      <rPr>
        <b/>
        <sz val="9"/>
        <color rgb="FFED0000"/>
        <rFont val="Arial Narrow"/>
        <family val="2"/>
      </rPr>
      <t>Refrigerio ancestral vespertino (p.m.)</t>
    </r>
    <r>
      <rPr>
        <sz val="9"/>
        <color rgb="FF000000"/>
        <rFont val="Arial Narrow"/>
        <family val="2"/>
      </rPr>
      <t xml:space="preserve"> para </t>
    </r>
    <r>
      <rPr>
        <b/>
        <sz val="9"/>
        <color rgb="FF000000"/>
        <rFont val="Arial Narrow"/>
        <family val="2"/>
      </rPr>
      <t>ochenta y tres (83)</t>
    </r>
    <r>
      <rPr>
        <sz val="9"/>
        <color rgb="FF000000"/>
        <rFont val="Arial Narrow"/>
        <family val="2"/>
      </rPr>
      <t xml:space="preserve"> personas, ochenta (80) personaas asistentes comunidad y tres (03) personas del equipo PCA.  compuesto por preparaciones tradicionales de los pueblos étnicos, elaboradas con ingredientes nativos y técnicas culinarias ancestrales. Este servicio busca fortalecer la identidad cultural a través de la alimentación, visibilizando prácticas y saberes gastronómicos propios en el marco de actividades institucionales.</t>
    </r>
  </si>
  <si>
    <r>
      <t>12. ASAMBLEA DEPARTAMENTAL AMAZONAS:</t>
    </r>
    <r>
      <rPr>
        <sz val="9"/>
        <color theme="1"/>
        <rFont val="Arial Narrow"/>
        <family val="2"/>
      </rPr>
      <t xml:space="preserve"> Realizar la Asamblea Territorial en el departamento del Amazonas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</si>
  <si>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Leticia.</t>
    </r>
  </si>
  <si>
    <r>
      <t xml:space="preserve">Alquiler de </t>
    </r>
    <r>
      <rPr>
        <b/>
        <sz val="9"/>
        <color rgb="FF000000"/>
        <rFont val="Arial Narrow"/>
        <family val="2"/>
      </rPr>
      <t>UNA (1)</t>
    </r>
    <r>
      <rPr>
        <sz val="9"/>
        <color rgb="FF000000"/>
        <rFont val="Arial Narrow"/>
        <family val="2"/>
      </rPr>
      <t xml:space="preserve">, </t>
    </r>
    <r>
      <rPr>
        <b/>
        <sz val="9"/>
        <color rgb="FFFF0000"/>
        <rFont val="Arial Narrow"/>
        <family val="2"/>
      </rPr>
      <t>estación de Coffee Break</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que incluya Café ilimitado (tinto y/o americano), aromática y agua, galletas o pasabocas dulces/salados, vasos, servilletas, menaje desechable, para </t>
    </r>
    <r>
      <rPr>
        <b/>
        <sz val="9"/>
        <color rgb="FFFF0000"/>
        <rFont val="Arial Narrow"/>
        <family val="2"/>
      </rPr>
      <t>cincuenta y nueve (59), personas.</t>
    </r>
  </si>
  <si>
    <r>
      <rPr>
        <b/>
        <sz val="9"/>
        <color rgb="FF000000"/>
        <rFont val="Arial Narrow"/>
        <family val="2"/>
      </rPr>
      <t>DOS (2)</t>
    </r>
    <r>
      <rPr>
        <sz val="9"/>
        <color rgb="FF000000"/>
        <rFont val="Arial Narrow"/>
        <family val="2"/>
      </rPr>
      <t xml:space="preserve">, </t>
    </r>
    <r>
      <rPr>
        <b/>
        <sz val="9"/>
        <color rgb="FFFF0000"/>
        <rFont val="Arial Narrow"/>
        <family val="2"/>
      </rPr>
      <t>meseros</t>
    </r>
    <r>
      <rPr>
        <sz val="9"/>
        <color rgb="FF000000"/>
        <rFont val="Arial Narrow"/>
        <family val="2"/>
      </rPr>
      <t xml:space="preserve"> uniformados, capacitados por </t>
    </r>
    <r>
      <rPr>
        <b/>
        <sz val="9"/>
        <color rgb="FF000000"/>
        <rFont val="Arial Narrow"/>
        <family val="2"/>
      </rPr>
      <t>Un (1)</t>
    </r>
    <r>
      <rPr>
        <sz val="9"/>
        <color rgb="FF000000"/>
        <rFont val="Arial Narrow"/>
        <family val="2"/>
      </rPr>
      <t>, día de ocho (8), y con experiencia en atención de eventos étnicos, para una jornada de ocho (8) horas continuas, con funciones orientadas a garantizar la atención directa a los participantes, apoyo en el montaje y prestación del servicio y reposición de la estación de Coffee Brack y recolección de residuos.</t>
    </r>
  </si>
  <si>
    <r>
      <rPr>
        <b/>
        <sz val="9"/>
        <color rgb="FF000000"/>
        <rFont val="Arial Narrow"/>
        <family val="2"/>
      </rPr>
      <t>Un (1)</t>
    </r>
    <r>
      <rPr>
        <sz val="9"/>
        <color rgb="FF000000"/>
        <rFont val="Arial Narrow"/>
        <family val="2"/>
      </rPr>
      <t xml:space="preserve">, </t>
    </r>
    <r>
      <rPr>
        <b/>
        <sz val="9"/>
        <color rgb="FFFF0000"/>
        <rFont val="Arial Narrow"/>
        <family val="2"/>
      </rPr>
      <t>Refrigerio ancestral matutino (a.m.)</t>
    </r>
    <r>
      <rPr>
        <sz val="9"/>
        <color rgb="FF000000"/>
        <rFont val="Arial Narrow"/>
        <family val="2"/>
      </rPr>
      <t xml:space="preserve"> para </t>
    </r>
    <r>
      <rPr>
        <b/>
        <sz val="9"/>
        <color rgb="FF000000"/>
        <rFont val="Arial Narrow"/>
        <family val="2"/>
      </rPr>
      <t>cincuenta y tres (53),</t>
    </r>
    <r>
      <rPr>
        <sz val="9"/>
        <color rgb="FF000000"/>
        <rFont val="Arial Narrow"/>
        <family val="2"/>
      </rPr>
      <t xml:space="preserve"> cincuenta (50) personas asistentes de la comunidad y tres (03) personas del equipo PCA., orientado a fortalecer el reconocimiento y la valoración de las prácticas alimenticias tradicionales de los pueblos étnicos. El refrigerio incluye productos propios de la cultura ancestral, elaborados con ingredientes autóctonos y bajo técnicas culinarias tradicionales, promoviendo la soberanía alimentaria y el enfoque diferencial e intercultural.</t>
    </r>
  </si>
  <si>
    <r>
      <rPr>
        <b/>
        <sz val="9"/>
        <color rgb="FF000000"/>
        <rFont val="Arial Narrow"/>
        <family val="2"/>
      </rPr>
      <t>Un (1)</t>
    </r>
    <r>
      <rPr>
        <sz val="9"/>
        <color rgb="FF000000"/>
        <rFont val="Arial Narrow"/>
        <family val="2"/>
      </rPr>
      <t xml:space="preserve">, </t>
    </r>
    <r>
      <rPr>
        <sz val="9"/>
        <color rgb="FFFF0000"/>
        <rFont val="Arial Narrow"/>
        <family val="2"/>
      </rPr>
      <t>A</t>
    </r>
    <r>
      <rPr>
        <b/>
        <sz val="9"/>
        <color rgb="FFFF0000"/>
        <rFont val="Arial Narrow"/>
        <family val="2"/>
      </rPr>
      <t>lmuerzo ancestral</t>
    </r>
    <r>
      <rPr>
        <sz val="9"/>
        <color rgb="FF000000"/>
        <rFont val="Arial Narrow"/>
        <family val="2"/>
      </rPr>
      <t xml:space="preserve"> completo para </t>
    </r>
    <r>
      <rPr>
        <b/>
        <sz val="9"/>
        <color rgb="FF000000"/>
        <rFont val="Arial Narrow"/>
        <family val="2"/>
      </rPr>
      <t>cincuenta y tres (53),</t>
    </r>
    <r>
      <rPr>
        <sz val="9"/>
        <color rgb="FF000000"/>
        <rFont val="Arial Narrow"/>
        <family val="2"/>
      </rPr>
      <t xml:space="preserve"> cincuenta (50) personas asistentes de la comunidad y tres (03) personas del equipo PCA, preparado con base en recetas, ingredientes y técnicas culinarias propias de los pueblos étnicos, promoviendo el respeto por la diversidad cultural, la soberanía alimentaria y la valoración de los saberes tradicionales en contextos institucionales y pedagógicos.</t>
    </r>
  </si>
  <si>
    <r>
      <rPr>
        <b/>
        <sz val="9"/>
        <color rgb="FF000000"/>
        <rFont val="Arial Narrow"/>
        <family val="2"/>
      </rPr>
      <t>Un (1)</t>
    </r>
    <r>
      <rPr>
        <sz val="9"/>
        <color rgb="FF000000"/>
        <rFont val="Arial Narrow"/>
        <family val="2"/>
      </rPr>
      <t xml:space="preserve">, </t>
    </r>
    <r>
      <rPr>
        <b/>
        <sz val="9"/>
        <color rgb="FFED0000"/>
        <rFont val="Arial Narrow"/>
        <family val="2"/>
      </rPr>
      <t>Refrigerio ancestral vespertino (p.m.)</t>
    </r>
    <r>
      <rPr>
        <sz val="9"/>
        <color rgb="FF000000"/>
        <rFont val="Arial Narrow"/>
        <family val="2"/>
      </rPr>
      <t xml:space="preserve"> para </t>
    </r>
    <r>
      <rPr>
        <b/>
        <sz val="9"/>
        <color rgb="FF000000"/>
        <rFont val="Arial Narrow"/>
        <family val="2"/>
      </rPr>
      <t>cincuenta y tres  (53),</t>
    </r>
    <r>
      <rPr>
        <sz val="9"/>
        <color rgb="FF000000"/>
        <rFont val="Arial Narrow"/>
        <family val="2"/>
      </rPr>
      <t xml:space="preserve">  cincuenta (50) personas asistentes de la comunidad y tres (03) personas del equipo PCA, compuesto por preparaciones tradicionales de los pueblos étnicos, elaboradas con ingredientes nativos y técnicas culinarias ancestrales. Este servicio busca fortalecer la identidad cultural a través de la alimentación, visibilizando prácticas y saberes gastronómicos propios en el marco de actividades institucionales.</t>
    </r>
  </si>
  <si>
    <r>
      <rPr>
        <b/>
        <sz val="9"/>
        <color rgb="FF000000"/>
        <rFont val="Arial Narrow"/>
        <family val="2"/>
      </rPr>
      <t>Tres (3)</t>
    </r>
    <r>
      <rPr>
        <sz val="9"/>
        <color rgb="FF000000"/>
        <rFont val="Arial Narrow"/>
        <family val="2"/>
      </rPr>
      <t xml:space="preserve">, día de </t>
    </r>
    <r>
      <rPr>
        <b/>
        <sz val="9"/>
        <color rgb="FFFF0000"/>
        <rFont val="Arial Narrow"/>
        <family val="2"/>
      </rPr>
      <t>Hospedaje con acomodación individual, Transporte terrestre municipal interno y Alimentacion (Desayunos, Almuerzos y Cenas) para un (1) dia de llegada, un (1) dia de salida y (Desayunos y Cenas) para un (1) dia de sesion</t>
    </r>
    <r>
      <rPr>
        <b/>
        <sz val="9"/>
        <color rgb="FF000000"/>
        <rFont val="Arial Narrow"/>
        <family val="2"/>
      </rPr>
      <t xml:space="preserve">,  </t>
    </r>
    <r>
      <rPr>
        <sz val="9"/>
        <color rgb="FF000000"/>
        <rFont val="Arial Narrow"/>
        <family val="2"/>
      </rPr>
      <t xml:space="preserve">para cincuenta (50) personas de las comunidades Negras, Afrocolombianas, Raizales y Palenqueras del territorio ,  deberá respetarse la decisión individual de cada persona respecto al lugar donde desee hospedarse, Alimentarse y Transportarse garantizando un entorno adecuado para su comodidad y seguridad. </t>
    </r>
  </si>
  <si>
    <r>
      <rPr>
        <b/>
        <sz val="9"/>
        <color rgb="FF000000"/>
        <rFont val="Arial Narrow"/>
        <family val="2"/>
      </rPr>
      <t>Un (1)</t>
    </r>
    <r>
      <rPr>
        <sz val="9"/>
        <color rgb="FF000000"/>
        <rFont val="Arial Narrow"/>
        <family val="2"/>
      </rPr>
      <t xml:space="preserve">, </t>
    </r>
    <r>
      <rPr>
        <b/>
        <sz val="9"/>
        <color rgb="FFFF0000"/>
        <rFont val="Arial Narrow"/>
        <family val="2"/>
      </rPr>
      <t>kit de herramientas de trabajo</t>
    </r>
    <r>
      <rPr>
        <sz val="9"/>
        <color rgb="FF000000"/>
        <rFont val="Arial Narrow"/>
        <family val="2"/>
      </rPr>
      <t xml:space="preserve"> completo para cada integrante participantes de comunidades NARP para un total de </t>
    </r>
    <r>
      <rPr>
        <b/>
        <sz val="9"/>
        <color rgb="FF000000"/>
        <rFont val="Arial Narrow"/>
        <family val="2"/>
      </rPr>
      <t>CINCUENTA (50)</t>
    </r>
    <r>
      <rPr>
        <sz val="9"/>
        <color rgb="FF000000"/>
        <rFont val="Arial Narrow"/>
        <family val="2"/>
      </rPr>
      <t>, con el fin de facilitar la organización, toma de notas y apoyo durante las actividades y reuniones del proyecto. El kit incluye una Agenda para toma de apuntes, tamaño estándar (A5) con hojas cuadriculadas; un esfero de color negro, tinta permanente, de calidad media para escritura cómoda y legible; un esfero de color rojo para anotaciones o correcciones destacadas;</t>
    </r>
    <r>
      <rPr>
        <b/>
        <sz val="9"/>
        <color rgb="FF000000"/>
        <rFont val="Arial Narrow"/>
        <family val="2"/>
      </rPr>
      <t>"Cada elemento que conforma el kit estará rotulado con logotipos de PCA e información del convenio"</t>
    </r>
    <r>
      <rPr>
        <sz val="9"/>
        <color rgb="FF000000"/>
        <rFont val="Arial Narrow"/>
        <family val="2"/>
      </rPr>
      <t xml:space="preserve">,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
</t>
    </r>
  </si>
  <si>
    <r>
      <t>13. ASAMBLEA DEPARTAMENTAL ANTIOQUIA:</t>
    </r>
    <r>
      <rPr>
        <sz val="9"/>
        <color theme="1"/>
        <rFont val="Arial Narrow"/>
        <family val="2"/>
      </rPr>
      <t xml:space="preserve"> Realizar la Asamblea Territorial en el departamento de Antioquia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</si>
  <si>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Medelllín.</t>
    </r>
  </si>
  <si>
    <r>
      <rPr>
        <b/>
        <sz val="9"/>
        <color theme="1"/>
        <rFont val="Arial Narrow"/>
        <family val="2"/>
      </rPr>
      <t>Un (1),</t>
    </r>
    <r>
      <rPr>
        <b/>
        <sz val="9"/>
        <color rgb="FFFF0000"/>
        <rFont val="Arial Narrow"/>
        <family val="2"/>
      </rPr>
      <t xml:space="preserve"> Transporte Aereo de ida y regreso</t>
    </r>
    <r>
      <rPr>
        <sz val="9"/>
        <color theme="1"/>
        <rFont val="Arial Narrow"/>
        <family val="2"/>
      </rPr>
      <t xml:space="preserve"> para un total de tres (03) personas, integrantes del equipo administrativo de PCA, desde la ciudad Capital mas cercana al lugar de origen, respetando la decision individual con respecto a las aerolineas, horarios y condiciones de viajes garantizando su comodidady seguridad. 
</t>
    </r>
    <r>
      <rPr>
        <b/>
        <sz val="9"/>
        <color theme="1"/>
        <rFont val="Arial Narrow"/>
        <family val="2"/>
      </rPr>
      <t>Nota: Valor por trayecto. (incluye minimamente tarifa que contenga; un (1) aticulo personal (bolso),  un (1) equipaje de mano de (10 kg) .</t>
    </r>
  </si>
  <si>
    <r>
      <rPr>
        <b/>
        <sz val="9"/>
        <color rgb="FF000000"/>
        <rFont val="Arial Narrow"/>
        <family val="2"/>
      </rPr>
      <t>Un (1)</t>
    </r>
    <r>
      <rPr>
        <sz val="9"/>
        <color rgb="FF000000"/>
        <rFont val="Arial Narrow"/>
        <family val="2"/>
      </rPr>
      <t xml:space="preserve">, </t>
    </r>
    <r>
      <rPr>
        <b/>
        <sz val="9"/>
        <color rgb="FFFF0000"/>
        <rFont val="Arial Narrow"/>
        <family val="2"/>
      </rPr>
      <t>kit de herramientas de trabajo</t>
    </r>
    <r>
      <rPr>
        <sz val="9"/>
        <color rgb="FF000000"/>
        <rFont val="Arial Narrow"/>
        <family val="2"/>
      </rPr>
      <t xml:space="preserve"> completo para cada integrante participantes de comunidades NARP para un total de </t>
    </r>
    <r>
      <rPr>
        <b/>
        <sz val="9"/>
        <color rgb="FF000000"/>
        <rFont val="Arial Narrow"/>
        <family val="2"/>
      </rPr>
      <t>CINCUENTA (50)</t>
    </r>
    <r>
      <rPr>
        <sz val="9"/>
        <color rgb="FF000000"/>
        <rFont val="Arial Narrow"/>
        <family val="2"/>
      </rPr>
      <t xml:space="preserve">, con el fin de facilitar la organización, toma de notas y apoyo durante las actividades y reuniones del proyecto. El kit incluye una Agenda para toma de apuntes, tamaño estándar (A5) con hojas cuadriculadas; un esfero de color negro, tinta permanente, de calidad media para escritura cómoda y legible; un esfero de color rojo para anotaciones o correcciones destacadas; </t>
    </r>
    <r>
      <rPr>
        <b/>
        <sz val="9"/>
        <color rgb="FF000000"/>
        <rFont val="Arial Narrow"/>
        <family val="2"/>
      </rPr>
      <t>"Cada elemento que coforma el kit estará rotulado con logotipos de PCA e información del convenio"</t>
    </r>
    <r>
      <rPr>
        <sz val="9"/>
        <color rgb="FF000000"/>
        <rFont val="Arial Narrow"/>
        <family val="2"/>
      </rPr>
      <t xml:space="preserve">,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
</t>
    </r>
  </si>
  <si>
    <r>
      <t>14. ASAMBLEA DEPARTAMENTAL ARAUCA:</t>
    </r>
    <r>
      <rPr>
        <sz val="9"/>
        <color theme="1"/>
        <rFont val="Arial Narrow"/>
        <family val="2"/>
      </rPr>
      <t xml:space="preserve">  Realizar la Asamblea Territorial en el departamento de Arauca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</si>
  <si>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Tame.</t>
    </r>
  </si>
  <si>
    <r>
      <rPr>
        <b/>
        <sz val="9"/>
        <color rgb="FF000000"/>
        <rFont val="Arial Narrow"/>
        <family val="2"/>
      </rPr>
      <t>Tres (3)</t>
    </r>
    <r>
      <rPr>
        <sz val="9"/>
        <color rgb="FF000000"/>
        <rFont val="Arial Narrow"/>
        <family val="2"/>
      </rPr>
      <t xml:space="preserve">, día de </t>
    </r>
    <r>
      <rPr>
        <b/>
        <sz val="9"/>
        <color rgb="FFFF0000"/>
        <rFont val="Arial Narrow"/>
        <family val="2"/>
      </rPr>
      <t>Hospedaje con acomodación individual, Transporte terrestre municipal interno y Alimentacion (Desayunos, Almuerzos y Cenas) para un (1) dia de llegada, un (1) dia de salida y (Desayunos y Cenas) para un (1) dia de sesion</t>
    </r>
    <r>
      <rPr>
        <b/>
        <sz val="9"/>
        <color rgb="FF000000"/>
        <rFont val="Arial Narrow"/>
        <family val="2"/>
      </rPr>
      <t xml:space="preserve">,  </t>
    </r>
    <r>
      <rPr>
        <sz val="9"/>
        <color rgb="FF000000"/>
        <rFont val="Arial Narrow"/>
        <family val="2"/>
      </rPr>
      <t xml:space="preserve">para cincuenta(50) personas de las comunidades Negras, Afrocolombianas, Raizales y Palenqueras del territorio ,  deberá respetarse la decisión individual de cada persona respecto al lugar donde desee hospedarse, Alimentarse y Transportarse garantizando un entorno adecuado para su comodidad y seguridad. </t>
    </r>
  </si>
  <si>
    <r>
      <t>15. ASAMBLEA DEPARTAMENTAL ATLÁNTICO:</t>
    </r>
    <r>
      <rPr>
        <sz val="9"/>
        <color theme="1"/>
        <rFont val="Arial Narrow"/>
        <family val="2"/>
      </rPr>
      <t xml:space="preserve"> Realizar la Asamblea Territorial en el departamento de Atlántico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</si>
  <si>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sesenta(60),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sesenta y nueve (69)</t>
    </r>
    <r>
      <rPr>
        <sz val="9"/>
        <color rgb="FF000000"/>
        <rFont val="Arial Narrow"/>
        <family val="2"/>
      </rPr>
      <t xml:space="preserve">, personas. En acomodación tipo aula en la </t>
    </r>
    <r>
      <rPr>
        <b/>
        <sz val="9"/>
        <color rgb="FFFF0000"/>
        <rFont val="Arial Narrow"/>
        <family val="2"/>
      </rPr>
      <t>ciudad de Galapa.</t>
    </r>
  </si>
  <si>
    <r>
      <t xml:space="preserve">Alquiler de </t>
    </r>
    <r>
      <rPr>
        <b/>
        <sz val="9"/>
        <color rgb="FF000000"/>
        <rFont val="Arial Narrow"/>
        <family val="2"/>
      </rPr>
      <t>UNA (1)</t>
    </r>
    <r>
      <rPr>
        <sz val="9"/>
        <color rgb="FF000000"/>
        <rFont val="Arial Narrow"/>
        <family val="2"/>
      </rPr>
      <t xml:space="preserve">, </t>
    </r>
    <r>
      <rPr>
        <b/>
        <sz val="9"/>
        <color rgb="FFFF0000"/>
        <rFont val="Arial Narrow"/>
        <family val="2"/>
      </rPr>
      <t>estación de Coffee Break</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que incluya Café ilimitado (tinto y/o americano), aromática y agua, galletas o pasabocas dulces/salados, vasos, servilletas, menaje desechable, para </t>
    </r>
    <r>
      <rPr>
        <b/>
        <sz val="9"/>
        <color rgb="FFFF0000"/>
        <rFont val="Arial Narrow"/>
        <family val="2"/>
      </rPr>
      <t>sesenta y nueve (69), personas.</t>
    </r>
  </si>
  <si>
    <r>
      <rPr>
        <b/>
        <sz val="9"/>
        <color rgb="FF000000"/>
        <rFont val="Arial Narrow"/>
        <family val="2"/>
      </rPr>
      <t>TRES (3)</t>
    </r>
    <r>
      <rPr>
        <sz val="9"/>
        <color rgb="FF000000"/>
        <rFont val="Arial Narrow"/>
        <family val="2"/>
      </rPr>
      <t xml:space="preserve">, </t>
    </r>
    <r>
      <rPr>
        <b/>
        <sz val="9"/>
        <color rgb="FFFF0000"/>
        <rFont val="Arial Narrow"/>
        <family val="2"/>
      </rPr>
      <t>meseros</t>
    </r>
    <r>
      <rPr>
        <sz val="9"/>
        <color rgb="FF000000"/>
        <rFont val="Arial Narrow"/>
        <family val="2"/>
      </rPr>
      <t xml:space="preserve"> uniformados, capacitados por </t>
    </r>
    <r>
      <rPr>
        <b/>
        <sz val="9"/>
        <color rgb="FF000000"/>
        <rFont val="Arial Narrow"/>
        <family val="2"/>
      </rPr>
      <t>Un (1)</t>
    </r>
    <r>
      <rPr>
        <sz val="9"/>
        <color rgb="FF000000"/>
        <rFont val="Arial Narrow"/>
        <family val="2"/>
      </rPr>
      <t>, día de ocho (8), y con experiencia en atención de eventos étnicos, para una jornada de ocho (8) horas continuas, con funciones orientadas a garantizar la atención directa a los participantes, apoyo en el montaje y prestación del servicio y reposición de la estación de Coffee Brack y recolección de residuos.</t>
    </r>
  </si>
  <si>
    <r>
      <rPr>
        <b/>
        <sz val="9"/>
        <color rgb="FF000000"/>
        <rFont val="Arial Narrow"/>
        <family val="2"/>
      </rPr>
      <t>Un (1)</t>
    </r>
    <r>
      <rPr>
        <sz val="9"/>
        <color rgb="FF000000"/>
        <rFont val="Arial Narrow"/>
        <family val="2"/>
      </rPr>
      <t xml:space="preserve">, </t>
    </r>
    <r>
      <rPr>
        <b/>
        <sz val="9"/>
        <color rgb="FFFF0000"/>
        <rFont val="Arial Narrow"/>
        <family val="2"/>
      </rPr>
      <t>Refrigerio ancestral matutino (a.m.)</t>
    </r>
    <r>
      <rPr>
        <sz val="9"/>
        <color rgb="FF000000"/>
        <rFont val="Arial Narrow"/>
        <family val="2"/>
      </rPr>
      <t xml:space="preserve"> para </t>
    </r>
    <r>
      <rPr>
        <b/>
        <sz val="9"/>
        <color rgb="FF000000"/>
        <rFont val="Arial Narrow"/>
        <family val="2"/>
      </rPr>
      <t>sesenta y tres (63),</t>
    </r>
    <r>
      <rPr>
        <sz val="9"/>
        <color rgb="FF000000"/>
        <rFont val="Arial Narrow"/>
        <family val="2"/>
      </rPr>
      <t xml:space="preserve"> sesenta (60) personas asistentes de la comunidad y tres (03) personas del equipo PCA., orientado a fortalecer el reconocimiento y la valoración de las prácticas alimenticias tradicionales de los pueblos étnicos. El refrigerio incluye productos propios de la cultura ancestral, elaborados con ingredientes autóctonos y bajo técnicas culinarias tradicionales, promoviendo la soberanía alimentaria y el enfoque diferencial e intercultural.</t>
    </r>
  </si>
  <si>
    <r>
      <rPr>
        <b/>
        <sz val="9"/>
        <color rgb="FF000000"/>
        <rFont val="Arial Narrow"/>
        <family val="2"/>
      </rPr>
      <t>Un (1)</t>
    </r>
    <r>
      <rPr>
        <sz val="9"/>
        <color rgb="FF000000"/>
        <rFont val="Arial Narrow"/>
        <family val="2"/>
      </rPr>
      <t xml:space="preserve">, </t>
    </r>
    <r>
      <rPr>
        <sz val="9"/>
        <color rgb="FFFF0000"/>
        <rFont val="Arial Narrow"/>
        <family val="2"/>
      </rPr>
      <t>A</t>
    </r>
    <r>
      <rPr>
        <b/>
        <sz val="9"/>
        <color rgb="FFFF0000"/>
        <rFont val="Arial Narrow"/>
        <family val="2"/>
      </rPr>
      <t>lmuerzo ancestral</t>
    </r>
    <r>
      <rPr>
        <sz val="9"/>
        <color rgb="FF000000"/>
        <rFont val="Arial Narrow"/>
        <family val="2"/>
      </rPr>
      <t xml:space="preserve"> completo para </t>
    </r>
    <r>
      <rPr>
        <b/>
        <sz val="9"/>
        <color rgb="FF000000"/>
        <rFont val="Arial Narrow"/>
        <family val="2"/>
      </rPr>
      <t>sesenta y tres (63),</t>
    </r>
    <r>
      <rPr>
        <sz val="9"/>
        <color rgb="FF000000"/>
        <rFont val="Arial Narrow"/>
        <family val="2"/>
      </rPr>
      <t xml:space="preserve"> sesenta (60) personas asistentes de la comunidad y tres (03) personas del equipo PCA, preparado con base en recetas, ingredientes y técnicas culinarias propias de los pueblos étnicos, promoviendo el respeto por la diversidad cultural, la soberanía alimentaria y la valoración de los saberes tradicionales en contextos institucionales y pedagógicos.</t>
    </r>
  </si>
  <si>
    <r>
      <rPr>
        <b/>
        <sz val="9"/>
        <color rgb="FF000000"/>
        <rFont val="Arial Narrow"/>
        <family val="2"/>
      </rPr>
      <t>Un (1)</t>
    </r>
    <r>
      <rPr>
        <sz val="9"/>
        <color rgb="FF000000"/>
        <rFont val="Arial Narrow"/>
        <family val="2"/>
      </rPr>
      <t xml:space="preserve">, </t>
    </r>
    <r>
      <rPr>
        <b/>
        <sz val="9"/>
        <color rgb="FFED0000"/>
        <rFont val="Arial Narrow"/>
        <family val="2"/>
      </rPr>
      <t>Refrigerio ancestral vespertino (p.m.)</t>
    </r>
    <r>
      <rPr>
        <sz val="9"/>
        <color rgb="FF000000"/>
        <rFont val="Arial Narrow"/>
        <family val="2"/>
      </rPr>
      <t xml:space="preserve"> para </t>
    </r>
    <r>
      <rPr>
        <b/>
        <sz val="9"/>
        <color rgb="FF000000"/>
        <rFont val="Arial Narrow"/>
        <family val="2"/>
      </rPr>
      <t>sesenta  y tres  (63),</t>
    </r>
    <r>
      <rPr>
        <sz val="9"/>
        <color rgb="FF000000"/>
        <rFont val="Arial Narrow"/>
        <family val="2"/>
      </rPr>
      <t xml:space="preserve">  sesenta (60) personas asistentes de la comunidad y tres (03) personas del equipo PCA, compuesto por preparaciones tradicionales de los pueblos étnicos, elaboradas con ingredientes nativos y técnicas culinarias ancestrales. Este servicio busca fortalecer la identidad cultural a través de la alimentación, visibilizando prácticas y saberes gastronómicos propios en el marco de actividades institucionales.</t>
    </r>
  </si>
  <si>
    <r>
      <rPr>
        <b/>
        <sz val="9"/>
        <color rgb="FF000000"/>
        <rFont val="Arial Narrow"/>
        <family val="2"/>
      </rPr>
      <t>Tres (3)</t>
    </r>
    <r>
      <rPr>
        <sz val="9"/>
        <color rgb="FF000000"/>
        <rFont val="Arial Narrow"/>
        <family val="2"/>
      </rPr>
      <t xml:space="preserve">, día de </t>
    </r>
    <r>
      <rPr>
        <b/>
        <sz val="9"/>
        <color rgb="FFFF0000"/>
        <rFont val="Arial Narrow"/>
        <family val="2"/>
      </rPr>
      <t>Hospedaje con acomodación individual, Transporte terrestre municipal interno y Alimentacion (Desayunos, Almuerzos y Cenas) para un (1) dia de llegada, un (1) dia de salida y (Desayunos y Cenas) para un (1) dia de sesion</t>
    </r>
    <r>
      <rPr>
        <b/>
        <sz val="9"/>
        <color rgb="FF000000"/>
        <rFont val="Arial Narrow"/>
        <family val="2"/>
      </rPr>
      <t xml:space="preserve">,  </t>
    </r>
    <r>
      <rPr>
        <sz val="9"/>
        <color rgb="FF000000"/>
        <rFont val="Arial Narrow"/>
        <family val="2"/>
      </rPr>
      <t xml:space="preserve">para sesenta (60) personas de las comunidades Negras, Afrocolombianas, Raizales y Palenqueras del territorio ,  deberá respetarse la decisión individual de cada persona respecto al lugar donde desee hospedarse, Alimentarse y Transportarse garantizando un entorno adecuado para su comodidad y seguridad. </t>
    </r>
  </si>
  <si>
    <r>
      <rPr>
        <b/>
        <sz val="9"/>
        <color rgb="FF000000"/>
        <rFont val="Arial Narrow"/>
        <family val="2"/>
      </rPr>
      <t>Un (1)</t>
    </r>
    <r>
      <rPr>
        <sz val="9"/>
        <color rgb="FF000000"/>
        <rFont val="Arial Narrow"/>
        <family val="2"/>
      </rPr>
      <t xml:space="preserve">, </t>
    </r>
    <r>
      <rPr>
        <b/>
        <sz val="9"/>
        <color rgb="FFFF0000"/>
        <rFont val="Arial Narrow"/>
        <family val="2"/>
      </rPr>
      <t>kit de herramientas de trabajo</t>
    </r>
    <r>
      <rPr>
        <sz val="9"/>
        <color rgb="FF000000"/>
        <rFont val="Arial Narrow"/>
        <family val="2"/>
      </rPr>
      <t xml:space="preserve"> completo para cada integrante participantes de comunidades NARP para un total de SESENTA</t>
    </r>
    <r>
      <rPr>
        <b/>
        <sz val="9"/>
        <color rgb="FF000000"/>
        <rFont val="Arial Narrow"/>
        <family val="2"/>
      </rPr>
      <t xml:space="preserve"> (60)</t>
    </r>
    <r>
      <rPr>
        <sz val="9"/>
        <color rgb="FF000000"/>
        <rFont val="Arial Narrow"/>
        <family val="2"/>
      </rPr>
      <t xml:space="preserve">, con el fin de facilitar la organización, toma de notas y apoyo durante las actividades y reuniones del proyecto. El kit incluye una Agenda para toma de apuntes, tamaño estándar (A5) con hojas cuadriculadas; un esfero de color negro, tinta permanente, de calidad media para escritura cómoda y legible; un esfero de color rojo para anotaciones o correcciones destacadas; </t>
    </r>
    <r>
      <rPr>
        <b/>
        <sz val="9"/>
        <color rgb="FF000000"/>
        <rFont val="Arial Narrow"/>
        <family val="2"/>
      </rPr>
      <t>"Cada elemento que coforma el kit estará rotulado con logotipos de PCA e información del convenio"</t>
    </r>
    <r>
      <rPr>
        <sz val="9"/>
        <color rgb="FF000000"/>
        <rFont val="Arial Narrow"/>
        <family val="2"/>
      </rPr>
      <t xml:space="preserve">,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
</t>
    </r>
  </si>
  <si>
    <r>
      <t xml:space="preserve">16. ASAMBLEA DEPARTAMENTAL BOGOTÁ DC: </t>
    </r>
    <r>
      <rPr>
        <sz val="9"/>
        <color theme="1"/>
        <rFont val="Arial Narrow"/>
        <family val="2"/>
      </rPr>
      <t>Realizar la Asamblea Territorial en Bogotá D.C.,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</si>
  <si>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sesenta(60),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sesenta y nueve (69)</t>
    </r>
    <r>
      <rPr>
        <sz val="9"/>
        <color rgb="FF000000"/>
        <rFont val="Arial Narrow"/>
        <family val="2"/>
      </rPr>
      <t xml:space="preserve">, personas. En acomodación tipo aula en la </t>
    </r>
    <r>
      <rPr>
        <b/>
        <sz val="9"/>
        <color rgb="FFFF0000"/>
        <rFont val="Arial Narrow"/>
        <family val="2"/>
      </rPr>
      <t>ciudad de BOGOTA D.C.</t>
    </r>
  </si>
  <si>
    <r>
      <t>17. ASAMBLEA DEPARTAMENTAL BOLÍVAR:</t>
    </r>
    <r>
      <rPr>
        <sz val="9"/>
        <color theme="1"/>
        <rFont val="Arial Narrow"/>
        <family val="2"/>
      </rPr>
      <t xml:space="preserve"> Realizar la Asamblea Territorial en el departamento de Bolívar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</si>
  <si>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Maria la  baja.</t>
    </r>
  </si>
  <si>
    <r>
      <rPr>
        <b/>
        <sz val="9"/>
        <color rgb="FF000000"/>
        <rFont val="Arial Narrow"/>
        <family val="2"/>
      </rPr>
      <t>Un (1)</t>
    </r>
    <r>
      <rPr>
        <sz val="9"/>
        <color rgb="FF000000"/>
        <rFont val="Arial Narrow"/>
        <family val="2"/>
      </rPr>
      <t xml:space="preserve">, </t>
    </r>
    <r>
      <rPr>
        <b/>
        <sz val="9"/>
        <color rgb="FFFF0000"/>
        <rFont val="Arial Narrow"/>
        <family val="2"/>
      </rPr>
      <t>kit de herramientas de trabajo</t>
    </r>
    <r>
      <rPr>
        <sz val="9"/>
        <color rgb="FF000000"/>
        <rFont val="Arial Narrow"/>
        <family val="2"/>
      </rPr>
      <t xml:space="preserve"> completo para cada integrante participantes de comunidades NARP para un total de CINCUENTA</t>
    </r>
    <r>
      <rPr>
        <b/>
        <sz val="9"/>
        <color rgb="FF000000"/>
        <rFont val="Arial Narrow"/>
        <family val="2"/>
      </rPr>
      <t xml:space="preserve"> (50)</t>
    </r>
    <r>
      <rPr>
        <sz val="9"/>
        <color rgb="FF000000"/>
        <rFont val="Arial Narrow"/>
        <family val="2"/>
      </rPr>
      <t xml:space="preserve">, con el fin de facilitar la organización, toma de notas y apoyo durante las actividades y reuniones del proyecto. El kit incluye una Agenda para toma de apuntes, tamaño estándar (A5) con hojas cuadriculadas; un esfero de color negro, tinta permanente, de calidad media para escritura cómoda y legible; un esfero de color rojo para anotaciones o correcciones destacadas; </t>
    </r>
    <r>
      <rPr>
        <b/>
        <sz val="9"/>
        <color rgb="FF000000"/>
        <rFont val="Arial Narrow"/>
        <family val="2"/>
      </rPr>
      <t>"Cada elemento que coforma el kit estará rotulado con logotipos de PCA e información del convenio"</t>
    </r>
    <r>
      <rPr>
        <sz val="9"/>
        <color rgb="FF000000"/>
        <rFont val="Arial Narrow"/>
        <family val="2"/>
      </rPr>
      <t xml:space="preserve">,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
</t>
    </r>
  </si>
  <si>
    <r>
      <t xml:space="preserve">18. ASAMBLEA DEPARTAMENTAL BOYACÁ: </t>
    </r>
    <r>
      <rPr>
        <sz val="9"/>
        <color theme="1"/>
        <rFont val="Arial Narrow"/>
        <family val="2"/>
      </rPr>
      <t>Realizar la Asamblea Territorial en el departamento de Boyacá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</si>
  <si>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Puerto Boyacá.</t>
    </r>
  </si>
  <si>
    <r>
      <t xml:space="preserve">19. ASAMBLEA DEPARTAMENTAL CALDAS: </t>
    </r>
    <r>
      <rPr>
        <sz val="9"/>
        <color theme="1"/>
        <rFont val="Arial Narrow"/>
        <family val="2"/>
      </rPr>
      <t>Realizar la Asamblea Territorial en el departamento de Caldas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</si>
  <si>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Manizales.</t>
    </r>
  </si>
  <si>
    <r>
      <t xml:space="preserve">20. ASAMBLEA DEPARTAMENTAL CAQUETÁ: </t>
    </r>
    <r>
      <rPr>
        <sz val="9"/>
        <color theme="1"/>
        <rFont val="Arial Narrow"/>
        <family val="2"/>
      </rPr>
      <t>Realizar la Asamblea Territorial en el departamento de Caquetá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</si>
  <si>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Florencia.</t>
    </r>
  </si>
  <si>
    <r>
      <t xml:space="preserve">21. ASAMBLEA DEPARTAMENTAL CASANARE: </t>
    </r>
    <r>
      <rPr>
        <sz val="9"/>
        <color theme="1"/>
        <rFont val="Arial Narrow"/>
        <family val="2"/>
      </rPr>
      <t>Realizar la Asamblea Territorial en el departamento de Casanare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</si>
  <si>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Villa nueva.</t>
    </r>
  </si>
  <si>
    <r>
      <t xml:space="preserve">22. ASAMBLEA DEPARTAMENTAL CAUCA: </t>
    </r>
    <r>
      <rPr>
        <sz val="9"/>
        <color theme="1"/>
        <rFont val="Arial Narrow"/>
        <family val="2"/>
      </rPr>
      <t>Realizar la Asamblea Territorial en el departamento de Cauca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</si>
  <si>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cien (100),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ciento nueve (109)</t>
    </r>
    <r>
      <rPr>
        <sz val="9"/>
        <color rgb="FF000000"/>
        <rFont val="Arial Narrow"/>
        <family val="2"/>
      </rPr>
      <t xml:space="preserve">, personas. En acomodación tipo aula en la </t>
    </r>
    <r>
      <rPr>
        <b/>
        <sz val="9"/>
        <color rgb="FFFF0000"/>
        <rFont val="Arial Narrow"/>
        <family val="2"/>
      </rPr>
      <t>ciudad de Santander de Quilichao.</t>
    </r>
  </si>
  <si>
    <r>
      <t xml:space="preserve">Alquiler de </t>
    </r>
    <r>
      <rPr>
        <b/>
        <sz val="9"/>
        <color rgb="FF000000"/>
        <rFont val="Arial Narrow"/>
        <family val="2"/>
      </rPr>
      <t>UNA (1)</t>
    </r>
    <r>
      <rPr>
        <sz val="9"/>
        <color rgb="FF000000"/>
        <rFont val="Arial Narrow"/>
        <family val="2"/>
      </rPr>
      <t xml:space="preserve">, </t>
    </r>
    <r>
      <rPr>
        <b/>
        <sz val="9"/>
        <color rgb="FFFF0000"/>
        <rFont val="Arial Narrow"/>
        <family val="2"/>
      </rPr>
      <t>estación de Coffee Break</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que incluya Café ilimitado (tinto y/o americano), aromática y agua, galletas o pasabocas dulces/salados, vasos, servilletas, menaje desechable, para </t>
    </r>
    <r>
      <rPr>
        <b/>
        <sz val="9"/>
        <color rgb="FFFF0000"/>
        <rFont val="Arial Narrow"/>
        <family val="2"/>
      </rPr>
      <t>ciento nueve (109), personas.</t>
    </r>
  </si>
  <si>
    <r>
      <rPr>
        <b/>
        <sz val="9"/>
        <color rgb="FF000000"/>
        <rFont val="Arial Narrow"/>
        <family val="2"/>
      </rPr>
      <t>CUATRO(4)</t>
    </r>
    <r>
      <rPr>
        <sz val="9"/>
        <color rgb="FF000000"/>
        <rFont val="Arial Narrow"/>
        <family val="2"/>
      </rPr>
      <t xml:space="preserve">, </t>
    </r>
    <r>
      <rPr>
        <b/>
        <sz val="9"/>
        <color rgb="FFFF0000"/>
        <rFont val="Arial Narrow"/>
        <family val="2"/>
      </rPr>
      <t>meseros</t>
    </r>
    <r>
      <rPr>
        <sz val="9"/>
        <color rgb="FF000000"/>
        <rFont val="Arial Narrow"/>
        <family val="2"/>
      </rPr>
      <t xml:space="preserve"> uniformados, capacitados por </t>
    </r>
    <r>
      <rPr>
        <b/>
        <sz val="9"/>
        <color rgb="FF000000"/>
        <rFont val="Arial Narrow"/>
        <family val="2"/>
      </rPr>
      <t>Un (1)</t>
    </r>
    <r>
      <rPr>
        <sz val="9"/>
        <color rgb="FF000000"/>
        <rFont val="Arial Narrow"/>
        <family val="2"/>
      </rPr>
      <t>, día de ocho (8), y con experiencia en atención de eventos étnicos, para una jornada de ocho (8) horas continuas, con funciones orientadas a garantizar la atención directa a los participantes, apoyo en el montaje y prestación del servicio y reposición de la estación de Coffee Brack y recolección de residuos.</t>
    </r>
  </si>
  <si>
    <r>
      <rPr>
        <b/>
        <sz val="9"/>
        <color rgb="FF000000"/>
        <rFont val="Arial Narrow"/>
        <family val="2"/>
      </rPr>
      <t>Un (1)</t>
    </r>
    <r>
      <rPr>
        <sz val="9"/>
        <color rgb="FF000000"/>
        <rFont val="Arial Narrow"/>
        <family val="2"/>
      </rPr>
      <t xml:space="preserve">, </t>
    </r>
    <r>
      <rPr>
        <b/>
        <sz val="9"/>
        <color rgb="FFFF0000"/>
        <rFont val="Arial Narrow"/>
        <family val="2"/>
      </rPr>
      <t>Refrigerio ancestral matutino (a.m.)</t>
    </r>
    <r>
      <rPr>
        <sz val="9"/>
        <color rgb="FF000000"/>
        <rFont val="Arial Narrow"/>
        <family val="2"/>
      </rPr>
      <t xml:space="preserve"> para </t>
    </r>
    <r>
      <rPr>
        <b/>
        <sz val="9"/>
        <color rgb="FF000000"/>
        <rFont val="Arial Narrow"/>
        <family val="2"/>
      </rPr>
      <t>ciento tres (103),</t>
    </r>
    <r>
      <rPr>
        <sz val="9"/>
        <color rgb="FF000000"/>
        <rFont val="Arial Narrow"/>
        <family val="2"/>
      </rPr>
      <t xml:space="preserve"> cien (100) personas asistentes de la comunidad y tres (03) personas del equipo PCA., orientado a fortalecer el reconocimiento y la valoración de las prácticas alimenticias tradicionales de los pueblos étnicos. El refrigerio incluye productos propios de la cultura ancestral, elaborados con ingredientes autóctonos y bajo técnicas culinarias tradicionales, promoviendo la soberanía alimentaria y el enfoque diferencial e intercultural.</t>
    </r>
  </si>
  <si>
    <r>
      <rPr>
        <b/>
        <sz val="9"/>
        <color rgb="FF000000"/>
        <rFont val="Arial Narrow"/>
        <family val="2"/>
      </rPr>
      <t>Un (1)</t>
    </r>
    <r>
      <rPr>
        <sz val="9"/>
        <color rgb="FF000000"/>
        <rFont val="Arial Narrow"/>
        <family val="2"/>
      </rPr>
      <t xml:space="preserve">, </t>
    </r>
    <r>
      <rPr>
        <sz val="9"/>
        <color rgb="FFFF0000"/>
        <rFont val="Arial Narrow"/>
        <family val="2"/>
      </rPr>
      <t>A</t>
    </r>
    <r>
      <rPr>
        <b/>
        <sz val="9"/>
        <color rgb="FFFF0000"/>
        <rFont val="Arial Narrow"/>
        <family val="2"/>
      </rPr>
      <t>lmuerzo ancestral</t>
    </r>
    <r>
      <rPr>
        <sz val="9"/>
        <color rgb="FF000000"/>
        <rFont val="Arial Narrow"/>
        <family val="2"/>
      </rPr>
      <t xml:space="preserve"> completo para </t>
    </r>
    <r>
      <rPr>
        <b/>
        <sz val="9"/>
        <color rgb="FF000000"/>
        <rFont val="Arial Narrow"/>
        <family val="2"/>
      </rPr>
      <t>ciento tres (103),</t>
    </r>
    <r>
      <rPr>
        <sz val="9"/>
        <color rgb="FF000000"/>
        <rFont val="Arial Narrow"/>
        <family val="2"/>
      </rPr>
      <t xml:space="preserve"> cien (100) personas asistentes de la comunidad y tres (03) personas del equipo PCA, preparado con base en recetas, ingredientes y técnicas culinarias propias de los pueblos étnicos, promoviendo el respeto por la diversidad cultural, la soberanía alimentaria y la valoración de los saberes tradicionales en contextos institucionales y pedagógicos.</t>
    </r>
  </si>
  <si>
    <r>
      <rPr>
        <b/>
        <sz val="9"/>
        <color rgb="FF000000"/>
        <rFont val="Arial Narrow"/>
        <family val="2"/>
      </rPr>
      <t>Un (1)</t>
    </r>
    <r>
      <rPr>
        <sz val="9"/>
        <color rgb="FF000000"/>
        <rFont val="Arial Narrow"/>
        <family val="2"/>
      </rPr>
      <t xml:space="preserve">, </t>
    </r>
    <r>
      <rPr>
        <b/>
        <sz val="9"/>
        <color rgb="FFED0000"/>
        <rFont val="Arial Narrow"/>
        <family val="2"/>
      </rPr>
      <t>Refrigerio ancestral vespertino (p.m.)</t>
    </r>
    <r>
      <rPr>
        <sz val="9"/>
        <color rgb="FF000000"/>
        <rFont val="Arial Narrow"/>
        <family val="2"/>
      </rPr>
      <t xml:space="preserve"> para </t>
    </r>
    <r>
      <rPr>
        <b/>
        <sz val="9"/>
        <color rgb="FF000000"/>
        <rFont val="Arial Narrow"/>
        <family val="2"/>
      </rPr>
      <t>ciento tres  (103),</t>
    </r>
    <r>
      <rPr>
        <sz val="9"/>
        <color rgb="FF000000"/>
        <rFont val="Arial Narrow"/>
        <family val="2"/>
      </rPr>
      <t xml:space="preserve">  cien (100) personas asistentes de la comunidad y tres (03) personas del equipo PCA, compuesto por preparaciones tradicionales de los pueblos étnicos, elaboradas con ingredientes nativos y técnicas culinarias ancestrales. Este servicio busca fortalecer la identidad cultural a través de la alimentación, visibilizando prácticas y saberes gastronómicos propios en el marco de actividades institucionales.</t>
    </r>
  </si>
  <si>
    <r>
      <rPr>
        <b/>
        <sz val="9"/>
        <color rgb="FF000000"/>
        <rFont val="Arial Narrow"/>
        <family val="2"/>
      </rPr>
      <t>Tres (3)</t>
    </r>
    <r>
      <rPr>
        <sz val="9"/>
        <color rgb="FF000000"/>
        <rFont val="Arial Narrow"/>
        <family val="2"/>
      </rPr>
      <t xml:space="preserve">, día de </t>
    </r>
    <r>
      <rPr>
        <b/>
        <sz val="9"/>
        <color rgb="FFFF0000"/>
        <rFont val="Arial Narrow"/>
        <family val="2"/>
      </rPr>
      <t>Hospedaje con acomodación individual, Transporte multimodal  municipal interno y Alimentacion (Desayunos, Almuerzos y Cenas) para un (1) dia de llegada, un (1) dia de salida y (Desayunos y Cenas) para un (1) dia de sesion</t>
    </r>
    <r>
      <rPr>
        <b/>
        <sz val="9"/>
        <color rgb="FF000000"/>
        <rFont val="Arial Narrow"/>
        <family val="2"/>
      </rPr>
      <t xml:space="preserve">,  </t>
    </r>
    <r>
      <rPr>
        <sz val="9"/>
        <color rgb="FF000000"/>
        <rFont val="Arial Narrow"/>
        <family val="2"/>
      </rPr>
      <t xml:space="preserve">para cien (100) personas de las comunidades Negras, Afrocolombianas, Raizales y Palenqueras del territorio ,  deberá respetarse la decisión individual de cada persona respecto al lugar donde desee hospedarse, Alimentarse y Transportarse garantizando un entorno adecuado para su comodidad y seguridad. 
</t>
    </r>
    <r>
      <rPr>
        <b/>
        <sz val="9"/>
        <color rgb="FF000000"/>
        <rFont val="Arial Narrow"/>
        <family val="2"/>
      </rPr>
      <t>Nota: se debe tomar en cuenta que estos desplazamientos territoriales se causan desde las diferente condiciones geograficas y de accesibilidad para llegar al lugar convocado, en la mayoria de los casos son de dificil acceso o distancias prolongadas (Zonas Rurales) de los diferentes municipios que requieren de uno o varios medios de transporte (Fluviales, terretres y/o Aereos ) por participantes y en otros casos son de facil acceso y distancias cortas (Zonas Urbanas), lo que constituye  una variacion significativa en los valores de dichos transporte por participantes.</t>
    </r>
  </si>
  <si>
    <r>
      <rPr>
        <b/>
        <sz val="9"/>
        <color rgb="FF000000"/>
        <rFont val="Arial Narrow"/>
        <family val="2"/>
      </rPr>
      <t>Un (1)</t>
    </r>
    <r>
      <rPr>
        <sz val="9"/>
        <color rgb="FF000000"/>
        <rFont val="Arial Narrow"/>
        <family val="2"/>
      </rPr>
      <t xml:space="preserve">, </t>
    </r>
    <r>
      <rPr>
        <b/>
        <sz val="9"/>
        <color rgb="FFFF0000"/>
        <rFont val="Arial Narrow"/>
        <family val="2"/>
      </rPr>
      <t>kit de herramientas de trabajo</t>
    </r>
    <r>
      <rPr>
        <sz val="9"/>
        <color rgb="FF000000"/>
        <rFont val="Arial Narrow"/>
        <family val="2"/>
      </rPr>
      <t xml:space="preserve"> completo para cada integrante participantes de comunidades NARP para un total de CIEN</t>
    </r>
    <r>
      <rPr>
        <b/>
        <sz val="9"/>
        <color rgb="FF000000"/>
        <rFont val="Arial Narrow"/>
        <family val="2"/>
      </rPr>
      <t xml:space="preserve"> (100) personas</t>
    </r>
    <r>
      <rPr>
        <sz val="9"/>
        <color rgb="FF000000"/>
        <rFont val="Arial Narrow"/>
        <family val="2"/>
      </rPr>
      <t xml:space="preserve">, con el fin de facilitar la organización, toma de notas y apoyo durante las actividades y reuniones del proyecto. El kit incluye una Agenda para toma de apuntes, tamaño estándar (A5) con hojas cuadriculadas; un esfero de color negro, tinta permanente, de calidad media para escritura cómoda y legible; un esfero de color rojo para anotaciones o correcciones destacadas; </t>
    </r>
    <r>
      <rPr>
        <b/>
        <sz val="9"/>
        <color rgb="FF000000"/>
        <rFont val="Arial Narrow"/>
        <family val="2"/>
      </rPr>
      <t>"Cada elemento que coforma el kit estará rotulado con logotipos de PCA e información del convenio"</t>
    </r>
    <r>
      <rPr>
        <sz val="9"/>
        <color rgb="FF000000"/>
        <rFont val="Arial Narrow"/>
        <family val="2"/>
      </rPr>
      <t xml:space="preserve">,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
</t>
    </r>
  </si>
  <si>
    <r>
      <t xml:space="preserve">23. ASAMBLEA DEPARTAMENTAL CESAR: </t>
    </r>
    <r>
      <rPr>
        <sz val="9"/>
        <color theme="1"/>
        <rFont val="Arial Narrow"/>
        <family val="2"/>
      </rPr>
      <t>Realizar la Asamblea Territorial en el departamento de Cesar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</si>
  <si>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Valledupar.</t>
    </r>
  </si>
  <si>
    <r>
      <t xml:space="preserve">24. ASAMBLEA DEPARTAMENTAL CHOCO: </t>
    </r>
    <r>
      <rPr>
        <sz val="9"/>
        <color theme="1"/>
        <rFont val="Arial Narrow"/>
        <family val="2"/>
      </rPr>
      <t>Realizar la Asamblea Territorial en el departamento de Chocó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</si>
  <si>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cien (100),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ciento nueve (109)</t>
    </r>
    <r>
      <rPr>
        <sz val="9"/>
        <color rgb="FF000000"/>
        <rFont val="Arial Narrow"/>
        <family val="2"/>
      </rPr>
      <t xml:space="preserve">, personas. En acomodación tipo aula en la </t>
    </r>
    <r>
      <rPr>
        <b/>
        <sz val="9"/>
        <color rgb="FFFF0000"/>
        <rFont val="Arial Narrow"/>
        <family val="2"/>
      </rPr>
      <t>ciudad de Quibdó.</t>
    </r>
  </si>
  <si>
    <r>
      <rPr>
        <b/>
        <sz val="9"/>
        <color rgb="FF000000"/>
        <rFont val="Arial Narrow"/>
        <family val="2"/>
      </rPr>
      <t>Un (1)</t>
    </r>
    <r>
      <rPr>
        <sz val="9"/>
        <color rgb="FF000000"/>
        <rFont val="Arial Narrow"/>
        <family val="2"/>
      </rPr>
      <t xml:space="preserve">, </t>
    </r>
    <r>
      <rPr>
        <b/>
        <sz val="9"/>
        <color rgb="FFFF0000"/>
        <rFont val="Arial Narrow"/>
        <family val="2"/>
      </rPr>
      <t>kit de herramientas de trabajo</t>
    </r>
    <r>
      <rPr>
        <sz val="9"/>
        <color rgb="FF000000"/>
        <rFont val="Arial Narrow"/>
        <family val="2"/>
      </rPr>
      <t xml:space="preserve"> completo para cada integrante participantes de comunidades NARP para un total de CIEN</t>
    </r>
    <r>
      <rPr>
        <b/>
        <sz val="9"/>
        <color rgb="FF000000"/>
        <rFont val="Arial Narrow"/>
        <family val="2"/>
      </rPr>
      <t xml:space="preserve"> (100)</t>
    </r>
    <r>
      <rPr>
        <sz val="9"/>
        <color rgb="FF000000"/>
        <rFont val="Arial Narrow"/>
        <family val="2"/>
      </rPr>
      <t xml:space="preserve">, con el fin de facilitar la organización, toma de notas y apoyo durante las actividades y reuniones del proyecto. El kit incluye una Agenda para toma de apuntes, tamaño estándar (A5) con hojas cuadriculadas; un esfero de color negro, tinta permanente, de calidad media para escritura cómoda y legible; un esfero de color rojo para anotaciones o correcciones destacadas; </t>
    </r>
    <r>
      <rPr>
        <b/>
        <sz val="9"/>
        <color rgb="FF000000"/>
        <rFont val="Arial Narrow"/>
        <family val="2"/>
      </rPr>
      <t>"Cada elemento que coforma el kit estará rotulado con logotipos de PCA e información del convenio"</t>
    </r>
    <r>
      <rPr>
        <sz val="9"/>
        <color rgb="FF000000"/>
        <rFont val="Arial Narrow"/>
        <family val="2"/>
      </rPr>
      <t xml:space="preserve">,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
</t>
    </r>
  </si>
  <si>
    <r>
      <t>25. ASAMBLEA DEPARTAMENTAL CÓRDOBA:</t>
    </r>
    <r>
      <rPr>
        <sz val="9"/>
        <color theme="1"/>
        <rFont val="Arial Narrow"/>
        <family val="2"/>
      </rPr>
      <t xml:space="preserve">  Realizar la Asamblea Territorial en el departamento de Córdoba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</si>
  <si>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Monteria.</t>
    </r>
  </si>
  <si>
    <r>
      <rPr>
        <b/>
        <sz val="9"/>
        <color rgb="FF000000"/>
        <rFont val="Arial Narrow"/>
        <family val="2"/>
      </rPr>
      <t>Un (1)</t>
    </r>
    <r>
      <rPr>
        <sz val="9"/>
        <color rgb="FF000000"/>
        <rFont val="Arial Narrow"/>
        <family val="2"/>
      </rPr>
      <t xml:space="preserve">, </t>
    </r>
    <r>
      <rPr>
        <b/>
        <sz val="9"/>
        <color rgb="FFFF0000"/>
        <rFont val="Arial Narrow"/>
        <family val="2"/>
      </rPr>
      <t>kit de herramientas de trabajo</t>
    </r>
    <r>
      <rPr>
        <sz val="9"/>
        <color rgb="FF000000"/>
        <rFont val="Arial Narrow"/>
        <family val="2"/>
      </rPr>
      <t xml:space="preserve"> completo para cada integrante participantes de comunidades NARP para un total de CINCUENTA</t>
    </r>
    <r>
      <rPr>
        <b/>
        <sz val="9"/>
        <color rgb="FF000000"/>
        <rFont val="Arial Narrow"/>
        <family val="2"/>
      </rPr>
      <t xml:space="preserve"> (50)</t>
    </r>
    <r>
      <rPr>
        <sz val="9"/>
        <color rgb="FF000000"/>
        <rFont val="Arial Narrow"/>
        <family val="2"/>
      </rPr>
      <t xml:space="preserve">, con el fin de facilitar la organización, toma de notas y apoyo durante las actividades y reuniones del proyecto. El kit incluye una Agenda para toma de apuntes, tamaño estándar (A5) con hojas cuadriculadas; un esfero de color negro, tinta permanente, de calidad media para escritura cómoda y legible; un esfero de color rojo para anotaciones o correcciones destacadas; </t>
    </r>
    <r>
      <rPr>
        <b/>
        <sz val="9"/>
        <color rgb="FF000000"/>
        <rFont val="Arial Narrow"/>
        <family val="2"/>
      </rPr>
      <t>"Cada elemento que conforma el kit estará rotulado con logotipos de PCA e información del convenio"</t>
    </r>
    <r>
      <rPr>
        <sz val="9"/>
        <color rgb="FF000000"/>
        <rFont val="Arial Narrow"/>
        <family val="2"/>
      </rPr>
      <t xml:space="preserve">,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
</t>
    </r>
  </si>
  <si>
    <r>
      <t xml:space="preserve">26. ASAMBLEA DEPARTAMENTAL CUNDINAMARCA: </t>
    </r>
    <r>
      <rPr>
        <sz val="9"/>
        <color theme="1"/>
        <rFont val="Arial Narrow"/>
        <family val="2"/>
      </rPr>
      <t>Realizar la Asamblea Territorial en el departamento de Cundinamarca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</si>
  <si>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Soacha.</t>
    </r>
  </si>
  <si>
    <r>
      <t>27. ASAMBLEA DEPARTAMENTAL GUAINÍA:</t>
    </r>
    <r>
      <rPr>
        <sz val="9"/>
        <color theme="1"/>
        <rFont val="Arial Narrow"/>
        <family val="2"/>
      </rPr>
      <t xml:space="preserve"> Realizar la Asamblea Territorial en el departamento de Guainía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</si>
  <si>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Puerto Inirida.</t>
    </r>
  </si>
  <si>
    <r>
      <t>28. ASAMBLEA DEPARTAMENTAL GUAVIARE:</t>
    </r>
    <r>
      <rPr>
        <sz val="9"/>
        <color theme="1"/>
        <rFont val="Arial Narrow"/>
        <family val="2"/>
      </rPr>
      <t xml:space="preserve"> Realizar la Asamblea Territorial en el departamento de Guaviare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</si>
  <si>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San José del Guaviare.</t>
    </r>
  </si>
  <si>
    <r>
      <t xml:space="preserve">29. ASAMBLEA DEPARTAMENTAL HUILA: </t>
    </r>
    <r>
      <rPr>
        <sz val="9"/>
        <color theme="1"/>
        <rFont val="Arial Narrow"/>
        <family val="2"/>
      </rPr>
      <t>Realizar la Asamblea Territorial en el departamento de Huila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</si>
  <si>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Neiva.</t>
    </r>
  </si>
  <si>
    <r>
      <t>30. ASAMBLEA DEPARTAMENTAL DE LA GUAJIRA:</t>
    </r>
    <r>
      <rPr>
        <sz val="9"/>
        <color theme="1"/>
        <rFont val="Arial Narrow"/>
        <family val="2"/>
      </rPr>
      <t xml:space="preserve"> Realizar la Asamblea Territorial en el departamento de La Guajira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</si>
  <si>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setenta (70),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setenta  y nueve (79)</t>
    </r>
    <r>
      <rPr>
        <sz val="9"/>
        <color rgb="FF000000"/>
        <rFont val="Arial Narrow"/>
        <family val="2"/>
      </rPr>
      <t xml:space="preserve">, personas. En acomodación tipo aula en la </t>
    </r>
    <r>
      <rPr>
        <b/>
        <sz val="9"/>
        <color rgb="FFFF0000"/>
        <rFont val="Arial Narrow"/>
        <family val="2"/>
      </rPr>
      <t>ciudad de Riohacha.</t>
    </r>
  </si>
  <si>
    <r>
      <t xml:space="preserve">Alquiler de </t>
    </r>
    <r>
      <rPr>
        <b/>
        <sz val="9"/>
        <color rgb="FF000000"/>
        <rFont val="Arial Narrow"/>
        <family val="2"/>
      </rPr>
      <t>UNA (1)</t>
    </r>
    <r>
      <rPr>
        <sz val="9"/>
        <color rgb="FF000000"/>
        <rFont val="Arial Narrow"/>
        <family val="2"/>
      </rPr>
      <t xml:space="preserve">, </t>
    </r>
    <r>
      <rPr>
        <b/>
        <sz val="9"/>
        <color rgb="FFFF0000"/>
        <rFont val="Arial Narrow"/>
        <family val="2"/>
      </rPr>
      <t>estación de Coffee Break</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que incluya Café ilimitado (tinto y/o americano), aromática y agua, galletas o pasabocas dulces/salados, vasos, servilletas, menaje desechable, para </t>
    </r>
    <r>
      <rPr>
        <b/>
        <sz val="9"/>
        <color rgb="FFFF0000"/>
        <rFont val="Arial Narrow"/>
        <family val="2"/>
      </rPr>
      <t>setenta y nueve (79), personas.</t>
    </r>
  </si>
  <si>
    <r>
      <rPr>
        <b/>
        <sz val="9"/>
        <color rgb="FF000000"/>
        <rFont val="Arial Narrow"/>
        <family val="2"/>
      </rPr>
      <t>Un (1)</t>
    </r>
    <r>
      <rPr>
        <sz val="9"/>
        <color rgb="FF000000"/>
        <rFont val="Arial Narrow"/>
        <family val="2"/>
      </rPr>
      <t xml:space="preserve">, </t>
    </r>
    <r>
      <rPr>
        <b/>
        <sz val="9"/>
        <color rgb="FFFF0000"/>
        <rFont val="Arial Narrow"/>
        <family val="2"/>
      </rPr>
      <t>Refrigerio ancestral matutino (a.m.)</t>
    </r>
    <r>
      <rPr>
        <sz val="9"/>
        <color rgb="FF000000"/>
        <rFont val="Arial Narrow"/>
        <family val="2"/>
      </rPr>
      <t xml:space="preserve"> para </t>
    </r>
    <r>
      <rPr>
        <b/>
        <sz val="9"/>
        <color rgb="FF000000"/>
        <rFont val="Arial Narrow"/>
        <family val="2"/>
      </rPr>
      <t>setenta  y tres (73),</t>
    </r>
    <r>
      <rPr>
        <sz val="9"/>
        <color rgb="FF000000"/>
        <rFont val="Arial Narrow"/>
        <family val="2"/>
      </rPr>
      <t xml:space="preserve">  setenta (70) personas asistentes de la comunidad y tres (03) personas del equipo PCA., orientado a fortalecer el reconocimiento y la valoración de las prácticas alimenticias tradicionales de los pueblos étnicos. El refrigerio incluye productos propios de la cultura ancestral, elaborados con ingredientes autóctonos y bajo técnicas culinarias tradicionales, promoviendo la soberanía alimentaria y el enfoque diferencial e intercultural.</t>
    </r>
  </si>
  <si>
    <r>
      <rPr>
        <b/>
        <sz val="9"/>
        <color rgb="FF000000"/>
        <rFont val="Arial Narrow"/>
        <family val="2"/>
      </rPr>
      <t>Un (1)</t>
    </r>
    <r>
      <rPr>
        <sz val="9"/>
        <color rgb="FF000000"/>
        <rFont val="Arial Narrow"/>
        <family val="2"/>
      </rPr>
      <t xml:space="preserve">, </t>
    </r>
    <r>
      <rPr>
        <sz val="9"/>
        <color rgb="FFFF0000"/>
        <rFont val="Arial Narrow"/>
        <family val="2"/>
      </rPr>
      <t>A</t>
    </r>
    <r>
      <rPr>
        <b/>
        <sz val="9"/>
        <color rgb="FFFF0000"/>
        <rFont val="Arial Narrow"/>
        <family val="2"/>
      </rPr>
      <t>lmuerzo ancestral</t>
    </r>
    <r>
      <rPr>
        <sz val="9"/>
        <color rgb="FF000000"/>
        <rFont val="Arial Narrow"/>
        <family val="2"/>
      </rPr>
      <t xml:space="preserve"> completo para </t>
    </r>
    <r>
      <rPr>
        <b/>
        <sz val="9"/>
        <color rgb="FF000000"/>
        <rFont val="Arial Narrow"/>
        <family val="2"/>
      </rPr>
      <t xml:space="preserve"> setenta y tres (73),</t>
    </r>
    <r>
      <rPr>
        <sz val="9"/>
        <color rgb="FF000000"/>
        <rFont val="Arial Narrow"/>
        <family val="2"/>
      </rPr>
      <t xml:space="preserve">  setenta(70) personas asistentes de la comunidad y tres (03) personas del equipo PCA, preparado con base en recetas, ingredientes y técnicas culinarias propias de los pueblos étnicos, promoviendo el respeto por la diversidad cultural, la soberanía alimentaria y la valoración de los saberes tradicionales en contextos institucionales y pedagógicos.</t>
    </r>
  </si>
  <si>
    <r>
      <rPr>
        <b/>
        <sz val="9"/>
        <color rgb="FF000000"/>
        <rFont val="Arial Narrow"/>
        <family val="2"/>
      </rPr>
      <t>Un (1)</t>
    </r>
    <r>
      <rPr>
        <sz val="9"/>
        <color rgb="FF000000"/>
        <rFont val="Arial Narrow"/>
        <family val="2"/>
      </rPr>
      <t xml:space="preserve">, </t>
    </r>
    <r>
      <rPr>
        <b/>
        <sz val="9"/>
        <color rgb="FFED0000"/>
        <rFont val="Arial Narrow"/>
        <family val="2"/>
      </rPr>
      <t>Refrigerio ancestral vespertino (p.m.)</t>
    </r>
    <r>
      <rPr>
        <sz val="9"/>
        <color rgb="FF000000"/>
        <rFont val="Arial Narrow"/>
        <family val="2"/>
      </rPr>
      <t xml:space="preserve"> para </t>
    </r>
    <r>
      <rPr>
        <b/>
        <sz val="9"/>
        <color rgb="FF000000"/>
        <rFont val="Arial Narrow"/>
        <family val="2"/>
      </rPr>
      <t>setenta y tres  (73),</t>
    </r>
    <r>
      <rPr>
        <sz val="9"/>
        <color rgb="FF000000"/>
        <rFont val="Arial Narrow"/>
        <family val="2"/>
      </rPr>
      <t xml:space="preserve">  setenta (70) personas asistentes de la comunidad y tres (03) personas del equipo PCA, compuesto por preparaciones tradicionales de los pueblos étnicos, elaboradas con ingredientes nativos y técnicas culinarias ancestrales. Este servicio busca fortalecer la identidad cultural a través de la alimentación, visibilizando prácticas y saberes gastronómicos propios en el marco de actividades institucionales.</t>
    </r>
  </si>
  <si>
    <r>
      <rPr>
        <b/>
        <sz val="9"/>
        <color rgb="FF000000"/>
        <rFont val="Arial Narrow"/>
        <family val="2"/>
      </rPr>
      <t>Un (1)</t>
    </r>
    <r>
      <rPr>
        <sz val="9"/>
        <color rgb="FF000000"/>
        <rFont val="Arial Narrow"/>
        <family val="2"/>
      </rPr>
      <t xml:space="preserve">, </t>
    </r>
    <r>
      <rPr>
        <b/>
        <sz val="9"/>
        <color rgb="FFFF0000"/>
        <rFont val="Arial Narrow"/>
        <family val="2"/>
      </rPr>
      <t>kit de herramientas de trabajo</t>
    </r>
    <r>
      <rPr>
        <sz val="9"/>
        <color rgb="FF000000"/>
        <rFont val="Arial Narrow"/>
        <family val="2"/>
      </rPr>
      <t xml:space="preserve"> completo para cada integrante participantes de comunidades NARP para un total de SETENTA</t>
    </r>
    <r>
      <rPr>
        <b/>
        <sz val="9"/>
        <color rgb="FF000000"/>
        <rFont val="Arial Narrow"/>
        <family val="2"/>
      </rPr>
      <t xml:space="preserve"> (70)</t>
    </r>
    <r>
      <rPr>
        <sz val="9"/>
        <color rgb="FF000000"/>
        <rFont val="Arial Narrow"/>
        <family val="2"/>
      </rPr>
      <t xml:space="preserve">, con el fin de facilitar la organización, toma de notas y apoyo durante las actividades y reuniones del proyecto. El kit incluye una Agenda para toma de apuntes, tamaño estándar (A5) con hojas cuadriculadas; un esfero de color negro, tinta permanente, de calidad media para escritura cómoda y legible; un esfero de color rojo para anotaciones o correcciones destacadas; </t>
    </r>
    <r>
      <rPr>
        <b/>
        <sz val="9"/>
        <color rgb="FF000000"/>
        <rFont val="Arial Narrow"/>
        <family val="2"/>
      </rPr>
      <t>"Cada elemento que conforma el kit estará rotulado con logotipos de PCA e información del convenio"</t>
    </r>
    <r>
      <rPr>
        <sz val="9"/>
        <color rgb="FF000000"/>
        <rFont val="Arial Narrow"/>
        <family val="2"/>
      </rPr>
      <t xml:space="preserve">,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
</t>
    </r>
  </si>
  <si>
    <r>
      <t>31. ASAMBLEA DEPARTAMENTAL DE MAGDALENA:</t>
    </r>
    <r>
      <rPr>
        <sz val="9"/>
        <color theme="1"/>
        <rFont val="Arial Narrow"/>
        <family val="2"/>
      </rPr>
      <t xml:space="preserve"> Realizar la Asamblea Territorial en el departamento de Magdalena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</si>
  <si>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Santa Marta.</t>
    </r>
  </si>
  <si>
    <r>
      <t>32. ASAMBLEA DEPARTAMENTAL DE META:</t>
    </r>
    <r>
      <rPr>
        <sz val="9"/>
        <color theme="1"/>
        <rFont val="Arial Narrow"/>
        <family val="2"/>
      </rPr>
      <t xml:space="preserve"> Realizar la Asamblea Territorial en el departamento de Meta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</si>
  <si>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Villavicencio.</t>
    </r>
  </si>
  <si>
    <r>
      <t>33. ASAMBLEA DEPARTAMENTAL DE NARIÑO:</t>
    </r>
    <r>
      <rPr>
        <sz val="9"/>
        <color theme="1"/>
        <rFont val="Arial Narrow"/>
        <family val="2"/>
      </rPr>
      <t xml:space="preserve"> Realizar la Asamblea Territorial en el departamento de Nariño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</si>
  <si>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cien (100),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ciento nueve (109)</t>
    </r>
    <r>
      <rPr>
        <sz val="9"/>
        <color rgb="FF000000"/>
        <rFont val="Arial Narrow"/>
        <family val="2"/>
      </rPr>
      <t xml:space="preserve">, personas. En acomodación tipo aula en la </t>
    </r>
    <r>
      <rPr>
        <b/>
        <sz val="9"/>
        <color rgb="FFFF0000"/>
        <rFont val="Arial Narrow"/>
        <family val="2"/>
      </rPr>
      <t>ciudad de Tumaco.</t>
    </r>
  </si>
  <si>
    <r>
      <rPr>
        <b/>
        <sz val="9"/>
        <color rgb="FF000000"/>
        <rFont val="Arial Narrow"/>
        <family val="2"/>
      </rPr>
      <t>Un (1)</t>
    </r>
    <r>
      <rPr>
        <sz val="9"/>
        <color rgb="FF000000"/>
        <rFont val="Arial Narrow"/>
        <family val="2"/>
      </rPr>
      <t xml:space="preserve">, </t>
    </r>
    <r>
      <rPr>
        <b/>
        <sz val="9"/>
        <color rgb="FFFF0000"/>
        <rFont val="Arial Narrow"/>
        <family val="2"/>
      </rPr>
      <t>kit de herramientas de trabajo</t>
    </r>
    <r>
      <rPr>
        <sz val="9"/>
        <color rgb="FF000000"/>
        <rFont val="Arial Narrow"/>
        <family val="2"/>
      </rPr>
      <t xml:space="preserve"> completo para cada integrante participantes de comunidades NARP para un total de CIEN</t>
    </r>
    <r>
      <rPr>
        <b/>
        <sz val="9"/>
        <color rgb="FF000000"/>
        <rFont val="Arial Narrow"/>
        <family val="2"/>
      </rPr>
      <t xml:space="preserve"> (100)</t>
    </r>
    <r>
      <rPr>
        <sz val="9"/>
        <color rgb="FF000000"/>
        <rFont val="Arial Narrow"/>
        <family val="2"/>
      </rPr>
      <t xml:space="preserve">, con el fin de facilitar la organización, toma de notas y apoyo durante las actividades y reuniones del proyecto. El kit incluye una Agenda para toma de apuntes, tamaño estándar (A5) con hojas cuadriculadas; un esfero de color negro, tinta permanente, de calidad media para escritura cómoda y legible; un esfero de color rojo para anotaciones o correcciones destacadas; </t>
    </r>
    <r>
      <rPr>
        <b/>
        <sz val="9"/>
        <color rgb="FF000000"/>
        <rFont val="Arial Narrow"/>
        <family val="2"/>
      </rPr>
      <t>"Cada elemento que conforma el kit estará rotulado con logotipos de PCA e información del convenio"</t>
    </r>
    <r>
      <rPr>
        <sz val="9"/>
        <color rgb="FF000000"/>
        <rFont val="Arial Narrow"/>
        <family val="2"/>
      </rPr>
      <t xml:space="preserve">,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
</t>
    </r>
  </si>
  <si>
    <r>
      <t xml:space="preserve">34. ASAMBLEA DEPARTAMENTAL NORTE DE SANTANDER: </t>
    </r>
    <r>
      <rPr>
        <sz val="9"/>
        <color theme="1"/>
        <rFont val="Arial Narrow"/>
        <family val="2"/>
      </rPr>
      <t>Realizar la Asamblea Territorial en el departamento de Norte de Santander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</si>
  <si>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cien (100),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ciento nueve (109)</t>
    </r>
    <r>
      <rPr>
        <sz val="9"/>
        <color rgb="FF000000"/>
        <rFont val="Arial Narrow"/>
        <family val="2"/>
      </rPr>
      <t xml:space="preserve">, personas. En acomodación tipo aula en la </t>
    </r>
    <r>
      <rPr>
        <b/>
        <sz val="9"/>
        <color rgb="FFFF0000"/>
        <rFont val="Arial Narrow"/>
        <family val="2"/>
      </rPr>
      <t>ciudad de Cúcuta.</t>
    </r>
  </si>
  <si>
    <r>
      <t>35. ASAMBLEA DEPARTAMENTAL DE PUTUMAYO:</t>
    </r>
    <r>
      <rPr>
        <sz val="9"/>
        <color theme="1"/>
        <rFont val="Arial Narrow"/>
        <family val="2"/>
      </rPr>
      <t xml:space="preserve"> Realizar la Asamblea Territorial en el departamento de Putumayo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</si>
  <si>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Mocoa.</t>
    </r>
  </si>
  <si>
    <r>
      <t>36. ASAMBLEA DEPARTAMENTAL DE QUINDÍO:</t>
    </r>
    <r>
      <rPr>
        <sz val="9"/>
        <color theme="1"/>
        <rFont val="Arial Narrow"/>
        <family val="2"/>
      </rPr>
      <t xml:space="preserve"> Realizar la Asamblea Territorial en el departamento de Quindío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</si>
  <si>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Armenia.</t>
    </r>
  </si>
  <si>
    <r>
      <rPr>
        <b/>
        <sz val="9"/>
        <color rgb="FF000000"/>
        <rFont val="Arial Narrow"/>
        <family val="2"/>
      </rPr>
      <t>Un (1)</t>
    </r>
    <r>
      <rPr>
        <sz val="9"/>
        <color rgb="FF000000"/>
        <rFont val="Arial Narrow"/>
        <family val="2"/>
      </rPr>
      <t xml:space="preserve">, </t>
    </r>
    <r>
      <rPr>
        <b/>
        <sz val="9"/>
        <color rgb="FFFF0000"/>
        <rFont val="Arial Narrow"/>
        <family val="2"/>
      </rPr>
      <t>kit de herramientas de trabajo</t>
    </r>
    <r>
      <rPr>
        <sz val="9"/>
        <color rgb="FF000000"/>
        <rFont val="Arial Narrow"/>
        <family val="2"/>
      </rPr>
      <t xml:space="preserve"> completo para cada integrante participantes de comunidades NARP para un total de </t>
    </r>
    <r>
      <rPr>
        <b/>
        <sz val="9"/>
        <color rgb="FF000000"/>
        <rFont val="Arial Narrow"/>
        <family val="2"/>
      </rPr>
      <t>CINCUENTA (50)</t>
    </r>
    <r>
      <rPr>
        <sz val="9"/>
        <color rgb="FF000000"/>
        <rFont val="Arial Narrow"/>
        <family val="2"/>
      </rPr>
      <t>, con el fin de facilitar la organización, toma de notas y apoyo durante las actividades y reuniones del proyecto. El kit incluye una Agenda para toma de apuntes, tamaño estándar (A5) con hojas cuadriculadas; un esfero de color negro, tinta permanente, de calidad media para escritura cómoda y legible; un esfero de color rojo para anotaciones o correcciones destacadas,</t>
    </r>
    <r>
      <rPr>
        <b/>
        <sz val="9"/>
        <color rgb="FF000000"/>
        <rFont val="Arial Narrow"/>
        <family val="2"/>
      </rPr>
      <t xml:space="preserve"> "Cada elemento que conforma el kit estará rotulado con logotipos de PCA e información del convenio"</t>
    </r>
    <r>
      <rPr>
        <sz val="9"/>
        <color rgb="FF000000"/>
        <rFont val="Arial Narrow"/>
        <family val="2"/>
      </rPr>
      <t xml:space="preserve">;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
</t>
    </r>
  </si>
  <si>
    <r>
      <t>37. ASAMBLEA DEPARTAMENTAL DE RISARALDA:</t>
    </r>
    <r>
      <rPr>
        <sz val="9"/>
        <color theme="1"/>
        <rFont val="Arial Narrow"/>
        <family val="2"/>
      </rPr>
      <t xml:space="preserve"> Realizar la Asamblea Territorial en el departamento de Risaralda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</si>
  <si>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Santa Cecilia.</t>
    </r>
  </si>
  <si>
    <r>
      <t xml:space="preserve">38. ASAMBLEA SAN ANDRÉS Y PROVIDENCIA: </t>
    </r>
    <r>
      <rPr>
        <sz val="9"/>
        <color theme="1"/>
        <rFont val="Arial Narrow"/>
        <family val="2"/>
      </rPr>
      <t>Realizar la Asamblea Territorial en el departamento de Archipiélago de San Andrés, Providencia y Santa Catalina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</si>
  <si>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San Andrés  Islas.</t>
    </r>
  </si>
  <si>
    <r>
      <t xml:space="preserve">39. ASAMBLEA  SAN BASILO DE PALENQUE: </t>
    </r>
    <r>
      <rPr>
        <sz val="9"/>
        <color theme="1"/>
        <rFont val="Arial Narrow"/>
        <family val="2"/>
      </rPr>
      <t>Realizar la Asamblea Territorial en San Basilio de Palenque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</si>
  <si>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San Basilio de Palenque-municipio Mahates.</t>
    </r>
  </si>
  <si>
    <r>
      <rPr>
        <b/>
        <sz val="9"/>
        <color rgb="FF000000"/>
        <rFont val="Arial Narrow"/>
        <family val="2"/>
      </rPr>
      <t>Un (1)</t>
    </r>
    <r>
      <rPr>
        <sz val="9"/>
        <color rgb="FF000000"/>
        <rFont val="Arial Narrow"/>
        <family val="2"/>
      </rPr>
      <t xml:space="preserve">, </t>
    </r>
    <r>
      <rPr>
        <b/>
        <sz val="9"/>
        <color rgb="FFFF0000"/>
        <rFont val="Arial Narrow"/>
        <family val="2"/>
      </rPr>
      <t>kit de herramientas de trabajo</t>
    </r>
    <r>
      <rPr>
        <sz val="9"/>
        <color rgb="FF000000"/>
        <rFont val="Arial Narrow"/>
        <family val="2"/>
      </rPr>
      <t xml:space="preserve"> completo para cada integrante participantes de comunidades NARP para un total de </t>
    </r>
    <r>
      <rPr>
        <b/>
        <sz val="9"/>
        <color rgb="FF000000"/>
        <rFont val="Arial Narrow"/>
        <family val="2"/>
      </rPr>
      <t>CINCUENTA (50)</t>
    </r>
    <r>
      <rPr>
        <sz val="9"/>
        <color rgb="FF000000"/>
        <rFont val="Arial Narrow"/>
        <family val="2"/>
      </rPr>
      <t xml:space="preserve">, con el fin de facilitar la organización, toma de notas y apoyo durante las actividades y reuniones del proyecto. El kit incluye una Agenda para toma de apuntes, tamaño estándar (A5) con hojas cuadriculadas; un esfero de color negro, tinta permanente, de calidad media para escritura cómoda y legible; un esfero de color rojo para anotaciones o correcciones destacadas, </t>
    </r>
    <r>
      <rPr>
        <b/>
        <sz val="9"/>
        <color rgb="FF000000"/>
        <rFont val="Arial Narrow"/>
        <family val="2"/>
      </rPr>
      <t>"Cada elemento que conforma el kit estará rotulado con logotipos de PCA e información del convenio"</t>
    </r>
    <r>
      <rPr>
        <sz val="9"/>
        <color rgb="FF000000"/>
        <rFont val="Arial Narrow"/>
        <family val="2"/>
      </rPr>
      <t xml:space="preserve">;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
</t>
    </r>
  </si>
  <si>
    <r>
      <t xml:space="preserve">40. ASAMBLEA SANTANDER: </t>
    </r>
    <r>
      <rPr>
        <sz val="9"/>
        <color theme="1"/>
        <rFont val="Arial Narrow"/>
        <family val="2"/>
      </rPr>
      <t>Realizar la Asamblea Territorial en el departamento de Santander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</si>
  <si>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Barrancabermeja.</t>
    </r>
  </si>
  <si>
    <r>
      <t>41. ASAMBLEA SUCRE:</t>
    </r>
    <r>
      <rPr>
        <sz val="9"/>
        <color theme="1"/>
        <rFont val="Arial Narrow"/>
        <family val="2"/>
      </rPr>
      <t xml:space="preserve"> Realizar la Asamblea Territorial en el departamento de Sucre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</si>
  <si>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sesenta(60),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sesenta y nueve (69)</t>
    </r>
    <r>
      <rPr>
        <sz val="9"/>
        <color rgb="FF000000"/>
        <rFont val="Arial Narrow"/>
        <family val="2"/>
      </rPr>
      <t xml:space="preserve">, personas. En acomodación tipo aula en la </t>
    </r>
    <r>
      <rPr>
        <b/>
        <sz val="9"/>
        <color rgb="FFFF0000"/>
        <rFont val="Arial Narrow"/>
        <family val="2"/>
      </rPr>
      <t>ciudad de COROZAL.</t>
    </r>
  </si>
  <si>
    <r>
      <rPr>
        <b/>
        <sz val="9"/>
        <color rgb="FF000000"/>
        <rFont val="Arial Narrow"/>
        <family val="2"/>
      </rPr>
      <t>Un (1)</t>
    </r>
    <r>
      <rPr>
        <sz val="9"/>
        <color rgb="FF000000"/>
        <rFont val="Arial Narrow"/>
        <family val="2"/>
      </rPr>
      <t xml:space="preserve">, </t>
    </r>
    <r>
      <rPr>
        <b/>
        <sz val="9"/>
        <color rgb="FFFF0000"/>
        <rFont val="Arial Narrow"/>
        <family val="2"/>
      </rPr>
      <t>kit de herramientas de trabajo</t>
    </r>
    <r>
      <rPr>
        <sz val="9"/>
        <color rgb="FF000000"/>
        <rFont val="Arial Narrow"/>
        <family val="2"/>
      </rPr>
      <t xml:space="preserve"> completo para cada integrante participantes de comunidades NARP para un total de </t>
    </r>
    <r>
      <rPr>
        <b/>
        <sz val="9"/>
        <color rgb="FF000000"/>
        <rFont val="Arial Narrow"/>
        <family val="2"/>
      </rPr>
      <t>SESENTA (60)</t>
    </r>
    <r>
      <rPr>
        <sz val="9"/>
        <color rgb="FF000000"/>
        <rFont val="Arial Narrow"/>
        <family val="2"/>
      </rPr>
      <t>, con el fin de facilitar la organización, toma de notas y apoyo durante las actividades y reuniones del proyecto. El kit incluye una Agenda para toma de apuntes, tamaño estándar (A5) con hojas cuadriculadas; un esfero de color negro, tinta permanente, de calidad media para escritura cómoda y legible; un esfero de color rojo para anotaciones o correcciones destacadas,</t>
    </r>
    <r>
      <rPr>
        <b/>
        <sz val="9"/>
        <color rgb="FF000000"/>
        <rFont val="Arial Narrow"/>
        <family val="2"/>
      </rPr>
      <t xml:space="preserve"> "Cada elemento que conforma el kit estará rotulado con logotipos de PCA e información del convenio"</t>
    </r>
    <r>
      <rPr>
        <sz val="9"/>
        <color rgb="FF000000"/>
        <rFont val="Arial Narrow"/>
        <family val="2"/>
      </rPr>
      <t xml:space="preserve">;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
</t>
    </r>
  </si>
  <si>
    <r>
      <t>42. ASAMBLEA TOLIMA:</t>
    </r>
    <r>
      <rPr>
        <sz val="9"/>
        <color theme="1"/>
        <rFont val="Arial Narrow"/>
        <family val="2"/>
      </rPr>
      <t xml:space="preserve"> Realizar la Asamblea Territorial en el departamento de Tolima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</si>
  <si>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IBAGUE.</t>
    </r>
  </si>
  <si>
    <r>
      <t>43. ASAMBLEA VALLE DEL CAUCA:</t>
    </r>
    <r>
      <rPr>
        <sz val="9"/>
        <color theme="1"/>
        <rFont val="Arial Narrow"/>
        <family val="2"/>
      </rPr>
      <t xml:space="preserve"> Realizar la Asamblea Territorial en el departamento de Valle del Cauca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</si>
  <si>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cien (100),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ciento nueve (109)</t>
    </r>
    <r>
      <rPr>
        <sz val="9"/>
        <color rgb="FF000000"/>
        <rFont val="Arial Narrow"/>
        <family val="2"/>
      </rPr>
      <t xml:space="preserve">, personas. En acomodación tipo aula en la </t>
    </r>
    <r>
      <rPr>
        <b/>
        <sz val="9"/>
        <color rgb="FFFF0000"/>
        <rFont val="Arial Narrow"/>
        <family val="2"/>
      </rPr>
      <t>ciudad de CALI.</t>
    </r>
  </si>
  <si>
    <r>
      <rPr>
        <b/>
        <sz val="9"/>
        <color rgb="FF000000"/>
        <rFont val="Arial Narrow"/>
        <family val="2"/>
      </rPr>
      <t>Tres (3)</t>
    </r>
    <r>
      <rPr>
        <sz val="9"/>
        <color rgb="FF000000"/>
        <rFont val="Arial Narrow"/>
        <family val="2"/>
      </rPr>
      <t xml:space="preserve">, día de </t>
    </r>
    <r>
      <rPr>
        <b/>
        <sz val="9"/>
        <color rgb="FFFF0000"/>
        <rFont val="Arial Narrow"/>
        <family val="2"/>
      </rPr>
      <t>Hospedaje con acomodación individual, Transporte multimodal municipal interno y Alimentacion (Desayunos, Almuerzos y Cenas) para un (1) dia de llegada, un (1) dia de salida y (Desayunos y Cenas) para un (1) dia de sesion</t>
    </r>
    <r>
      <rPr>
        <b/>
        <sz val="9"/>
        <color rgb="FF000000"/>
        <rFont val="Arial Narrow"/>
        <family val="2"/>
      </rPr>
      <t xml:space="preserve">,  </t>
    </r>
    <r>
      <rPr>
        <sz val="9"/>
        <color rgb="FF000000"/>
        <rFont val="Arial Narrow"/>
        <family val="2"/>
      </rPr>
      <t xml:space="preserve">para cien (100) personas de las comunidades Negras, Afrocolombianas, Raizales y Palenqueras del territorio ,  deberá respetarse la decisión individual de cada persona respecto al lugar donde desee hospedarse, Alimentarse y Transportarse garantizando un entorno adecuado para su comodidad y seguridad. 
</t>
    </r>
    <r>
      <rPr>
        <b/>
        <sz val="9"/>
        <color rgb="FF000000"/>
        <rFont val="Arial Narrow"/>
        <family val="2"/>
      </rPr>
      <t>Nota: se debe tomar en cuenta que estos desplazamientos territoriales se causan desde las diferente condiciones geograficas y de accesibilidad para llegar al lugar convocado, en la mayoria de los casos son de dificil acceso o distancias prolongadas (Zonas Rurales) de los diferentes municipios que requieren de uno o varios medios de transporte (Fluviales, terretres y/o Aereos ) por participantes y en otros casos son de facil acceso y distancias cortas (Zonas Urbanas), lo que constituye  una variacion significativa en los valores de dichos transporte por participantes.</t>
    </r>
  </si>
  <si>
    <r>
      <rPr>
        <b/>
        <sz val="9"/>
        <color rgb="FF000000"/>
        <rFont val="Arial Narrow"/>
        <family val="2"/>
      </rPr>
      <t>Un (1)</t>
    </r>
    <r>
      <rPr>
        <sz val="9"/>
        <color rgb="FF000000"/>
        <rFont val="Arial Narrow"/>
        <family val="2"/>
      </rPr>
      <t xml:space="preserve">, </t>
    </r>
    <r>
      <rPr>
        <b/>
        <sz val="9"/>
        <color rgb="FFFF0000"/>
        <rFont val="Arial Narrow"/>
        <family val="2"/>
      </rPr>
      <t>kit de herramientas de trabajo</t>
    </r>
    <r>
      <rPr>
        <sz val="9"/>
        <color rgb="FF000000"/>
        <rFont val="Arial Narrow"/>
        <family val="2"/>
      </rPr>
      <t xml:space="preserve"> completo para cada integrante participantes de comunidades NARP para un total de </t>
    </r>
    <r>
      <rPr>
        <b/>
        <sz val="9"/>
        <color rgb="FF000000"/>
        <rFont val="Arial Narrow"/>
        <family val="2"/>
      </rPr>
      <t>CIEN (100)</t>
    </r>
    <r>
      <rPr>
        <sz val="9"/>
        <color rgb="FF000000"/>
        <rFont val="Arial Narrow"/>
        <family val="2"/>
      </rPr>
      <t xml:space="preserve">, con el fin de facilitar la organización, toma de notas y apoyo durante las actividades y reuniones del proyecto. El kit incluye una Agenda para toma de apuntes, tamaño estándar (A5) con hojas cuadriculadas; un esfero de color negro, tinta permanente, de calidad media para escritura cómoda y legible; un esfero de color rojo para anotaciones o correcciones destacadas, </t>
    </r>
    <r>
      <rPr>
        <b/>
        <sz val="9"/>
        <color rgb="FF000000"/>
        <rFont val="Arial Narrow"/>
        <family val="2"/>
      </rPr>
      <t>"Cada elemento que conforma el kit estará rotulado con logotipos de PCA e información del convenio"</t>
    </r>
    <r>
      <rPr>
        <sz val="9"/>
        <color rgb="FF000000"/>
        <rFont val="Arial Narrow"/>
        <family val="2"/>
      </rPr>
      <t xml:space="preserve">;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
</t>
    </r>
  </si>
  <si>
    <r>
      <t xml:space="preserve">44. ASAMBLEA VAUPÉS: </t>
    </r>
    <r>
      <rPr>
        <sz val="9"/>
        <color theme="1"/>
        <rFont val="Arial Narrow"/>
        <family val="2"/>
      </rPr>
      <t>Realizar la Asamblea Territorial en el departamento de Vaupés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</si>
  <si>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MITU.</t>
    </r>
  </si>
  <si>
    <r>
      <t xml:space="preserve">45. ASAMBLEA VICHADA: </t>
    </r>
    <r>
      <rPr>
        <sz val="9"/>
        <color theme="1"/>
        <rFont val="Arial Narrow"/>
        <family val="2"/>
      </rPr>
      <t>Realizar la Asamblea Territorial en el departamento de Vichada para socializar la Política Nacional de Drogas "Sembrando Vida, Desterramos el Narcotráfico 2023 - 2033 ", integralmente y un análisis territorial sobre el fenómeno de las drogas en los territorios de comunidades negras.</t>
    </r>
  </si>
  <si>
    <r>
      <t xml:space="preserve">Alquiler de </t>
    </r>
    <r>
      <rPr>
        <b/>
        <sz val="9"/>
        <color rgb="FF000000"/>
        <rFont val="Arial Narrow"/>
        <family val="2"/>
      </rPr>
      <t>UN (1)</t>
    </r>
    <r>
      <rPr>
        <sz val="9"/>
        <color rgb="FF000000"/>
        <rFont val="Arial Narrow"/>
        <family val="2"/>
      </rPr>
      <t xml:space="preserve">, </t>
    </r>
    <r>
      <rPr>
        <b/>
        <sz val="9"/>
        <color rgb="FFFF0000"/>
        <rFont val="Arial Narrow"/>
        <family val="2"/>
      </rPr>
      <t>salón de eventos</t>
    </r>
    <r>
      <rPr>
        <sz val="9"/>
        <color rgb="FF000000"/>
        <rFont val="Arial Narrow"/>
        <family val="2"/>
      </rPr>
      <t xml:space="preserve"> por </t>
    </r>
    <r>
      <rPr>
        <b/>
        <sz val="9"/>
        <color rgb="FF000000"/>
        <rFont val="Arial Narrow"/>
        <family val="2"/>
      </rPr>
      <t>Un (1)</t>
    </r>
    <r>
      <rPr>
        <sz val="9"/>
        <color rgb="FF000000"/>
        <rFont val="Arial Narrow"/>
        <family val="2"/>
      </rPr>
      <t xml:space="preserve">, día de ocho (8) horas, con ayudas audiovisuales (video beam/proyector - sonido y micrófonos, silletería y mesas) Para cincuenta (50),  personas de comunidades Negras, Afrocolombianas, Raizales y Palenqueras del territorio, con la participación de 2 delegados del MJD, 2 delegados de DANCP, 2 delegados de DCN y Tres (3) integrantes del equipo administrativo del PCA, para un total de </t>
    </r>
    <r>
      <rPr>
        <b/>
        <sz val="9"/>
        <color rgb="FFFF0000"/>
        <rFont val="Arial Narrow"/>
        <family val="2"/>
      </rPr>
      <t>cincuenta y nueve (59)</t>
    </r>
    <r>
      <rPr>
        <sz val="9"/>
        <color rgb="FF000000"/>
        <rFont val="Arial Narrow"/>
        <family val="2"/>
      </rPr>
      <t xml:space="preserve">, personas. En acomodación tipo aula en la </t>
    </r>
    <r>
      <rPr>
        <b/>
        <sz val="9"/>
        <color rgb="FFFF0000"/>
        <rFont val="Arial Narrow"/>
        <family val="2"/>
      </rPr>
      <t>ciudad de PUERTO CARREÑO.</t>
    </r>
  </si>
  <si>
    <r>
      <t xml:space="preserve">46. ACTIVIDAD: </t>
    </r>
    <r>
      <rPr>
        <sz val="9"/>
        <color theme="1"/>
        <rFont val="Arial Narrow"/>
        <family val="2"/>
      </rPr>
      <t>Realizar sesión de preacuerdos entre la Comisión Sexta, y las instituines públicas llamadas al cumplimiento de la Política Nacional de Drogas articuladas desde el Ministerio de Justicia y del Derecho.</t>
    </r>
    <r>
      <rPr>
        <b/>
        <sz val="9"/>
        <color theme="1"/>
        <rFont val="Arial Narrow"/>
        <family val="2"/>
      </rPr>
      <t xml:space="preserve">
</t>
    </r>
  </si>
  <si>
    <r>
      <t xml:space="preserve">Alquiler de </t>
    </r>
    <r>
      <rPr>
        <b/>
        <sz val="9"/>
        <color theme="1"/>
        <rFont val="Arial Narrow"/>
        <family val="2"/>
      </rPr>
      <t>Un (1),</t>
    </r>
    <r>
      <rPr>
        <sz val="9"/>
        <color theme="1"/>
        <rFont val="Arial Narrow"/>
        <family val="2"/>
      </rPr>
      <t xml:space="preserve"> </t>
    </r>
    <r>
      <rPr>
        <b/>
        <sz val="9"/>
        <color rgb="FFFF0000"/>
        <rFont val="Arial Narrow"/>
        <family val="2"/>
      </rPr>
      <t>salón de eventos</t>
    </r>
    <r>
      <rPr>
        <sz val="9"/>
        <color theme="1"/>
        <rFont val="Arial Narrow"/>
        <family val="2"/>
      </rPr>
      <t xml:space="preserve"> por ocho (8) horas, que cuente con ayudas audiovisuales</t>
    </r>
    <r>
      <rPr>
        <b/>
        <sz val="9"/>
        <color theme="1"/>
        <rFont val="Arial Narrow"/>
        <family val="2"/>
      </rPr>
      <t xml:space="preserve"> (video beam o proyector, sistema de sonido, micrófonos, silletería , mesas y salon auxiliar para funcionarios o equipo)</t>
    </r>
    <r>
      <rPr>
        <sz val="9"/>
        <color theme="1"/>
        <rFont val="Arial Narrow"/>
        <family val="2"/>
      </rPr>
      <t xml:space="preserve">, en acomodación tipo aula, para una jornada de trabajo de </t>
    </r>
    <r>
      <rPr>
        <b/>
        <sz val="9"/>
        <color theme="1"/>
        <rFont val="Arial Narrow"/>
        <family val="2"/>
      </rPr>
      <t>Tres (3) días,</t>
    </r>
    <r>
      <rPr>
        <sz val="9"/>
        <color theme="1"/>
        <rFont val="Arial Narrow"/>
        <family val="2"/>
      </rPr>
      <t xml:space="preserve"> en la ciudad de Cali. El espacio debe tener capacidad para atender a diez (10) personas del equipo de asesores expertos y técnicos del ENCP, diez(10) integrantes del equipo administrativo del PCA, cuarenta y ocho (48) delegados del ENCP, dos (2) delegados del Ministerio de Justicia y del Derecho (MJD), dos (2) delegados de la Dirección de Asuntos para Comunidades Negras (DANCP) y dos (2) delegados de la Dirección de Consulta Previa (DCN), para un total de </t>
    </r>
    <r>
      <rPr>
        <b/>
        <sz val="9"/>
        <color rgb="FFFF0000"/>
        <rFont val="Arial Narrow"/>
        <family val="2"/>
      </rPr>
      <t>setenta y cuatro (74) personas.</t>
    </r>
  </si>
  <si>
    <r>
      <t xml:space="preserve">Alquiler de </t>
    </r>
    <r>
      <rPr>
        <b/>
        <sz val="9"/>
        <color rgb="FF000000"/>
        <rFont val="Arial Narrow"/>
        <family val="2"/>
      </rPr>
      <t>Una (1)</t>
    </r>
    <r>
      <rPr>
        <sz val="9"/>
        <color rgb="FF000000"/>
        <rFont val="Arial Narrow"/>
        <family val="2"/>
      </rPr>
      <t>,</t>
    </r>
    <r>
      <rPr>
        <sz val="9"/>
        <color rgb="FFED0000"/>
        <rFont val="Arial Narrow"/>
        <family val="2"/>
      </rPr>
      <t xml:space="preserve"> E</t>
    </r>
    <r>
      <rPr>
        <b/>
        <sz val="9"/>
        <color rgb="FFED0000"/>
        <rFont val="Arial Narrow"/>
        <family val="2"/>
      </rPr>
      <t>stación de Coffee Break</t>
    </r>
    <r>
      <rPr>
        <sz val="9"/>
        <color rgb="FF000000"/>
        <rFont val="Arial Narrow"/>
        <family val="2"/>
      </rPr>
      <t xml:space="preserve">, por ocho (8) horas, para los </t>
    </r>
    <r>
      <rPr>
        <b/>
        <sz val="9"/>
        <color rgb="FF000000"/>
        <rFont val="Arial Narrow"/>
        <family val="2"/>
      </rPr>
      <t>Tres (3) días</t>
    </r>
    <r>
      <rPr>
        <sz val="9"/>
        <color rgb="FF000000"/>
        <rFont val="Arial Narrow"/>
        <family val="2"/>
      </rPr>
      <t xml:space="preserve"> de trabajo que incluya Café ilimitado (tinto y/o americano), aromática y agua, galletas o pasabocas dulces/salados, vasos, servilletas, menaje desechable, para</t>
    </r>
    <r>
      <rPr>
        <sz val="9"/>
        <color rgb="FFFF0000"/>
        <rFont val="Arial Narrow"/>
        <family val="2"/>
      </rPr>
      <t xml:space="preserve"> </t>
    </r>
    <r>
      <rPr>
        <b/>
        <sz val="9"/>
        <color rgb="FFFF0000"/>
        <rFont val="Arial Narrow"/>
        <family val="2"/>
      </rPr>
      <t xml:space="preserve"> </t>
    </r>
    <r>
      <rPr>
        <sz val="9"/>
        <color rgb="FFFF0000"/>
        <rFont val="Arial Narrow"/>
        <family val="2"/>
      </rPr>
      <t>setenta y cuatro (74) personas.</t>
    </r>
  </si>
  <si>
    <r>
      <t xml:space="preserve">Suministro de </t>
    </r>
    <r>
      <rPr>
        <b/>
        <sz val="9"/>
        <color rgb="FFED0000"/>
        <rFont val="Arial Narrow"/>
        <family val="2"/>
      </rPr>
      <t xml:space="preserve">refrigerio ancestral matutino (a.m.), </t>
    </r>
    <r>
      <rPr>
        <sz val="9"/>
        <color rgb="FF000000"/>
        <rFont val="Arial Narrow"/>
        <family val="2"/>
      </rPr>
      <t xml:space="preserve">durante </t>
    </r>
    <r>
      <rPr>
        <b/>
        <sz val="9"/>
        <color rgb="FF000000"/>
        <rFont val="Arial Narrow"/>
        <family val="2"/>
      </rPr>
      <t>Tres (3) días,</t>
    </r>
    <r>
      <rPr>
        <sz val="9"/>
        <color rgb="FF000000"/>
        <rFont val="Arial Narrow"/>
        <family val="2"/>
      </rPr>
      <t xml:space="preserve"> dirigido a diez (10) personas del equipo de asesores expertos y técnicos del ENCP,  diez(10) integrantes del equipo administrativo del PCA y cuarenta y ocho (48) delegados del ENCP, para un total de </t>
    </r>
    <r>
      <rPr>
        <b/>
        <sz val="9"/>
        <color rgb="FF000000"/>
        <rFont val="Arial Narrow"/>
        <family val="2"/>
      </rPr>
      <t>sesenta y ocho (68) personas.</t>
    </r>
    <r>
      <rPr>
        <sz val="9"/>
        <color rgb="FF000000"/>
        <rFont val="Arial Narrow"/>
        <family val="2"/>
      </rPr>
      <t xml:space="preserve"> El refrigerio deberá ser diseñado con un enfoque cultural y nutricional propio de las comunidades étnicas, preparado con ingredientes locales, frescos y de calidad, respetando las prácticas culinarias tradicionales. Esta actividad tiene como propósito fortalecer la identidad cultural y promover la soberanía alimentaria en el marco de eventos institucionales con participación de pueblos étnicos.</t>
    </r>
  </si>
  <si>
    <r>
      <rPr>
        <b/>
        <sz val="9"/>
        <color rgb="FF000000"/>
        <rFont val="Arial Narrow"/>
        <family val="2"/>
      </rPr>
      <t>Un (1),</t>
    </r>
    <r>
      <rPr>
        <b/>
        <sz val="9"/>
        <color rgb="FFED0000"/>
        <rFont val="Arial Narrow"/>
        <family val="2"/>
      </rPr>
      <t>Transporte multimodal de ida y regreso</t>
    </r>
    <r>
      <rPr>
        <sz val="9"/>
        <color rgb="FF000000"/>
        <rFont val="Arial Narrow"/>
        <family val="2"/>
      </rPr>
      <t xml:space="preserve"> para un total de </t>
    </r>
    <r>
      <rPr>
        <b/>
        <sz val="9"/>
        <color rgb="FF000000"/>
        <rFont val="Arial Narrow"/>
        <family val="2"/>
      </rPr>
      <t>cuarenta y ocho (48) personas</t>
    </r>
    <r>
      <rPr>
        <sz val="9"/>
        <color rgb="FF000000"/>
        <rFont val="Arial Narrow"/>
        <family val="2"/>
      </rPr>
      <t>, integrantes delegados del ENCP, desde el punto de origen desde el área rural o urbana hasta la cabecera municipal del aeropuerto más cercano  ida y regreso.  (de acuerdo a tabla remitida por el ministerio del interior)</t>
    </r>
  </si>
  <si>
    <r>
      <rPr>
        <b/>
        <sz val="9"/>
        <color rgb="FF000000"/>
        <rFont val="Arial Narrow"/>
        <family val="2"/>
      </rPr>
      <t>Cinco (5), días de</t>
    </r>
    <r>
      <rPr>
        <b/>
        <sz val="9"/>
        <color rgb="FFFF0000"/>
        <rFont val="Arial Narrow"/>
        <family val="2"/>
      </rPr>
      <t xml:space="preserve"> Hospedaje con acomodación individual, Transporte terrestre municipal interno y Alimentacion (Desayunos, Almuerzos y Cenas) para un (1) dia de llegada, un (1) dia de salida y (Desayunos y Cenas) para los tres (3) dias de sesion</t>
    </r>
    <r>
      <rPr>
        <sz val="9"/>
        <color rgb="FF000000"/>
        <rFont val="Arial Narrow"/>
        <family val="2"/>
      </rPr>
      <t xml:space="preserve"> para cinco (5) integrantes del equipo asesor de expertos, cinco (5) integrantes del equipo asesor técnico del ENCP y diez (10) integrantes del equipo administrativo del PCA, para un total de </t>
    </r>
    <r>
      <rPr>
        <b/>
        <sz val="9"/>
        <color rgb="FF000000"/>
        <rFont val="Arial Narrow"/>
        <family val="2"/>
      </rPr>
      <t>veinte (20) personas</t>
    </r>
    <r>
      <rPr>
        <sz val="9"/>
        <color rgb="FF000000"/>
        <rFont val="Arial Narrow"/>
        <family val="2"/>
      </rPr>
      <t xml:space="preserve">.  deberá respetarse la decisión individual respecto al lugar donde desee hospedarse, Alimentarse y Transportarse garantizando un entorno adecuado para su comodidad y seguridad </t>
    </r>
  </si>
  <si>
    <r>
      <rPr>
        <b/>
        <sz val="9"/>
        <color theme="1"/>
        <rFont val="Arial Narrow"/>
        <family val="2"/>
      </rPr>
      <t>Un (1),</t>
    </r>
    <r>
      <rPr>
        <b/>
        <sz val="9"/>
        <color rgb="FFFF0000"/>
        <rFont val="Arial Narrow"/>
        <family val="2"/>
      </rPr>
      <t xml:space="preserve"> Transporte Aereo de ida y regreso</t>
    </r>
    <r>
      <rPr>
        <sz val="9"/>
        <color theme="1"/>
        <rFont val="Arial Narrow"/>
        <family val="2"/>
      </rPr>
      <t xml:space="preserve"> para un total de cuarenta y ocho (48) personas, integrantes delegados del ENCP, desde la ciudad Capital mas cercana al lugar de origen, respetando la decision individual de cada delegado(a) con respecto a las aerolineas, horarios y condiciones de viajes garantizando su comodidad y seguridad. 
</t>
    </r>
    <r>
      <rPr>
        <b/>
        <sz val="9"/>
        <color theme="1"/>
        <rFont val="Arial Narrow"/>
        <family val="2"/>
      </rPr>
      <t xml:space="preserve">Nota: Valor por trayecto.  (incluye minimamente tarifa que contenga; un (1) aticulo personal (bolso),  un (1) equipaje de mano de (10 kg) y  un (1) equipaje de bodega de (23 kg). </t>
    </r>
  </si>
  <si>
    <r>
      <rPr>
        <b/>
        <sz val="9"/>
        <color theme="1"/>
        <rFont val="Arial Narrow"/>
        <family val="2"/>
      </rPr>
      <t>Un (1),</t>
    </r>
    <r>
      <rPr>
        <b/>
        <sz val="9"/>
        <color rgb="FFFF0000"/>
        <rFont val="Arial Narrow"/>
        <family val="2"/>
      </rPr>
      <t xml:space="preserve"> Transporte Aereo de ida y regreso</t>
    </r>
    <r>
      <rPr>
        <sz val="9"/>
        <color theme="1"/>
        <rFont val="Arial Narrow"/>
        <family val="2"/>
      </rPr>
      <t xml:space="preserve"> para un total de veinte (20) personas, cinco(05) integrantes equipo asesor de expertos, cinco (05) integrantes del equipo asesor técnico del ENCP  y diez (10) integrantes del equipo administrativo de PCA, desde la ciudad Capital mas cercana al lugar de origen, respetando la decision individual con respecto a las aerolineas, horarios y condiciones de viajes garantizando su comodidady seguridad. 
</t>
    </r>
    <r>
      <rPr>
        <b/>
        <sz val="9"/>
        <color theme="1"/>
        <rFont val="Arial Narrow"/>
        <family val="2"/>
      </rPr>
      <t xml:space="preserve">Nota: Valor por trayecto  (incluye minimamente tarifa que contenga; un (1) aticulo personal (bolso),  un (1) equipaje de mano de (10 kg) y  un (1) equipaje de bodega de (23 kg). </t>
    </r>
  </si>
  <si>
    <r>
      <rPr>
        <b/>
        <sz val="9"/>
        <color theme="1"/>
        <rFont val="Arial Narrow"/>
        <family val="2"/>
      </rPr>
      <t>Un (1)</t>
    </r>
    <r>
      <rPr>
        <sz val="9"/>
        <color theme="1"/>
        <rFont val="Arial Narrow"/>
        <family val="2"/>
      </rPr>
      <t xml:space="preserve">, suministro de un </t>
    </r>
    <r>
      <rPr>
        <b/>
        <sz val="9"/>
        <color rgb="FFED0000"/>
        <rFont val="Arial Narrow"/>
        <family val="2"/>
      </rPr>
      <t>kit de herramientas de trabajo</t>
    </r>
    <r>
      <rPr>
        <sz val="9"/>
        <color theme="1"/>
        <rFont val="Arial Narrow"/>
        <family val="2"/>
      </rPr>
      <t xml:space="preserve"> completo para cada integrante delegado del ENCP cuarenta y ocho (48)  personas, cinco (5), personas del equipo asesor de expertos, cinco (5)personas del equipo técnico del ENCP para un total de</t>
    </r>
    <r>
      <rPr>
        <b/>
        <sz val="9"/>
        <color theme="1"/>
        <rFont val="Arial Narrow"/>
        <family val="2"/>
      </rPr>
      <t xml:space="preserve"> Cincuenta y ocho (58)</t>
    </r>
    <r>
      <rPr>
        <sz val="9"/>
        <color theme="1"/>
        <rFont val="Arial Narrow"/>
        <family val="2"/>
      </rPr>
      <t xml:space="preserve"> personas, con el fin de facilitar la organización, toma de notas y apoyo durante las actividades y reuniones del proyecto. El kit incluye una Agenda para toma de apuntes, tamaño estándar (A5) con hojas cuadriculadas; un esfero de color negro, tinta permanente, de calidad media para escritura cómoda y legible; un esfero de color rojo para anotaciones o correcciones destacadas,</t>
    </r>
    <r>
      <rPr>
        <b/>
        <sz val="9"/>
        <color theme="1"/>
        <rFont val="Arial Narrow"/>
        <family val="2"/>
      </rPr>
      <t xml:space="preserve"> "Cada elemento que conforma el kit estará rotulado con logotipos de PCA e información del convenio"</t>
    </r>
    <r>
      <rPr>
        <sz val="9"/>
        <color theme="1"/>
        <rFont val="Arial Narrow"/>
        <family val="2"/>
      </rPr>
      <t>;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t>
    </r>
  </si>
  <si>
    <r>
      <t xml:space="preserve">47. ACTIVIDAD : </t>
    </r>
    <r>
      <rPr>
        <sz val="9"/>
        <color theme="1"/>
        <rFont val="Arial Narrow"/>
        <family val="2"/>
      </rPr>
      <t xml:space="preserve">Desarrollar una sesión Plenaria de protocolización de acuerdos entre el Ministerio de Justicia y el derecho y Ministerio del Interior y el Espacio Nacional de Consulta Previa. </t>
    </r>
  </si>
  <si>
    <r>
      <t xml:space="preserve">Alquiler de </t>
    </r>
    <r>
      <rPr>
        <b/>
        <sz val="9"/>
        <color theme="1"/>
        <rFont val="Arial Narrow"/>
        <family val="2"/>
      </rPr>
      <t>Un (1),</t>
    </r>
    <r>
      <rPr>
        <sz val="9"/>
        <color theme="1"/>
        <rFont val="Arial Narrow"/>
        <family val="2"/>
      </rPr>
      <t xml:space="preserve"> </t>
    </r>
    <r>
      <rPr>
        <b/>
        <sz val="9"/>
        <color rgb="FFFF0000"/>
        <rFont val="Arial Narrow"/>
        <family val="2"/>
      </rPr>
      <t>salón de eventos</t>
    </r>
    <r>
      <rPr>
        <sz val="9"/>
        <color theme="1"/>
        <rFont val="Arial Narrow"/>
        <family val="2"/>
      </rPr>
      <t xml:space="preserve"> por ocho (8) horas, que cuente con ayudas audiovisuales </t>
    </r>
    <r>
      <rPr>
        <b/>
        <sz val="9"/>
        <color theme="1"/>
        <rFont val="Arial Narrow"/>
        <family val="2"/>
      </rPr>
      <t>(video beam o proyector, sistema de sonido, micrófonos, silletería , mesas y salon auxiliar para funcionarios o equipo),</t>
    </r>
    <r>
      <rPr>
        <sz val="9"/>
        <color theme="1"/>
        <rFont val="Arial Narrow"/>
        <family val="2"/>
      </rPr>
      <t xml:space="preserve"> en acomodación tipo media aula, para una jornada de trabajo de </t>
    </r>
    <r>
      <rPr>
        <b/>
        <sz val="9"/>
        <color theme="1"/>
        <rFont val="Arial Narrow"/>
        <family val="2"/>
      </rPr>
      <t>Dos (2) días,</t>
    </r>
    <r>
      <rPr>
        <sz val="9"/>
        <color theme="1"/>
        <rFont val="Arial Narrow"/>
        <family val="2"/>
      </rPr>
      <t xml:space="preserve"> en la ciudad de Cali. El espacio debe tener capacidad para atender a diez (10) personas del equipo de asesores expertos y técnicos del ENCP, diez (10) integrantes del equipo administrativo del PCA, doscientos treinta y siete (237) delegados del ENCP, dos (2) delegados del Ministerio de Justicia y del Derecho (MJD), dos (2) delegados de la Dirección de Asuntos para Comunidades Negras (DANCP) y dos (2) delegados de la Dirección de Consulta Previa (DCN), para un total de </t>
    </r>
    <r>
      <rPr>
        <b/>
        <sz val="9"/>
        <color rgb="FFFF0000"/>
        <rFont val="Arial Narrow"/>
        <family val="2"/>
      </rPr>
      <t>doscientos sesenta y tres (263) personas.</t>
    </r>
  </si>
  <si>
    <r>
      <t xml:space="preserve">Alquiler de </t>
    </r>
    <r>
      <rPr>
        <b/>
        <sz val="9"/>
        <color rgb="FF000000"/>
        <rFont val="Arial Narrow"/>
        <family val="2"/>
      </rPr>
      <t>Una (1)</t>
    </r>
    <r>
      <rPr>
        <sz val="9"/>
        <color rgb="FF000000"/>
        <rFont val="Arial Narrow"/>
        <family val="2"/>
      </rPr>
      <t>,</t>
    </r>
    <r>
      <rPr>
        <sz val="9"/>
        <color rgb="FFED0000"/>
        <rFont val="Arial Narrow"/>
        <family val="2"/>
      </rPr>
      <t xml:space="preserve"> E</t>
    </r>
    <r>
      <rPr>
        <b/>
        <sz val="9"/>
        <color rgb="FFED0000"/>
        <rFont val="Arial Narrow"/>
        <family val="2"/>
      </rPr>
      <t>stación de Coffee Break</t>
    </r>
    <r>
      <rPr>
        <sz val="9"/>
        <color rgb="FF000000"/>
        <rFont val="Arial Narrow"/>
        <family val="2"/>
      </rPr>
      <t xml:space="preserve">, por ocho (8) horas, para los </t>
    </r>
    <r>
      <rPr>
        <b/>
        <sz val="9"/>
        <color rgb="FF000000"/>
        <rFont val="Arial Narrow"/>
        <family val="2"/>
      </rPr>
      <t>Tres (3) días</t>
    </r>
    <r>
      <rPr>
        <sz val="9"/>
        <color rgb="FF000000"/>
        <rFont val="Arial Narrow"/>
        <family val="2"/>
      </rPr>
      <t xml:space="preserve"> de trabajo que incluya Café ilimitado (tinto y/o americano), aromática y agua, galletas o pasabocas dulces/salados, vasos, servilletas, menaje desechable, para </t>
    </r>
    <r>
      <rPr>
        <b/>
        <sz val="9"/>
        <color rgb="FFED0000"/>
        <rFont val="Arial Narrow"/>
        <family val="2"/>
      </rPr>
      <t xml:space="preserve"> doscientos sesenta y tres (263) personas.</t>
    </r>
  </si>
  <si>
    <r>
      <t>Contratación para la prestación del servicio de</t>
    </r>
    <r>
      <rPr>
        <b/>
        <sz val="9"/>
        <color rgb="FF000000"/>
        <rFont val="Arial Narrow"/>
        <family val="2"/>
      </rPr>
      <t xml:space="preserve"> Ocho (8)</t>
    </r>
    <r>
      <rPr>
        <sz val="9"/>
        <color rgb="FF000000"/>
        <rFont val="Arial Narrow"/>
        <family val="2"/>
      </rPr>
      <t xml:space="preserve"> </t>
    </r>
    <r>
      <rPr>
        <b/>
        <sz val="9"/>
        <color rgb="FFED0000"/>
        <rFont val="Arial Narrow"/>
        <family val="2"/>
      </rPr>
      <t>meseros</t>
    </r>
    <r>
      <rPr>
        <sz val="9"/>
        <color rgb="FF000000"/>
        <rFont val="Arial Narrow"/>
        <family val="2"/>
      </rPr>
      <t xml:space="preserve">, uniformados, capacitados y con experiencia en atención de eventos étnicos, para una jornada de ocho (8) horas continuas, para los </t>
    </r>
    <r>
      <rPr>
        <b/>
        <sz val="9"/>
        <color rgb="FF000000"/>
        <rFont val="Arial Narrow"/>
        <family val="2"/>
      </rPr>
      <t>Dos (2) días</t>
    </r>
    <r>
      <rPr>
        <sz val="9"/>
        <color rgb="FF000000"/>
        <rFont val="Arial Narrow"/>
        <family val="2"/>
      </rPr>
      <t xml:space="preserve"> de trabajo,  con funciones orientadas a garantizar la atención directa a los participantes, apoyo en el montaje y prestación del servicio y reposición de la estación de Coffee Brack y recolección de residuos.</t>
    </r>
  </si>
  <si>
    <r>
      <t xml:space="preserve">Contratación de </t>
    </r>
    <r>
      <rPr>
        <b/>
        <sz val="9"/>
        <color theme="1"/>
        <rFont val="Arial Narrow"/>
        <family val="2"/>
      </rPr>
      <t>Una (1)</t>
    </r>
    <r>
      <rPr>
        <sz val="9"/>
        <color theme="1"/>
        <rFont val="Arial Narrow"/>
        <family val="2"/>
      </rPr>
      <t xml:space="preserve">, persona encargada de realizar el </t>
    </r>
    <r>
      <rPr>
        <b/>
        <sz val="9"/>
        <color rgb="FFED0000"/>
        <rFont val="Arial Narrow"/>
        <family val="2"/>
      </rPr>
      <t>registro fotográfico y/o audiovisual</t>
    </r>
    <r>
      <rPr>
        <sz val="9"/>
        <color theme="1"/>
        <rFont val="Arial Narrow"/>
        <family val="2"/>
      </rPr>
      <t xml:space="preserve"> del evento por </t>
    </r>
    <r>
      <rPr>
        <b/>
        <sz val="9"/>
        <color theme="1"/>
        <rFont val="Arial Narrow"/>
        <family val="2"/>
      </rPr>
      <t>Dos (2) días</t>
    </r>
    <r>
      <rPr>
        <sz val="9"/>
        <color theme="1"/>
        <rFont val="Arial Narrow"/>
        <family val="2"/>
      </rPr>
      <t xml:space="preserve">. </t>
    </r>
    <r>
      <rPr>
        <b/>
        <sz val="9"/>
        <color theme="1"/>
        <rFont val="Arial Narrow"/>
        <family val="2"/>
      </rPr>
      <t>La persona seleccionada deberá contar con un auxiliar para el cubrimiento del espacio con camara profesional para tomas principales de filmacion y tomas de apoyo adicionales</t>
    </r>
    <r>
      <rPr>
        <sz val="9"/>
        <color theme="1"/>
        <rFont val="Arial Narrow"/>
        <family val="2"/>
      </rPr>
      <t xml:space="preserve">, estas personas deberan ser originarias del territorio, contar con una experiencia mínima de un (1) año en fotografía y video, conocer las dinámicas territoriales, y mantener una buena relación con las comunidades Negras, Afrocolombianas, Raizales y Palenqueras.
</t>
    </r>
    <r>
      <rPr>
        <b/>
        <sz val="9"/>
        <color theme="1"/>
        <rFont val="Arial Narrow"/>
        <family val="2"/>
      </rPr>
      <t>Nota: debera cubrir dentro del costo del servicio los gastos necesario para el desarrollo de la actividad (Alimentacion, Transporte y hospedaje)</t>
    </r>
  </si>
  <si>
    <r>
      <t xml:space="preserve">Suministro de </t>
    </r>
    <r>
      <rPr>
        <b/>
        <sz val="9"/>
        <color rgb="FFED0000"/>
        <rFont val="Arial Narrow"/>
        <family val="2"/>
      </rPr>
      <t xml:space="preserve">refrigerio ancestral matutino (a.m.), </t>
    </r>
    <r>
      <rPr>
        <sz val="9"/>
        <color rgb="FF000000"/>
        <rFont val="Arial Narrow"/>
        <family val="2"/>
      </rPr>
      <t xml:space="preserve">durante </t>
    </r>
    <r>
      <rPr>
        <b/>
        <sz val="9"/>
        <color rgb="FF000000"/>
        <rFont val="Arial Narrow"/>
        <family val="2"/>
      </rPr>
      <t>Dos (2) días,</t>
    </r>
    <r>
      <rPr>
        <sz val="9"/>
        <color rgb="FF000000"/>
        <rFont val="Arial Narrow"/>
        <family val="2"/>
      </rPr>
      <t xml:space="preserve"> dirigido a diez (10) personas del equipo de asesores expertos y técnicos del ENCP, diez(10) integrantes del equipo administrativo del PCA y doscientos treinta y siete (237) delegados del ENCP, para un total de </t>
    </r>
    <r>
      <rPr>
        <b/>
        <sz val="9"/>
        <color rgb="FF000000"/>
        <rFont val="Arial Narrow"/>
        <family val="2"/>
      </rPr>
      <t>doscientos cincuenta y siete (257) personas.</t>
    </r>
    <r>
      <rPr>
        <sz val="9"/>
        <color rgb="FF000000"/>
        <rFont val="Arial Narrow"/>
        <family val="2"/>
      </rPr>
      <t xml:space="preserve"> El refrigerio deberá ser diseñado con un enfoque cultural y nutricional propio de las comunidades étnicas, preparado con ingredientes locales, frescos y de calidad, respetando las prácticas culinarias tradicionales. Esta actividad tiene como propósito fortalecer la identidad cultural y promover la soberanía alimentaria en el marco de eventos institucionales con participación de pueblos étnicos.</t>
    </r>
  </si>
  <si>
    <r>
      <t xml:space="preserve">Suministro de </t>
    </r>
    <r>
      <rPr>
        <b/>
        <sz val="9"/>
        <color rgb="FFED0000"/>
        <rFont val="Arial Narrow"/>
        <family val="2"/>
      </rPr>
      <t>almuerzo ancestral</t>
    </r>
    <r>
      <rPr>
        <sz val="9"/>
        <color rgb="FF000000"/>
        <rFont val="Arial Narrow"/>
        <family val="2"/>
      </rPr>
      <t xml:space="preserve"> completo durante </t>
    </r>
    <r>
      <rPr>
        <b/>
        <sz val="9"/>
        <color rgb="FF000000"/>
        <rFont val="Arial Narrow"/>
        <family val="2"/>
      </rPr>
      <t>Dos (2) días</t>
    </r>
    <r>
      <rPr>
        <sz val="9"/>
        <color rgb="FF000000"/>
        <rFont val="Arial Narrow"/>
        <family val="2"/>
      </rPr>
      <t xml:space="preserve">, dirigido a diez (10) personas del equipo de asesores expertos y técnicos del ENCP,  diez (10) integrantes del equipo administrativo del PCA y doscientos treinta y siete (237) delegados del ENCP, para un total de </t>
    </r>
    <r>
      <rPr>
        <b/>
        <sz val="9"/>
        <color rgb="FF000000"/>
        <rFont val="Arial Narrow"/>
        <family val="2"/>
      </rPr>
      <t>doscientos cincuenta y siete (257) personas.</t>
    </r>
    <r>
      <rPr>
        <sz val="9"/>
        <color rgb="FF000000"/>
        <rFont val="Arial Narrow"/>
        <family val="2"/>
      </rPr>
      <t xml:space="preserve"> El almuerzo deberá ser diseñado con un enfoque cultural y nutricional propio de las comunidades étnicas, preparado con ingredientes locales, frescos y de calidad, respetando las prácticas culinarias tradicionales. Esta actividad tiene como propósito fortalecer la identidad cultural y promover la soberanía alimentaria en el marco de eventos institucionales con participación de pueblos étnicos.</t>
    </r>
  </si>
  <si>
    <r>
      <t xml:space="preserve">Suministro de </t>
    </r>
    <r>
      <rPr>
        <b/>
        <sz val="9"/>
        <color rgb="FFED0000"/>
        <rFont val="Arial Narrow"/>
        <family val="2"/>
      </rPr>
      <t>refrigerio ancestral vespertino (p.m.)</t>
    </r>
    <r>
      <rPr>
        <sz val="9"/>
        <color rgb="FF000000"/>
        <rFont val="Arial Narrow"/>
        <family val="2"/>
      </rPr>
      <t xml:space="preserve">,  durante </t>
    </r>
    <r>
      <rPr>
        <b/>
        <sz val="9"/>
        <color rgb="FF000000"/>
        <rFont val="Arial Narrow"/>
        <family val="2"/>
      </rPr>
      <t>Dos (2) días</t>
    </r>
    <r>
      <rPr>
        <sz val="9"/>
        <color rgb="FF000000"/>
        <rFont val="Arial Narrow"/>
        <family val="2"/>
      </rPr>
      <t xml:space="preserve">, dirigido a diez (10) personas del equipo de asesores expertos y técnicos del ENCP, diez  (10) integrantes del equipo administrativo del PCA y doscientos treinta y siete (237) delegados del ENCP, para un total de </t>
    </r>
    <r>
      <rPr>
        <b/>
        <sz val="9"/>
        <color rgb="FF000000"/>
        <rFont val="Arial Narrow"/>
        <family val="2"/>
      </rPr>
      <t>doscientos cincuenta y siete (257) personas</t>
    </r>
    <r>
      <rPr>
        <sz val="9"/>
        <color rgb="FF000000"/>
        <rFont val="Arial Narrow"/>
        <family val="2"/>
      </rPr>
      <t>. El refrigerio deberá ser diseñado con un enfoque cultural y nutricional propio de las comunidades étnicas, preparado con ingredientes locales, frescos y de calidad, respetando las prácticas culinarias tradicionales. Esta actividad tiene como propósito fortalecer la identidad cultural y promover la soberanía alimentaria en el marco de eventos institucionales con participación de pueblos étnicos.</t>
    </r>
  </si>
  <si>
    <r>
      <rPr>
        <b/>
        <sz val="9"/>
        <color rgb="FF000000"/>
        <rFont val="Arial Narrow"/>
        <family val="2"/>
      </rPr>
      <t>Un (1),</t>
    </r>
    <r>
      <rPr>
        <b/>
        <sz val="9"/>
        <color rgb="FFED0000"/>
        <rFont val="Arial Narrow"/>
        <family val="2"/>
      </rPr>
      <t>Transporte multimodal de ida y regreso</t>
    </r>
    <r>
      <rPr>
        <sz val="9"/>
        <color rgb="FF000000"/>
        <rFont val="Arial Narrow"/>
        <family val="2"/>
      </rPr>
      <t xml:space="preserve"> para un total de </t>
    </r>
    <r>
      <rPr>
        <b/>
        <sz val="9"/>
        <color rgb="FF000000"/>
        <rFont val="Arial Narrow"/>
        <family val="2"/>
      </rPr>
      <t>doscientos treinta y siete (237) personas</t>
    </r>
    <r>
      <rPr>
        <sz val="9"/>
        <color rgb="FF000000"/>
        <rFont val="Arial Narrow"/>
        <family val="2"/>
      </rPr>
      <t>, integrantes delegados del ENCP, desde el punto de origen desde el área rural o urbana hasta la cabecera municipal del aeropuerto más cercano  ida y regreso.  (de acuerdo a tabla remitida por el ministerio del interior)</t>
    </r>
  </si>
  <si>
    <r>
      <rPr>
        <b/>
        <sz val="9"/>
        <color rgb="FF000000"/>
        <rFont val="Arial Narrow"/>
        <family val="2"/>
      </rPr>
      <t xml:space="preserve">Cuatro (4), </t>
    </r>
    <r>
      <rPr>
        <sz val="9"/>
        <color rgb="FF000000"/>
        <rFont val="Arial Narrow"/>
        <family val="2"/>
      </rPr>
      <t>días de</t>
    </r>
    <r>
      <rPr>
        <b/>
        <sz val="9"/>
        <color rgb="FF000000"/>
        <rFont val="Arial Narrow"/>
        <family val="2"/>
      </rPr>
      <t xml:space="preserve"> </t>
    </r>
    <r>
      <rPr>
        <b/>
        <sz val="9"/>
        <color rgb="FFED0000"/>
        <rFont val="Arial Narrow"/>
        <family val="2"/>
      </rPr>
      <t>Hospedaje con acomodación individual, Transporte terrestre municipal interno y Alimentacion (Desayunos, Almuerzos y Cenas) para un (1) dia de llegada, un (1) dia de salida y (Desayunos y Cenas) para los dos (2) dias de sesion,</t>
    </r>
    <r>
      <rPr>
        <sz val="9"/>
        <color rgb="FF000000"/>
        <rFont val="Arial Narrow"/>
        <family val="2"/>
      </rPr>
      <t xml:space="preserve"> para los y las  delegado(a) del ENCP para un total de </t>
    </r>
    <r>
      <rPr>
        <b/>
        <sz val="9"/>
        <color rgb="FF000000"/>
        <rFont val="Arial Narrow"/>
        <family val="2"/>
      </rPr>
      <t xml:space="preserve">doscientos treinta y siete (237) </t>
    </r>
    <r>
      <rPr>
        <sz val="9"/>
        <color rgb="FF000000"/>
        <rFont val="Arial Narrow"/>
        <family val="2"/>
      </rPr>
      <t xml:space="preserve">,  deberá respetarse la decisión individual de cada delegado(a) respecto al lugar donde desee hospedarse, Alimentarse y Transportarse garantizando un entorno adecuado para su comodidad y seguridad </t>
    </r>
  </si>
  <si>
    <r>
      <rPr>
        <b/>
        <sz val="9"/>
        <color rgb="FF000000"/>
        <rFont val="Arial Narrow"/>
        <family val="2"/>
      </rPr>
      <t>Cuatro (4), días de</t>
    </r>
    <r>
      <rPr>
        <b/>
        <sz val="9"/>
        <color rgb="FFFF0000"/>
        <rFont val="Arial Narrow"/>
        <family val="2"/>
      </rPr>
      <t xml:space="preserve"> Hospedaje con acomodación individual, Transporte terrestre municipal interno y Alimentacion (Desayunos, Almuerzos y Cenas) para un (1) dia de llegada, un (1) dia de salida y (Desayunos y Cenas) para los dos (2) dias de sesion</t>
    </r>
    <r>
      <rPr>
        <sz val="9"/>
        <color rgb="FF000000"/>
        <rFont val="Arial Narrow"/>
        <family val="2"/>
      </rPr>
      <t xml:space="preserve"> para cinco (5) integrantes del equipo asesor de expertos, cinco (5) integrantes del equipo asesor técnico del ENCP y diez (10) integrantes del equipo administrativo del PCA, para un total de </t>
    </r>
    <r>
      <rPr>
        <b/>
        <sz val="9"/>
        <color rgb="FF000000"/>
        <rFont val="Arial Narrow"/>
        <family val="2"/>
      </rPr>
      <t>veinte (20) personas</t>
    </r>
    <r>
      <rPr>
        <sz val="9"/>
        <color rgb="FF000000"/>
        <rFont val="Arial Narrow"/>
        <family val="2"/>
      </rPr>
      <t xml:space="preserve">.  deberá respetarse la decisión individual respecto al lugar donde desee hospedarse, Alimentarse y Transportarse garantizando un entorno adecuado para su comodidad y seguridad </t>
    </r>
  </si>
  <si>
    <r>
      <rPr>
        <b/>
        <sz val="9"/>
        <color theme="1"/>
        <rFont val="Arial Narrow"/>
        <family val="2"/>
      </rPr>
      <t>Un (1),</t>
    </r>
    <r>
      <rPr>
        <b/>
        <sz val="9"/>
        <color rgb="FFFF0000"/>
        <rFont val="Arial Narrow"/>
        <family val="2"/>
      </rPr>
      <t xml:space="preserve"> Transporte Aereo de ida y regreso</t>
    </r>
    <r>
      <rPr>
        <sz val="9"/>
        <color theme="1"/>
        <rFont val="Arial Narrow"/>
        <family val="2"/>
      </rPr>
      <t xml:space="preserve"> para un total de doscientos treinta y siete (237) personas, integrantes delegados del ENCP, desde la ciudad Capital mas cercana al lugar de origen, respetando la decision individual de cada delegado(a) con respecto a las aerolineas, horarios y condiciones de viajes garantizando su comodidad y seguridad. 
</t>
    </r>
    <r>
      <rPr>
        <b/>
        <sz val="9"/>
        <color theme="1"/>
        <rFont val="Arial Narrow"/>
        <family val="2"/>
      </rPr>
      <t>Nota: Valor por trayecto. (incluye minimamente tarifa que contenga; un (1) aticulo personal (bolso),  un (1) equipaje de mano de (10 kg) y  un (1) equipaje de bodega de (23 kg).</t>
    </r>
    <r>
      <rPr>
        <sz val="9"/>
        <color theme="1"/>
        <rFont val="Arial Narrow"/>
        <family val="2"/>
      </rPr>
      <t xml:space="preserve"> </t>
    </r>
  </si>
  <si>
    <r>
      <rPr>
        <b/>
        <sz val="9"/>
        <color theme="1"/>
        <rFont val="Arial Narrow"/>
        <family val="2"/>
      </rPr>
      <t>Un (1),</t>
    </r>
    <r>
      <rPr>
        <b/>
        <sz val="9"/>
        <color rgb="FFFF0000"/>
        <rFont val="Arial Narrow"/>
        <family val="2"/>
      </rPr>
      <t xml:space="preserve"> Transporte Aereo de ida y regreso</t>
    </r>
    <r>
      <rPr>
        <sz val="9"/>
        <color theme="1"/>
        <rFont val="Arial Narrow"/>
        <family val="2"/>
      </rPr>
      <t xml:space="preserve"> para un total de veinte (20) personas, cinco(05) integrantes equipo asesor de expertos, cinco (05) integrantes del equipo asesor técnico del ENCP  y diez (10) integrantes del equipo administrativo de PCA, desde la ciudad Capital mas cercana al lugar de origen, respetando la decision individual con respecto a las aerolineas, horarios y condiciones de viajes garantizando su comodidady seguridad. 
</t>
    </r>
    <r>
      <rPr>
        <b/>
        <sz val="9"/>
        <color theme="1"/>
        <rFont val="Arial Narrow"/>
        <family val="2"/>
      </rPr>
      <t xml:space="preserve">Nota: Valor por trayecto. (incluye minimamente tarifa que contenga; un (1) aticulo personal (bolso),  un (1) equipaje de mano de (10 kg) y  un (1) equipaje de bodega de (23 kg). </t>
    </r>
  </si>
  <si>
    <r>
      <t xml:space="preserve">Contratación de </t>
    </r>
    <r>
      <rPr>
        <b/>
        <sz val="9"/>
        <color rgb="FF000000"/>
        <rFont val="Arial Narrow"/>
        <family val="2"/>
      </rPr>
      <t>Un (1),</t>
    </r>
    <r>
      <rPr>
        <sz val="9"/>
        <color rgb="FF000000"/>
        <rFont val="Arial Narrow"/>
        <family val="2"/>
      </rPr>
      <t xml:space="preserve">  </t>
    </r>
    <r>
      <rPr>
        <b/>
        <sz val="9"/>
        <color rgb="FFFF0000"/>
        <rFont val="Arial Narrow"/>
        <family val="2"/>
      </rPr>
      <t>grupo folclórico local o de expresión cultural</t>
    </r>
    <r>
      <rPr>
        <sz val="9"/>
        <color rgb="FF000000"/>
        <rFont val="Arial Narrow"/>
        <family val="2"/>
      </rPr>
      <t xml:space="preserve"> por </t>
    </r>
    <r>
      <rPr>
        <b/>
        <sz val="9"/>
        <color rgb="FF000000"/>
        <rFont val="Arial Narrow"/>
        <family val="2"/>
      </rPr>
      <t>Dos (2), días</t>
    </r>
    <r>
      <rPr>
        <sz val="9"/>
        <color rgb="FF000000"/>
        <rFont val="Arial Narrow"/>
        <family val="2"/>
      </rPr>
      <t xml:space="preserve">,  con el objetivo de brindar armonización y ambientación cultural durante el desarrollo del evento o actividad. Este servicio busca enriquecer la experiencia de los asistentes mediante la presentación de manifestaciones artísticas y culturales propias de la región o comunidad.
</t>
    </r>
    <r>
      <rPr>
        <b/>
        <sz val="9"/>
        <color rgb="FF000000"/>
        <rFont val="Arial Narrow"/>
        <family val="2"/>
      </rPr>
      <t>Nota: debera cubrir dentro del costo del servicio los gastos necesario para el desarrollo de la actividad (Alimentacion, Transporte y hospedaje)</t>
    </r>
  </si>
  <si>
    <r>
      <rPr>
        <b/>
        <sz val="9"/>
        <color theme="1"/>
        <rFont val="Arial Narrow"/>
        <family val="2"/>
      </rPr>
      <t>Un (1)</t>
    </r>
    <r>
      <rPr>
        <sz val="9"/>
        <color theme="1"/>
        <rFont val="Arial Narrow"/>
        <family val="2"/>
      </rPr>
      <t xml:space="preserve">, suministro de un </t>
    </r>
    <r>
      <rPr>
        <b/>
        <sz val="9"/>
        <color rgb="FFED0000"/>
        <rFont val="Arial Narrow"/>
        <family val="2"/>
      </rPr>
      <t>kit de herramientas de trabajo</t>
    </r>
    <r>
      <rPr>
        <sz val="9"/>
        <color theme="1"/>
        <rFont val="Arial Narrow"/>
        <family val="2"/>
      </rPr>
      <t xml:space="preserve"> completo para cada integrante delegado del ENCP doscientos treinta y siete (237)  personas, cinco (5), personas del equipo asesor de expertos, cinco (5)personas del equipo técnico del ENCP para un total de</t>
    </r>
    <r>
      <rPr>
        <b/>
        <sz val="9"/>
        <color theme="1"/>
        <rFont val="Arial Narrow"/>
        <family val="2"/>
      </rPr>
      <t xml:space="preserve"> Doscientos cuarenta y siete (247)</t>
    </r>
    <r>
      <rPr>
        <sz val="9"/>
        <color theme="1"/>
        <rFont val="Arial Narrow"/>
        <family val="2"/>
      </rPr>
      <t xml:space="preserve"> personas, con el fin de facilitar la organización, toma de notas y apoyo durante las actividades y reuniones del proyecto. El kit incluye una Agenda para toma de apuntes, tamaño estándar (A5) con hojas cuadriculadas; un esfero de color negro, tinta permanente, de calidad media para escritura cómoda y legible; un esfero de color rojo para anotaciones o correcciones destacadas, </t>
    </r>
    <r>
      <rPr>
        <b/>
        <sz val="9"/>
        <color theme="1"/>
        <rFont val="Arial Narrow"/>
        <family val="2"/>
      </rPr>
      <t>"Cada elemento que conforma el kit estará rotulado con logotipos de PCA e información del convenio"</t>
    </r>
    <r>
      <rPr>
        <sz val="9"/>
        <color theme="1"/>
        <rFont val="Arial Narrow"/>
        <family val="2"/>
      </rPr>
      <t>; una infografía impresa sobre la Política Nacional de Drogas diseñada para consulta rápida y referencia durante el evento o proceso; una escarapela de identificación personalizada con nombre y rol del participante para facilitar el reconocimiento y la seguridad durante el evento; y una bolsa reutilizable en tela, resistente y práctica, para contener y transportar todos los elementos del kit. La entrega se realizará en kits individuales para todos los participantes, asegurando la disponibilidad previa o durante el inicio de las actividades.</t>
    </r>
  </si>
  <si>
    <r>
      <rPr>
        <b/>
        <sz val="9"/>
        <color theme="1"/>
        <rFont val="Arial Narrow"/>
        <family val="2"/>
      </rPr>
      <t>Nota 1</t>
    </r>
    <r>
      <rPr>
        <sz val="9"/>
        <color theme="1"/>
        <rFont val="Arial Narrow"/>
        <family val="2"/>
      </rPr>
      <t>: Las actividades tres (3), cuatro (4), cinco (5), seis (6) y siete (7) corresponden a espacios de trabajo distintos, cada uno con objetivos y productos específicos. Sin embargo, con el fin de garantizar un uso eficiente, efectivo y eficaz del presupuesto, todas se desarrollarán de manera articulada en una única jornada de trabajo de tres (3) días. Desde el punto de vista presupuestal, estas actividades estarán consolidadas en la actividad número cinco (5).</t>
    </r>
  </si>
  <si>
    <r>
      <rPr>
        <b/>
        <sz val="9"/>
        <color theme="1"/>
        <rFont val="Arial Narrow"/>
        <family val="2"/>
      </rPr>
      <t>Nota 2:</t>
    </r>
    <r>
      <rPr>
        <sz val="9"/>
        <color theme="1"/>
        <rFont val="Arial Narrow"/>
        <family val="2"/>
      </rPr>
      <t xml:space="preserve"> Los Foros Departamentales y las Asambleas Departamentales cumplen funciones diferenciadas. Los primeros se desarrollan en departamentos con condiciones particulares frente al fenómeno de las drogas, por lo cual resultan fundamentales tanto para el ENCP como para la Dirección de Política de Drogas y Actividades Relacionadas, en la medida en que permiten recopilar información clave para caracterizar este fenómeno en el territorio. Por su parte, las Asambleas Departamentales tienen como propósito garantizar el ejercicio efectivo de participación de las comunidades Negras, Afrocolombianas, Raizales y Palenqueras.</t>
    </r>
  </si>
  <si>
    <t>610-2025</t>
  </si>
  <si>
    <t>https://community.secop.gov.co/Public/Tendering/OpportunityDetail/Index?noticeUID=CO1.NTC.8386662&amp;isFromPublicArea=True&amp;isModal=true&amp;asPopupView=true</t>
  </si>
  <si>
    <t>TOTAL COSTOS ADMINISTRATIVOS E INTERBANCARIOS</t>
  </si>
  <si>
    <t>PORCENTAJE DE COSTOS ADMINISTRATIVOS E INTERBANCARIOS CON RESPECTO AL VALOR TOTAL DEL CONVENIO</t>
  </si>
  <si>
    <t>MSPS</t>
  </si>
  <si>
    <t>Papelería</t>
  </si>
  <si>
    <t>Gastos bancarios</t>
  </si>
  <si>
    <t>Gastos legales - pólizas</t>
  </si>
  <si>
    <t>Alquiler de espacios para reuniones</t>
  </si>
  <si>
    <t>Operatividad en sedes</t>
  </si>
  <si>
    <t>TOTAL COSTOS OPERATIVOS</t>
  </si>
  <si>
    <t>% Gastos administrativos</t>
  </si>
  <si>
    <t>ICBF-CD-2116362024SEN</t>
  </si>
  <si>
    <t>https://community.secop.gov.co/Public/Tendering/OpportunityDetail/Index?noticeUID=CO1.NTC.6618843&amp;isFromPublicArea=True&amp;isModal=true&amp;asPopupView=true</t>
  </si>
  <si>
    <t>GASTOS ADMINISTRATIVOS</t>
  </si>
  <si>
    <t>UNP</t>
  </si>
  <si>
    <t>CV-002 DE 2025</t>
  </si>
  <si>
    <t>https://community.secop.gov.co/Public/Tendering/OpportunityDetail/Index?noticeUID=CO1.NTC.8025548&amp;isFromPublicArea=True&amp;isModal=true&amp;asPopupView=true</t>
  </si>
  <si>
    <t>CD-0217-2024</t>
  </si>
  <si>
    <t>ORGANIZACIÓN NACIONAL INDÍGENA DE COLOMBIA - ONIC</t>
  </si>
  <si>
    <t>https://community.secop.gov.co/Public/Tendering/OpportunityDetail/Index?noticeUID=CO1.NTC.6895112&amp;isFromPublicArea=True&amp;isModal=true&amp;asPopupView=true</t>
  </si>
  <si>
    <t>Gastos Bancarios</t>
  </si>
  <si>
    <t>Cantidad Unitaria</t>
  </si>
  <si>
    <t>Cantidad Total</t>
  </si>
  <si>
    <t>Proyección mensual del cuatro X mil</t>
  </si>
  <si>
    <t xml:space="preserve">Total / Gastos Bancarios </t>
  </si>
  <si>
    <t xml:space="preserve">Gastos Administrativos </t>
  </si>
  <si>
    <t xml:space="preserve">Gastos de  administración </t>
  </si>
  <si>
    <t>Cantidad de perfiles</t>
  </si>
  <si>
    <t xml:space="preserve">Auxiliar Contable </t>
  </si>
  <si>
    <t xml:space="preserve">Auxiliar Administrativo </t>
  </si>
  <si>
    <t xml:space="preserve">Personal de servicios generales </t>
  </si>
  <si>
    <t xml:space="preserve">Total / Costos administrativos </t>
  </si>
  <si>
    <t>CATEGORÍA DE COSTO</t>
  </si>
  <si>
    <t>SUBCATEGORÍA DEL COSTO</t>
  </si>
  <si>
    <t>periocidad/Meses</t>
  </si>
  <si>
    <t>Valor unitario (Referencia)</t>
  </si>
  <si>
    <t>Valor Total
(Referencia)</t>
  </si>
  <si>
    <t>GASTOS ADMINISTRATIVOS
(Proyectados)</t>
  </si>
  <si>
    <t>Arriendo de oficinas; Servicios Públicos, Conectividad (Housting) Servicios de Courrier y envíos, Gastos bancarios y Financieros, Gastos de Representación, Aseo y Cafetería, Alquiler de Oficinas, Pepelería Contable.</t>
  </si>
  <si>
    <r>
      <t xml:space="preserve">Observaciones:
</t>
    </r>
    <r>
      <rPr>
        <sz val="11"/>
        <color theme="1"/>
        <rFont val="Calibri"/>
        <family val="2"/>
        <scheme val="minor"/>
      </rPr>
      <t>Los gastos administrativos relacionados corresponden a valores indicativos o de proyección que permiten referenciar la ejecución de estos durante la implementación del convenio. Por tanto, podrán variar de conformidad con la ejecución, no obtante, no podrán el valor global proyectado.</t>
    </r>
  </si>
  <si>
    <t>RESUMEN GENERAL</t>
  </si>
  <si>
    <t>TALENTO HUMANO</t>
  </si>
  <si>
    <t>CNMI</t>
  </si>
  <si>
    <t>SOCIALIZACIONES Y PILOTAJES</t>
  </si>
  <si>
    <t>PAPELERIA</t>
  </si>
  <si>
    <t>DISEÑO DE MODULO MST</t>
  </si>
  <si>
    <t>ADM ADM</t>
  </si>
  <si>
    <t>DIFERENCIA</t>
  </si>
  <si>
    <t>ICBF-CA-235844-2025 SEN.</t>
  </si>
  <si>
    <t>https://community.secop.gov.co/Public/Tendering/OpportunityDetail/Index?noticeUID=CO1.NTC.8353483&amp;isFromPublicArea=True&amp;isModal=true&amp;asPopupView=true</t>
  </si>
  <si>
    <t>MINISTERIO DE MINAS</t>
  </si>
  <si>
    <t xml:space="preserve">https://community.secop.gov.co/Public/Tendering/OpportunityDetail/Index?noticeUID=CO1.NTC.6840450&amp;isFromPublicArea=True&amp;isModal=true&amp;asPopupView=true </t>
  </si>
  <si>
    <t>UNIDAD NACIONAL DE PROTECCION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</si>
</sst>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6" formatCode="&quot;$&quot;\ #,##0;[Red]\-&quot;$&quot;\ #,##0"/>
    <numFmt numFmtId="8" formatCode="&quot;$&quot;\ #,##0.00;[Red]\-&quot;$&quot;\ #,##0.00"/>
    <numFmt numFmtId="41" formatCode="_-* #,##0_-;\-* #,##0_-;_-* &quot;-&quot;_-;_-@_-"/>
    <numFmt numFmtId="44" formatCode="_-&quot;$&quot;\ * #,##0.00_-;\-&quot;$&quot;\ * #,##0.00_-;_-&quot;$&quot;\ * &quot;-&quot;??_-;_-@_-"/>
    <numFmt numFmtId="43" formatCode="_-* #,##0.00_-;\-* #,##0.00_-;_-* &quot;-&quot;??_-;_-@_-"/>
    <numFmt numFmtId="164" formatCode="&quot;$&quot;#,##0.00_);[Red]\(&quot;$&quot;#,##0.00\)"/>
    <numFmt numFmtId="165" formatCode="&quot;$&quot;\ #,##0"/>
    <numFmt numFmtId="166" formatCode="&quot;$&quot;\ #,##0.00"/>
    <numFmt numFmtId="167" formatCode="_-&quot;$&quot;\ * #,##0_-;\-&quot;$&quot;\ * #,##0_-;_-&quot;$&quot;\ * &quot;-&quot;??_-;_-@_-"/>
    <numFmt numFmtId="168" formatCode="_-&quot;$&quot;\ * #,##0_-;\-&quot;$&quot;\ * #,##0_-;_-&quot;$&quot;\ * &quot;-&quot;??_-;_-@"/>
    <numFmt numFmtId="169" formatCode="_-&quot;$&quot;\ * #,##0.00_-;\-&quot;$&quot;\ * #,##0.00_-;_-&quot;$&quot;\ * &quot;-&quot;??_-;_-@"/>
    <numFmt numFmtId="170" formatCode="0.0%"/>
    <numFmt numFmtId="171" formatCode="_-&quot;$&quot;* #,##0.00_-;\-&quot;$&quot;* #,##0.00_-;_-&quot;$&quot;* &quot;-&quot;??_-;_-@"/>
    <numFmt numFmtId="172" formatCode="&quot;$&quot;\ #,##0.00;[Red]&quot;$&quot;\ #,##0.00"/>
    <numFmt numFmtId="173" formatCode="_-&quot;$&quot;* #,##0_-;\-&quot;$&quot;* #,##0_-;_-&quot;$&quot;* &quot;-&quot;_-;_-@"/>
    <numFmt numFmtId="174" formatCode="_-* #,##0_-;\-* #,##0_-;_-* &quot;-&quot;??_-;_-@"/>
    <numFmt numFmtId="175" formatCode="[$$-240A]\ #,##0"/>
    <numFmt numFmtId="176" formatCode="0\ &quot;Meses&quot;"/>
    <numFmt numFmtId="177" formatCode="&quot;$&quot;#,##0.00"/>
  </numFmts>
  <fonts count="83" x14ac:knownFonts="1">
    <font>
      <sz val="11"/>
      <color theme="1"/>
      <name val="Calibri"/>
      <family val="2"/>
      <scheme val="minor"/>
    </font>
    <font>
      <sz val="11"/>
      <color theme="1"/>
      <name val="Calibri"/>
      <family val="2"/>
      <scheme val="minor"/>
    </font>
    <font>
      <sz val="10"/>
      <color theme="1"/>
      <name val="Arial"/>
      <family val="2"/>
    </font>
    <font>
      <sz val="8"/>
      <color theme="1"/>
      <name val="Arial"/>
      <family val="2"/>
    </font>
    <font>
      <sz val="10"/>
      <color theme="1"/>
      <name val="Calibri"/>
      <family val="2"/>
      <scheme val="minor"/>
    </font>
    <font>
      <sz val="8"/>
      <name val="Calibri"/>
      <family val="2"/>
      <scheme val="minor"/>
    </font>
    <font>
      <b/>
      <sz val="8"/>
      <color theme="1"/>
      <name val="Arial"/>
      <family val="2"/>
    </font>
    <font>
      <u/>
      <sz val="11"/>
      <color theme="10"/>
      <name val="Calibri"/>
      <family val="2"/>
      <scheme val="minor"/>
    </font>
    <font>
      <sz val="11"/>
      <name val="Arial"/>
      <family val="2"/>
    </font>
    <font>
      <b/>
      <sz val="12"/>
      <color theme="1"/>
      <name val="Arial Narrow"/>
      <family val="2"/>
    </font>
    <font>
      <sz val="9"/>
      <color theme="1"/>
      <name val="Arial Narrow"/>
      <family val="2"/>
    </font>
    <font>
      <b/>
      <sz val="10"/>
      <color theme="1"/>
      <name val="Arial Narrow"/>
      <family val="2"/>
    </font>
    <font>
      <b/>
      <sz val="9"/>
      <color theme="1"/>
      <name val="Arial Narrow"/>
      <family val="2"/>
    </font>
    <font>
      <sz val="9"/>
      <color rgb="FF000000"/>
      <name val="Arial Narrow"/>
      <family val="2"/>
    </font>
    <font>
      <b/>
      <sz val="9"/>
      <name val="Arial Narrow"/>
      <family val="2"/>
    </font>
    <font>
      <sz val="9"/>
      <name val="Arial Narrow"/>
      <family val="2"/>
    </font>
    <font>
      <b/>
      <sz val="11"/>
      <color theme="1"/>
      <name val="Arial Narrow"/>
      <family val="2"/>
    </font>
    <font>
      <b/>
      <sz val="9"/>
      <color rgb="FF000000"/>
      <name val="Arial Narrow"/>
      <family val="2"/>
    </font>
    <font>
      <u/>
      <sz val="9"/>
      <color theme="10"/>
      <name val="Arial Narrow"/>
      <family val="2"/>
    </font>
    <font>
      <b/>
      <sz val="11"/>
      <color theme="1"/>
      <name val="Arial"/>
      <family val="2"/>
    </font>
    <font>
      <sz val="9"/>
      <color theme="1"/>
      <name val="Arial"/>
      <family val="2"/>
    </font>
    <font>
      <b/>
      <sz val="9"/>
      <color rgb="FF26282A"/>
      <name val="Arial Narrow"/>
      <family val="2"/>
    </font>
    <font>
      <sz val="8"/>
      <color rgb="FF000000"/>
      <name val="Arial"/>
      <family val="2"/>
    </font>
    <font>
      <b/>
      <sz val="8"/>
      <name val="Arial Narrow"/>
      <family val="2"/>
    </font>
    <font>
      <b/>
      <sz val="8"/>
      <name val="Arial"/>
      <family val="2"/>
    </font>
    <font>
      <sz val="8"/>
      <name val="Arial"/>
      <family val="2"/>
    </font>
    <font>
      <sz val="9"/>
      <color theme="1"/>
      <name val="Calibri Light"/>
      <family val="2"/>
      <scheme val="major"/>
    </font>
    <font>
      <sz val="10"/>
      <color theme="1"/>
      <name val="Arial Narrow"/>
      <family val="2"/>
    </font>
    <font>
      <b/>
      <sz val="10"/>
      <color rgb="FF000000"/>
      <name val="Arial Narrow"/>
      <family val="2"/>
    </font>
    <font>
      <sz val="10"/>
      <color rgb="FF000000"/>
      <name val="Arial Narrow"/>
      <family val="2"/>
    </font>
    <font>
      <sz val="11"/>
      <color theme="1"/>
      <name val="Calibri"/>
      <family val="2"/>
    </font>
    <font>
      <sz val="7"/>
      <color theme="1"/>
      <name val="Calibri"/>
      <family val="2"/>
    </font>
    <font>
      <b/>
      <sz val="7"/>
      <color theme="1"/>
      <name val="Calibri"/>
      <family val="2"/>
    </font>
    <font>
      <sz val="11"/>
      <name val="Calibri"/>
      <family val="2"/>
    </font>
    <font>
      <b/>
      <sz val="11"/>
      <color theme="1"/>
      <name val="Calibri"/>
      <family val="2"/>
    </font>
    <font>
      <sz val="8"/>
      <color theme="1"/>
      <name val="Calibri"/>
      <family val="2"/>
    </font>
    <font>
      <sz val="7"/>
      <color rgb="FF000000"/>
      <name val="Arial"/>
      <family val="2"/>
    </font>
    <font>
      <sz val="7"/>
      <color theme="1"/>
      <name val="Arial"/>
      <family val="2"/>
    </font>
    <font>
      <b/>
      <sz val="8"/>
      <color theme="1"/>
      <name val="Arial Narrow"/>
      <family val="2"/>
    </font>
    <font>
      <sz val="8"/>
      <color theme="1"/>
      <name val="Arial Narrow"/>
      <family val="2"/>
    </font>
    <font>
      <u/>
      <sz val="8"/>
      <color theme="10"/>
      <name val="Arial Narrow"/>
      <family val="2"/>
    </font>
    <font>
      <sz val="8"/>
      <color rgb="FF000000"/>
      <name val="Arial Narrow"/>
      <family val="2"/>
    </font>
    <font>
      <sz val="8"/>
      <name val="Arial Narrow"/>
      <family val="2"/>
    </font>
    <font>
      <sz val="9"/>
      <color indexed="81"/>
      <name val="Tahoma"/>
      <family val="2"/>
    </font>
    <font>
      <b/>
      <sz val="9"/>
      <color indexed="81"/>
      <name val="Tahoma"/>
      <family val="2"/>
    </font>
    <font>
      <sz val="8"/>
      <name val="Calibri"/>
      <family val="2"/>
    </font>
    <font>
      <sz val="12"/>
      <color theme="1"/>
      <name val="Arial Narrow"/>
      <family val="2"/>
    </font>
    <font>
      <i/>
      <sz val="12"/>
      <color theme="1"/>
      <name val="Arial Narrow"/>
      <family val="2"/>
    </font>
    <font>
      <b/>
      <sz val="9"/>
      <color rgb="FFFF0000"/>
      <name val="Arial Narrow"/>
      <family val="2"/>
    </font>
    <font>
      <b/>
      <u/>
      <sz val="9"/>
      <color rgb="FFFF0000"/>
      <name val="Arial Narrow"/>
      <family val="2"/>
    </font>
    <font>
      <b/>
      <sz val="12"/>
      <color rgb="FFFF0000"/>
      <name val="Arial Narrow"/>
      <family val="2"/>
    </font>
    <font>
      <sz val="12"/>
      <color theme="1"/>
      <name val="Calibri"/>
      <family val="2"/>
      <scheme val="minor"/>
    </font>
    <font>
      <sz val="8"/>
      <color theme="1"/>
      <name val="Calibri"/>
      <family val="2"/>
      <scheme val="minor"/>
    </font>
    <font>
      <sz val="10"/>
      <color rgb="FF00B050"/>
      <name val="Arial Narrow"/>
      <family val="2"/>
    </font>
    <font>
      <sz val="10"/>
      <color rgb="FFFF0000"/>
      <name val="Arial Narrow"/>
      <family val="2"/>
    </font>
    <font>
      <b/>
      <sz val="8"/>
      <color rgb="FFFF0000"/>
      <name val="Arial Narrow"/>
      <family val="2"/>
    </font>
    <font>
      <sz val="8"/>
      <color rgb="FFFF0000"/>
      <name val="Arial Narrow"/>
      <family val="2"/>
    </font>
    <font>
      <i/>
      <sz val="8"/>
      <name val="Arial Narrow"/>
      <family val="2"/>
    </font>
    <font>
      <u/>
      <sz val="11"/>
      <color theme="10"/>
      <name val="Arial Narrow"/>
      <family val="2"/>
    </font>
    <font>
      <u/>
      <sz val="8"/>
      <color theme="10"/>
      <name val="Arial"/>
      <family val="2"/>
    </font>
    <font>
      <b/>
      <sz val="8"/>
      <color rgb="FF000000"/>
      <name val="Arial"/>
      <family val="2"/>
    </font>
    <font>
      <sz val="8"/>
      <color theme="0"/>
      <name val="Arial Narrow"/>
      <family val="2"/>
    </font>
    <font>
      <b/>
      <sz val="10"/>
      <color theme="1"/>
      <name val="Arial"/>
      <family val="2"/>
    </font>
    <font>
      <sz val="9"/>
      <color theme="1"/>
      <name val="Times New Roman"/>
      <family val="1"/>
    </font>
    <font>
      <sz val="10"/>
      <color theme="1"/>
      <name val="Times New Roman"/>
      <family val="1"/>
    </font>
    <font>
      <b/>
      <sz val="10"/>
      <color rgb="FF000000"/>
      <name val="Arial"/>
      <family val="2"/>
    </font>
    <font>
      <b/>
      <sz val="8"/>
      <color theme="0"/>
      <name val="Arial"/>
      <family val="2"/>
    </font>
    <font>
      <sz val="9"/>
      <color theme="1"/>
      <name val="Calibri"/>
      <family val="2"/>
      <scheme val="minor"/>
    </font>
    <font>
      <sz val="11"/>
      <color theme="1"/>
      <name val="Calibri"/>
      <family val="2"/>
      <scheme val="minor"/>
    </font>
    <font>
      <sz val="8"/>
      <color theme="0"/>
      <name val="Calibri"/>
      <family val="2"/>
      <scheme val="minor"/>
    </font>
    <font>
      <sz val="9"/>
      <color rgb="FFED0000"/>
      <name val="Arial Narrow"/>
      <family val="2"/>
    </font>
    <font>
      <b/>
      <sz val="9"/>
      <color rgb="FFED0000"/>
      <name val="Arial Narrow"/>
      <family val="2"/>
    </font>
    <font>
      <sz val="9"/>
      <color rgb="FFFF0000"/>
      <name val="Arial Narrow"/>
      <family val="2"/>
    </font>
    <font>
      <b/>
      <sz val="11"/>
      <color theme="1"/>
      <name val="Calibri"/>
      <family val="2"/>
      <scheme val="minor"/>
    </font>
    <font>
      <u/>
      <sz val="10"/>
      <color theme="10"/>
      <name val="Arial"/>
      <family val="2"/>
    </font>
    <font>
      <b/>
      <sz val="11"/>
      <name val="Calibri"/>
      <family val="2"/>
      <scheme val="minor"/>
    </font>
    <font>
      <b/>
      <sz val="10"/>
      <color rgb="FF000000"/>
      <name val="Calibri"/>
      <family val="2"/>
    </font>
    <font>
      <b/>
      <sz val="9"/>
      <color rgb="FF000000"/>
      <name val="Arial"/>
      <family val="2"/>
    </font>
    <font>
      <sz val="10"/>
      <color theme="1"/>
      <name val="Calibri"/>
      <family val="2"/>
    </font>
    <font>
      <sz val="9"/>
      <color rgb="FF000000"/>
      <name val="Arial"/>
      <family val="2"/>
    </font>
    <font>
      <b/>
      <sz val="9"/>
      <color theme="1"/>
      <name val="Arial"/>
      <family val="2"/>
    </font>
    <font>
      <b/>
      <sz val="8"/>
      <color rgb="FF000000"/>
      <name val="Arial Narrow"/>
      <family val="2"/>
    </font>
    <font>
      <u/>
      <sz val="8"/>
      <color rgb="FF0563C1"/>
      <name val="Arial Narrow"/>
      <family val="2"/>
    </font>
  </fonts>
  <fills count="60">
    <fill>
      <patternFill patternType="none"/>
    </fill>
    <fill>
      <patternFill patternType="gray125"/>
    </fill>
    <fill>
      <patternFill patternType="solid">
        <fgColor theme="8" tint="-0.249977111117893"/>
        <bgColor indexed="64"/>
      </patternFill>
    </fill>
    <fill>
      <patternFill patternType="solid">
        <fgColor theme="8" tint="0.39997558519241921"/>
        <bgColor indexed="64"/>
      </patternFill>
    </fill>
    <fill>
      <patternFill patternType="solid">
        <fgColor theme="0"/>
        <bgColor theme="0"/>
      </patternFill>
    </fill>
    <fill>
      <patternFill patternType="solid">
        <fgColor rgb="FFFFC000"/>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rgb="FFF2F2F2"/>
        <bgColor rgb="FFF2F2F2"/>
      </patternFill>
    </fill>
    <fill>
      <patternFill patternType="solid">
        <fgColor theme="7" tint="0.79998168889431442"/>
        <bgColor indexed="64"/>
      </patternFill>
    </fill>
    <fill>
      <patternFill patternType="solid">
        <fgColor rgb="FF92D050"/>
        <bgColor rgb="FFB6D7A8"/>
      </patternFill>
    </fill>
    <fill>
      <patternFill patternType="solid">
        <fgColor theme="4" tint="0.39997558519241921"/>
        <bgColor indexed="64"/>
      </patternFill>
    </fill>
    <fill>
      <patternFill patternType="solid">
        <fgColor theme="0"/>
        <bgColor indexed="64"/>
      </patternFill>
    </fill>
    <fill>
      <patternFill patternType="solid">
        <fgColor rgb="FF92D050"/>
        <bgColor indexed="64"/>
      </patternFill>
    </fill>
    <fill>
      <patternFill patternType="solid">
        <fgColor theme="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2"/>
        <bgColor rgb="FF8EAADB"/>
      </patternFill>
    </fill>
    <fill>
      <patternFill patternType="solid">
        <fgColor rgb="FFFFFFFF"/>
        <bgColor indexed="64"/>
      </patternFill>
    </fill>
    <fill>
      <patternFill patternType="solid">
        <fgColor rgb="FFDDEBF7"/>
        <bgColor indexed="64"/>
      </patternFill>
    </fill>
    <fill>
      <patternFill patternType="solid">
        <fgColor theme="0" tint="-4.9989318521683403E-2"/>
        <bgColor rgb="FFB6D7A8"/>
      </patternFill>
    </fill>
    <fill>
      <patternFill patternType="solid">
        <fgColor rgb="FFFFFFFF"/>
        <bgColor rgb="FFFFFFFF"/>
      </patternFill>
    </fill>
    <fill>
      <patternFill patternType="solid">
        <fgColor theme="4" tint="0.79995117038483843"/>
        <bgColor indexed="64"/>
      </patternFill>
    </fill>
    <fill>
      <patternFill patternType="solid">
        <fgColor rgb="FF92D050"/>
        <bgColor rgb="FF8EAADB"/>
      </patternFill>
    </fill>
    <fill>
      <patternFill patternType="solid">
        <fgColor rgb="FFFFF2CC"/>
        <bgColor indexed="64"/>
      </patternFill>
    </fill>
    <fill>
      <patternFill patternType="solid">
        <fgColor theme="9" tint="0.59999389629810485"/>
        <bgColor indexed="64"/>
      </patternFill>
    </fill>
    <fill>
      <patternFill patternType="solid">
        <fgColor rgb="FFA8D08D"/>
        <bgColor rgb="FFA8D08D"/>
      </patternFill>
    </fill>
    <fill>
      <patternFill patternType="solid">
        <fgColor rgb="FFFFD965"/>
        <bgColor rgb="FFFFD965"/>
      </patternFill>
    </fill>
    <fill>
      <patternFill patternType="solid">
        <fgColor rgb="FF00FF00"/>
        <bgColor rgb="FF00FF00"/>
      </patternFill>
    </fill>
    <fill>
      <patternFill patternType="solid">
        <fgColor rgb="FFF4B083"/>
        <bgColor rgb="FFF4B083"/>
      </patternFill>
    </fill>
    <fill>
      <patternFill patternType="solid">
        <fgColor rgb="FFC8C8C8"/>
        <bgColor rgb="FFC8C8C8"/>
      </patternFill>
    </fill>
    <fill>
      <patternFill patternType="solid">
        <fgColor rgb="FFBFBFBF"/>
        <bgColor rgb="FFBFBFBF"/>
      </patternFill>
    </fill>
    <fill>
      <patternFill patternType="solid">
        <fgColor theme="8"/>
        <bgColor theme="8"/>
      </patternFill>
    </fill>
    <fill>
      <patternFill patternType="solid">
        <fgColor theme="5"/>
        <bgColor theme="5"/>
      </patternFill>
    </fill>
    <fill>
      <patternFill patternType="solid">
        <fgColor rgb="FFF6B26B"/>
        <bgColor rgb="FFF6B26B"/>
      </patternFill>
    </fill>
    <fill>
      <patternFill patternType="solid">
        <fgColor rgb="FFD9D9D9"/>
        <bgColor rgb="FFD9D9D9"/>
      </patternFill>
    </fill>
    <fill>
      <patternFill patternType="solid">
        <fgColor theme="3" tint="0.89999084444715716"/>
        <bgColor indexed="64"/>
      </patternFill>
    </fill>
    <fill>
      <patternFill patternType="solid">
        <fgColor rgb="FF7F7F7F"/>
        <bgColor rgb="FF7F7F7F"/>
      </patternFill>
    </fill>
    <fill>
      <patternFill patternType="solid">
        <fgColor rgb="FFD9EAD3"/>
        <bgColor rgb="FFD9EAD3"/>
      </patternFill>
    </fill>
    <fill>
      <patternFill patternType="solid">
        <fgColor rgb="FFC5E0B3"/>
        <bgColor rgb="FFC5E0B3"/>
      </patternFill>
    </fill>
    <fill>
      <patternFill patternType="solid">
        <fgColor rgb="FF92D050"/>
        <bgColor rgb="FFD9D9D9"/>
      </patternFill>
    </fill>
    <fill>
      <patternFill patternType="solid">
        <fgColor theme="0" tint="-0.249977111117893"/>
        <bgColor indexed="64"/>
      </patternFill>
    </fill>
    <fill>
      <patternFill patternType="solid">
        <fgColor theme="5" tint="0.59999389629810485"/>
        <bgColor indexed="64"/>
      </patternFill>
    </fill>
    <fill>
      <patternFill patternType="solid">
        <fgColor theme="5" tint="0.59999389629810485"/>
        <bgColor rgb="FFB6D7A8"/>
      </patternFill>
    </fill>
    <fill>
      <patternFill patternType="solid">
        <fgColor theme="9" tint="0.79998168889431442"/>
        <bgColor indexed="64"/>
      </patternFill>
    </fill>
    <fill>
      <patternFill patternType="solid">
        <fgColor rgb="FFF9CB9C"/>
        <bgColor rgb="FFF9CB9C"/>
      </patternFill>
    </fill>
    <fill>
      <patternFill patternType="solid">
        <fgColor theme="9"/>
        <bgColor indexed="64"/>
      </patternFill>
    </fill>
    <fill>
      <patternFill patternType="solid">
        <fgColor theme="8" tint="-0.249977111117893"/>
        <bgColor theme="0"/>
      </patternFill>
    </fill>
    <fill>
      <patternFill patternType="solid">
        <fgColor rgb="FF0070C0"/>
        <bgColor indexed="64"/>
      </patternFill>
    </fill>
    <fill>
      <patternFill patternType="solid">
        <fgColor rgb="FFA6A6A6"/>
        <bgColor indexed="64"/>
      </patternFill>
    </fill>
    <fill>
      <patternFill patternType="solid">
        <fgColor rgb="FFD9D9D9"/>
        <bgColor indexed="64"/>
      </patternFill>
    </fill>
    <fill>
      <patternFill patternType="solid">
        <fgColor theme="9" tint="0.39997558519241921"/>
        <bgColor indexed="64"/>
      </patternFill>
    </fill>
    <fill>
      <patternFill patternType="solid">
        <fgColor rgb="FFFFE699"/>
        <bgColor indexed="64"/>
      </patternFill>
    </fill>
    <fill>
      <patternFill patternType="solid">
        <fgColor rgb="FFE7E6E6"/>
        <bgColor rgb="FFE7E6E6"/>
      </patternFill>
    </fill>
    <fill>
      <patternFill patternType="solid">
        <fgColor rgb="FF92D050"/>
        <bgColor rgb="FF92D050"/>
      </patternFill>
    </fill>
    <fill>
      <patternFill patternType="solid">
        <fgColor theme="0" tint="-4.9989318521683403E-2"/>
        <bgColor rgb="FFE7E6E6"/>
      </patternFill>
    </fill>
    <fill>
      <patternFill patternType="solid">
        <fgColor theme="0" tint="-4.9989318521683403E-2"/>
        <bgColor rgb="FFB4C6E7"/>
      </patternFill>
    </fill>
    <fill>
      <patternFill patternType="solid">
        <fgColor theme="5"/>
        <bgColor indexed="64"/>
      </patternFill>
    </fill>
  </fills>
  <borders count="93">
    <border>
      <left/>
      <right/>
      <top/>
      <bottom/>
      <diagonal/>
    </border>
    <border>
      <left style="thin">
        <color indexed="64"/>
      </left>
      <right style="thin">
        <color indexed="64"/>
      </right>
      <top style="thin">
        <color indexed="64"/>
      </top>
      <bottom style="thin">
        <color indexed="64"/>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bottom style="thin">
        <color theme="0" tint="-0.499984740745262"/>
      </bottom>
      <diagonal/>
    </border>
    <border>
      <left style="thin">
        <color theme="2" tint="-0.499984740745262"/>
      </left>
      <right style="thin">
        <color theme="2" tint="-0.499984740745262"/>
      </right>
      <top/>
      <bottom style="thin">
        <color theme="2" tint="-0.499984740745262"/>
      </bottom>
      <diagonal/>
    </border>
    <border>
      <left/>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2" tint="-0.499984740745262"/>
      </left>
      <right style="thin">
        <color theme="2" tint="-0.499984740745262"/>
      </right>
      <top style="thin">
        <color theme="2" tint="-0.499984740745262"/>
      </top>
      <bottom/>
      <diagonal/>
    </border>
    <border>
      <left style="thin">
        <color theme="2" tint="-0.499984740745262"/>
      </left>
      <right/>
      <top style="thin">
        <color theme="2" tint="-0.499984740745262"/>
      </top>
      <bottom style="thin">
        <color theme="2" tint="-0.499984740745262"/>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diagonal/>
    </border>
    <border>
      <left style="medium">
        <color rgb="FF000000"/>
      </left>
      <right/>
      <top/>
      <bottom/>
      <diagonal/>
    </border>
    <border>
      <left/>
      <right/>
      <top style="thin">
        <color indexed="64"/>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right style="medium">
        <color auto="1"/>
      </right>
      <top style="thin">
        <color auto="1"/>
      </top>
      <bottom style="thin">
        <color auto="1"/>
      </bottom>
      <diagonal/>
    </border>
    <border>
      <left/>
      <right style="medium">
        <color rgb="FF000000"/>
      </right>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rgb="FF000000"/>
      </bottom>
      <diagonal/>
    </border>
    <border>
      <left style="thin">
        <color indexed="64"/>
      </left>
      <right/>
      <top style="medium">
        <color indexed="64"/>
      </top>
      <bottom/>
      <diagonal/>
    </border>
    <border>
      <left style="thick">
        <color indexed="64"/>
      </left>
      <right style="thick">
        <color indexed="64"/>
      </right>
      <top style="thick">
        <color indexed="64"/>
      </top>
      <bottom style="thick">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s>
  <cellStyleXfs count="23">
    <xf numFmtId="0" fontId="0" fillId="0" borderId="0"/>
    <xf numFmtId="0" fontId="1" fillId="0" borderId="0"/>
    <xf numFmtId="9" fontId="1" fillId="0" borderId="0" applyFont="0" applyFill="0" applyBorder="0" applyAlignment="0" applyProtection="0"/>
    <xf numFmtId="0" fontId="7" fillId="0" borderId="0" applyNumberFormat="0" applyFill="0" applyBorder="0" applyAlignment="0" applyProtection="0"/>
    <xf numFmtId="0" fontId="8" fillId="0" borderId="0"/>
    <xf numFmtId="0" fontId="1" fillId="0" borderId="0"/>
    <xf numFmtId="9" fontId="8"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4" fontId="8" fillId="0" borderId="0" applyFont="0" applyFill="0" applyBorder="0" applyAlignment="0" applyProtection="0"/>
    <xf numFmtId="0" fontId="51" fillId="0" borderId="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0" fontId="1" fillId="0" borderId="0"/>
    <xf numFmtId="0" fontId="68" fillId="0" borderId="0"/>
  </cellStyleXfs>
  <cellXfs count="1101">
    <xf numFmtId="0" fontId="0" fillId="0" borderId="0" xfId="0"/>
    <xf numFmtId="0" fontId="4" fillId="0" borderId="0" xfId="0" applyFont="1"/>
    <xf numFmtId="0" fontId="2" fillId="0" borderId="1" xfId="0" applyFont="1" applyBorder="1" applyAlignment="1">
      <alignment horizontal="center" vertical="center"/>
    </xf>
    <xf numFmtId="0" fontId="2" fillId="3" borderId="1" xfId="0" applyFont="1" applyFill="1" applyBorder="1" applyAlignment="1">
      <alignment horizontal="center" vertical="center"/>
    </xf>
    <xf numFmtId="10" fontId="2" fillId="0" borderId="1" xfId="0" applyNumberFormat="1" applyFont="1" applyBorder="1" applyAlignment="1">
      <alignment horizontal="center" vertical="center"/>
    </xf>
    <xf numFmtId="0" fontId="10" fillId="0" borderId="0" xfId="4" applyFont="1" applyAlignment="1">
      <alignment vertical="center"/>
    </xf>
    <xf numFmtId="0" fontId="10" fillId="0" borderId="7" xfId="4" applyFont="1" applyBorder="1" applyAlignment="1">
      <alignment vertical="center"/>
    </xf>
    <xf numFmtId="0" fontId="15" fillId="0" borderId="0" xfId="4" applyFont="1" applyAlignment="1">
      <alignment vertical="center"/>
    </xf>
    <xf numFmtId="6" fontId="17" fillId="0" borderId="2" xfId="5" applyNumberFormat="1" applyFont="1" applyBorder="1" applyAlignment="1">
      <alignment horizontal="center" vertical="center" wrapText="1"/>
    </xf>
    <xf numFmtId="0" fontId="14" fillId="0" borderId="2" xfId="0" applyFont="1" applyBorder="1" applyAlignment="1">
      <alignment horizontal="justify" vertical="center" wrapText="1"/>
    </xf>
    <xf numFmtId="10" fontId="15" fillId="0" borderId="2" xfId="5" applyNumberFormat="1" applyFont="1" applyBorder="1" applyAlignment="1">
      <alignment vertical="center" wrapText="1"/>
    </xf>
    <xf numFmtId="0" fontId="14" fillId="0" borderId="3" xfId="4" applyFont="1" applyBorder="1" applyAlignment="1">
      <alignment horizontal="center" vertical="center"/>
    </xf>
    <xf numFmtId="0" fontId="17" fillId="0" borderId="5" xfId="0" applyFont="1" applyBorder="1" applyAlignment="1">
      <alignment horizontal="center" vertical="center" wrapText="1"/>
    </xf>
    <xf numFmtId="0" fontId="15" fillId="0" borderId="0" xfId="4" applyFont="1" applyAlignment="1">
      <alignment horizontal="center" vertical="center"/>
    </xf>
    <xf numFmtId="0" fontId="15" fillId="0" borderId="7" xfId="4" applyFont="1" applyBorder="1" applyAlignment="1">
      <alignment horizontal="center" vertical="center"/>
    </xf>
    <xf numFmtId="0" fontId="13" fillId="0" borderId="7" xfId="4" applyFont="1" applyBorder="1" applyAlignment="1">
      <alignment horizontal="justify" vertical="center" wrapText="1"/>
    </xf>
    <xf numFmtId="9" fontId="15" fillId="0" borderId="0" xfId="2" applyFont="1" applyFill="1" applyAlignment="1">
      <alignment vertical="center"/>
    </xf>
    <xf numFmtId="0" fontId="10" fillId="0" borderId="7" xfId="4" applyFont="1" applyBorder="1" applyAlignment="1">
      <alignment horizontal="left" vertical="center" wrapText="1"/>
    </xf>
    <xf numFmtId="0" fontId="15" fillId="0" borderId="7" xfId="4" applyFont="1" applyBorder="1" applyAlignment="1">
      <alignment horizontal="justify" vertical="center" wrapText="1"/>
    </xf>
    <xf numFmtId="0" fontId="15" fillId="0" borderId="8" xfId="4" applyFont="1" applyBorder="1" applyAlignment="1">
      <alignment horizontal="justify" vertical="center" wrapText="1"/>
    </xf>
    <xf numFmtId="0" fontId="15" fillId="0" borderId="8" xfId="4" applyFont="1" applyBorder="1" applyAlignment="1">
      <alignment horizontal="center" vertical="center"/>
    </xf>
    <xf numFmtId="6" fontId="15" fillId="0" borderId="0" xfId="4" applyNumberFormat="1" applyFont="1" applyAlignment="1">
      <alignment vertical="center"/>
    </xf>
    <xf numFmtId="0" fontId="10" fillId="0" borderId="0" xfId="0" applyFont="1"/>
    <xf numFmtId="0" fontId="10" fillId="0" borderId="1" xfId="0" applyFont="1" applyBorder="1" applyAlignment="1">
      <alignment horizontal="center" vertical="center"/>
    </xf>
    <xf numFmtId="0" fontId="10" fillId="0" borderId="1" xfId="0" applyFont="1" applyBorder="1"/>
    <xf numFmtId="0" fontId="12" fillId="6" borderId="1" xfId="0" applyFont="1" applyFill="1" applyBorder="1" applyAlignment="1">
      <alignment horizontal="center" vertical="center"/>
    </xf>
    <xf numFmtId="0" fontId="10" fillId="0" borderId="0" xfId="0" applyFont="1" applyAlignment="1">
      <alignment horizontal="center" vertical="center"/>
    </xf>
    <xf numFmtId="0" fontId="20" fillId="17" borderId="0" xfId="0" applyFont="1" applyFill="1"/>
    <xf numFmtId="0" fontId="3" fillId="17" borderId="0" xfId="0" applyFont="1" applyFill="1"/>
    <xf numFmtId="0" fontId="3" fillId="18" borderId="1" xfId="1" applyFont="1" applyFill="1" applyBorder="1" applyAlignment="1">
      <alignment vertical="center"/>
    </xf>
    <xf numFmtId="0" fontId="3" fillId="18" borderId="1" xfId="1" applyFont="1" applyFill="1" applyBorder="1" applyAlignment="1">
      <alignment vertical="center" wrapText="1"/>
    </xf>
    <xf numFmtId="0" fontId="3" fillId="0" borderId="1" xfId="1" applyFont="1" applyBorder="1" applyAlignment="1">
      <alignment vertical="center"/>
    </xf>
    <xf numFmtId="0" fontId="3" fillId="0" borderId="1" xfId="1" applyFont="1" applyBorder="1" applyAlignment="1">
      <alignment vertical="center" wrapText="1"/>
    </xf>
    <xf numFmtId="165" fontId="3" fillId="0" borderId="1" xfId="1" applyNumberFormat="1" applyFont="1" applyBorder="1" applyAlignment="1">
      <alignment vertical="center" wrapText="1"/>
    </xf>
    <xf numFmtId="0" fontId="12" fillId="6" borderId="1" xfId="0" applyFont="1" applyFill="1" applyBorder="1" applyAlignment="1">
      <alignment horizontal="center" vertical="center" wrapText="1"/>
    </xf>
    <xf numFmtId="0" fontId="12" fillId="10"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10" fillId="10" borderId="1" xfId="0" applyFont="1" applyFill="1" applyBorder="1" applyAlignment="1">
      <alignment horizontal="center" vertical="center"/>
    </xf>
    <xf numFmtId="0" fontId="14" fillId="11" borderId="1" xfId="0" applyFont="1" applyFill="1" applyBorder="1" applyAlignment="1">
      <alignment horizontal="center" vertical="center" wrapText="1"/>
    </xf>
    <xf numFmtId="0" fontId="10" fillId="8" borderId="1" xfId="0" applyFont="1" applyFill="1" applyBorder="1" applyAlignment="1">
      <alignment horizontal="center" vertical="center" wrapText="1"/>
    </xf>
    <xf numFmtId="10" fontId="10" fillId="8" borderId="1" xfId="0" applyNumberFormat="1" applyFont="1" applyFill="1" applyBorder="1" applyAlignment="1">
      <alignment horizontal="center" vertical="center"/>
    </xf>
    <xf numFmtId="0" fontId="10" fillId="0" borderId="1" xfId="0" applyFont="1" applyBorder="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wrapText="1"/>
    </xf>
    <xf numFmtId="0" fontId="12" fillId="0" borderId="0" xfId="0" applyFont="1" applyAlignment="1">
      <alignment horizontal="center" vertical="center"/>
    </xf>
    <xf numFmtId="0" fontId="18" fillId="0" borderId="0" xfId="3" applyFont="1" applyFill="1" applyBorder="1" applyAlignment="1">
      <alignment horizontal="center" vertical="center" wrapText="1"/>
    </xf>
    <xf numFmtId="0" fontId="17" fillId="19" borderId="1" xfId="0" applyFont="1" applyFill="1" applyBorder="1" applyAlignment="1">
      <alignment horizontal="center" vertical="center" wrapText="1"/>
    </xf>
    <xf numFmtId="0" fontId="17" fillId="14" borderId="1" xfId="0" applyFont="1" applyFill="1" applyBorder="1" applyAlignment="1">
      <alignment horizontal="center" vertical="center" wrapText="1"/>
    </xf>
    <xf numFmtId="3" fontId="21" fillId="15" borderId="1" xfId="9" applyNumberFormat="1" applyFont="1" applyFill="1" applyBorder="1" applyAlignment="1">
      <alignment horizontal="center" vertical="center" wrapText="1"/>
    </xf>
    <xf numFmtId="167" fontId="13" fillId="0" borderId="1" xfId="8" applyNumberFormat="1" applyFont="1" applyBorder="1" applyAlignment="1">
      <alignment vertical="center"/>
    </xf>
    <xf numFmtId="0" fontId="10" fillId="0" borderId="1" xfId="0" applyFont="1" applyBorder="1" applyAlignment="1">
      <alignment vertical="center" wrapText="1"/>
    </xf>
    <xf numFmtId="165" fontId="10" fillId="0" borderId="1" xfId="0" applyNumberFormat="1" applyFont="1" applyBorder="1" applyAlignment="1">
      <alignment horizontal="center" vertical="center" wrapText="1"/>
    </xf>
    <xf numFmtId="0" fontId="10" fillId="0" borderId="0" xfId="0" applyFont="1" applyAlignment="1">
      <alignment horizontal="center"/>
    </xf>
    <xf numFmtId="0" fontId="17" fillId="0" borderId="0" xfId="0" applyFont="1" applyAlignment="1">
      <alignment vertical="center" wrapText="1"/>
    </xf>
    <xf numFmtId="0" fontId="10" fillId="0" borderId="0" xfId="0" applyFont="1" applyAlignment="1">
      <alignment vertical="center" wrapText="1"/>
    </xf>
    <xf numFmtId="0" fontId="12" fillId="0" borderId="1" xfId="0" applyFont="1" applyBorder="1" applyAlignment="1">
      <alignment vertical="center" wrapText="1"/>
    </xf>
    <xf numFmtId="6" fontId="10" fillId="0" borderId="1" xfId="0" applyNumberFormat="1" applyFont="1" applyBorder="1" applyAlignment="1">
      <alignment horizontal="right" vertical="center" wrapText="1"/>
    </xf>
    <xf numFmtId="6" fontId="10" fillId="0" borderId="1" xfId="0" applyNumberFormat="1" applyFont="1" applyBorder="1" applyAlignment="1">
      <alignment horizontal="center" vertical="center" wrapText="1"/>
    </xf>
    <xf numFmtId="0" fontId="12" fillId="0" borderId="0" xfId="0" applyFont="1" applyAlignment="1">
      <alignment horizontal="center" vertical="center" wrapText="1"/>
    </xf>
    <xf numFmtId="0" fontId="10" fillId="0" borderId="0" xfId="0" applyFont="1" applyAlignment="1">
      <alignment vertical="center"/>
    </xf>
    <xf numFmtId="0" fontId="12" fillId="6" borderId="1" xfId="0" applyFont="1" applyFill="1" applyBorder="1" applyAlignment="1">
      <alignment horizontal="left" vertical="center" wrapText="1"/>
    </xf>
    <xf numFmtId="0" fontId="17" fillId="19" borderId="1" xfId="0" applyFont="1" applyFill="1" applyBorder="1" applyAlignment="1">
      <alignment horizontal="left" vertical="center" wrapText="1"/>
    </xf>
    <xf numFmtId="0" fontId="10" fillId="0" borderId="1" xfId="0" applyFont="1" applyBorder="1" applyAlignment="1">
      <alignment horizontal="left" vertical="center" wrapText="1"/>
    </xf>
    <xf numFmtId="0" fontId="10" fillId="0" borderId="0" xfId="0" applyFont="1" applyAlignment="1">
      <alignment horizontal="left" wrapText="1"/>
    </xf>
    <xf numFmtId="0" fontId="12" fillId="10" borderId="1" xfId="0" applyFont="1" applyFill="1" applyBorder="1" applyAlignment="1">
      <alignment horizontal="left" vertical="center" wrapText="1"/>
    </xf>
    <xf numFmtId="0" fontId="17" fillId="21" borderId="1" xfId="0" applyFont="1" applyFill="1" applyBorder="1" applyAlignment="1">
      <alignment horizontal="left" vertical="center" wrapText="1" indent="1"/>
    </xf>
    <xf numFmtId="0" fontId="3" fillId="0" borderId="0" xfId="0" applyFont="1"/>
    <xf numFmtId="0" fontId="3" fillId="0" borderId="1" xfId="0" applyFont="1" applyBorder="1" applyAlignment="1">
      <alignment horizontal="center" vertical="center"/>
    </xf>
    <xf numFmtId="44" fontId="3" fillId="0" borderId="0" xfId="0" applyNumberFormat="1" applyFont="1"/>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14" fillId="22" borderId="1" xfId="0" applyFont="1" applyFill="1" applyBorder="1" applyAlignment="1">
      <alignment horizontal="center" vertical="center" wrapText="1"/>
    </xf>
    <xf numFmtId="165" fontId="3" fillId="0" borderId="1" xfId="0" applyNumberFormat="1" applyFont="1" applyBorder="1" applyAlignment="1">
      <alignment vertical="center"/>
    </xf>
    <xf numFmtId="10" fontId="3" fillId="0" borderId="1" xfId="2" applyNumberFormat="1" applyFont="1" applyBorder="1" applyAlignment="1">
      <alignment vertical="center"/>
    </xf>
    <xf numFmtId="0" fontId="10" fillId="8" borderId="0" xfId="0" applyFont="1" applyFill="1"/>
    <xf numFmtId="0" fontId="24" fillId="22" borderId="1" xfId="0" applyFont="1" applyFill="1" applyBorder="1" applyAlignment="1">
      <alignment horizontal="center" vertical="center" wrapText="1"/>
    </xf>
    <xf numFmtId="0" fontId="3" fillId="0" borderId="12" xfId="0" applyFont="1" applyBorder="1" applyAlignment="1">
      <alignment vertical="center" wrapText="1"/>
    </xf>
    <xf numFmtId="165" fontId="3" fillId="0" borderId="12" xfId="0" applyNumberFormat="1" applyFont="1" applyBorder="1" applyAlignment="1">
      <alignment vertical="center" wrapText="1"/>
    </xf>
    <xf numFmtId="0" fontId="3" fillId="0" borderId="0" xfId="0" applyFont="1" applyAlignment="1">
      <alignment horizontal="center"/>
    </xf>
    <xf numFmtId="165" fontId="22" fillId="23" borderId="14" xfId="0" applyNumberFormat="1" applyFont="1" applyFill="1" applyBorder="1" applyAlignment="1">
      <alignment horizontal="center" vertical="center"/>
    </xf>
    <xf numFmtId="165" fontId="22" fillId="23" borderId="1" xfId="0" applyNumberFormat="1" applyFont="1" applyFill="1" applyBorder="1" applyAlignment="1">
      <alignment horizontal="center" vertical="center"/>
    </xf>
    <xf numFmtId="0" fontId="3" fillId="0" borderId="1" xfId="1" applyFont="1" applyBorder="1" applyAlignment="1">
      <alignment horizontal="center" vertical="center" wrapText="1"/>
    </xf>
    <xf numFmtId="165" fontId="3" fillId="0" borderId="1" xfId="0" applyNumberFormat="1" applyFont="1" applyBorder="1" applyAlignment="1">
      <alignment horizontal="center" vertical="center"/>
    </xf>
    <xf numFmtId="10" fontId="3" fillId="0" borderId="1" xfId="2" applyNumberFormat="1" applyFont="1" applyBorder="1" applyAlignment="1">
      <alignment horizontal="center" vertical="center"/>
    </xf>
    <xf numFmtId="0" fontId="10" fillId="0" borderId="0" xfId="0" applyFont="1" applyAlignment="1">
      <alignment horizontal="center" wrapText="1"/>
    </xf>
    <xf numFmtId="14" fontId="10" fillId="10" borderId="1" xfId="0" applyNumberFormat="1" applyFont="1" applyFill="1" applyBorder="1" applyAlignment="1">
      <alignment horizontal="center" vertical="center"/>
    </xf>
    <xf numFmtId="0" fontId="6" fillId="4" borderId="27" xfId="0" applyFont="1" applyFill="1" applyBorder="1" applyAlignment="1">
      <alignment horizontal="center" vertical="center"/>
    </xf>
    <xf numFmtId="0" fontId="6" fillId="4" borderId="1" xfId="0" applyFont="1" applyFill="1" applyBorder="1" applyAlignment="1">
      <alignment horizontal="center" vertical="center"/>
    </xf>
    <xf numFmtId="0" fontId="24" fillId="11" borderId="1" xfId="0" applyFont="1" applyFill="1" applyBorder="1" applyAlignment="1">
      <alignment horizontal="center" vertical="center" wrapText="1"/>
    </xf>
    <xf numFmtId="0" fontId="3" fillId="4" borderId="27" xfId="0" applyFont="1" applyFill="1" applyBorder="1" applyAlignment="1">
      <alignment horizontal="center" vertical="center"/>
    </xf>
    <xf numFmtId="0" fontId="6" fillId="4" borderId="1" xfId="0" applyFont="1" applyFill="1" applyBorder="1" applyAlignment="1">
      <alignment vertical="center"/>
    </xf>
    <xf numFmtId="0" fontId="25" fillId="0" borderId="1" xfId="0" applyFont="1" applyBorder="1"/>
    <xf numFmtId="0" fontId="3" fillId="4" borderId="31" xfId="0" applyFont="1" applyFill="1" applyBorder="1" applyAlignment="1">
      <alignment horizontal="center" vertical="center"/>
    </xf>
    <xf numFmtId="49" fontId="3" fillId="4" borderId="1" xfId="0" applyNumberFormat="1" applyFont="1" applyFill="1" applyBorder="1" applyAlignment="1">
      <alignment vertical="center" wrapText="1"/>
    </xf>
    <xf numFmtId="168" fontId="3" fillId="0" borderId="1" xfId="0" applyNumberFormat="1" applyFont="1" applyBorder="1" applyAlignment="1">
      <alignment vertical="center"/>
    </xf>
    <xf numFmtId="168" fontId="3" fillId="4" borderId="1" xfId="0" applyNumberFormat="1" applyFont="1" applyFill="1" applyBorder="1" applyAlignment="1">
      <alignment horizontal="right" vertical="center"/>
    </xf>
    <xf numFmtId="0" fontId="3" fillId="4" borderId="32" xfId="0" applyFont="1" applyFill="1" applyBorder="1" applyAlignment="1">
      <alignment horizontal="center" vertical="center"/>
    </xf>
    <xf numFmtId="49" fontId="3" fillId="4" borderId="1" xfId="0" applyNumberFormat="1" applyFont="1" applyFill="1" applyBorder="1" applyAlignment="1">
      <alignment vertical="center"/>
    </xf>
    <xf numFmtId="0" fontId="3" fillId="4" borderId="1" xfId="0" applyFont="1" applyFill="1" applyBorder="1" applyAlignment="1">
      <alignment horizontal="center" vertical="center"/>
    </xf>
    <xf numFmtId="168" fontId="3" fillId="4" borderId="1" xfId="0" applyNumberFormat="1" applyFont="1" applyFill="1" applyBorder="1" applyAlignment="1">
      <alignment horizontal="center" vertical="center"/>
    </xf>
    <xf numFmtId="0" fontId="10" fillId="8" borderId="0" xfId="0" applyFont="1" applyFill="1" applyAlignment="1">
      <alignment wrapText="1"/>
    </xf>
    <xf numFmtId="10" fontId="10" fillId="0" borderId="0" xfId="2" applyNumberFormat="1" applyFont="1"/>
    <xf numFmtId="10" fontId="10" fillId="0" borderId="0" xfId="0" applyNumberFormat="1" applyFont="1" applyAlignment="1">
      <alignment horizontal="center" vertical="center"/>
    </xf>
    <xf numFmtId="44" fontId="12" fillId="0" borderId="0" xfId="0" applyNumberFormat="1" applyFont="1"/>
    <xf numFmtId="165" fontId="10" fillId="0" borderId="1" xfId="0" applyNumberFormat="1" applyFont="1" applyBorder="1" applyAlignment="1">
      <alignment vertical="center"/>
    </xf>
    <xf numFmtId="3" fontId="21" fillId="15" borderId="1" xfId="12" applyNumberFormat="1" applyFont="1" applyFill="1" applyBorder="1" applyAlignment="1">
      <alignment horizontal="center" vertical="center" wrapText="1"/>
    </xf>
    <xf numFmtId="0" fontId="17" fillId="19" borderId="1" xfId="0" applyFont="1" applyFill="1" applyBorder="1" applyAlignment="1">
      <alignment vertical="center" wrapText="1"/>
    </xf>
    <xf numFmtId="0" fontId="10" fillId="0" borderId="1" xfId="0" applyFont="1" applyBorder="1" applyAlignment="1">
      <alignment vertical="center"/>
    </xf>
    <xf numFmtId="3" fontId="10" fillId="0" borderId="1" xfId="12" applyNumberFormat="1" applyFont="1" applyFill="1" applyBorder="1" applyAlignment="1">
      <alignment horizontal="right" vertical="center"/>
    </xf>
    <xf numFmtId="167" fontId="13" fillId="0" borderId="1" xfId="11" applyNumberFormat="1" applyFont="1" applyBorder="1" applyAlignment="1">
      <alignment vertical="center"/>
    </xf>
    <xf numFmtId="3" fontId="10" fillId="0" borderId="1" xfId="12" applyNumberFormat="1" applyFont="1" applyFill="1" applyBorder="1" applyAlignment="1">
      <alignment vertical="center"/>
    </xf>
    <xf numFmtId="0" fontId="15" fillId="0" borderId="0" xfId="0" applyFont="1" applyAlignment="1">
      <alignment horizontal="left" vertical="center" wrapText="1"/>
    </xf>
    <xf numFmtId="3" fontId="21" fillId="0" borderId="1" xfId="12" applyNumberFormat="1" applyFont="1" applyFill="1" applyBorder="1" applyAlignment="1">
      <alignment horizontal="right" vertical="center" wrapText="1"/>
    </xf>
    <xf numFmtId="0" fontId="13" fillId="0" borderId="1" xfId="0" applyFont="1" applyBorder="1" applyAlignment="1">
      <alignment vertical="center"/>
    </xf>
    <xf numFmtId="167" fontId="10" fillId="0" borderId="1" xfId="11" applyNumberFormat="1" applyFont="1" applyFill="1" applyBorder="1" applyAlignment="1">
      <alignment horizontal="right" vertical="center"/>
    </xf>
    <xf numFmtId="165" fontId="10" fillId="0" borderId="0" xfId="0" applyNumberFormat="1" applyFont="1"/>
    <xf numFmtId="165" fontId="3" fillId="0" borderId="1" xfId="8" applyNumberFormat="1" applyFont="1" applyFill="1" applyBorder="1" applyAlignment="1">
      <alignment vertical="center" wrapText="1"/>
    </xf>
    <xf numFmtId="165" fontId="0" fillId="0" borderId="0" xfId="0" applyNumberFormat="1"/>
    <xf numFmtId="0" fontId="0" fillId="0" borderId="0" xfId="0" applyAlignment="1">
      <alignment horizontal="center" vertical="center"/>
    </xf>
    <xf numFmtId="1" fontId="3" fillId="0" borderId="17" xfId="8" applyNumberFormat="1" applyFont="1" applyFill="1" applyBorder="1" applyAlignment="1">
      <alignment horizontal="center" vertical="center" wrapText="1"/>
    </xf>
    <xf numFmtId="0" fontId="12" fillId="0" borderId="1" xfId="0" applyFont="1" applyBorder="1" applyAlignment="1">
      <alignment horizontal="center" vertical="center" wrapText="1"/>
    </xf>
    <xf numFmtId="167" fontId="15" fillId="0" borderId="1" xfId="8" applyNumberFormat="1" applyFont="1" applyBorder="1" applyAlignment="1">
      <alignment horizontal="center" vertical="center" wrapText="1"/>
    </xf>
    <xf numFmtId="165" fontId="12" fillId="16" borderId="1" xfId="8" applyNumberFormat="1" applyFont="1" applyFill="1" applyBorder="1" applyAlignment="1">
      <alignment horizontal="center" vertical="center"/>
    </xf>
    <xf numFmtId="165" fontId="10" fillId="0" borderId="1" xfId="8" applyNumberFormat="1" applyFont="1" applyBorder="1" applyAlignment="1">
      <alignment horizontal="center" vertical="center"/>
    </xf>
    <xf numFmtId="10" fontId="10" fillId="0" borderId="1" xfId="2" applyNumberFormat="1" applyFont="1" applyBorder="1" applyAlignment="1">
      <alignment horizontal="center" vertical="center"/>
    </xf>
    <xf numFmtId="0" fontId="10" fillId="27" borderId="1" xfId="0" applyFont="1" applyFill="1" applyBorder="1" applyAlignment="1">
      <alignment horizontal="center" vertical="center"/>
    </xf>
    <xf numFmtId="0" fontId="10" fillId="27" borderId="1" xfId="0" applyFont="1" applyFill="1" applyBorder="1" applyAlignment="1">
      <alignment horizontal="center" vertical="center" wrapText="1"/>
    </xf>
    <xf numFmtId="44" fontId="10" fillId="0" borderId="0" xfId="0" applyNumberFormat="1" applyFont="1" applyAlignment="1">
      <alignment vertical="center"/>
    </xf>
    <xf numFmtId="0" fontId="10" fillId="18" borderId="1" xfId="0" applyFont="1" applyFill="1" applyBorder="1" applyAlignment="1">
      <alignment horizontal="left" vertical="center" wrapText="1"/>
    </xf>
    <xf numFmtId="0" fontId="10" fillId="18" borderId="1" xfId="0" applyFont="1" applyFill="1" applyBorder="1" applyAlignment="1">
      <alignment horizontal="center" vertical="center"/>
    </xf>
    <xf numFmtId="0" fontId="10" fillId="0" borderId="31" xfId="0" applyFont="1" applyBorder="1"/>
    <xf numFmtId="0" fontId="10" fillId="0" borderId="30" xfId="0" applyFont="1" applyBorder="1" applyAlignment="1">
      <alignment horizontal="center" vertical="center"/>
    </xf>
    <xf numFmtId="3" fontId="10" fillId="0" borderId="30" xfId="0" applyNumberFormat="1" applyFont="1" applyBorder="1" applyAlignment="1">
      <alignment horizontal="right" vertical="center"/>
    </xf>
    <xf numFmtId="0" fontId="10" fillId="0" borderId="27" xfId="0" applyFont="1" applyBorder="1"/>
    <xf numFmtId="0" fontId="10" fillId="0" borderId="26" xfId="0" applyFont="1" applyBorder="1" applyAlignment="1">
      <alignment horizontal="center" vertical="center"/>
    </xf>
    <xf numFmtId="3" fontId="10" fillId="0" borderId="26" xfId="0" applyNumberFormat="1" applyFont="1" applyBorder="1" applyAlignment="1">
      <alignment horizontal="right" vertical="center"/>
    </xf>
    <xf numFmtId="165" fontId="26" fillId="7" borderId="1" xfId="8" applyNumberFormat="1" applyFont="1" applyFill="1" applyBorder="1" applyAlignment="1">
      <alignment horizontal="center" vertical="center" wrapText="1"/>
    </xf>
    <xf numFmtId="0" fontId="26" fillId="0" borderId="1" xfId="0" applyFont="1" applyBorder="1" applyAlignment="1">
      <alignment horizontal="left" vertical="center" wrapText="1"/>
    </xf>
    <xf numFmtId="165" fontId="13" fillId="0" borderId="1" xfId="8" applyNumberFormat="1" applyFont="1" applyBorder="1" applyAlignment="1">
      <alignment horizontal="center" vertical="center" wrapText="1"/>
    </xf>
    <xf numFmtId="0" fontId="6" fillId="16" borderId="1" xfId="0" applyFont="1" applyFill="1" applyBorder="1" applyAlignment="1">
      <alignment horizontal="center" vertical="center"/>
    </xf>
    <xf numFmtId="0" fontId="3" fillId="16" borderId="1" xfId="0" applyFont="1" applyFill="1" applyBorder="1" applyAlignment="1">
      <alignment horizontal="center" vertical="center"/>
    </xf>
    <xf numFmtId="0" fontId="27" fillId="0" borderId="0" xfId="0" applyFont="1"/>
    <xf numFmtId="0" fontId="28" fillId="0" borderId="1" xfId="0" applyFont="1" applyBorder="1" applyAlignment="1">
      <alignment horizontal="center" vertical="center"/>
    </xf>
    <xf numFmtId="8" fontId="29" fillId="0" borderId="1" xfId="0" applyNumberFormat="1" applyFont="1" applyBorder="1" applyAlignment="1">
      <alignment vertical="center"/>
    </xf>
    <xf numFmtId="10" fontId="27" fillId="0" borderId="1" xfId="2" applyNumberFormat="1" applyFont="1" applyFill="1" applyBorder="1" applyProtection="1">
      <protection locked="0"/>
    </xf>
    <xf numFmtId="0" fontId="31" fillId="0" borderId="30" xfId="0" applyFont="1" applyBorder="1" applyAlignment="1">
      <alignment horizontal="center" vertical="center"/>
    </xf>
    <xf numFmtId="0" fontId="31" fillId="0" borderId="26" xfId="0" applyFont="1" applyBorder="1" applyAlignment="1">
      <alignment horizontal="center" vertical="center"/>
    </xf>
    <xf numFmtId="0" fontId="37" fillId="0" borderId="26" xfId="0" applyFont="1" applyBorder="1" applyAlignment="1">
      <alignment horizontal="left" vertical="center" wrapText="1"/>
    </xf>
    <xf numFmtId="0" fontId="36" fillId="0" borderId="30" xfId="0" applyFont="1" applyBorder="1" applyAlignment="1">
      <alignment vertical="center" wrapText="1"/>
    </xf>
    <xf numFmtId="165" fontId="6" fillId="16" borderId="1" xfId="0" applyNumberFormat="1" applyFont="1" applyFill="1" applyBorder="1" applyAlignment="1">
      <alignment horizontal="center" vertical="center"/>
    </xf>
    <xf numFmtId="165" fontId="31" fillId="0" borderId="26" xfId="0" applyNumberFormat="1" applyFont="1" applyBorder="1" applyAlignment="1">
      <alignment horizontal="center" vertical="center"/>
    </xf>
    <xf numFmtId="165" fontId="3" fillId="0" borderId="0" xfId="0" applyNumberFormat="1" applyFont="1"/>
    <xf numFmtId="0" fontId="12" fillId="16" borderId="0" xfId="0" applyFont="1" applyFill="1" applyAlignment="1">
      <alignment horizontal="center" vertical="center"/>
    </xf>
    <xf numFmtId="170" fontId="22" fillId="23" borderId="14" xfId="2" applyNumberFormat="1" applyFont="1" applyFill="1" applyBorder="1" applyAlignment="1">
      <alignment horizontal="center" vertical="center"/>
    </xf>
    <xf numFmtId="10" fontId="22" fillId="23" borderId="14" xfId="2" applyNumberFormat="1" applyFont="1" applyFill="1" applyBorder="1" applyAlignment="1">
      <alignment horizontal="center" vertical="center"/>
    </xf>
    <xf numFmtId="10" fontId="22" fillId="23" borderId="1" xfId="2" applyNumberFormat="1" applyFont="1" applyFill="1" applyBorder="1" applyAlignment="1">
      <alignment horizontal="center" vertical="center"/>
    </xf>
    <xf numFmtId="0" fontId="38" fillId="37" borderId="26" xfId="0" applyFont="1" applyFill="1" applyBorder="1" applyAlignment="1">
      <alignment horizontal="center" vertical="center" wrapText="1"/>
    </xf>
    <xf numFmtId="0" fontId="39" fillId="0" borderId="40" xfId="0" applyFont="1" applyBorder="1" applyAlignment="1">
      <alignment wrapText="1"/>
    </xf>
    <xf numFmtId="0" fontId="39" fillId="0" borderId="40" xfId="0" applyFont="1" applyBorder="1" applyAlignment="1">
      <alignment horizontal="center" vertical="center" wrapText="1"/>
    </xf>
    <xf numFmtId="168" fontId="39" fillId="0" borderId="40" xfId="0" applyNumberFormat="1" applyFont="1" applyBorder="1" applyAlignment="1">
      <alignment horizontal="right" vertical="center" wrapText="1"/>
    </xf>
    <xf numFmtId="9" fontId="39" fillId="0" borderId="40" xfId="0" applyNumberFormat="1" applyFont="1" applyBorder="1" applyAlignment="1">
      <alignment horizontal="center" vertical="center" wrapText="1"/>
    </xf>
    <xf numFmtId="168" fontId="39" fillId="0" borderId="40" xfId="0" applyNumberFormat="1" applyFont="1" applyBorder="1" applyAlignment="1">
      <alignment horizontal="center" vertical="center" wrapText="1"/>
    </xf>
    <xf numFmtId="0" fontId="38" fillId="6" borderId="1" xfId="0" applyFont="1" applyFill="1" applyBorder="1" applyAlignment="1">
      <alignment horizontal="center" vertical="center" wrapText="1"/>
    </xf>
    <xf numFmtId="0" fontId="38" fillId="6" borderId="1" xfId="0" applyFont="1" applyFill="1" applyBorder="1" applyAlignment="1">
      <alignment horizontal="center" vertical="center"/>
    </xf>
    <xf numFmtId="0" fontId="38" fillId="10" borderId="1" xfId="0" applyFont="1" applyFill="1" applyBorder="1" applyAlignment="1">
      <alignment horizontal="center" vertical="center"/>
    </xf>
    <xf numFmtId="0" fontId="39" fillId="10" borderId="1" xfId="0" applyFont="1" applyFill="1" applyBorder="1" applyAlignment="1">
      <alignment horizontal="center" vertical="center" wrapText="1"/>
    </xf>
    <xf numFmtId="0" fontId="39" fillId="10" borderId="1" xfId="0" applyFont="1" applyFill="1" applyBorder="1" applyAlignment="1">
      <alignment horizontal="center" vertical="center"/>
    </xf>
    <xf numFmtId="0" fontId="39" fillId="0" borderId="0" xfId="0" applyFont="1"/>
    <xf numFmtId="0" fontId="39" fillId="0" borderId="0" xfId="0" applyFont="1" applyAlignment="1">
      <alignment horizontal="left" vertical="center" indent="2"/>
    </xf>
    <xf numFmtId="0" fontId="39" fillId="0" borderId="0" xfId="0" applyFont="1" applyAlignment="1">
      <alignment horizontal="center" vertical="center"/>
    </xf>
    <xf numFmtId="0" fontId="38" fillId="0" borderId="0" xfId="0" applyFont="1" applyAlignment="1">
      <alignment horizontal="center" vertical="center"/>
    </xf>
    <xf numFmtId="0" fontId="39" fillId="0" borderId="0" xfId="0" applyFont="1" applyAlignment="1">
      <alignment horizontal="center" vertical="center" wrapText="1"/>
    </xf>
    <xf numFmtId="0" fontId="40" fillId="0" borderId="0" xfId="3" applyFont="1" applyFill="1" applyBorder="1" applyAlignment="1">
      <alignment horizontal="center" vertical="center" wrapText="1"/>
    </xf>
    <xf numFmtId="0" fontId="38" fillId="14" borderId="0" xfId="0" applyFont="1" applyFill="1" applyAlignment="1">
      <alignment horizontal="center" vertical="center" wrapText="1"/>
    </xf>
    <xf numFmtId="165" fontId="39" fillId="0" borderId="0" xfId="0" applyNumberFormat="1" applyFont="1" applyAlignment="1">
      <alignment vertical="center"/>
    </xf>
    <xf numFmtId="0" fontId="39" fillId="0" borderId="1" xfId="0" applyFont="1" applyBorder="1" applyAlignment="1">
      <alignment horizontal="center" vertical="center" wrapText="1"/>
    </xf>
    <xf numFmtId="10" fontId="39" fillId="0" borderId="1" xfId="0" applyNumberFormat="1" applyFont="1" applyBorder="1" applyAlignment="1">
      <alignment horizontal="center" vertical="center"/>
    </xf>
    <xf numFmtId="0" fontId="41" fillId="0" borderId="7" xfId="5" applyFont="1" applyBorder="1" applyAlignment="1">
      <alignment horizontal="justify" vertical="center" wrapText="1"/>
    </xf>
    <xf numFmtId="0" fontId="42" fillId="0" borderId="7" xfId="5" applyFont="1" applyBorder="1" applyAlignment="1">
      <alignment horizontal="center" vertical="center"/>
    </xf>
    <xf numFmtId="164" fontId="42" fillId="0" borderId="7" xfId="16" applyNumberFormat="1" applyFont="1" applyFill="1" applyBorder="1" applyAlignment="1" applyProtection="1">
      <alignment vertical="center"/>
      <protection locked="0"/>
    </xf>
    <xf numFmtId="164" fontId="42" fillId="38" borderId="7" xfId="2" applyNumberFormat="1" applyFont="1" applyFill="1" applyBorder="1" applyAlignment="1" applyProtection="1">
      <alignment vertical="center"/>
      <protection locked="0"/>
    </xf>
    <xf numFmtId="0" fontId="38" fillId="16" borderId="0" xfId="0" applyFont="1" applyFill="1" applyAlignment="1">
      <alignment horizontal="center" vertical="center"/>
    </xf>
    <xf numFmtId="0" fontId="39" fillId="0" borderId="0" xfId="0" applyFont="1" applyAlignment="1">
      <alignment vertical="center"/>
    </xf>
    <xf numFmtId="0" fontId="23" fillId="22" borderId="1" xfId="0" applyFont="1" applyFill="1" applyBorder="1" applyAlignment="1">
      <alignment horizontal="center" vertical="center" wrapText="1"/>
    </xf>
    <xf numFmtId="0" fontId="39" fillId="0" borderId="12" xfId="0" applyFont="1" applyBorder="1" applyAlignment="1">
      <alignment vertical="center" wrapText="1"/>
    </xf>
    <xf numFmtId="165" fontId="39" fillId="0" borderId="1" xfId="1" applyNumberFormat="1" applyFont="1" applyBorder="1" applyAlignment="1">
      <alignment horizontal="center" vertical="center" wrapText="1"/>
    </xf>
    <xf numFmtId="0" fontId="39" fillId="0" borderId="12" xfId="0" applyFont="1" applyBorder="1" applyAlignment="1">
      <alignment horizontal="center" vertical="center" wrapText="1"/>
    </xf>
    <xf numFmtId="165" fontId="39" fillId="0" borderId="12" xfId="0" applyNumberFormat="1" applyFont="1" applyBorder="1" applyAlignment="1">
      <alignment vertical="center" wrapText="1"/>
    </xf>
    <xf numFmtId="10" fontId="39" fillId="0" borderId="12" xfId="2" applyNumberFormat="1" applyFont="1" applyBorder="1" applyAlignment="1">
      <alignment vertical="center" wrapText="1"/>
    </xf>
    <xf numFmtId="6" fontId="39" fillId="0" borderId="12" xfId="0" applyNumberFormat="1" applyFont="1" applyBorder="1" applyAlignment="1">
      <alignment vertical="center" wrapText="1"/>
    </xf>
    <xf numFmtId="165" fontId="39" fillId="0" borderId="1" xfId="0" applyNumberFormat="1" applyFont="1" applyBorder="1" applyAlignment="1">
      <alignment vertical="center"/>
    </xf>
    <xf numFmtId="10" fontId="39" fillId="0" borderId="1" xfId="2" applyNumberFormat="1" applyFont="1" applyBorder="1" applyAlignment="1">
      <alignment vertical="center"/>
    </xf>
    <xf numFmtId="0" fontId="39" fillId="0" borderId="0" xfId="0" applyFont="1" applyAlignment="1">
      <alignment horizontal="center"/>
    </xf>
    <xf numFmtId="0" fontId="38" fillId="18" borderId="1" xfId="0" applyFont="1" applyFill="1" applyBorder="1" applyAlignment="1">
      <alignment horizontal="center" vertical="center" wrapText="1"/>
    </xf>
    <xf numFmtId="0" fontId="12" fillId="39" borderId="41" xfId="0" applyFont="1" applyFill="1" applyBorder="1" applyAlignment="1">
      <alignment horizontal="center" vertical="center" wrapText="1"/>
    </xf>
    <xf numFmtId="0" fontId="12" fillId="39" borderId="42" xfId="0" applyFont="1" applyFill="1" applyBorder="1" applyAlignment="1">
      <alignment horizontal="center" vertical="center" wrapText="1"/>
    </xf>
    <xf numFmtId="165" fontId="10" fillId="0" borderId="1" xfId="0" applyNumberFormat="1" applyFont="1" applyBorder="1" applyAlignment="1">
      <alignment horizontal="left" vertical="center" wrapText="1"/>
    </xf>
    <xf numFmtId="0" fontId="10" fillId="13" borderId="1" xfId="0" applyFont="1" applyFill="1" applyBorder="1" applyAlignment="1">
      <alignment horizontal="left" vertical="center" wrapText="1"/>
    </xf>
    <xf numFmtId="165" fontId="10" fillId="13" borderId="1" xfId="0" applyNumberFormat="1" applyFont="1" applyFill="1" applyBorder="1" applyAlignment="1">
      <alignment horizontal="left" vertical="center" wrapText="1"/>
    </xf>
    <xf numFmtId="10" fontId="10" fillId="27" borderId="1" xfId="0" applyNumberFormat="1" applyFont="1" applyFill="1" applyBorder="1" applyAlignment="1">
      <alignment horizontal="center" vertical="center"/>
    </xf>
    <xf numFmtId="0" fontId="25" fillId="0" borderId="1" xfId="0" applyFont="1" applyBorder="1" applyAlignment="1">
      <alignment wrapText="1"/>
    </xf>
    <xf numFmtId="0" fontId="3" fillId="0" borderId="1" xfId="0" applyFont="1" applyBorder="1" applyAlignment="1">
      <alignment wrapText="1"/>
    </xf>
    <xf numFmtId="170" fontId="22" fillId="23" borderId="14" xfId="0" applyNumberFormat="1" applyFont="1" applyFill="1" applyBorder="1" applyAlignment="1">
      <alignment horizontal="center" vertical="center"/>
    </xf>
    <xf numFmtId="0" fontId="25" fillId="0" borderId="1" xfId="0" applyFont="1" applyBorder="1" applyAlignment="1">
      <alignment horizontal="center" vertical="center" wrapText="1"/>
    </xf>
    <xf numFmtId="0" fontId="0" fillId="0" borderId="1" xfId="0" applyBorder="1"/>
    <xf numFmtId="0" fontId="0" fillId="0" borderId="1" xfId="0" applyBorder="1" applyAlignment="1">
      <alignment horizontal="center" vertical="center"/>
    </xf>
    <xf numFmtId="165" fontId="0" fillId="0" borderId="1" xfId="0" applyNumberFormat="1" applyBorder="1"/>
    <xf numFmtId="165" fontId="22" fillId="23" borderId="1" xfId="0" applyNumberFormat="1" applyFont="1" applyFill="1" applyBorder="1" applyAlignment="1">
      <alignment horizontal="center" vertical="center" wrapText="1"/>
    </xf>
    <xf numFmtId="165" fontId="22" fillId="0" borderId="1" xfId="0" applyNumberFormat="1" applyFont="1" applyBorder="1" applyAlignment="1">
      <alignment horizontal="center" vertical="center"/>
    </xf>
    <xf numFmtId="0" fontId="6" fillId="37" borderId="26" xfId="0" applyFont="1" applyFill="1" applyBorder="1" applyAlignment="1">
      <alignment horizontal="center" vertical="center" wrapText="1"/>
    </xf>
    <xf numFmtId="0" fontId="3" fillId="0" borderId="40" xfId="0" applyFont="1" applyBorder="1" applyAlignment="1">
      <alignment wrapText="1"/>
    </xf>
    <xf numFmtId="0" fontId="3" fillId="0" borderId="40" xfId="0" applyFont="1" applyBorder="1" applyAlignment="1">
      <alignment horizontal="center" vertical="center" wrapText="1"/>
    </xf>
    <xf numFmtId="168" fontId="3" fillId="0" borderId="40" xfId="0" applyNumberFormat="1" applyFont="1" applyBorder="1" applyAlignment="1">
      <alignment horizontal="right" vertical="center" wrapText="1"/>
    </xf>
    <xf numFmtId="9" fontId="3" fillId="0" borderId="40" xfId="0" applyNumberFormat="1" applyFont="1" applyBorder="1" applyAlignment="1">
      <alignment horizontal="center" vertical="center" wrapText="1"/>
    </xf>
    <xf numFmtId="168" fontId="3" fillId="0" borderId="40" xfId="0" applyNumberFormat="1" applyFont="1" applyBorder="1" applyAlignment="1">
      <alignment horizontal="center" vertical="center" wrapText="1"/>
    </xf>
    <xf numFmtId="0" fontId="3" fillId="0" borderId="40" xfId="0" applyFont="1" applyBorder="1" applyAlignment="1">
      <alignment vertical="center" wrapText="1"/>
    </xf>
    <xf numFmtId="168" fontId="6" fillId="41" borderId="40" xfId="0" applyNumberFormat="1" applyFont="1" applyFill="1" applyBorder="1" applyAlignment="1">
      <alignment horizontal="center" vertical="center" wrapText="1"/>
    </xf>
    <xf numFmtId="0" fontId="3" fillId="0" borderId="26" xfId="0" applyFont="1" applyBorder="1" applyAlignment="1">
      <alignment vertical="center" wrapText="1"/>
    </xf>
    <xf numFmtId="0" fontId="3" fillId="0" borderId="26" xfId="0" applyFont="1" applyBorder="1" applyAlignment="1">
      <alignment horizontal="center" vertical="center" wrapText="1"/>
    </xf>
    <xf numFmtId="168" fontId="3" fillId="0" borderId="26" xfId="0" applyNumberFormat="1" applyFont="1" applyBorder="1" applyAlignment="1">
      <alignment horizontal="right" vertical="center" wrapText="1"/>
    </xf>
    <xf numFmtId="9" fontId="3" fillId="0" borderId="26" xfId="0" applyNumberFormat="1" applyFont="1" applyBorder="1" applyAlignment="1">
      <alignment horizontal="center" vertical="center" wrapText="1"/>
    </xf>
    <xf numFmtId="168" fontId="3" fillId="0" borderId="26" xfId="0" applyNumberFormat="1" applyFont="1" applyBorder="1" applyAlignment="1">
      <alignment horizontal="center" vertical="center" wrapText="1"/>
    </xf>
    <xf numFmtId="0" fontId="6" fillId="42" borderId="26" xfId="0" applyFont="1" applyFill="1" applyBorder="1" applyAlignment="1">
      <alignment horizontal="center" vertical="center" wrapText="1"/>
    </xf>
    <xf numFmtId="165" fontId="3" fillId="0" borderId="40" xfId="0" applyNumberFormat="1" applyFont="1" applyBorder="1" applyAlignment="1">
      <alignment horizontal="right" vertical="center" wrapText="1"/>
    </xf>
    <xf numFmtId="0" fontId="15" fillId="38" borderId="43" xfId="4" applyFont="1" applyFill="1" applyBorder="1" applyAlignment="1">
      <alignment vertical="center" wrapText="1"/>
    </xf>
    <xf numFmtId="0" fontId="15" fillId="38" borderId="1" xfId="4" applyFont="1" applyFill="1" applyBorder="1" applyAlignment="1">
      <alignment horizontal="center" vertical="center" wrapText="1"/>
    </xf>
    <xf numFmtId="171" fontId="14" fillId="43" borderId="1" xfId="4" applyNumberFormat="1" applyFont="1" applyFill="1" applyBorder="1" applyAlignment="1">
      <alignment horizontal="center" vertical="center"/>
    </xf>
    <xf numFmtId="0" fontId="14" fillId="43" borderId="1" xfId="4" applyFont="1" applyFill="1" applyBorder="1" applyAlignment="1">
      <alignment horizontal="center" vertical="center" wrapText="1"/>
    </xf>
    <xf numFmtId="0" fontId="14" fillId="43" borderId="1" xfId="4" applyFont="1" applyFill="1" applyBorder="1" applyAlignment="1">
      <alignment horizontal="center" vertical="center"/>
    </xf>
    <xf numFmtId="44" fontId="14" fillId="43" borderId="1" xfId="8" applyFont="1" applyFill="1" applyBorder="1" applyAlignment="1">
      <alignment horizontal="center" vertical="center"/>
    </xf>
    <xf numFmtId="165" fontId="15" fillId="0" borderId="1" xfId="4" applyNumberFormat="1" applyFont="1" applyBorder="1" applyAlignment="1">
      <alignment horizontal="center" vertical="center"/>
    </xf>
    <xf numFmtId="0" fontId="10" fillId="13" borderId="1" xfId="0" applyFont="1" applyFill="1" applyBorder="1" applyAlignment="1">
      <alignment horizontal="center" vertical="center"/>
    </xf>
    <xf numFmtId="44" fontId="14" fillId="14" borderId="1" xfId="8" applyFont="1" applyFill="1" applyBorder="1" applyAlignment="1">
      <alignment horizontal="center" vertical="center"/>
    </xf>
    <xf numFmtId="0" fontId="10" fillId="0" borderId="0" xfId="4" applyFont="1" applyAlignment="1">
      <alignment horizontal="center" vertical="center"/>
    </xf>
    <xf numFmtId="0" fontId="12" fillId="0" borderId="22" xfId="4" applyFont="1" applyBorder="1" applyAlignment="1">
      <alignment horizontal="center" vertical="center"/>
    </xf>
    <xf numFmtId="10" fontId="15" fillId="38" borderId="2" xfId="2" applyNumberFormat="1" applyFont="1" applyFill="1" applyBorder="1" applyAlignment="1">
      <alignment vertical="center" wrapText="1"/>
    </xf>
    <xf numFmtId="9" fontId="12" fillId="0" borderId="2" xfId="6" applyFont="1" applyFill="1" applyBorder="1" applyAlignment="1" applyProtection="1">
      <alignment vertical="center" wrapText="1"/>
      <protection locked="0"/>
    </xf>
    <xf numFmtId="0" fontId="13" fillId="8" borderId="7" xfId="4" applyFont="1" applyFill="1" applyBorder="1" applyAlignment="1">
      <alignment horizontal="justify" vertical="center" wrapText="1"/>
    </xf>
    <xf numFmtId="164" fontId="15" fillId="0" borderId="7" xfId="7" applyNumberFormat="1" applyFont="1" applyFill="1" applyBorder="1" applyAlignment="1" applyProtection="1">
      <alignment vertical="center"/>
      <protection locked="0"/>
    </xf>
    <xf numFmtId="164" fontId="15" fillId="38" borderId="7" xfId="2" applyNumberFormat="1" applyFont="1" applyFill="1" applyBorder="1" applyAlignment="1" applyProtection="1">
      <alignment vertical="center"/>
      <protection locked="0"/>
    </xf>
    <xf numFmtId="9" fontId="38" fillId="0" borderId="2" xfId="6" applyFont="1" applyFill="1" applyBorder="1" applyAlignment="1" applyProtection="1">
      <alignment vertical="center" wrapText="1"/>
      <protection locked="0"/>
    </xf>
    <xf numFmtId="164" fontId="14" fillId="0" borderId="7" xfId="7" applyNumberFormat="1" applyFont="1" applyFill="1" applyBorder="1" applyAlignment="1" applyProtection="1">
      <alignment vertical="center"/>
    </xf>
    <xf numFmtId="0" fontId="14" fillId="0" borderId="3" xfId="4" applyFont="1" applyBorder="1" applyAlignment="1">
      <alignment horizontal="center" vertical="center" wrapText="1"/>
    </xf>
    <xf numFmtId="0" fontId="39" fillId="0" borderId="1" xfId="0" applyFont="1" applyBorder="1"/>
    <xf numFmtId="164" fontId="39" fillId="0" borderId="1" xfId="0" applyNumberFormat="1" applyFont="1" applyBorder="1"/>
    <xf numFmtId="172" fontId="39" fillId="0" borderId="1" xfId="0" applyNumberFormat="1" applyFont="1" applyBorder="1"/>
    <xf numFmtId="165" fontId="15" fillId="0" borderId="0" xfId="4" applyNumberFormat="1" applyFont="1" applyAlignment="1">
      <alignment horizontal="center" vertical="center"/>
    </xf>
    <xf numFmtId="0" fontId="10" fillId="13" borderId="0" xfId="0" applyFont="1" applyFill="1" applyAlignment="1">
      <alignment horizontal="center" vertical="center"/>
    </xf>
    <xf numFmtId="10" fontId="39" fillId="0" borderId="0" xfId="0" applyNumberFormat="1" applyFont="1" applyAlignment="1">
      <alignment horizontal="center" vertical="center"/>
    </xf>
    <xf numFmtId="0" fontId="15" fillId="0" borderId="44" xfId="4" applyFont="1" applyBorder="1" applyAlignment="1">
      <alignment horizontal="right" vertical="center" wrapText="1"/>
    </xf>
    <xf numFmtId="0" fontId="23" fillId="45" borderId="1" xfId="0" applyFont="1" applyFill="1" applyBorder="1" applyAlignment="1">
      <alignment horizontal="center" vertical="center" wrapText="1"/>
    </xf>
    <xf numFmtId="168" fontId="3" fillId="0" borderId="39" xfId="0" applyNumberFormat="1" applyFont="1" applyBorder="1" applyAlignment="1">
      <alignment horizontal="center" vertical="center" wrapText="1"/>
    </xf>
    <xf numFmtId="0" fontId="6" fillId="42" borderId="34" xfId="0" applyFont="1" applyFill="1" applyBorder="1" applyAlignment="1">
      <alignment horizontal="center" vertical="center" wrapText="1"/>
    </xf>
    <xf numFmtId="0" fontId="10" fillId="0" borderId="50" xfId="0" applyFont="1" applyBorder="1" applyAlignment="1">
      <alignment horizontal="right" vertical="center" wrapText="1"/>
    </xf>
    <xf numFmtId="0" fontId="10" fillId="0" borderId="51" xfId="0" applyFont="1" applyBorder="1" applyAlignment="1">
      <alignment horizontal="right" vertical="center" wrapText="1"/>
    </xf>
    <xf numFmtId="0" fontId="10" fillId="0" borderId="52" xfId="0" applyFont="1" applyBorder="1" applyAlignment="1">
      <alignment horizontal="right" vertical="center" wrapText="1"/>
    </xf>
    <xf numFmtId="165" fontId="15" fillId="38" borderId="1" xfId="4" applyNumberFormat="1" applyFont="1" applyFill="1" applyBorder="1" applyAlignment="1">
      <alignment vertical="center"/>
    </xf>
    <xf numFmtId="165" fontId="10" fillId="38" borderId="1" xfId="8" applyNumberFormat="1" applyFont="1" applyFill="1" applyBorder="1" applyAlignment="1">
      <alignment horizontal="center" vertical="center"/>
    </xf>
    <xf numFmtId="165" fontId="15" fillId="0" borderId="1" xfId="4" applyNumberFormat="1" applyFont="1" applyBorder="1" applyAlignment="1">
      <alignment vertical="center"/>
    </xf>
    <xf numFmtId="165" fontId="10" fillId="13" borderId="1" xfId="0" applyNumberFormat="1" applyFont="1" applyFill="1" applyBorder="1" applyAlignment="1">
      <alignment vertical="center"/>
    </xf>
    <xf numFmtId="1" fontId="10" fillId="38" borderId="1" xfId="0" applyNumberFormat="1" applyFont="1" applyFill="1" applyBorder="1" applyAlignment="1">
      <alignment horizontal="center" vertical="center"/>
    </xf>
    <xf numFmtId="0" fontId="7" fillId="0" borderId="0" xfId="3" applyAlignment="1">
      <alignment vertical="center"/>
    </xf>
    <xf numFmtId="0" fontId="12" fillId="17" borderId="2" xfId="0" applyFont="1" applyFill="1" applyBorder="1" applyAlignment="1">
      <alignment horizontal="center" vertical="center"/>
    </xf>
    <xf numFmtId="0" fontId="12" fillId="46" borderId="2" xfId="0" applyFont="1" applyFill="1" applyBorder="1" applyAlignment="1">
      <alignment horizontal="center" vertical="center"/>
    </xf>
    <xf numFmtId="0" fontId="14" fillId="43" borderId="55" xfId="17" applyFont="1" applyFill="1" applyBorder="1" applyAlignment="1">
      <alignment horizontal="center" vertical="center"/>
    </xf>
    <xf numFmtId="171" fontId="14" fillId="43" borderId="55" xfId="17" applyNumberFormat="1" applyFont="1" applyFill="1" applyBorder="1" applyAlignment="1">
      <alignment horizontal="center" vertical="center"/>
    </xf>
    <xf numFmtId="0" fontId="14" fillId="43" borderId="55" xfId="17" applyFont="1" applyFill="1" applyBorder="1" applyAlignment="1">
      <alignment horizontal="center" vertical="center" wrapText="1"/>
    </xf>
    <xf numFmtId="44" fontId="14" fillId="43" borderId="55" xfId="8" applyFont="1" applyFill="1" applyBorder="1" applyAlignment="1">
      <alignment horizontal="center" vertical="center"/>
    </xf>
    <xf numFmtId="0" fontId="12" fillId="46" borderId="9" xfId="0" applyFont="1" applyFill="1" applyBorder="1" applyAlignment="1">
      <alignment horizontal="center" vertical="center"/>
    </xf>
    <xf numFmtId="0" fontId="10" fillId="38" borderId="43" xfId="17" applyFont="1" applyFill="1" applyBorder="1" applyAlignment="1">
      <alignment vertical="center" wrapText="1"/>
    </xf>
    <xf numFmtId="171" fontId="10" fillId="38" borderId="53" xfId="17" applyNumberFormat="1" applyFont="1" applyFill="1" applyBorder="1" applyAlignment="1">
      <alignment vertical="center"/>
    </xf>
    <xf numFmtId="0" fontId="10" fillId="38" borderId="53" xfId="0" applyFont="1" applyFill="1" applyBorder="1" applyAlignment="1">
      <alignment horizontal="center" vertical="center"/>
    </xf>
    <xf numFmtId="44" fontId="10" fillId="38" borderId="54" xfId="8" applyFont="1" applyFill="1" applyBorder="1" applyAlignment="1">
      <alignment horizontal="center" vertical="center"/>
    </xf>
    <xf numFmtId="166" fontId="10" fillId="0" borderId="2" xfId="0" applyNumberFormat="1" applyFont="1" applyBorder="1" applyAlignment="1">
      <alignment horizontal="center" vertical="center"/>
    </xf>
    <xf numFmtId="9" fontId="10" fillId="0" borderId="10" xfId="2" applyFont="1" applyFill="1" applyBorder="1" applyAlignment="1">
      <alignment horizontal="center" vertical="center"/>
    </xf>
    <xf numFmtId="171" fontId="12" fillId="38" borderId="2" xfId="17" applyNumberFormat="1" applyFont="1" applyFill="1" applyBorder="1" applyAlignment="1">
      <alignment vertical="center"/>
    </xf>
    <xf numFmtId="9" fontId="10" fillId="0" borderId="2" xfId="2" applyFont="1" applyFill="1" applyBorder="1" applyAlignment="1">
      <alignment vertical="center"/>
    </xf>
    <xf numFmtId="0" fontId="10" fillId="0" borderId="50" xfId="17" applyFont="1" applyBorder="1" applyAlignment="1">
      <alignment horizontal="right" vertical="center" wrapText="1"/>
    </xf>
    <xf numFmtId="171" fontId="10" fillId="0" borderId="15" xfId="17" applyNumberFormat="1" applyFont="1" applyBorder="1" applyAlignment="1">
      <alignment vertical="center"/>
    </xf>
    <xf numFmtId="0" fontId="10" fillId="13" borderId="0" xfId="0" applyFont="1" applyFill="1" applyAlignment="1">
      <alignment vertical="center"/>
    </xf>
    <xf numFmtId="0" fontId="10" fillId="13" borderId="56" xfId="0" applyFont="1" applyFill="1" applyBorder="1" applyAlignment="1">
      <alignment vertical="center"/>
    </xf>
    <xf numFmtId="44" fontId="10" fillId="0" borderId="5" xfId="0" applyNumberFormat="1" applyFont="1" applyBorder="1" applyAlignment="1">
      <alignment vertical="center"/>
    </xf>
    <xf numFmtId="0" fontId="10" fillId="0" borderId="51" xfId="17" applyFont="1" applyBorder="1" applyAlignment="1">
      <alignment horizontal="right" vertical="center" wrapText="1"/>
    </xf>
    <xf numFmtId="171" fontId="10" fillId="0" borderId="1" xfId="17" applyNumberFormat="1" applyFont="1" applyBorder="1" applyAlignment="1">
      <alignment vertical="center"/>
    </xf>
    <xf numFmtId="0" fontId="15" fillId="0" borderId="0" xfId="0" applyFont="1" applyAlignment="1">
      <alignment vertical="center"/>
    </xf>
    <xf numFmtId="44" fontId="10" fillId="0" borderId="2" xfId="0" applyNumberFormat="1" applyFont="1" applyBorder="1" applyAlignment="1">
      <alignment vertical="center"/>
    </xf>
    <xf numFmtId="0" fontId="10" fillId="0" borderId="52" xfId="17" applyFont="1" applyBorder="1" applyAlignment="1">
      <alignment horizontal="right" vertical="center" wrapText="1"/>
    </xf>
    <xf numFmtId="171" fontId="10" fillId="0" borderId="14" xfId="17" applyNumberFormat="1" applyFont="1" applyBorder="1" applyAlignment="1">
      <alignment vertical="center"/>
    </xf>
    <xf numFmtId="9" fontId="10" fillId="0" borderId="2" xfId="2" applyFont="1" applyFill="1" applyBorder="1" applyAlignment="1">
      <alignment horizontal="center" vertical="center"/>
    </xf>
    <xf numFmtId="0" fontId="15" fillId="38" borderId="43" xfId="17" applyFont="1" applyFill="1" applyBorder="1" applyAlignment="1">
      <alignment vertical="center" wrapText="1"/>
    </xf>
    <xf numFmtId="171" fontId="15" fillId="38" borderId="53" xfId="17" applyNumberFormat="1" applyFont="1" applyFill="1" applyBorder="1" applyAlignment="1">
      <alignment vertical="center"/>
    </xf>
    <xf numFmtId="171" fontId="15" fillId="0" borderId="15" xfId="17" applyNumberFormat="1" applyFont="1" applyBorder="1" applyAlignment="1">
      <alignment vertical="center"/>
    </xf>
    <xf numFmtId="44" fontId="10" fillId="8" borderId="2" xfId="0" applyNumberFormat="1" applyFont="1" applyFill="1" applyBorder="1" applyAlignment="1">
      <alignment vertical="center"/>
    </xf>
    <xf numFmtId="9" fontId="10" fillId="8" borderId="2" xfId="2" applyFont="1" applyFill="1" applyBorder="1" applyAlignment="1">
      <alignment vertical="center"/>
    </xf>
    <xf numFmtId="171" fontId="15" fillId="0" borderId="1" xfId="17" applyNumberFormat="1" applyFont="1" applyBorder="1" applyAlignment="1">
      <alignment vertical="center"/>
    </xf>
    <xf numFmtId="164" fontId="10" fillId="0" borderId="0" xfId="0" applyNumberFormat="1" applyFont="1" applyAlignment="1">
      <alignment vertical="center"/>
    </xf>
    <xf numFmtId="171" fontId="15" fillId="0" borderId="14" xfId="17" applyNumberFormat="1" applyFont="1" applyBorder="1" applyAlignment="1">
      <alignment vertical="center"/>
    </xf>
    <xf numFmtId="0" fontId="15" fillId="0" borderId="44" xfId="17" applyFont="1" applyBorder="1" applyAlignment="1">
      <alignment horizontal="right" vertical="center" wrapText="1"/>
    </xf>
    <xf numFmtId="171" fontId="15" fillId="0" borderId="22" xfId="17" applyNumberFormat="1" applyFont="1" applyBorder="1" applyAlignment="1">
      <alignment vertical="center"/>
    </xf>
    <xf numFmtId="0" fontId="15" fillId="38" borderId="43" xfId="17" applyFont="1" applyFill="1" applyBorder="1" applyAlignment="1">
      <alignment horizontal="left" vertical="center" wrapText="1"/>
    </xf>
    <xf numFmtId="0" fontId="15" fillId="0" borderId="50" xfId="17" applyFont="1" applyBorder="1" applyAlignment="1">
      <alignment horizontal="right" vertical="center" wrapText="1"/>
    </xf>
    <xf numFmtId="0" fontId="15" fillId="0" borderId="52" xfId="17" applyFont="1" applyBorder="1" applyAlignment="1">
      <alignment horizontal="right" vertical="center" wrapText="1"/>
    </xf>
    <xf numFmtId="0" fontId="10" fillId="0" borderId="44" xfId="0" applyFont="1" applyBorder="1" applyAlignment="1">
      <alignment horizontal="right" vertical="center" wrapText="1"/>
    </xf>
    <xf numFmtId="0" fontId="15" fillId="38" borderId="43" xfId="17" applyFont="1" applyFill="1" applyBorder="1" applyAlignment="1">
      <alignment vertical="center"/>
    </xf>
    <xf numFmtId="0" fontId="10" fillId="8" borderId="0" xfId="0" applyFont="1" applyFill="1" applyAlignment="1">
      <alignment horizontal="center" vertical="center" wrapText="1"/>
    </xf>
    <xf numFmtId="0" fontId="15" fillId="13" borderId="50" xfId="17" applyFont="1" applyFill="1" applyBorder="1" applyAlignment="1">
      <alignment horizontal="right" vertical="center"/>
    </xf>
    <xf numFmtId="171" fontId="15" fillId="13" borderId="15" xfId="17" applyNumberFormat="1" applyFont="1" applyFill="1" applyBorder="1" applyAlignment="1">
      <alignment vertical="center"/>
    </xf>
    <xf numFmtId="171" fontId="15" fillId="38" borderId="53" xfId="17" applyNumberFormat="1" applyFont="1" applyFill="1" applyBorder="1" applyAlignment="1">
      <alignment vertical="center" wrapText="1"/>
    </xf>
    <xf numFmtId="0" fontId="10" fillId="38" borderId="53" xfId="0" applyFont="1" applyFill="1" applyBorder="1" applyAlignment="1">
      <alignment horizontal="center" vertical="center" wrapText="1"/>
    </xf>
    <xf numFmtId="44" fontId="10" fillId="38" borderId="54" xfId="8" applyFont="1" applyFill="1" applyBorder="1" applyAlignment="1">
      <alignment horizontal="center" vertical="center" wrapText="1"/>
    </xf>
    <xf numFmtId="0" fontId="15" fillId="13" borderId="44" xfId="17" applyFont="1" applyFill="1" applyBorder="1" applyAlignment="1">
      <alignment horizontal="right" vertical="center" wrapText="1"/>
    </xf>
    <xf numFmtId="171" fontId="15" fillId="13" borderId="22" xfId="17" applyNumberFormat="1" applyFont="1" applyFill="1" applyBorder="1" applyAlignment="1">
      <alignment vertical="center"/>
    </xf>
    <xf numFmtId="0" fontId="18" fillId="8" borderId="0" xfId="3" applyFont="1" applyFill="1" applyAlignment="1">
      <alignment vertical="center"/>
    </xf>
    <xf numFmtId="0" fontId="15" fillId="13" borderId="44" xfId="17" applyFont="1" applyFill="1" applyBorder="1" applyAlignment="1">
      <alignment horizontal="right" vertical="center"/>
    </xf>
    <xf numFmtId="171" fontId="14" fillId="38" borderId="53" xfId="17" applyNumberFormat="1" applyFont="1" applyFill="1" applyBorder="1" applyAlignment="1">
      <alignment vertical="center"/>
    </xf>
    <xf numFmtId="0" fontId="10" fillId="0" borderId="44" xfId="17" applyFont="1" applyBorder="1" applyAlignment="1">
      <alignment vertical="center" wrapText="1"/>
    </xf>
    <xf numFmtId="171" fontId="10" fillId="0" borderId="22" xfId="17" applyNumberFormat="1" applyFont="1" applyBorder="1" applyAlignment="1">
      <alignment vertical="center"/>
    </xf>
    <xf numFmtId="171" fontId="12" fillId="5" borderId="53" xfId="17" applyNumberFormat="1" applyFont="1" applyFill="1" applyBorder="1" applyAlignment="1">
      <alignment vertical="center"/>
    </xf>
    <xf numFmtId="0" fontId="7" fillId="0" borderId="0" xfId="3"/>
    <xf numFmtId="0" fontId="52" fillId="0" borderId="0" xfId="0" applyFont="1"/>
    <xf numFmtId="168" fontId="0" fillId="0" borderId="0" xfId="0" applyNumberFormat="1"/>
    <xf numFmtId="0" fontId="22" fillId="23" borderId="0" xfId="0" applyFont="1" applyFill="1" applyAlignment="1">
      <alignment horizontal="left" wrapText="1"/>
    </xf>
    <xf numFmtId="0" fontId="3" fillId="0" borderId="26" xfId="0" applyFont="1" applyBorder="1" applyAlignment="1">
      <alignment horizontal="left" vertical="center" wrapText="1"/>
    </xf>
    <xf numFmtId="168" fontId="3" fillId="41" borderId="26" xfId="0" applyNumberFormat="1" applyFont="1" applyFill="1" applyBorder="1" applyAlignment="1">
      <alignment horizontal="right" vertical="center" wrapText="1"/>
    </xf>
    <xf numFmtId="0" fontId="6" fillId="37" borderId="26" xfId="0" applyFont="1" applyFill="1" applyBorder="1" applyAlignment="1">
      <alignment horizontal="center" wrapText="1"/>
    </xf>
    <xf numFmtId="0" fontId="3" fillId="0" borderId="26" xfId="0" applyFont="1" applyBorder="1" applyAlignment="1">
      <alignment wrapText="1"/>
    </xf>
    <xf numFmtId="0" fontId="3" fillId="0" borderId="26" xfId="0" applyFont="1" applyBorder="1" applyAlignment="1">
      <alignment horizontal="center" wrapText="1"/>
    </xf>
    <xf numFmtId="168" fontId="3" fillId="0" borderId="26" xfId="0" applyNumberFormat="1" applyFont="1" applyBorder="1" applyAlignment="1">
      <alignment horizontal="right" wrapText="1"/>
    </xf>
    <xf numFmtId="0" fontId="22" fillId="23" borderId="0" xfId="0" applyFont="1" applyFill="1" applyAlignment="1">
      <alignment horizontal="left" vertical="center" wrapText="1"/>
    </xf>
    <xf numFmtId="9" fontId="3" fillId="0" borderId="26" xfId="0" applyNumberFormat="1" applyFont="1" applyBorder="1" applyAlignment="1">
      <alignment horizontal="center" wrapText="1"/>
    </xf>
    <xf numFmtId="0" fontId="3" fillId="0" borderId="26" xfId="0" applyFont="1" applyBorder="1" applyAlignment="1">
      <alignment horizontal="left" wrapText="1"/>
    </xf>
    <xf numFmtId="168" fontId="3" fillId="0" borderId="26" xfId="0" applyNumberFormat="1" applyFont="1" applyBorder="1" applyAlignment="1">
      <alignment horizontal="center" wrapText="1"/>
    </xf>
    <xf numFmtId="168" fontId="3" fillId="41" borderId="26" xfId="0" applyNumberFormat="1" applyFont="1" applyFill="1" applyBorder="1" applyAlignment="1">
      <alignment horizontal="right" wrapText="1"/>
    </xf>
    <xf numFmtId="168" fontId="6" fillId="0" borderId="26" xfId="0" applyNumberFormat="1" applyFont="1" applyBorder="1" applyAlignment="1">
      <alignment vertical="center"/>
    </xf>
    <xf numFmtId="168" fontId="6" fillId="0" borderId="40" xfId="0" applyNumberFormat="1" applyFont="1" applyBorder="1" applyAlignment="1">
      <alignment horizontal="center" vertical="center" wrapText="1"/>
    </xf>
    <xf numFmtId="0" fontId="6" fillId="37" borderId="29" xfId="0" applyFont="1" applyFill="1" applyBorder="1" applyAlignment="1">
      <alignment horizontal="center" wrapText="1"/>
    </xf>
    <xf numFmtId="0" fontId="3" fillId="0" borderId="29" xfId="0" applyFont="1" applyBorder="1" applyAlignment="1">
      <alignment horizontal="center" wrapText="1"/>
    </xf>
    <xf numFmtId="168" fontId="6" fillId="41" borderId="29" xfId="0" applyNumberFormat="1" applyFont="1" applyFill="1" applyBorder="1" applyAlignment="1">
      <alignment horizontal="center" wrapText="1"/>
    </xf>
    <xf numFmtId="0" fontId="3" fillId="0" borderId="26" xfId="0" applyFont="1" applyBorder="1" applyAlignment="1">
      <alignment horizontal="center"/>
    </xf>
    <xf numFmtId="168" fontId="6" fillId="41" borderId="26" xfId="0" applyNumberFormat="1" applyFont="1" applyFill="1" applyBorder="1" applyAlignment="1">
      <alignment horizontal="center" wrapText="1"/>
    </xf>
    <xf numFmtId="0" fontId="35" fillId="0" borderId="0" xfId="0" applyFont="1" applyAlignment="1">
      <alignment horizontal="center"/>
    </xf>
    <xf numFmtId="168" fontId="6" fillId="47" borderId="26" xfId="0" applyNumberFormat="1" applyFont="1" applyFill="1" applyBorder="1"/>
    <xf numFmtId="0" fontId="11" fillId="43" borderId="43" xfId="0" applyFont="1" applyFill="1" applyBorder="1" applyAlignment="1">
      <alignment horizontal="center" vertical="center" wrapText="1"/>
    </xf>
    <xf numFmtId="0" fontId="11" fillId="43" borderId="53" xfId="0" applyFont="1" applyFill="1" applyBorder="1" applyAlignment="1">
      <alignment horizontal="center" vertical="center" wrapText="1"/>
    </xf>
    <xf numFmtId="0" fontId="11" fillId="43" borderId="54" xfId="0" applyFont="1" applyFill="1" applyBorder="1" applyAlignment="1">
      <alignment horizontal="center" vertical="center" wrapText="1"/>
    </xf>
    <xf numFmtId="0" fontId="27" fillId="0" borderId="50" xfId="0" applyFont="1" applyBorder="1" applyAlignment="1">
      <alignment horizontal="center" vertical="center" wrapText="1"/>
    </xf>
    <xf numFmtId="0" fontId="27" fillId="0" borderId="15" xfId="0" applyFont="1" applyBorder="1" applyAlignment="1">
      <alignment horizontal="center" vertical="center" wrapText="1"/>
    </xf>
    <xf numFmtId="44" fontId="27" fillId="0" borderId="15" xfId="8" applyFont="1" applyBorder="1" applyAlignment="1">
      <alignment horizontal="center" vertical="center" wrapText="1"/>
    </xf>
    <xf numFmtId="44" fontId="27" fillId="0" borderId="57" xfId="8" applyFont="1" applyBorder="1" applyAlignment="1">
      <alignment horizontal="center" vertical="center" wrapText="1"/>
    </xf>
    <xf numFmtId="0" fontId="27" fillId="0" borderId="58" xfId="0" applyFont="1" applyBorder="1" applyAlignment="1">
      <alignment horizontal="center" vertical="center" wrapText="1"/>
    </xf>
    <xf numFmtId="0" fontId="27" fillId="0" borderId="59" xfId="0" applyFont="1" applyBorder="1" applyAlignment="1">
      <alignment horizontal="center" vertical="center" wrapText="1"/>
    </xf>
    <xf numFmtId="44" fontId="27" fillId="0" borderId="59" xfId="8" applyFont="1" applyBorder="1" applyAlignment="1">
      <alignment horizontal="center" vertical="center" wrapText="1"/>
    </xf>
    <xf numFmtId="44" fontId="27" fillId="0" borderId="60" xfId="8" applyFont="1" applyBorder="1" applyAlignment="1">
      <alignment horizontal="center" vertical="center" wrapText="1"/>
    </xf>
    <xf numFmtId="0" fontId="11" fillId="43" borderId="61" xfId="0" applyFont="1" applyFill="1" applyBorder="1" applyAlignment="1">
      <alignment horizontal="center" vertical="center" wrapText="1"/>
    </xf>
    <xf numFmtId="0" fontId="11" fillId="43" borderId="55" xfId="0" applyFont="1" applyFill="1" applyBorder="1" applyAlignment="1">
      <alignment horizontal="center" vertical="center" wrapText="1"/>
    </xf>
    <xf numFmtId="1" fontId="27" fillId="0" borderId="15" xfId="8" applyNumberFormat="1" applyFont="1" applyBorder="1" applyAlignment="1">
      <alignment horizontal="center" vertical="center" wrapText="1"/>
    </xf>
    <xf numFmtId="44" fontId="0" fillId="0" borderId="0" xfId="0" applyNumberFormat="1"/>
    <xf numFmtId="1" fontId="27" fillId="0" borderId="59" xfId="8" applyNumberFormat="1" applyFont="1" applyBorder="1" applyAlignment="1">
      <alignment horizontal="center" vertical="center" wrapText="1"/>
    </xf>
    <xf numFmtId="0" fontId="27" fillId="0" borderId="62" xfId="0" applyFont="1" applyBorder="1" applyAlignment="1">
      <alignment horizontal="center" vertical="center" wrapText="1"/>
    </xf>
    <xf numFmtId="167" fontId="27" fillId="0" borderId="15" xfId="8" applyNumberFormat="1" applyFont="1" applyBorder="1" applyAlignment="1">
      <alignment horizontal="center" vertical="center" wrapText="1"/>
    </xf>
    <xf numFmtId="0" fontId="27" fillId="0" borderId="51" xfId="0" applyFont="1" applyBorder="1" applyAlignment="1">
      <alignment horizontal="center" vertical="center" wrapText="1"/>
    </xf>
    <xf numFmtId="0" fontId="27" fillId="0" borderId="1" xfId="0" applyFont="1" applyBorder="1" applyAlignment="1">
      <alignment horizontal="center" vertical="center" wrapText="1"/>
    </xf>
    <xf numFmtId="1" fontId="27" fillId="0" borderId="1" xfId="8" applyNumberFormat="1" applyFont="1" applyBorder="1" applyAlignment="1">
      <alignment horizontal="center" vertical="center" wrapText="1"/>
    </xf>
    <xf numFmtId="167" fontId="27" fillId="0" borderId="1" xfId="8" applyNumberFormat="1" applyFont="1" applyBorder="1" applyAlignment="1">
      <alignment horizontal="center" vertical="center" wrapText="1"/>
    </xf>
    <xf numFmtId="44" fontId="27" fillId="0" borderId="65" xfId="8" applyFont="1" applyBorder="1" applyAlignment="1">
      <alignment horizontal="center" vertical="center" wrapText="1"/>
    </xf>
    <xf numFmtId="167" fontId="53" fillId="0" borderId="65" xfId="8" applyNumberFormat="1" applyFont="1" applyBorder="1" applyAlignment="1">
      <alignment horizontal="center" vertical="center" wrapText="1"/>
    </xf>
    <xf numFmtId="44" fontId="53" fillId="0" borderId="65" xfId="8" applyFont="1" applyBorder="1" applyAlignment="1">
      <alignment horizontal="center" vertical="center" wrapText="1"/>
    </xf>
    <xf numFmtId="167" fontId="27" fillId="0" borderId="22" xfId="8" applyNumberFormat="1" applyFont="1" applyFill="1" applyBorder="1" applyAlignment="1">
      <alignment horizontal="center" vertical="center" wrapText="1"/>
    </xf>
    <xf numFmtId="44" fontId="53" fillId="0" borderId="66" xfId="8" applyFont="1" applyFill="1" applyBorder="1" applyAlignment="1">
      <alignment horizontal="center" vertical="center" wrapText="1"/>
    </xf>
    <xf numFmtId="1" fontId="27" fillId="0" borderId="22" xfId="8" applyNumberFormat="1" applyFont="1" applyFill="1" applyBorder="1" applyAlignment="1">
      <alignment horizontal="center" vertical="center" wrapText="1"/>
    </xf>
    <xf numFmtId="0" fontId="27" fillId="0" borderId="22" xfId="0" applyFont="1" applyBorder="1" applyAlignment="1">
      <alignment horizontal="center" vertical="center" wrapText="1"/>
    </xf>
    <xf numFmtId="0" fontId="27" fillId="0" borderId="52" xfId="0" applyFont="1" applyBorder="1" applyAlignment="1">
      <alignment horizontal="center" vertical="center" wrapText="1"/>
    </xf>
    <xf numFmtId="44" fontId="53" fillId="0" borderId="69" xfId="8" applyFont="1" applyFill="1" applyBorder="1" applyAlignment="1">
      <alignment horizontal="center" vertical="center" wrapText="1"/>
    </xf>
    <xf numFmtId="44" fontId="53" fillId="0" borderId="65" xfId="8" applyFont="1" applyFill="1" applyBorder="1" applyAlignment="1">
      <alignment horizontal="center" vertical="center" wrapText="1"/>
    </xf>
    <xf numFmtId="44" fontId="53" fillId="0" borderId="72" xfId="8" applyFont="1" applyFill="1" applyBorder="1" applyAlignment="1">
      <alignment horizontal="center" vertical="center" wrapText="1"/>
    </xf>
    <xf numFmtId="167" fontId="27" fillId="0" borderId="57" xfId="8" applyNumberFormat="1" applyFont="1" applyBorder="1" applyAlignment="1">
      <alignment horizontal="center" vertical="center" wrapText="1"/>
    </xf>
    <xf numFmtId="0" fontId="11" fillId="43" borderId="53" xfId="0" applyFont="1" applyFill="1" applyBorder="1" applyAlignment="1">
      <alignment vertical="center" wrapText="1"/>
    </xf>
    <xf numFmtId="0" fontId="11" fillId="43" borderId="54" xfId="0" applyFont="1" applyFill="1" applyBorder="1" applyAlignment="1">
      <alignment vertical="center" wrapText="1"/>
    </xf>
    <xf numFmtId="9" fontId="27" fillId="0" borderId="57" xfId="2" applyFont="1" applyBorder="1" applyAlignment="1">
      <alignment horizontal="center" vertical="center" wrapText="1"/>
    </xf>
    <xf numFmtId="167" fontId="0" fillId="0" borderId="0" xfId="0" applyNumberFormat="1"/>
    <xf numFmtId="9" fontId="27" fillId="0" borderId="65" xfId="2" applyFont="1" applyBorder="1" applyAlignment="1">
      <alignment horizontal="center" vertical="center" wrapText="1"/>
    </xf>
    <xf numFmtId="9" fontId="27" fillId="0" borderId="65" xfId="2" applyFont="1" applyFill="1" applyBorder="1" applyAlignment="1">
      <alignment horizontal="center" vertical="center" wrapText="1"/>
    </xf>
    <xf numFmtId="167" fontId="27" fillId="0" borderId="1" xfId="8" applyNumberFormat="1" applyFont="1" applyFill="1" applyBorder="1" applyAlignment="1">
      <alignment horizontal="center" vertical="center" wrapText="1"/>
    </xf>
    <xf numFmtId="0" fontId="27" fillId="0" borderId="70" xfId="0" applyFont="1" applyBorder="1" applyAlignment="1">
      <alignment horizontal="center" vertical="center" wrapText="1"/>
    </xf>
    <xf numFmtId="0" fontId="27" fillId="0" borderId="71" xfId="0" applyFont="1" applyBorder="1" applyAlignment="1">
      <alignment horizontal="center" vertical="center" wrapText="1"/>
    </xf>
    <xf numFmtId="167" fontId="27" fillId="0" borderId="71" xfId="8" applyNumberFormat="1" applyFont="1" applyFill="1" applyBorder="1" applyAlignment="1">
      <alignment horizontal="center" vertical="center" wrapText="1"/>
    </xf>
    <xf numFmtId="9" fontId="27" fillId="0" borderId="72" xfId="2" applyFont="1" applyFill="1" applyBorder="1" applyAlignment="1">
      <alignment horizontal="center" vertical="center" wrapText="1"/>
    </xf>
    <xf numFmtId="0" fontId="0" fillId="5" borderId="0" xfId="0" applyFill="1"/>
    <xf numFmtId="0" fontId="27" fillId="0" borderId="75" xfId="0" applyFont="1" applyBorder="1" applyAlignment="1">
      <alignment horizontal="center" vertical="center" wrapText="1"/>
    </xf>
    <xf numFmtId="167" fontId="27" fillId="0" borderId="75" xfId="8" applyNumberFormat="1" applyFont="1" applyFill="1" applyBorder="1" applyAlignment="1">
      <alignment horizontal="center" vertical="center" wrapText="1"/>
    </xf>
    <xf numFmtId="0" fontId="54" fillId="0" borderId="68" xfId="0" applyFont="1" applyBorder="1" applyAlignment="1">
      <alignment horizontal="center" vertical="center" wrapText="1"/>
    </xf>
    <xf numFmtId="167" fontId="27" fillId="0" borderId="68" xfId="8" applyNumberFormat="1" applyFont="1" applyFill="1" applyBorder="1" applyAlignment="1">
      <alignment horizontal="center" vertical="center" wrapText="1"/>
    </xf>
    <xf numFmtId="0" fontId="27" fillId="0" borderId="14" xfId="0" applyFont="1" applyBorder="1" applyAlignment="1">
      <alignment horizontal="center" vertical="center" wrapText="1"/>
    </xf>
    <xf numFmtId="167" fontId="27" fillId="0" borderId="14" xfId="8" applyNumberFormat="1" applyFont="1" applyFill="1" applyBorder="1" applyAlignment="1">
      <alignment horizontal="center" vertical="center" wrapText="1"/>
    </xf>
    <xf numFmtId="0" fontId="27" fillId="0" borderId="68" xfId="0" applyFont="1" applyBorder="1" applyAlignment="1">
      <alignment horizontal="center" vertical="center" wrapText="1"/>
    </xf>
    <xf numFmtId="167" fontId="27" fillId="0" borderId="69" xfId="0" applyNumberFormat="1" applyFont="1" applyBorder="1" applyAlignment="1">
      <alignment vertical="center"/>
    </xf>
    <xf numFmtId="167" fontId="27" fillId="0" borderId="72" xfId="0" applyNumberFormat="1" applyFont="1" applyBorder="1" applyAlignment="1">
      <alignment vertical="center"/>
    </xf>
    <xf numFmtId="0" fontId="27" fillId="0" borderId="53" xfId="0" applyFont="1" applyBorder="1" applyAlignment="1">
      <alignment horizontal="center" vertical="center" wrapText="1"/>
    </xf>
    <xf numFmtId="167" fontId="27" fillId="0" borderId="53" xfId="8" applyNumberFormat="1" applyFont="1" applyFill="1" applyBorder="1" applyAlignment="1">
      <alignment horizontal="center" vertical="center" wrapText="1"/>
    </xf>
    <xf numFmtId="167" fontId="27" fillId="0" borderId="54" xfId="0" applyNumberFormat="1" applyFont="1" applyBorder="1" applyAlignment="1">
      <alignment vertical="center"/>
    </xf>
    <xf numFmtId="0" fontId="39" fillId="0" borderId="1" xfId="0" applyFont="1" applyBorder="1" applyAlignment="1">
      <alignment vertical="center" wrapText="1"/>
    </xf>
    <xf numFmtId="165" fontId="39" fillId="0" borderId="1" xfId="0" applyNumberFormat="1" applyFont="1" applyBorder="1" applyAlignment="1">
      <alignment horizontal="center" vertical="center"/>
    </xf>
    <xf numFmtId="165" fontId="10" fillId="38" borderId="53" xfId="17" applyNumberFormat="1" applyFont="1" applyFill="1" applyBorder="1" applyAlignment="1">
      <alignment vertical="center"/>
    </xf>
    <xf numFmtId="165" fontId="10" fillId="0" borderId="15" xfId="17" applyNumberFormat="1" applyFont="1" applyBorder="1" applyAlignment="1">
      <alignment vertical="center"/>
    </xf>
    <xf numFmtId="165" fontId="10" fillId="0" borderId="1" xfId="17" applyNumberFormat="1" applyFont="1" applyBorder="1" applyAlignment="1">
      <alignment vertical="center"/>
    </xf>
    <xf numFmtId="165" fontId="10" fillId="0" borderId="14" xfId="17" applyNumberFormat="1" applyFont="1" applyBorder="1" applyAlignment="1">
      <alignment vertical="center"/>
    </xf>
    <xf numFmtId="165" fontId="10" fillId="38" borderId="54" xfId="8" applyNumberFormat="1" applyFont="1" applyFill="1" applyBorder="1" applyAlignment="1">
      <alignment horizontal="center" vertical="center"/>
    </xf>
    <xf numFmtId="0" fontId="11" fillId="48" borderId="54" xfId="0" applyFont="1" applyFill="1" applyBorder="1" applyAlignment="1">
      <alignment horizontal="center" vertical="center" wrapText="1"/>
    </xf>
    <xf numFmtId="165" fontId="10" fillId="0" borderId="0" xfId="0" applyNumberFormat="1" applyFont="1" applyAlignment="1">
      <alignment horizontal="center"/>
    </xf>
    <xf numFmtId="0" fontId="10" fillId="0" borderId="0" xfId="0" applyFont="1" applyAlignment="1">
      <alignment horizontal="left"/>
    </xf>
    <xf numFmtId="165" fontId="10" fillId="14" borderId="0" xfId="0" applyNumberFormat="1" applyFont="1" applyFill="1" applyAlignment="1">
      <alignment horizontal="center"/>
    </xf>
    <xf numFmtId="0" fontId="10" fillId="14" borderId="0" xfId="0" applyFont="1" applyFill="1" applyAlignment="1">
      <alignment horizontal="center"/>
    </xf>
    <xf numFmtId="0" fontId="10" fillId="5" borderId="0" xfId="0" applyFont="1" applyFill="1" applyAlignment="1">
      <alignment horizontal="center"/>
    </xf>
    <xf numFmtId="165" fontId="10" fillId="0" borderId="0" xfId="0" applyNumberFormat="1" applyFont="1" applyAlignment="1">
      <alignment horizontal="center" vertical="center"/>
    </xf>
    <xf numFmtId="165" fontId="10" fillId="0" borderId="0" xfId="0" applyNumberFormat="1" applyFont="1" applyAlignment="1">
      <alignment horizontal="center" vertical="center" wrapText="1"/>
    </xf>
    <xf numFmtId="165" fontId="39" fillId="0" borderId="12" xfId="0" applyNumberFormat="1" applyFont="1" applyBorder="1" applyAlignment="1">
      <alignment horizontal="center" vertical="center" wrapText="1"/>
    </xf>
    <xf numFmtId="10" fontId="39" fillId="0" borderId="12" xfId="2" applyNumberFormat="1" applyFont="1" applyBorder="1" applyAlignment="1">
      <alignment horizontal="center" vertical="center" wrapText="1"/>
    </xf>
    <xf numFmtId="6" fontId="39" fillId="0" borderId="12" xfId="0" applyNumberFormat="1" applyFont="1" applyBorder="1" applyAlignment="1">
      <alignment horizontal="center" vertical="center" wrapText="1"/>
    </xf>
    <xf numFmtId="10" fontId="39" fillId="0" borderId="1" xfId="2" applyNumberFormat="1" applyFont="1" applyBorder="1" applyAlignment="1">
      <alignment horizontal="center" vertical="center"/>
    </xf>
    <xf numFmtId="0" fontId="23" fillId="22" borderId="1" xfId="0" applyFont="1" applyFill="1" applyBorder="1" applyAlignment="1">
      <alignment horizontal="left" vertical="center" wrapText="1"/>
    </xf>
    <xf numFmtId="0" fontId="39" fillId="0" borderId="0" xfId="0" applyFont="1" applyAlignment="1">
      <alignment horizontal="left" vertical="center" wrapText="1"/>
    </xf>
    <xf numFmtId="0" fontId="39" fillId="0" borderId="1" xfId="0" applyFont="1" applyBorder="1" applyAlignment="1">
      <alignment horizontal="left" vertical="center" wrapText="1"/>
    </xf>
    <xf numFmtId="0" fontId="39" fillId="0" borderId="1" xfId="0" applyFont="1" applyBorder="1" applyAlignment="1">
      <alignment horizontal="center" vertical="center"/>
    </xf>
    <xf numFmtId="0" fontId="38" fillId="18" borderId="0" xfId="0" applyFont="1" applyFill="1" applyAlignment="1">
      <alignment horizontal="center" vertical="center" wrapText="1"/>
    </xf>
    <xf numFmtId="165" fontId="39" fillId="0" borderId="1" xfId="0" applyNumberFormat="1" applyFont="1" applyBorder="1" applyAlignment="1">
      <alignment horizontal="center" vertical="center" wrapText="1"/>
    </xf>
    <xf numFmtId="10" fontId="0" fillId="0" borderId="0" xfId="2" applyNumberFormat="1" applyFont="1"/>
    <xf numFmtId="10" fontId="22" fillId="0" borderId="14" xfId="2" applyNumberFormat="1" applyFont="1" applyFill="1" applyBorder="1" applyAlignment="1">
      <alignment horizontal="center" vertical="center"/>
    </xf>
    <xf numFmtId="10" fontId="3" fillId="0" borderId="1" xfId="2" applyNumberFormat="1" applyFont="1" applyFill="1" applyBorder="1" applyAlignment="1">
      <alignment horizontal="center" vertical="center"/>
    </xf>
    <xf numFmtId="165" fontId="22" fillId="0" borderId="14" xfId="0" applyNumberFormat="1" applyFont="1" applyBorder="1" applyAlignment="1">
      <alignment horizontal="center" vertical="center"/>
    </xf>
    <xf numFmtId="165" fontId="31" fillId="0" borderId="30" xfId="0" applyNumberFormat="1" applyFont="1" applyBorder="1" applyAlignment="1">
      <alignment horizontal="center" vertical="center"/>
    </xf>
    <xf numFmtId="0" fontId="37" fillId="0" borderId="30" xfId="0" applyFont="1" applyBorder="1" applyAlignment="1">
      <alignment horizontal="left" vertical="center" wrapText="1"/>
    </xf>
    <xf numFmtId="0" fontId="31" fillId="0" borderId="35" xfId="0" applyFont="1" applyBorder="1" applyAlignment="1">
      <alignment horizontal="center" vertical="center"/>
    </xf>
    <xf numFmtId="0" fontId="36" fillId="0" borderId="35" xfId="0" applyFont="1" applyBorder="1" applyAlignment="1">
      <alignment vertical="center" wrapText="1"/>
    </xf>
    <xf numFmtId="165" fontId="31" fillId="0" borderId="35" xfId="0" applyNumberFormat="1" applyFont="1" applyBorder="1" applyAlignment="1">
      <alignment horizontal="center" vertical="center"/>
    </xf>
    <xf numFmtId="0" fontId="37" fillId="0" borderId="35" xfId="0" applyFont="1" applyBorder="1" applyAlignment="1">
      <alignment horizontal="left" vertical="center" wrapText="1"/>
    </xf>
    <xf numFmtId="164" fontId="39" fillId="0" borderId="0" xfId="0" applyNumberFormat="1" applyFont="1" applyAlignment="1">
      <alignment horizontal="center" vertical="center"/>
    </xf>
    <xf numFmtId="0" fontId="42" fillId="0" borderId="12" xfId="0" applyFont="1" applyBorder="1" applyAlignment="1">
      <alignment vertical="center" wrapText="1"/>
    </xf>
    <xf numFmtId="0" fontId="14" fillId="22" borderId="1" xfId="0" applyFont="1" applyFill="1" applyBorder="1" applyAlignment="1">
      <alignment vertical="center" wrapText="1"/>
    </xf>
    <xf numFmtId="10" fontId="10" fillId="0" borderId="1" xfId="2" applyNumberFormat="1" applyFont="1" applyBorder="1" applyAlignment="1">
      <alignment vertical="center"/>
    </xf>
    <xf numFmtId="0" fontId="58" fillId="0" borderId="0" xfId="3" applyFont="1"/>
    <xf numFmtId="0" fontId="7" fillId="0" borderId="0" xfId="3" applyAlignment="1">
      <alignment horizontal="center"/>
    </xf>
    <xf numFmtId="0" fontId="6" fillId="6" borderId="1"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10" borderId="1" xfId="0" applyFont="1" applyFill="1" applyBorder="1" applyAlignment="1">
      <alignment horizontal="center" vertical="center"/>
    </xf>
    <xf numFmtId="0" fontId="3" fillId="0" borderId="0" xfId="0" applyFont="1" applyAlignment="1">
      <alignment wrapText="1"/>
    </xf>
    <xf numFmtId="0" fontId="24" fillId="11" borderId="15" xfId="0" applyFont="1" applyFill="1" applyBorder="1" applyAlignment="1">
      <alignment horizontal="center" vertical="center" wrapText="1"/>
    </xf>
    <xf numFmtId="0" fontId="6" fillId="0" borderId="1" xfId="0" applyFont="1" applyBorder="1" applyAlignment="1">
      <alignment horizontal="center" vertical="center" wrapText="1"/>
    </xf>
    <xf numFmtId="0" fontId="3" fillId="0" borderId="1" xfId="0" applyFont="1" applyBorder="1"/>
    <xf numFmtId="0" fontId="60" fillId="51" borderId="1" xfId="0" applyFont="1" applyFill="1" applyBorder="1" applyAlignment="1">
      <alignment horizontal="center" vertical="center" wrapText="1"/>
    </xf>
    <xf numFmtId="6" fontId="3" fillId="0" borderId="1" xfId="0" applyNumberFormat="1" applyFont="1" applyBorder="1" applyAlignment="1">
      <alignment horizontal="center" vertical="center" wrapText="1"/>
    </xf>
    <xf numFmtId="165" fontId="40" fillId="0" borderId="0" xfId="3" applyNumberFormat="1" applyFont="1" applyFill="1" applyBorder="1" applyAlignment="1">
      <alignment horizontal="center" vertical="center" wrapText="1"/>
    </xf>
    <xf numFmtId="168" fontId="10" fillId="0" borderId="0" xfId="0" applyNumberFormat="1" applyFont="1"/>
    <xf numFmtId="9" fontId="0" fillId="0" borderId="0" xfId="0" applyNumberFormat="1"/>
    <xf numFmtId="0" fontId="7" fillId="0" borderId="79" xfId="3" applyBorder="1" applyAlignment="1">
      <alignment horizontal="justify" vertical="center"/>
    </xf>
    <xf numFmtId="0" fontId="23" fillId="22" borderId="14" xfId="0" applyFont="1" applyFill="1" applyBorder="1" applyAlignment="1">
      <alignment horizontal="center" vertical="center" wrapText="1"/>
    </xf>
    <xf numFmtId="0" fontId="61" fillId="2" borderId="74" xfId="0" applyFont="1" applyFill="1" applyBorder="1" applyAlignment="1">
      <alignment horizontal="center" vertical="center" wrapText="1"/>
    </xf>
    <xf numFmtId="0" fontId="61" fillId="2" borderId="75" xfId="0" applyFont="1" applyFill="1" applyBorder="1" applyAlignment="1">
      <alignment horizontal="center" vertical="center" wrapText="1"/>
    </xf>
    <xf numFmtId="41" fontId="61" fillId="2" borderId="75" xfId="18" applyFont="1" applyFill="1" applyBorder="1" applyAlignment="1">
      <alignment horizontal="center" vertical="center" wrapText="1"/>
    </xf>
    <xf numFmtId="43" fontId="61" fillId="2" borderId="76" xfId="9" applyFont="1" applyFill="1" applyBorder="1" applyAlignment="1">
      <alignment horizontal="center" wrapText="1"/>
    </xf>
    <xf numFmtId="0" fontId="61" fillId="2" borderId="85" xfId="0" applyFont="1" applyFill="1" applyBorder="1" applyAlignment="1">
      <alignment horizontal="center" wrapText="1"/>
    </xf>
    <xf numFmtId="0" fontId="39" fillId="13" borderId="67" xfId="0" applyFont="1" applyFill="1" applyBorder="1" applyAlignment="1">
      <alignment vertical="center" wrapText="1"/>
    </xf>
    <xf numFmtId="0" fontId="39" fillId="13" borderId="68" xfId="0" applyFont="1" applyFill="1" applyBorder="1" applyAlignment="1">
      <alignment horizontal="center" vertical="center" wrapText="1"/>
    </xf>
    <xf numFmtId="41" fontId="39" fillId="13" borderId="68" xfId="19" applyFont="1" applyFill="1" applyBorder="1" applyAlignment="1">
      <alignment vertical="center" wrapText="1"/>
    </xf>
    <xf numFmtId="43" fontId="39" fillId="13" borderId="68" xfId="20" applyFont="1" applyFill="1" applyBorder="1" applyAlignment="1">
      <alignment vertical="center" wrapText="1"/>
    </xf>
    <xf numFmtId="41" fontId="39" fillId="13" borderId="69" xfId="19" applyFont="1" applyFill="1" applyBorder="1" applyAlignment="1">
      <alignment vertical="center" wrapText="1"/>
    </xf>
    <xf numFmtId="0" fontId="39" fillId="13" borderId="51" xfId="0" applyFont="1" applyFill="1" applyBorder="1" applyAlignment="1">
      <alignment vertical="center" wrapText="1"/>
    </xf>
    <xf numFmtId="0" fontId="39" fillId="13" borderId="1" xfId="0" applyFont="1" applyFill="1" applyBorder="1" applyAlignment="1">
      <alignment horizontal="center" vertical="center" wrapText="1"/>
    </xf>
    <xf numFmtId="41" fontId="39" fillId="13" borderId="1" xfId="19" applyFont="1" applyFill="1" applyBorder="1" applyAlignment="1">
      <alignment wrapText="1"/>
    </xf>
    <xf numFmtId="41" fontId="39" fillId="13" borderId="1" xfId="19" applyFont="1" applyFill="1" applyBorder="1" applyAlignment="1">
      <alignment vertical="center" wrapText="1"/>
    </xf>
    <xf numFmtId="43" fontId="39" fillId="13" borderId="1" xfId="20" applyFont="1" applyFill="1" applyBorder="1" applyAlignment="1">
      <alignment wrapText="1"/>
    </xf>
    <xf numFmtId="41" fontId="39" fillId="13" borderId="65" xfId="19" applyFont="1" applyFill="1" applyBorder="1" applyAlignment="1">
      <alignment vertical="center" wrapText="1"/>
    </xf>
    <xf numFmtId="43" fontId="39" fillId="13" borderId="1" xfId="20" applyFont="1" applyFill="1" applyBorder="1" applyAlignment="1">
      <alignment vertical="center" wrapText="1"/>
    </xf>
    <xf numFmtId="41" fontId="39" fillId="13" borderId="51" xfId="0" applyNumberFormat="1" applyFont="1" applyFill="1" applyBorder="1" applyAlignment="1">
      <alignment vertical="center" wrapText="1"/>
    </xf>
    <xf numFmtId="0" fontId="39" fillId="13" borderId="70" xfId="0" applyFont="1" applyFill="1" applyBorder="1" applyAlignment="1">
      <alignment vertical="center" wrapText="1"/>
    </xf>
    <xf numFmtId="0" fontId="39" fillId="13" borderId="71" xfId="0" applyFont="1" applyFill="1" applyBorder="1" applyAlignment="1">
      <alignment horizontal="center" vertical="center" wrapText="1"/>
    </xf>
    <xf numFmtId="41" fontId="39" fillId="13" borderId="71" xfId="19" applyFont="1" applyFill="1" applyBorder="1" applyAlignment="1">
      <alignment vertical="center" wrapText="1"/>
    </xf>
    <xf numFmtId="43" fontId="39" fillId="13" borderId="71" xfId="20" applyFont="1" applyFill="1" applyBorder="1" applyAlignment="1">
      <alignment vertical="center" wrapText="1"/>
    </xf>
    <xf numFmtId="41" fontId="39" fillId="13" borderId="72" xfId="19" applyFont="1" applyFill="1" applyBorder="1" applyAlignment="1">
      <alignment vertical="center" wrapText="1"/>
    </xf>
    <xf numFmtId="0" fontId="18" fillId="10" borderId="1" xfId="3" applyFont="1" applyFill="1" applyBorder="1" applyAlignment="1">
      <alignment vertical="center" wrapText="1"/>
    </xf>
    <xf numFmtId="0" fontId="38" fillId="48" borderId="1" xfId="0" applyFont="1" applyFill="1" applyBorder="1" applyAlignment="1">
      <alignment horizontal="center"/>
    </xf>
    <xf numFmtId="0" fontId="38" fillId="53" borderId="1" xfId="0" applyFont="1" applyFill="1" applyBorder="1" applyAlignment="1">
      <alignment horizontal="center" vertical="center" wrapText="1"/>
    </xf>
    <xf numFmtId="0" fontId="38" fillId="53" borderId="1" xfId="0" applyFont="1" applyFill="1" applyBorder="1" applyAlignment="1">
      <alignment horizontal="center" vertical="center"/>
    </xf>
    <xf numFmtId="174" fontId="38" fillId="53" borderId="1" xfId="0" applyNumberFormat="1" applyFont="1" applyFill="1" applyBorder="1" applyAlignment="1">
      <alignment horizontal="center" vertical="center" wrapText="1"/>
    </xf>
    <xf numFmtId="0" fontId="41" fillId="0" borderId="1" xfId="0" applyFont="1" applyBorder="1" applyAlignment="1">
      <alignment vertical="center" wrapText="1"/>
    </xf>
    <xf numFmtId="167" fontId="39" fillId="0" borderId="1" xfId="8" applyNumberFormat="1" applyFont="1" applyFill="1" applyBorder="1" applyAlignment="1">
      <alignment horizontal="center" vertical="center"/>
    </xf>
    <xf numFmtId="167" fontId="41" fillId="0" borderId="12" xfId="8" applyNumberFormat="1" applyFont="1" applyBorder="1" applyAlignment="1">
      <alignment horizontal="center" vertical="center"/>
    </xf>
    <xf numFmtId="0" fontId="38" fillId="53" borderId="12" xfId="0" applyFont="1" applyFill="1" applyBorder="1" applyAlignment="1">
      <alignment horizontal="center" vertical="center"/>
    </xf>
    <xf numFmtId="0" fontId="41" fillId="0" borderId="51" xfId="0" applyFont="1" applyBorder="1" applyAlignment="1">
      <alignment vertical="center" wrapText="1"/>
    </xf>
    <xf numFmtId="167" fontId="39" fillId="0" borderId="1" xfId="8" applyNumberFormat="1" applyFont="1" applyBorder="1" applyAlignment="1">
      <alignment horizontal="center" vertical="center"/>
    </xf>
    <xf numFmtId="0" fontId="17" fillId="54" borderId="1" xfId="0" applyFont="1" applyFill="1" applyBorder="1" applyAlignment="1">
      <alignment horizontal="center" vertical="center" wrapText="1"/>
    </xf>
    <xf numFmtId="8" fontId="10" fillId="0" borderId="1" xfId="0" applyNumberFormat="1" applyFont="1" applyBorder="1" applyAlignment="1">
      <alignment horizontal="center" vertical="center" wrapText="1"/>
    </xf>
    <xf numFmtId="0" fontId="62" fillId="0" borderId="1" xfId="0" applyFont="1" applyBorder="1" applyAlignment="1">
      <alignment vertical="center" wrapText="1"/>
    </xf>
    <xf numFmtId="0" fontId="2" fillId="0" borderId="1" xfId="0" applyFont="1" applyBorder="1" applyAlignment="1">
      <alignment horizontal="center" vertical="center" wrapText="1"/>
    </xf>
    <xf numFmtId="0" fontId="63" fillId="0" borderId="1" xfId="0" applyFont="1" applyBorder="1" applyAlignment="1">
      <alignment vertical="center" wrapText="1"/>
    </xf>
    <xf numFmtId="6" fontId="2" fillId="0" borderId="1" xfId="0" applyNumberFormat="1" applyFont="1" applyBorder="1" applyAlignment="1">
      <alignment horizontal="center" vertical="center" wrapText="1"/>
    </xf>
    <xf numFmtId="0" fontId="2" fillId="0" borderId="1" xfId="0" applyFont="1" applyBorder="1" applyAlignment="1">
      <alignment vertical="center" wrapText="1"/>
    </xf>
    <xf numFmtId="0" fontId="34" fillId="0" borderId="1" xfId="0" applyFont="1" applyBorder="1" applyAlignment="1">
      <alignment vertical="center" wrapText="1"/>
    </xf>
    <xf numFmtId="0" fontId="30" fillId="0" borderId="1" xfId="0" applyFont="1" applyBorder="1" applyAlignment="1">
      <alignment horizontal="center" vertical="center" wrapText="1"/>
    </xf>
    <xf numFmtId="0" fontId="64" fillId="0" borderId="1" xfId="0" applyFont="1" applyBorder="1" applyAlignment="1">
      <alignment vertical="center" wrapText="1"/>
    </xf>
    <xf numFmtId="8" fontId="30" fillId="0" borderId="1" xfId="0" applyNumberFormat="1" applyFont="1" applyBorder="1" applyAlignment="1">
      <alignment horizontal="center" vertical="center" wrapText="1"/>
    </xf>
    <xf numFmtId="0" fontId="65" fillId="54" borderId="1" xfId="0" applyFont="1" applyFill="1" applyBorder="1" applyAlignment="1">
      <alignment horizontal="center" vertical="center" wrapText="1"/>
    </xf>
    <xf numFmtId="0" fontId="65" fillId="54" borderId="1" xfId="0" applyFont="1" applyFill="1" applyBorder="1" applyAlignment="1">
      <alignment horizontal="left" vertical="center" wrapText="1" indent="3"/>
    </xf>
    <xf numFmtId="6" fontId="2" fillId="0" borderId="1" xfId="0" applyNumberFormat="1" applyFont="1" applyBorder="1" applyAlignment="1">
      <alignment horizontal="right" vertical="center" wrapText="1"/>
    </xf>
    <xf numFmtId="8" fontId="2" fillId="0" borderId="1" xfId="0" applyNumberFormat="1" applyFont="1" applyBorder="1" applyAlignment="1">
      <alignment horizontal="center" vertical="center" wrapText="1"/>
    </xf>
    <xf numFmtId="8" fontId="10" fillId="0" borderId="1" xfId="0" applyNumberFormat="1" applyFont="1" applyBorder="1" applyAlignment="1">
      <alignment horizontal="right" vertical="center" wrapText="1"/>
    </xf>
    <xf numFmtId="10" fontId="39" fillId="0" borderId="1" xfId="2" applyNumberFormat="1" applyFont="1" applyFill="1" applyBorder="1" applyAlignment="1">
      <alignment vertical="center"/>
    </xf>
    <xf numFmtId="0" fontId="38" fillId="44" borderId="1" xfId="0" applyFont="1" applyFill="1" applyBorder="1" applyAlignment="1">
      <alignment vertical="center" wrapText="1"/>
    </xf>
    <xf numFmtId="41" fontId="66" fillId="2" borderId="69" xfId="18" applyFont="1" applyFill="1" applyBorder="1" applyAlignment="1">
      <alignment horizontal="center" vertical="center" wrapText="1"/>
    </xf>
    <xf numFmtId="0" fontId="66" fillId="2" borderId="51" xfId="21" applyFont="1" applyFill="1" applyBorder="1" applyAlignment="1">
      <alignment horizontal="center" vertical="center" wrapText="1"/>
    </xf>
    <xf numFmtId="41" fontId="66" fillId="2" borderId="65" xfId="18" applyFont="1" applyFill="1" applyBorder="1" applyAlignment="1">
      <alignment horizontal="center" vertical="center" wrapText="1"/>
    </xf>
    <xf numFmtId="0" fontId="3" fillId="0" borderId="51" xfId="21" applyFont="1" applyBorder="1" applyAlignment="1">
      <alignment horizontal="center" vertical="center" wrapText="1"/>
    </xf>
    <xf numFmtId="0" fontId="3" fillId="0" borderId="15" xfId="21" applyFont="1" applyBorder="1" applyAlignment="1">
      <alignment vertical="center" wrapText="1"/>
    </xf>
    <xf numFmtId="0" fontId="3" fillId="0" borderId="1" xfId="21" applyFont="1" applyBorder="1" applyAlignment="1">
      <alignment horizontal="left" vertical="center" wrapText="1"/>
    </xf>
    <xf numFmtId="0" fontId="3" fillId="0" borderId="1" xfId="21" applyFont="1" applyBorder="1" applyAlignment="1">
      <alignment horizontal="center" vertical="center" wrapText="1"/>
    </xf>
    <xf numFmtId="41" fontId="3" fillId="0" borderId="1" xfId="18" applyFont="1" applyBorder="1" applyAlignment="1">
      <alignment horizontal="center" vertical="center" wrapText="1"/>
    </xf>
    <xf numFmtId="41" fontId="3" fillId="0" borderId="65" xfId="18" applyFont="1" applyBorder="1" applyAlignment="1">
      <alignment horizontal="center" vertical="center" wrapText="1"/>
    </xf>
    <xf numFmtId="0" fontId="3" fillId="0" borderId="1" xfId="21" applyFont="1" applyBorder="1" applyAlignment="1">
      <alignment horizontal="justify" vertical="center" wrapText="1"/>
    </xf>
    <xf numFmtId="0" fontId="3" fillId="0" borderId="1" xfId="21" applyFont="1" applyBorder="1" applyAlignment="1">
      <alignment vertical="center" wrapText="1"/>
    </xf>
    <xf numFmtId="0" fontId="3" fillId="13" borderId="51" xfId="21" applyFont="1" applyFill="1" applyBorder="1" applyAlignment="1">
      <alignment horizontal="center" vertical="center" wrapText="1"/>
    </xf>
    <xf numFmtId="0" fontId="3" fillId="13" borderId="1" xfId="21" applyFont="1" applyFill="1" applyBorder="1" applyAlignment="1">
      <alignment horizontal="left" vertical="center" wrapText="1"/>
    </xf>
    <xf numFmtId="0" fontId="3" fillId="13" borderId="1" xfId="21" applyFont="1" applyFill="1" applyBorder="1" applyAlignment="1">
      <alignment horizontal="center" vertical="center" wrapText="1"/>
    </xf>
    <xf numFmtId="41" fontId="3" fillId="13" borderId="1" xfId="18" applyFont="1" applyFill="1" applyBorder="1" applyAlignment="1">
      <alignment horizontal="center" vertical="center" wrapText="1"/>
    </xf>
    <xf numFmtId="0" fontId="25" fillId="0" borderId="51" xfId="21" applyFont="1" applyBorder="1" applyAlignment="1">
      <alignment horizontal="center" vertical="center" wrapText="1"/>
    </xf>
    <xf numFmtId="0" fontId="25" fillId="0" borderId="1" xfId="21" applyFont="1" applyBorder="1" applyAlignment="1">
      <alignment horizontal="justify" vertical="center" wrapText="1"/>
    </xf>
    <xf numFmtId="0" fontId="25" fillId="0" borderId="1" xfId="21" applyFont="1" applyBorder="1" applyAlignment="1">
      <alignment horizontal="left" vertical="center" wrapText="1"/>
    </xf>
    <xf numFmtId="0" fontId="25" fillId="0" borderId="1" xfId="21" applyFont="1" applyBorder="1" applyAlignment="1">
      <alignment horizontal="center" vertical="center" wrapText="1"/>
    </xf>
    <xf numFmtId="41" fontId="25" fillId="0" borderId="1" xfId="18" applyFont="1" applyBorder="1" applyAlignment="1">
      <alignment horizontal="center" vertical="center" wrapText="1"/>
    </xf>
    <xf numFmtId="0" fontId="25" fillId="0" borderId="1" xfId="21" applyFont="1" applyBorder="1" applyAlignment="1">
      <alignment vertical="center" wrapText="1"/>
    </xf>
    <xf numFmtId="0" fontId="67" fillId="14" borderId="0" xfId="0" applyFont="1" applyFill="1" applyAlignment="1">
      <alignment wrapText="1"/>
    </xf>
    <xf numFmtId="165" fontId="3" fillId="0" borderId="1" xfId="18" applyNumberFormat="1" applyFont="1" applyBorder="1" applyAlignment="1">
      <alignment horizontal="center" vertical="center" wrapText="1"/>
    </xf>
    <xf numFmtId="0" fontId="27" fillId="14" borderId="1" xfId="0" applyFont="1" applyFill="1" applyBorder="1" applyAlignment="1">
      <alignment horizontal="center" vertical="center" wrapText="1"/>
    </xf>
    <xf numFmtId="0" fontId="27" fillId="14" borderId="14" xfId="0" applyFont="1" applyFill="1" applyBorder="1" applyAlignment="1">
      <alignment horizontal="center" vertical="center" wrapText="1"/>
    </xf>
    <xf numFmtId="165" fontId="23" fillId="22" borderId="1" xfId="0" applyNumberFormat="1" applyFont="1" applyFill="1" applyBorder="1" applyAlignment="1">
      <alignment horizontal="center" vertical="center" wrapText="1"/>
    </xf>
    <xf numFmtId="165" fontId="39" fillId="0" borderId="1" xfId="0" applyNumberFormat="1" applyFont="1" applyBorder="1" applyAlignment="1">
      <alignment vertical="center" wrapText="1"/>
    </xf>
    <xf numFmtId="165" fontId="39" fillId="0" borderId="0" xfId="0" applyNumberFormat="1" applyFont="1" applyAlignment="1">
      <alignment horizontal="center"/>
    </xf>
    <xf numFmtId="165" fontId="39" fillId="0" borderId="0" xfId="0" applyNumberFormat="1" applyFont="1" applyAlignment="1">
      <alignment horizontal="center" vertical="center"/>
    </xf>
    <xf numFmtId="0" fontId="68" fillId="0" borderId="0" xfId="22"/>
    <xf numFmtId="0" fontId="32" fillId="0" borderId="26" xfId="22" applyFont="1" applyBorder="1" applyAlignment="1">
      <alignment horizontal="center" vertical="center"/>
    </xf>
    <xf numFmtId="0" fontId="32" fillId="0" borderId="26" xfId="22" applyFont="1" applyBorder="1" applyAlignment="1">
      <alignment horizontal="center" vertical="center" wrapText="1"/>
    </xf>
    <xf numFmtId="0" fontId="31" fillId="0" borderId="26" xfId="22" applyFont="1" applyBorder="1"/>
    <xf numFmtId="168" fontId="31" fillId="0" borderId="26" xfId="22" applyNumberFormat="1" applyFont="1" applyBorder="1"/>
    <xf numFmtId="169" fontId="31" fillId="0" borderId="26" xfId="22" applyNumberFormat="1" applyFont="1" applyBorder="1"/>
    <xf numFmtId="0" fontId="32" fillId="0" borderId="26" xfId="22" applyFont="1" applyBorder="1"/>
    <xf numFmtId="0" fontId="17" fillId="52" borderId="55" xfId="0" applyFont="1" applyFill="1" applyBorder="1" applyAlignment="1">
      <alignment horizontal="center" vertical="center" wrapText="1"/>
    </xf>
    <xf numFmtId="0" fontId="17" fillId="52" borderId="73" xfId="0" applyFont="1" applyFill="1" applyBorder="1" applyAlignment="1">
      <alignment horizontal="center" vertical="center" wrapText="1"/>
    </xf>
    <xf numFmtId="0" fontId="13" fillId="0" borderId="78" xfId="0" applyFont="1" applyBorder="1" applyAlignment="1">
      <alignment horizontal="center" vertical="center" wrapText="1"/>
    </xf>
    <xf numFmtId="6" fontId="13" fillId="0" borderId="79" xfId="0" applyNumberFormat="1" applyFont="1" applyBorder="1" applyAlignment="1">
      <alignment horizontal="right" vertical="center" wrapText="1"/>
    </xf>
    <xf numFmtId="0" fontId="10" fillId="0" borderId="87" xfId="0" applyFont="1" applyBorder="1" applyAlignment="1">
      <alignment horizontal="center" vertical="center" wrapText="1"/>
    </xf>
    <xf numFmtId="0" fontId="51" fillId="0" borderId="0" xfId="0" applyFont="1" applyAlignment="1">
      <alignment vertical="center" wrapText="1"/>
    </xf>
    <xf numFmtId="0" fontId="13" fillId="0" borderId="79" xfId="0" applyFont="1" applyBorder="1" applyAlignment="1">
      <alignment horizontal="center" vertical="center"/>
    </xf>
    <xf numFmtId="8" fontId="13" fillId="0" borderId="79" xfId="0" applyNumberFormat="1" applyFont="1" applyBorder="1" applyAlignment="1">
      <alignment horizontal="right" vertical="center"/>
    </xf>
    <xf numFmtId="0" fontId="17" fillId="0" borderId="78" xfId="0" applyFont="1" applyBorder="1" applyAlignment="1">
      <alignment vertical="center"/>
    </xf>
    <xf numFmtId="6" fontId="68" fillId="0" borderId="0" xfId="22" applyNumberFormat="1"/>
    <xf numFmtId="167" fontId="10" fillId="0" borderId="0" xfId="0" applyNumberFormat="1" applyFont="1"/>
    <xf numFmtId="0" fontId="69" fillId="2" borderId="74" xfId="0" applyFont="1" applyFill="1" applyBorder="1" applyAlignment="1">
      <alignment horizontal="center" vertical="center" wrapText="1"/>
    </xf>
    <xf numFmtId="0" fontId="69" fillId="2" borderId="75" xfId="0" applyFont="1" applyFill="1" applyBorder="1" applyAlignment="1">
      <alignment horizontal="center" vertical="center" wrapText="1"/>
    </xf>
    <xf numFmtId="0" fontId="69" fillId="2" borderId="90" xfId="0" applyFont="1" applyFill="1" applyBorder="1" applyAlignment="1">
      <alignment horizontal="center" vertical="center" wrapText="1"/>
    </xf>
    <xf numFmtId="0" fontId="52" fillId="0" borderId="67" xfId="0" applyFont="1" applyBorder="1" applyAlignment="1">
      <alignment vertical="center" wrapText="1"/>
    </xf>
    <xf numFmtId="0" fontId="52" fillId="0" borderId="68" xfId="0" applyFont="1" applyBorder="1" applyAlignment="1">
      <alignment horizontal="center" vertical="center" wrapText="1"/>
    </xf>
    <xf numFmtId="41" fontId="52" fillId="0" borderId="68" xfId="18" applyFont="1" applyFill="1" applyBorder="1" applyAlignment="1">
      <alignment vertical="center" wrapText="1"/>
    </xf>
    <xf numFmtId="43" fontId="52" fillId="0" borderId="68" xfId="9" applyFont="1" applyFill="1" applyBorder="1" applyAlignment="1">
      <alignment vertical="center" wrapText="1"/>
    </xf>
    <xf numFmtId="9" fontId="52" fillId="0" borderId="68" xfId="9" applyNumberFormat="1" applyFont="1" applyFill="1" applyBorder="1" applyAlignment="1">
      <alignment vertical="center" wrapText="1"/>
    </xf>
    <xf numFmtId="41" fontId="52" fillId="0" borderId="69" xfId="18" applyFont="1" applyFill="1" applyBorder="1" applyAlignment="1">
      <alignment vertical="center" wrapText="1"/>
    </xf>
    <xf numFmtId="0" fontId="10" fillId="2" borderId="30" xfId="0" applyFont="1" applyFill="1" applyBorder="1" applyAlignment="1">
      <alignment horizontal="center" vertical="center"/>
    </xf>
    <xf numFmtId="0" fontId="13" fillId="30" borderId="30" xfId="0" applyFont="1" applyFill="1" applyBorder="1" applyAlignment="1">
      <alignment vertical="center" wrapText="1"/>
    </xf>
    <xf numFmtId="168" fontId="13" fillId="0" borderId="30" xfId="0" applyNumberFormat="1" applyFont="1" applyBorder="1" applyAlignment="1">
      <alignment horizontal="center" vertical="center" wrapText="1"/>
    </xf>
    <xf numFmtId="168" fontId="10" fillId="0" borderId="31" xfId="0" applyNumberFormat="1" applyFont="1" applyBorder="1" applyAlignment="1">
      <alignment vertical="center"/>
    </xf>
    <xf numFmtId="165" fontId="10" fillId="0" borderId="1" xfId="0" applyNumberFormat="1" applyFont="1" applyBorder="1" applyAlignment="1">
      <alignment horizontal="center" vertical="center"/>
    </xf>
    <xf numFmtId="10" fontId="10" fillId="0" borderId="0" xfId="2" applyNumberFormat="1" applyFont="1" applyAlignment="1">
      <alignment vertical="center"/>
    </xf>
    <xf numFmtId="0" fontId="10" fillId="2" borderId="26" xfId="0" applyFont="1" applyFill="1" applyBorder="1" applyAlignment="1">
      <alignment horizontal="center" vertical="center"/>
    </xf>
    <xf numFmtId="168" fontId="10" fillId="0" borderId="27" xfId="0" applyNumberFormat="1" applyFont="1" applyBorder="1" applyAlignment="1">
      <alignment vertical="center"/>
    </xf>
    <xf numFmtId="0" fontId="10" fillId="31" borderId="34" xfId="0" applyFont="1" applyFill="1" applyBorder="1" applyAlignment="1">
      <alignment horizontal="center" vertical="center"/>
    </xf>
    <xf numFmtId="168" fontId="13" fillId="31" borderId="35" xfId="0" applyNumberFormat="1" applyFont="1" applyFill="1" applyBorder="1" applyAlignment="1">
      <alignment horizontal="center" vertical="center" wrapText="1"/>
    </xf>
    <xf numFmtId="168" fontId="10" fillId="31" borderId="32" xfId="0" applyNumberFormat="1" applyFont="1" applyFill="1" applyBorder="1" applyAlignment="1">
      <alignment vertical="center"/>
    </xf>
    <xf numFmtId="0" fontId="10" fillId="49" borderId="30" xfId="0" applyFont="1" applyFill="1" applyBorder="1" applyAlignment="1">
      <alignment horizontal="center" vertical="center"/>
    </xf>
    <xf numFmtId="0" fontId="10" fillId="30" borderId="30" xfId="0" applyFont="1" applyFill="1" applyBorder="1" applyAlignment="1">
      <alignment horizontal="left" vertical="center" wrapText="1"/>
    </xf>
    <xf numFmtId="0" fontId="10" fillId="4" borderId="30" xfId="0" applyFont="1" applyFill="1" applyBorder="1" applyAlignment="1">
      <alignment horizontal="center" vertical="center"/>
    </xf>
    <xf numFmtId="168" fontId="13" fillId="4" borderId="30" xfId="0" applyNumberFormat="1" applyFont="1" applyFill="1" applyBorder="1" applyAlignment="1">
      <alignment horizontal="center" vertical="center" wrapText="1"/>
    </xf>
    <xf numFmtId="168" fontId="10" fillId="4" borderId="31" xfId="0" applyNumberFormat="1" applyFont="1" applyFill="1" applyBorder="1" applyAlignment="1">
      <alignment vertical="center"/>
    </xf>
    <xf numFmtId="0" fontId="10" fillId="49" borderId="26" xfId="0" applyFont="1" applyFill="1" applyBorder="1" applyAlignment="1">
      <alignment horizontal="center" vertical="center"/>
    </xf>
    <xf numFmtId="0" fontId="10" fillId="30" borderId="26" xfId="0" applyFont="1" applyFill="1" applyBorder="1" applyAlignment="1">
      <alignment horizontal="left" vertical="center" wrapText="1"/>
    </xf>
    <xf numFmtId="0" fontId="10" fillId="4" borderId="26" xfId="0" applyFont="1" applyFill="1" applyBorder="1" applyAlignment="1">
      <alignment horizontal="center" vertical="center"/>
    </xf>
    <xf numFmtId="168" fontId="10" fillId="4" borderId="27" xfId="0" applyNumberFormat="1" applyFont="1" applyFill="1" applyBorder="1" applyAlignment="1">
      <alignment vertical="center"/>
    </xf>
    <xf numFmtId="0" fontId="10" fillId="31" borderId="26" xfId="0" applyFont="1" applyFill="1" applyBorder="1" applyAlignment="1">
      <alignment horizontal="center" vertical="center"/>
    </xf>
    <xf numFmtId="168" fontId="13" fillId="31" borderId="26" xfId="0" applyNumberFormat="1" applyFont="1" applyFill="1" applyBorder="1" applyAlignment="1">
      <alignment horizontal="center" vertical="center" wrapText="1"/>
    </xf>
    <xf numFmtId="168" fontId="10" fillId="31" borderId="27" xfId="0" applyNumberFormat="1" applyFont="1" applyFill="1" applyBorder="1" applyAlignment="1">
      <alignment vertical="center"/>
    </xf>
    <xf numFmtId="0" fontId="10" fillId="32" borderId="35" xfId="0" applyFont="1" applyFill="1" applyBorder="1" applyAlignment="1">
      <alignment horizontal="center" vertical="center"/>
    </xf>
    <xf numFmtId="168" fontId="10" fillId="32" borderId="35" xfId="0" applyNumberFormat="1" applyFont="1" applyFill="1" applyBorder="1" applyAlignment="1">
      <alignment vertical="center"/>
    </xf>
    <xf numFmtId="0" fontId="10" fillId="33" borderId="35" xfId="0" applyFont="1" applyFill="1" applyBorder="1" applyAlignment="1">
      <alignment horizontal="center" vertical="center"/>
    </xf>
    <xf numFmtId="168" fontId="10" fillId="32" borderId="33" xfId="0" applyNumberFormat="1" applyFont="1" applyFill="1" applyBorder="1" applyAlignment="1">
      <alignment vertical="center"/>
    </xf>
    <xf numFmtId="0" fontId="10" fillId="30" borderId="30" xfId="0" applyFont="1" applyFill="1" applyBorder="1" applyAlignment="1">
      <alignment vertical="center" wrapText="1"/>
    </xf>
    <xf numFmtId="0" fontId="10" fillId="30" borderId="26" xfId="0" applyFont="1" applyFill="1" applyBorder="1" applyAlignment="1">
      <alignment vertical="center" wrapText="1"/>
    </xf>
    <xf numFmtId="0" fontId="10" fillId="50" borderId="30" xfId="0" applyFont="1" applyFill="1" applyBorder="1" applyAlignment="1">
      <alignment horizontal="center" vertical="center"/>
    </xf>
    <xf numFmtId="168" fontId="10" fillId="0" borderId="30" xfId="0" applyNumberFormat="1" applyFont="1" applyBorder="1" applyAlignment="1">
      <alignment vertical="center"/>
    </xf>
    <xf numFmtId="0" fontId="10" fillId="50" borderId="26" xfId="0" applyFont="1" applyFill="1" applyBorder="1" applyAlignment="1">
      <alignment horizontal="center" vertical="center"/>
    </xf>
    <xf numFmtId="168" fontId="12" fillId="0" borderId="26" xfId="0" applyNumberFormat="1" applyFont="1" applyBorder="1" applyAlignment="1">
      <alignment vertical="center"/>
    </xf>
    <xf numFmtId="168" fontId="10" fillId="0" borderId="26" xfId="0" applyNumberFormat="1" applyFont="1" applyBorder="1" applyAlignment="1">
      <alignment vertical="center"/>
    </xf>
    <xf numFmtId="0" fontId="10" fillId="30" borderId="34" xfId="0" applyFont="1" applyFill="1" applyBorder="1" applyAlignment="1">
      <alignment vertical="center" wrapText="1"/>
    </xf>
    <xf numFmtId="0" fontId="10" fillId="0" borderId="34" xfId="0" applyFont="1" applyBorder="1" applyAlignment="1">
      <alignment horizontal="center" vertical="center"/>
    </xf>
    <xf numFmtId="168" fontId="10" fillId="0" borderId="34" xfId="0" applyNumberFormat="1" applyFont="1" applyBorder="1" applyAlignment="1">
      <alignment vertical="center"/>
    </xf>
    <xf numFmtId="168" fontId="10" fillId="0" borderId="32" xfId="0" applyNumberFormat="1" applyFont="1" applyBorder="1" applyAlignment="1">
      <alignment vertical="center"/>
    </xf>
    <xf numFmtId="0" fontId="10" fillId="50" borderId="34" xfId="0" applyFont="1" applyFill="1" applyBorder="1" applyAlignment="1">
      <alignment horizontal="center" vertical="center"/>
    </xf>
    <xf numFmtId="168" fontId="10" fillId="31" borderId="26" xfId="0" applyNumberFormat="1" applyFont="1" applyFill="1" applyBorder="1" applyAlignment="1">
      <alignment vertical="center"/>
    </xf>
    <xf numFmtId="0" fontId="13" fillId="50" borderId="30" xfId="0" applyFont="1" applyFill="1" applyBorder="1" applyAlignment="1">
      <alignment horizontal="center" vertical="center"/>
    </xf>
    <xf numFmtId="0" fontId="13" fillId="0" borderId="40" xfId="0" applyFont="1" applyBorder="1" applyAlignment="1">
      <alignment horizontal="center" vertical="center"/>
    </xf>
    <xf numFmtId="168" fontId="13" fillId="0" borderId="40" xfId="0" applyNumberFormat="1" applyFont="1" applyBorder="1" applyAlignment="1">
      <alignment vertical="center"/>
    </xf>
    <xf numFmtId="169" fontId="10" fillId="0" borderId="26" xfId="0" applyNumberFormat="1" applyFont="1" applyBorder="1" applyAlignment="1">
      <alignment vertical="center"/>
    </xf>
    <xf numFmtId="0" fontId="13" fillId="30" borderId="40" xfId="0" applyFont="1" applyFill="1" applyBorder="1" applyAlignment="1">
      <alignment horizontal="left" vertical="center" wrapText="1"/>
    </xf>
    <xf numFmtId="0" fontId="13" fillId="2" borderId="30" xfId="0" applyFont="1" applyFill="1" applyBorder="1" applyAlignment="1">
      <alignment horizontal="center" vertical="center"/>
    </xf>
    <xf numFmtId="0" fontId="15" fillId="50" borderId="30" xfId="0" applyFont="1" applyFill="1" applyBorder="1" applyAlignment="1">
      <alignment horizontal="center" vertical="center"/>
    </xf>
    <xf numFmtId="0" fontId="13" fillId="0" borderId="35" xfId="0" applyFont="1" applyBorder="1" applyAlignment="1">
      <alignment horizontal="center" vertical="center"/>
    </xf>
    <xf numFmtId="0" fontId="13" fillId="30" borderId="39" xfId="0" applyFont="1" applyFill="1" applyBorder="1" applyAlignment="1">
      <alignment horizontal="left" vertical="center" wrapText="1"/>
    </xf>
    <xf numFmtId="0" fontId="13" fillId="0" borderId="26" xfId="0" applyFont="1" applyBorder="1" applyAlignment="1">
      <alignment horizontal="center" vertical="center"/>
    </xf>
    <xf numFmtId="0" fontId="10" fillId="0" borderId="37" xfId="0" applyFont="1" applyBorder="1" applyAlignment="1">
      <alignment horizontal="center" vertical="center"/>
    </xf>
    <xf numFmtId="0" fontId="13" fillId="30" borderId="0" xfId="0" applyFont="1" applyFill="1" applyAlignment="1">
      <alignment horizontal="left" vertical="center" wrapText="1"/>
    </xf>
    <xf numFmtId="0" fontId="13" fillId="0" borderId="29" xfId="0" applyFont="1" applyBorder="1" applyAlignment="1">
      <alignment horizontal="center" vertical="center"/>
    </xf>
    <xf numFmtId="168" fontId="13" fillId="0" borderId="26" xfId="0" applyNumberFormat="1" applyFont="1" applyBorder="1" applyAlignment="1">
      <alignment vertical="center"/>
    </xf>
    <xf numFmtId="0" fontId="13" fillId="30" borderId="26" xfId="0" applyFont="1" applyFill="1" applyBorder="1" applyAlignment="1">
      <alignment horizontal="left" vertical="center" wrapText="1"/>
    </xf>
    <xf numFmtId="0" fontId="13" fillId="0" borderId="34" xfId="0" applyFont="1" applyBorder="1" applyAlignment="1">
      <alignment horizontal="center" vertical="center"/>
    </xf>
    <xf numFmtId="168" fontId="13" fillId="0" borderId="34" xfId="0" applyNumberFormat="1" applyFont="1" applyBorder="1" applyAlignment="1">
      <alignment vertical="center"/>
    </xf>
    <xf numFmtId="0" fontId="10" fillId="0" borderId="29" xfId="0" applyFont="1" applyBorder="1" applyAlignment="1">
      <alignment horizontal="center" vertical="center"/>
    </xf>
    <xf numFmtId="168" fontId="10" fillId="0" borderId="28" xfId="0" applyNumberFormat="1" applyFont="1" applyBorder="1" applyAlignment="1">
      <alignment vertical="center"/>
    </xf>
    <xf numFmtId="0" fontId="15" fillId="50" borderId="35" xfId="0" applyFont="1" applyFill="1" applyBorder="1" applyAlignment="1">
      <alignment horizontal="center" vertical="center"/>
    </xf>
    <xf numFmtId="0" fontId="10" fillId="30" borderId="40" xfId="0" applyFont="1" applyFill="1" applyBorder="1" applyAlignment="1">
      <alignment vertical="center" wrapText="1"/>
    </xf>
    <xf numFmtId="0" fontId="13" fillId="50" borderId="26" xfId="0" applyFont="1" applyFill="1" applyBorder="1" applyAlignment="1">
      <alignment horizontal="center" vertical="center"/>
    </xf>
    <xf numFmtId="0" fontId="13" fillId="2" borderId="35" xfId="0" applyFont="1" applyFill="1" applyBorder="1" applyAlignment="1">
      <alignment horizontal="center" vertical="center"/>
    </xf>
    <xf numFmtId="0" fontId="13" fillId="2" borderId="26" xfId="0" applyFont="1" applyFill="1" applyBorder="1" applyAlignment="1">
      <alignment horizontal="center" vertical="center"/>
    </xf>
    <xf numFmtId="168" fontId="13" fillId="23" borderId="26" xfId="0" applyNumberFormat="1" applyFont="1" applyFill="1" applyBorder="1" applyAlignment="1">
      <alignment vertical="center"/>
    </xf>
    <xf numFmtId="0" fontId="15" fillId="50" borderId="26" xfId="0" applyFont="1" applyFill="1" applyBorder="1" applyAlignment="1">
      <alignment horizontal="center" vertical="center"/>
    </xf>
    <xf numFmtId="0" fontId="10" fillId="0" borderId="31" xfId="0" applyFont="1" applyBorder="1" applyAlignment="1">
      <alignment horizontal="center" vertical="center"/>
    </xf>
    <xf numFmtId="0" fontId="13" fillId="0" borderId="30" xfId="0" applyFont="1" applyBorder="1" applyAlignment="1">
      <alignment horizontal="center" vertical="center"/>
    </xf>
    <xf numFmtId="0" fontId="10" fillId="0" borderId="27" xfId="0" applyFont="1" applyBorder="1" applyAlignment="1">
      <alignment horizontal="center" vertical="center"/>
    </xf>
    <xf numFmtId="0" fontId="10" fillId="0" borderId="32" xfId="0" applyFont="1" applyBorder="1" applyAlignment="1">
      <alignment horizontal="center" vertical="center"/>
    </xf>
    <xf numFmtId="0" fontId="13" fillId="0" borderId="27" xfId="0" applyFont="1" applyBorder="1" applyAlignment="1">
      <alignment horizontal="center" vertical="center"/>
    </xf>
    <xf numFmtId="168" fontId="10" fillId="0" borderId="34" xfId="0" applyNumberFormat="1" applyFont="1" applyBorder="1" applyAlignment="1">
      <alignment horizontal="right" vertical="center"/>
    </xf>
    <xf numFmtId="168" fontId="10" fillId="0" borderId="27" xfId="0" applyNumberFormat="1" applyFont="1" applyBorder="1" applyAlignment="1">
      <alignment horizontal="right" vertical="center"/>
    </xf>
    <xf numFmtId="169" fontId="10" fillId="0" borderId="26" xfId="0" applyNumberFormat="1" applyFont="1" applyBorder="1" applyAlignment="1">
      <alignment horizontal="right" vertical="center"/>
    </xf>
    <xf numFmtId="168" fontId="10" fillId="0" borderId="26" xfId="0" applyNumberFormat="1" applyFont="1" applyBorder="1" applyAlignment="1">
      <alignment horizontal="right" vertical="center"/>
    </xf>
    <xf numFmtId="0" fontId="10" fillId="0" borderId="28" xfId="0" applyFont="1" applyBorder="1" applyAlignment="1">
      <alignment horizontal="center" vertical="center"/>
    </xf>
    <xf numFmtId="0" fontId="13" fillId="0" borderId="39" xfId="0" applyFont="1" applyBorder="1" applyAlignment="1">
      <alignment horizontal="center" vertical="center"/>
    </xf>
    <xf numFmtId="0" fontId="10" fillId="32" borderId="34" xfId="0" applyFont="1" applyFill="1" applyBorder="1" applyAlignment="1">
      <alignment vertical="center"/>
    </xf>
    <xf numFmtId="169" fontId="10" fillId="32" borderId="34" xfId="0" applyNumberFormat="1" applyFont="1" applyFill="1" applyBorder="1" applyAlignment="1">
      <alignment vertical="center"/>
    </xf>
    <xf numFmtId="168" fontId="10" fillId="32" borderId="34" xfId="0" applyNumberFormat="1" applyFont="1" applyFill="1" applyBorder="1" applyAlignment="1">
      <alignment vertical="center"/>
    </xf>
    <xf numFmtId="168" fontId="10" fillId="32" borderId="32" xfId="0" applyNumberFormat="1" applyFont="1" applyFill="1" applyBorder="1" applyAlignment="1">
      <alignment vertical="center"/>
    </xf>
    <xf numFmtId="0" fontId="10" fillId="8" borderId="26" xfId="0" applyFont="1" applyFill="1" applyBorder="1" applyAlignment="1">
      <alignment horizontal="center" vertical="center"/>
    </xf>
    <xf numFmtId="165" fontId="13" fillId="23" borderId="14" xfId="0" applyNumberFormat="1" applyFont="1" applyFill="1" applyBorder="1" applyAlignment="1">
      <alignment horizontal="center" vertical="center"/>
    </xf>
    <xf numFmtId="0" fontId="13" fillId="0" borderId="32" xfId="0" applyFont="1" applyBorder="1" applyAlignment="1">
      <alignment horizontal="center" vertical="center"/>
    </xf>
    <xf numFmtId="169" fontId="10" fillId="32" borderId="34" xfId="0" applyNumberFormat="1" applyFont="1" applyFill="1" applyBorder="1" applyAlignment="1">
      <alignment horizontal="left" vertical="center"/>
    </xf>
    <xf numFmtId="0" fontId="10" fillId="0" borderId="0" xfId="0" applyFont="1" applyAlignment="1">
      <alignment horizontal="left" vertical="center"/>
    </xf>
    <xf numFmtId="0" fontId="10" fillId="0" borderId="40" xfId="0" applyFont="1" applyBorder="1" applyAlignment="1">
      <alignment horizontal="center" vertical="center"/>
    </xf>
    <xf numFmtId="168" fontId="10" fillId="0" borderId="40" xfId="0" applyNumberFormat="1" applyFont="1" applyBorder="1" applyAlignment="1">
      <alignment horizontal="right" vertical="center"/>
    </xf>
    <xf numFmtId="169" fontId="10" fillId="0" borderId="0" xfId="0" applyNumberFormat="1" applyFont="1" applyAlignment="1">
      <alignment horizontal="left" vertical="center"/>
    </xf>
    <xf numFmtId="168" fontId="10" fillId="0" borderId="0" xfId="0" applyNumberFormat="1" applyFont="1" applyAlignment="1">
      <alignment vertical="center"/>
    </xf>
    <xf numFmtId="169" fontId="10" fillId="0" borderId="30" xfId="0" applyNumberFormat="1" applyFont="1" applyBorder="1" applyAlignment="1">
      <alignment vertical="center"/>
    </xf>
    <xf numFmtId="169" fontId="10" fillId="31" borderId="26" xfId="0" applyNumberFormat="1" applyFont="1" applyFill="1" applyBorder="1" applyAlignment="1">
      <alignment vertical="center"/>
    </xf>
    <xf numFmtId="165" fontId="10" fillId="31" borderId="26" xfId="0" applyNumberFormat="1" applyFont="1" applyFill="1" applyBorder="1" applyAlignment="1">
      <alignment vertical="center"/>
    </xf>
    <xf numFmtId="0" fontId="10" fillId="4" borderId="0" xfId="0" applyFont="1" applyFill="1" applyAlignment="1">
      <alignment vertical="center"/>
    </xf>
    <xf numFmtId="169" fontId="10" fillId="33" borderId="34" xfId="0" applyNumberFormat="1" applyFont="1" applyFill="1" applyBorder="1" applyAlignment="1">
      <alignment vertical="center"/>
    </xf>
    <xf numFmtId="168" fontId="10" fillId="33" borderId="34" xfId="0" applyNumberFormat="1" applyFont="1" applyFill="1" applyBorder="1" applyAlignment="1">
      <alignment vertical="center"/>
    </xf>
    <xf numFmtId="168" fontId="10" fillId="0" borderId="26" xfId="0" applyNumberFormat="1" applyFont="1" applyBorder="1" applyAlignment="1">
      <alignment horizontal="left" vertical="center"/>
    </xf>
    <xf numFmtId="168" fontId="10" fillId="31" borderId="34" xfId="0" applyNumberFormat="1" applyFont="1" applyFill="1" applyBorder="1" applyAlignment="1">
      <alignment horizontal="center" vertical="center"/>
    </xf>
    <xf numFmtId="168" fontId="10" fillId="31" borderId="32" xfId="0" applyNumberFormat="1" applyFont="1" applyFill="1" applyBorder="1" applyAlignment="1">
      <alignment horizontal="center" vertical="center"/>
    </xf>
    <xf numFmtId="0" fontId="10" fillId="34" borderId="26" xfId="0" applyFont="1" applyFill="1" applyBorder="1" applyAlignment="1">
      <alignment horizontal="center" vertical="center"/>
    </xf>
    <xf numFmtId="168" fontId="10" fillId="34" borderId="26" xfId="0" applyNumberFormat="1" applyFont="1" applyFill="1" applyBorder="1" applyAlignment="1">
      <alignment horizontal="center" vertical="center"/>
    </xf>
    <xf numFmtId="168" fontId="10" fillId="34" borderId="27" xfId="0" applyNumberFormat="1" applyFont="1" applyFill="1" applyBorder="1" applyAlignment="1">
      <alignment horizontal="center" vertical="center"/>
    </xf>
    <xf numFmtId="169" fontId="10" fillId="34" borderId="26" xfId="0" applyNumberFormat="1" applyFont="1" applyFill="1" applyBorder="1" applyAlignment="1">
      <alignment vertical="center"/>
    </xf>
    <xf numFmtId="168" fontId="10" fillId="34" borderId="26" xfId="0" applyNumberFormat="1" applyFont="1" applyFill="1" applyBorder="1" applyAlignment="1">
      <alignment vertical="center"/>
    </xf>
    <xf numFmtId="169" fontId="10" fillId="0" borderId="34" xfId="0" applyNumberFormat="1" applyFont="1" applyBorder="1" applyAlignment="1">
      <alignment vertical="center"/>
    </xf>
    <xf numFmtId="0" fontId="10" fillId="34" borderId="26" xfId="0" applyFont="1" applyFill="1" applyBorder="1" applyAlignment="1">
      <alignment vertical="center"/>
    </xf>
    <xf numFmtId="168" fontId="10" fillId="34" borderId="27" xfId="0" applyNumberFormat="1" applyFont="1" applyFill="1" applyBorder="1" applyAlignment="1">
      <alignment vertical="center"/>
    </xf>
    <xf numFmtId="10" fontId="10" fillId="0" borderId="0" xfId="0" applyNumberFormat="1" applyFont="1" applyAlignment="1">
      <alignment vertical="center"/>
    </xf>
    <xf numFmtId="0" fontId="10" fillId="0" borderId="30" xfId="0" applyFont="1" applyBorder="1" applyAlignment="1">
      <alignment vertical="center" wrapText="1"/>
    </xf>
    <xf numFmtId="0" fontId="10" fillId="0" borderId="30" xfId="0" applyFont="1" applyBorder="1" applyAlignment="1">
      <alignment vertical="center"/>
    </xf>
    <xf numFmtId="168" fontId="10" fillId="0" borderId="30" xfId="0" applyNumberFormat="1" applyFont="1" applyBorder="1" applyAlignment="1">
      <alignment horizontal="right" vertical="center"/>
    </xf>
    <xf numFmtId="168" fontId="10" fillId="0" borderId="31" xfId="0" applyNumberFormat="1" applyFont="1" applyBorder="1" applyAlignment="1">
      <alignment horizontal="right" vertical="center"/>
    </xf>
    <xf numFmtId="168" fontId="10" fillId="32" borderId="26" xfId="0" applyNumberFormat="1" applyFont="1" applyFill="1" applyBorder="1" applyAlignment="1">
      <alignment horizontal="right" vertical="center"/>
    </xf>
    <xf numFmtId="0" fontId="10" fillId="32" borderId="26" xfId="0" applyFont="1" applyFill="1" applyBorder="1" applyAlignment="1">
      <alignment vertical="center"/>
    </xf>
    <xf numFmtId="168" fontId="10" fillId="32" borderId="27" xfId="0" applyNumberFormat="1" applyFont="1" applyFill="1" applyBorder="1" applyAlignment="1">
      <alignment horizontal="right" vertical="center"/>
    </xf>
    <xf numFmtId="169" fontId="10" fillId="32" borderId="26" xfId="0" applyNumberFormat="1" applyFont="1" applyFill="1" applyBorder="1" applyAlignment="1">
      <alignment vertical="center"/>
    </xf>
    <xf numFmtId="0" fontId="10" fillId="0" borderId="26" xfId="0" applyFont="1" applyBorder="1" applyAlignment="1">
      <alignment vertical="center" wrapText="1"/>
    </xf>
    <xf numFmtId="0" fontId="10" fillId="0" borderId="26" xfId="0" applyFont="1" applyBorder="1" applyAlignment="1">
      <alignment vertical="center"/>
    </xf>
    <xf numFmtId="168" fontId="10" fillId="32" borderId="34" xfId="0" applyNumberFormat="1" applyFont="1" applyFill="1" applyBorder="1" applyAlignment="1">
      <alignment horizontal="right" vertical="center"/>
    </xf>
    <xf numFmtId="168" fontId="10" fillId="32" borderId="32" xfId="0" applyNumberFormat="1" applyFont="1" applyFill="1" applyBorder="1" applyAlignment="1">
      <alignment horizontal="right" vertical="center"/>
    </xf>
    <xf numFmtId="168" fontId="10" fillId="32" borderId="32" xfId="0" applyNumberFormat="1" applyFont="1" applyFill="1" applyBorder="1" applyAlignment="1">
      <alignment vertical="center" wrapText="1"/>
    </xf>
    <xf numFmtId="168" fontId="10" fillId="32" borderId="26" xfId="0" applyNumberFormat="1" applyFont="1" applyFill="1" applyBorder="1" applyAlignment="1">
      <alignment vertical="center"/>
    </xf>
    <xf numFmtId="169" fontId="10" fillId="34" borderId="34" xfId="0" applyNumberFormat="1" applyFont="1" applyFill="1" applyBorder="1" applyAlignment="1">
      <alignment vertical="center"/>
    </xf>
    <xf numFmtId="168" fontId="10" fillId="32" borderId="27" xfId="0" applyNumberFormat="1" applyFont="1" applyFill="1" applyBorder="1" applyAlignment="1">
      <alignment vertical="center"/>
    </xf>
    <xf numFmtId="168" fontId="10" fillId="31" borderId="34" xfId="0" applyNumberFormat="1" applyFont="1" applyFill="1" applyBorder="1" applyAlignment="1">
      <alignment vertical="center"/>
    </xf>
    <xf numFmtId="0" fontId="10" fillId="31" borderId="34" xfId="0" applyFont="1" applyFill="1" applyBorder="1" applyAlignment="1">
      <alignment vertical="center"/>
    </xf>
    <xf numFmtId="168" fontId="12" fillId="31" borderId="32" xfId="0" applyNumberFormat="1" applyFont="1" applyFill="1" applyBorder="1" applyAlignment="1">
      <alignment vertical="center"/>
    </xf>
    <xf numFmtId="169" fontId="10" fillId="31" borderId="34" xfId="0" applyNumberFormat="1" applyFont="1" applyFill="1" applyBorder="1" applyAlignment="1">
      <alignment vertical="center"/>
    </xf>
    <xf numFmtId="168" fontId="12" fillId="31" borderId="34" xfId="0" applyNumberFormat="1" applyFont="1" applyFill="1" applyBorder="1" applyAlignment="1">
      <alignment vertical="center"/>
    </xf>
    <xf numFmtId="168" fontId="12" fillId="34" borderId="26" xfId="0" applyNumberFormat="1" applyFont="1" applyFill="1" applyBorder="1" applyAlignment="1">
      <alignment vertical="center"/>
    </xf>
    <xf numFmtId="168" fontId="10" fillId="36" borderId="34" xfId="0" applyNumberFormat="1" applyFont="1" applyFill="1" applyBorder="1" applyAlignment="1">
      <alignment vertical="center"/>
    </xf>
    <xf numFmtId="0" fontId="10" fillId="36" borderId="34" xfId="0" applyFont="1" applyFill="1" applyBorder="1" applyAlignment="1">
      <alignment vertical="center"/>
    </xf>
    <xf numFmtId="168" fontId="10" fillId="36" borderId="26" xfId="0" applyNumberFormat="1" applyFont="1" applyFill="1" applyBorder="1" applyAlignment="1">
      <alignment vertical="center"/>
    </xf>
    <xf numFmtId="0" fontId="10" fillId="36" borderId="26" xfId="0" applyFont="1" applyFill="1" applyBorder="1" applyAlignment="1">
      <alignment vertical="center"/>
    </xf>
    <xf numFmtId="168" fontId="10" fillId="36" borderId="27" xfId="0" applyNumberFormat="1" applyFont="1" applyFill="1" applyBorder="1" applyAlignment="1">
      <alignment vertical="center"/>
    </xf>
    <xf numFmtId="169" fontId="10" fillId="36" borderId="26" xfId="0" applyNumberFormat="1" applyFont="1" applyFill="1" applyBorder="1" applyAlignment="1">
      <alignment vertical="center"/>
    </xf>
    <xf numFmtId="168" fontId="10" fillId="34" borderId="29" xfId="0" applyNumberFormat="1" applyFont="1" applyFill="1" applyBorder="1" applyAlignment="1">
      <alignment vertical="center"/>
    </xf>
    <xf numFmtId="0" fontId="10" fillId="34" borderId="29" xfId="0" applyFont="1" applyFill="1" applyBorder="1" applyAlignment="1">
      <alignment vertical="center"/>
    </xf>
    <xf numFmtId="168" fontId="48" fillId="4" borderId="37" xfId="0" applyNumberFormat="1" applyFont="1" applyFill="1" applyBorder="1" applyAlignment="1">
      <alignment vertical="center"/>
    </xf>
    <xf numFmtId="0" fontId="13" fillId="4" borderId="37" xfId="0" applyFont="1" applyFill="1" applyBorder="1" applyAlignment="1">
      <alignment vertical="center"/>
    </xf>
    <xf numFmtId="169" fontId="13" fillId="4" borderId="34" xfId="0" applyNumberFormat="1" applyFont="1" applyFill="1" applyBorder="1" applyAlignment="1">
      <alignment vertical="center"/>
    </xf>
    <xf numFmtId="0" fontId="62" fillId="6" borderId="1" xfId="0" applyFont="1" applyFill="1" applyBorder="1" applyAlignment="1">
      <alignment horizontal="center" vertical="center" wrapText="1"/>
    </xf>
    <xf numFmtId="0" fontId="62" fillId="6" borderId="1" xfId="0" applyFont="1" applyFill="1" applyBorder="1" applyAlignment="1">
      <alignment horizontal="center" vertical="center"/>
    </xf>
    <xf numFmtId="0" fontId="62" fillId="10" borderId="1" xfId="0" applyFont="1" applyFill="1" applyBorder="1" applyAlignment="1">
      <alignment horizontal="center" vertical="center"/>
    </xf>
    <xf numFmtId="0" fontId="2" fillId="10" borderId="1" xfId="0" applyFont="1" applyFill="1" applyBorder="1" applyAlignment="1">
      <alignment horizontal="center" vertical="center" wrapText="1"/>
    </xf>
    <xf numFmtId="0" fontId="2" fillId="10" borderId="1" xfId="0" applyFont="1" applyFill="1" applyBorder="1" applyAlignment="1">
      <alignment horizontal="center" vertical="center"/>
    </xf>
    <xf numFmtId="0" fontId="27" fillId="0" borderId="0" xfId="0" applyFont="1" applyAlignment="1">
      <alignment wrapText="1"/>
    </xf>
    <xf numFmtId="9" fontId="10" fillId="0" borderId="1" xfId="2" applyFont="1" applyBorder="1" applyAlignment="1">
      <alignment vertical="center"/>
    </xf>
    <xf numFmtId="0" fontId="27" fillId="0" borderId="1" xfId="0" applyFont="1" applyBorder="1"/>
    <xf numFmtId="0" fontId="27" fillId="0" borderId="1" xfId="0" applyFont="1" applyBorder="1" applyAlignment="1">
      <alignment wrapText="1"/>
    </xf>
    <xf numFmtId="165" fontId="27" fillId="0" borderId="1" xfId="0" applyNumberFormat="1" applyFont="1" applyBorder="1"/>
    <xf numFmtId="0" fontId="27" fillId="0" borderId="1" xfId="0" applyFont="1" applyBorder="1" applyAlignment="1">
      <alignment vertical="center"/>
    </xf>
    <xf numFmtId="0" fontId="27" fillId="0" borderId="1" xfId="0" applyFont="1" applyBorder="1" applyAlignment="1">
      <alignment vertical="center" wrapText="1"/>
    </xf>
    <xf numFmtId="10" fontId="27" fillId="0" borderId="1" xfId="2" applyNumberFormat="1" applyFont="1" applyBorder="1" applyAlignment="1">
      <alignment vertical="center"/>
    </xf>
    <xf numFmtId="0" fontId="62" fillId="55" borderId="92" xfId="0" applyFont="1" applyFill="1" applyBorder="1" applyAlignment="1">
      <alignment horizontal="center" vertical="center" wrapText="1"/>
    </xf>
    <xf numFmtId="0" fontId="73" fillId="17" borderId="91" xfId="0" applyFont="1" applyFill="1" applyBorder="1"/>
    <xf numFmtId="0" fontId="75" fillId="17" borderId="91" xfId="0" applyFont="1" applyFill="1" applyBorder="1" applyAlignment="1">
      <alignment horizontal="center" vertical="center" wrapText="1"/>
    </xf>
    <xf numFmtId="175" fontId="75" fillId="17" borderId="91" xfId="0" applyNumberFormat="1" applyFont="1" applyFill="1" applyBorder="1" applyAlignment="1">
      <alignment horizontal="center" vertical="center" wrapText="1"/>
    </xf>
    <xf numFmtId="0" fontId="0" fillId="0" borderId="91" xfId="0" applyBorder="1"/>
    <xf numFmtId="0" fontId="0" fillId="0" borderId="91" xfId="0" applyBorder="1" applyAlignment="1">
      <alignment horizontal="center" vertical="center"/>
    </xf>
    <xf numFmtId="175" fontId="0" fillId="0" borderId="91" xfId="0" applyNumberFormat="1" applyBorder="1" applyAlignment="1">
      <alignment horizontal="right" vertical="center"/>
    </xf>
    <xf numFmtId="0" fontId="73" fillId="0" borderId="91" xfId="0" applyFont="1" applyBorder="1"/>
    <xf numFmtId="175" fontId="73" fillId="0" borderId="91" xfId="0" applyNumberFormat="1" applyFont="1" applyBorder="1" applyAlignment="1">
      <alignment horizontal="right"/>
    </xf>
    <xf numFmtId="0" fontId="73" fillId="17" borderId="91" xfId="0" applyFont="1" applyFill="1" applyBorder="1" applyAlignment="1">
      <alignment horizontal="center" wrapText="1"/>
    </xf>
    <xf numFmtId="0" fontId="77" fillId="55" borderId="92" xfId="0" applyFont="1" applyFill="1" applyBorder="1" applyAlignment="1">
      <alignment horizontal="center" vertical="center" wrapText="1"/>
    </xf>
    <xf numFmtId="3" fontId="62" fillId="55" borderId="92" xfId="0" applyNumberFormat="1" applyFont="1" applyFill="1" applyBorder="1" applyAlignment="1">
      <alignment horizontal="center" vertical="center" wrapText="1"/>
    </xf>
    <xf numFmtId="0" fontId="62" fillId="56" borderId="92" xfId="0" applyFont="1" applyFill="1" applyBorder="1" applyAlignment="1">
      <alignment horizontal="center" vertical="center" wrapText="1"/>
    </xf>
    <xf numFmtId="0" fontId="79" fillId="13" borderId="92" xfId="0" applyFont="1" applyFill="1" applyBorder="1" applyAlignment="1">
      <alignment horizontal="center" vertical="center" wrapText="1"/>
    </xf>
    <xf numFmtId="3" fontId="2" fillId="13" borderId="92" xfId="0" applyNumberFormat="1" applyFont="1" applyFill="1" applyBorder="1" applyAlignment="1">
      <alignment horizontal="right" vertical="center" wrapText="1"/>
    </xf>
    <xf numFmtId="4" fontId="80" fillId="58" borderId="92" xfId="0" applyNumberFormat="1" applyFont="1" applyFill="1" applyBorder="1" applyAlignment="1">
      <alignment horizontal="right" vertical="center" wrapText="1"/>
    </xf>
    <xf numFmtId="44" fontId="0" fillId="46" borderId="1" xfId="8" applyFont="1" applyFill="1" applyBorder="1"/>
    <xf numFmtId="44" fontId="73" fillId="48" borderId="1" xfId="8" applyFont="1" applyFill="1" applyBorder="1"/>
    <xf numFmtId="44" fontId="73" fillId="0" borderId="1" xfId="8" applyFont="1" applyBorder="1"/>
    <xf numFmtId="44" fontId="1" fillId="59" borderId="1" xfId="8" applyFont="1" applyFill="1" applyBorder="1"/>
    <xf numFmtId="0" fontId="81" fillId="52" borderId="55" xfId="0" applyFont="1" applyFill="1" applyBorder="1" applyAlignment="1">
      <alignment horizontal="justify" vertical="center"/>
    </xf>
    <xf numFmtId="0" fontId="81" fillId="52" borderId="73" xfId="0" applyFont="1" applyFill="1" applyBorder="1" applyAlignment="1">
      <alignment horizontal="justify" vertical="center"/>
    </xf>
    <xf numFmtId="0" fontId="81" fillId="52" borderId="73" xfId="0" applyFont="1" applyFill="1" applyBorder="1" applyAlignment="1">
      <alignment horizontal="center" vertical="center"/>
    </xf>
    <xf numFmtId="0" fontId="81" fillId="52" borderId="73" xfId="0" applyFont="1" applyFill="1" applyBorder="1" applyAlignment="1">
      <alignment horizontal="center" vertical="center" wrapText="1"/>
    </xf>
    <xf numFmtId="0" fontId="41" fillId="0" borderId="78" xfId="0" applyFont="1" applyBorder="1" applyAlignment="1">
      <alignment horizontal="justify" vertical="center"/>
    </xf>
    <xf numFmtId="0" fontId="41" fillId="0" borderId="79" xfId="0" applyFont="1" applyBorder="1" applyAlignment="1">
      <alignment horizontal="justify" vertical="center"/>
    </xf>
    <xf numFmtId="6" fontId="41" fillId="0" borderId="79" xfId="0" applyNumberFormat="1" applyFont="1" applyBorder="1" applyAlignment="1">
      <alignment horizontal="center" vertical="center"/>
    </xf>
    <xf numFmtId="0" fontId="41" fillId="0" borderId="79" xfId="0" applyFont="1" applyBorder="1" applyAlignment="1">
      <alignment horizontal="center" vertical="center" wrapText="1"/>
    </xf>
    <xf numFmtId="10" fontId="41" fillId="0" borderId="79" xfId="0" applyNumberFormat="1" applyFont="1" applyBorder="1" applyAlignment="1">
      <alignment horizontal="center" vertical="center" wrapText="1"/>
    </xf>
    <xf numFmtId="0" fontId="82" fillId="0" borderId="79" xfId="0" applyFont="1" applyBorder="1" applyAlignment="1">
      <alignment horizontal="justify" vertical="center"/>
    </xf>
    <xf numFmtId="0" fontId="39" fillId="0" borderId="79" xfId="0" applyFont="1" applyBorder="1" applyAlignment="1">
      <alignment horizontal="justify" vertical="center"/>
    </xf>
    <xf numFmtId="8" fontId="41" fillId="0" borderId="79" xfId="0" applyNumberFormat="1" applyFont="1" applyBorder="1" applyAlignment="1">
      <alignment horizontal="center" vertical="center"/>
    </xf>
    <xf numFmtId="9" fontId="41" fillId="0" borderId="79" xfId="0" applyNumberFormat="1" applyFont="1" applyBorder="1" applyAlignment="1">
      <alignment horizontal="center" vertical="center" wrapText="1"/>
    </xf>
    <xf numFmtId="0" fontId="2" fillId="2" borderId="1" xfId="0" applyFont="1" applyFill="1" applyBorder="1" applyAlignment="1">
      <alignment horizontal="center" vertical="center"/>
    </xf>
    <xf numFmtId="0" fontId="28" fillId="0" borderId="1" xfId="0" applyFont="1" applyBorder="1" applyAlignment="1">
      <alignment horizontal="center" vertical="center"/>
    </xf>
    <xf numFmtId="8" fontId="29" fillId="0" borderId="12" xfId="0" applyNumberFormat="1" applyFont="1" applyBorder="1" applyAlignment="1">
      <alignment horizontal="center" vertical="center"/>
    </xf>
    <xf numFmtId="8" fontId="29" fillId="0" borderId="11" xfId="0" applyNumberFormat="1" applyFont="1" applyBorder="1" applyAlignment="1">
      <alignment horizontal="center" vertical="center"/>
    </xf>
    <xf numFmtId="0" fontId="29" fillId="0" borderId="1" xfId="0" applyFont="1" applyBorder="1" applyAlignment="1">
      <alignment horizontal="center" vertical="center"/>
    </xf>
    <xf numFmtId="0" fontId="31" fillId="0" borderId="32" xfId="22" applyFont="1" applyBorder="1" applyAlignment="1">
      <alignment horizontal="center" vertical="center" wrapText="1"/>
    </xf>
    <xf numFmtId="0" fontId="33" fillId="0" borderId="36" xfId="22" applyFont="1" applyBorder="1"/>
    <xf numFmtId="0" fontId="33" fillId="0" borderId="37" xfId="22" applyFont="1" applyBorder="1"/>
    <xf numFmtId="0" fontId="33" fillId="0" borderId="33" xfId="22" applyFont="1" applyBorder="1"/>
    <xf numFmtId="0" fontId="68" fillId="0" borderId="0" xfId="22"/>
    <xf numFmtId="0" fontId="33" fillId="0" borderId="38" xfId="22" applyFont="1" applyBorder="1"/>
    <xf numFmtId="0" fontId="33" fillId="0" borderId="31" xfId="22" applyFont="1" applyBorder="1"/>
    <xf numFmtId="0" fontId="33" fillId="0" borderId="39" xfId="22" applyFont="1" applyBorder="1"/>
    <xf numFmtId="0" fontId="33" fillId="0" borderId="40" xfId="22" applyFont="1" applyBorder="1"/>
    <xf numFmtId="6" fontId="10" fillId="0" borderId="62" xfId="0" applyNumberFormat="1" applyFont="1" applyBorder="1" applyAlignment="1">
      <alignment horizontal="center" vertical="center" wrapText="1"/>
    </xf>
    <xf numFmtId="0" fontId="10" fillId="0" borderId="88" xfId="0" applyFont="1" applyBorder="1" applyAlignment="1">
      <alignment horizontal="center" vertical="center" wrapText="1"/>
    </xf>
    <xf numFmtId="0" fontId="17" fillId="52" borderId="62" xfId="0" applyFont="1" applyFill="1" applyBorder="1" applyAlignment="1">
      <alignment horizontal="center" vertical="center" wrapText="1"/>
    </xf>
    <xf numFmtId="0" fontId="17" fillId="52" borderId="63" xfId="0" applyFont="1" applyFill="1" applyBorder="1" applyAlignment="1">
      <alignment horizontal="center" vertical="center" wrapText="1"/>
    </xf>
    <xf numFmtId="0" fontId="17" fillId="52" borderId="73" xfId="0" applyFont="1" applyFill="1" applyBorder="1" applyAlignment="1">
      <alignment horizontal="center" vertical="center" wrapText="1"/>
    </xf>
    <xf numFmtId="0" fontId="17" fillId="52" borderId="85" xfId="0" applyFont="1" applyFill="1" applyBorder="1" applyAlignment="1">
      <alignment horizontal="center" vertical="center"/>
    </xf>
    <xf numFmtId="0" fontId="17" fillId="52" borderId="78" xfId="0" applyFont="1" applyFill="1" applyBorder="1" applyAlignment="1">
      <alignment horizontal="center" vertical="center"/>
    </xf>
    <xf numFmtId="0" fontId="17" fillId="52" borderId="85" xfId="0" applyFont="1" applyFill="1" applyBorder="1" applyAlignment="1">
      <alignment horizontal="center" vertical="center" wrapText="1"/>
    </xf>
    <xf numFmtId="0" fontId="17" fillId="52" borderId="78" xfId="0" applyFont="1" applyFill="1" applyBorder="1" applyAlignment="1">
      <alignment horizontal="center" vertical="center" wrapText="1"/>
    </xf>
    <xf numFmtId="0" fontId="17" fillId="52" borderId="89" xfId="0" applyFont="1" applyFill="1" applyBorder="1" applyAlignment="1">
      <alignment horizontal="center" vertical="center" wrapText="1"/>
    </xf>
    <xf numFmtId="0" fontId="17" fillId="52" borderId="89" xfId="0" applyFont="1" applyFill="1" applyBorder="1" applyAlignment="1">
      <alignment horizontal="center" vertical="center"/>
    </xf>
    <xf numFmtId="0" fontId="12" fillId="16" borderId="1" xfId="0" applyFont="1" applyFill="1" applyBorder="1" applyAlignment="1">
      <alignment horizontal="center" vertical="center" wrapText="1"/>
    </xf>
    <xf numFmtId="0" fontId="14" fillId="22" borderId="1" xfId="0" applyFont="1" applyFill="1" applyBorder="1" applyAlignment="1">
      <alignment horizontal="center" vertical="center" wrapText="1"/>
    </xf>
    <xf numFmtId="0" fontId="12" fillId="0" borderId="1" xfId="0" applyFont="1" applyBorder="1" applyAlignment="1">
      <alignment horizontal="center" vertical="center"/>
    </xf>
    <xf numFmtId="0" fontId="12" fillId="0" borderId="34" xfId="0" applyFont="1" applyBorder="1" applyAlignment="1">
      <alignment horizontal="center" vertical="center"/>
    </xf>
    <xf numFmtId="0" fontId="15" fillId="0" borderId="30" xfId="0" applyFont="1" applyBorder="1" applyAlignment="1">
      <alignment vertical="center"/>
    </xf>
    <xf numFmtId="0" fontId="12" fillId="28" borderId="27" xfId="0" applyFont="1" applyFill="1" applyBorder="1" applyAlignment="1">
      <alignment horizontal="center" vertical="center"/>
    </xf>
    <xf numFmtId="0" fontId="15" fillId="0" borderId="28" xfId="0" applyFont="1" applyBorder="1" applyAlignment="1">
      <alignment vertical="center"/>
    </xf>
    <xf numFmtId="0" fontId="15" fillId="0" borderId="29" xfId="0" applyFont="1" applyBorder="1" applyAlignment="1">
      <alignment vertical="center"/>
    </xf>
    <xf numFmtId="0" fontId="12" fillId="29" borderId="27" xfId="0" applyFont="1" applyFill="1" applyBorder="1" applyAlignment="1">
      <alignment horizontal="left" vertical="center"/>
    </xf>
    <xf numFmtId="0" fontId="12" fillId="31" borderId="32" xfId="0" applyFont="1" applyFill="1" applyBorder="1" applyAlignment="1">
      <alignment horizontal="left" vertical="center"/>
    </xf>
    <xf numFmtId="0" fontId="15" fillId="0" borderId="36" xfId="0" applyFont="1" applyBorder="1" applyAlignment="1">
      <alignment vertical="center"/>
    </xf>
    <xf numFmtId="0" fontId="15" fillId="0" borderId="37" xfId="0" applyFont="1" applyBorder="1" applyAlignment="1">
      <alignment vertical="center"/>
    </xf>
    <xf numFmtId="0" fontId="12" fillId="31" borderId="27" xfId="0" applyFont="1" applyFill="1" applyBorder="1" applyAlignment="1">
      <alignment horizontal="left" vertical="center"/>
    </xf>
    <xf numFmtId="0" fontId="10" fillId="0" borderId="32" xfId="0" applyFont="1" applyBorder="1" applyAlignment="1">
      <alignment horizontal="center" vertical="center" wrapText="1"/>
    </xf>
    <xf numFmtId="0" fontId="15" fillId="0" borderId="33" xfId="0" applyFont="1" applyBorder="1" applyAlignment="1">
      <alignment vertical="center"/>
    </xf>
    <xf numFmtId="0" fontId="10" fillId="0" borderId="0" xfId="0" applyFont="1" applyAlignment="1">
      <alignment vertical="center"/>
    </xf>
    <xf numFmtId="0" fontId="15" fillId="0" borderId="38" xfId="0" applyFont="1" applyBorder="1" applyAlignment="1">
      <alignment vertical="center"/>
    </xf>
    <xf numFmtId="0" fontId="15" fillId="0" borderId="31" xfId="0" applyFont="1" applyBorder="1" applyAlignment="1">
      <alignment vertical="center"/>
    </xf>
    <xf numFmtId="0" fontId="15" fillId="0" borderId="39" xfId="0" applyFont="1" applyBorder="1" applyAlignment="1">
      <alignment vertical="center"/>
    </xf>
    <xf numFmtId="0" fontId="15" fillId="0" borderId="40" xfId="0" applyFont="1" applyBorder="1" applyAlignment="1">
      <alignment vertical="center"/>
    </xf>
    <xf numFmtId="0" fontId="12" fillId="0" borderId="35" xfId="0" applyFont="1" applyBorder="1" applyAlignment="1">
      <alignment horizontal="center" vertical="center"/>
    </xf>
    <xf numFmtId="0" fontId="15" fillId="0" borderId="35" xfId="0" applyFont="1" applyBorder="1" applyAlignment="1">
      <alignment vertical="center"/>
    </xf>
    <xf numFmtId="0" fontId="12" fillId="0" borderId="35" xfId="0" applyFont="1" applyBorder="1" applyAlignment="1">
      <alignment horizontal="center" vertical="center" wrapText="1"/>
    </xf>
    <xf numFmtId="168" fontId="12" fillId="0" borderId="35" xfId="0" applyNumberFormat="1" applyFont="1" applyBorder="1" applyAlignment="1">
      <alignment horizontal="center" vertical="center"/>
    </xf>
    <xf numFmtId="168" fontId="12" fillId="0" borderId="33" xfId="0" applyNumberFormat="1" applyFont="1" applyBorder="1" applyAlignment="1">
      <alignment horizontal="center" vertical="center"/>
    </xf>
    <xf numFmtId="0" fontId="12" fillId="0" borderId="34" xfId="0" applyFont="1" applyBorder="1" applyAlignment="1">
      <alignment horizontal="center" vertical="center" wrapText="1"/>
    </xf>
    <xf numFmtId="0" fontId="10" fillId="31" borderId="27" xfId="0" applyFont="1" applyFill="1" applyBorder="1" applyAlignment="1">
      <alignment horizontal="left" vertical="center"/>
    </xf>
    <xf numFmtId="0" fontId="10" fillId="29" borderId="31" xfId="0" applyFont="1" applyFill="1" applyBorder="1" applyAlignment="1">
      <alignment horizontal="left" vertical="center"/>
    </xf>
    <xf numFmtId="0" fontId="12" fillId="34" borderId="27" xfId="0" applyFont="1" applyFill="1" applyBorder="1" applyAlignment="1">
      <alignment horizontal="left" vertical="center"/>
    </xf>
    <xf numFmtId="0" fontId="12" fillId="29" borderId="27" xfId="0" applyFont="1" applyFill="1" applyBorder="1" applyAlignment="1">
      <alignment horizontal="left" vertical="center" wrapText="1"/>
    </xf>
    <xf numFmtId="0" fontId="12" fillId="32" borderId="33" xfId="0" applyFont="1" applyFill="1" applyBorder="1" applyAlignment="1">
      <alignment horizontal="left" vertical="center"/>
    </xf>
    <xf numFmtId="0" fontId="15" fillId="0" borderId="0" xfId="0" applyFont="1" applyAlignment="1">
      <alignment vertical="center"/>
    </xf>
    <xf numFmtId="0" fontId="12" fillId="32" borderId="32" xfId="0" applyFont="1" applyFill="1" applyBorder="1" applyAlignment="1">
      <alignment vertical="center"/>
    </xf>
    <xf numFmtId="0" fontId="12" fillId="32" borderId="32" xfId="0" applyFont="1" applyFill="1" applyBorder="1" applyAlignment="1">
      <alignment horizontal="left" vertical="center"/>
    </xf>
    <xf numFmtId="0" fontId="12" fillId="32" borderId="27" xfId="0" applyFont="1" applyFill="1" applyBorder="1" applyAlignment="1">
      <alignment vertical="center"/>
    </xf>
    <xf numFmtId="0" fontId="12" fillId="29" borderId="33" xfId="0" applyFont="1" applyFill="1" applyBorder="1" applyAlignment="1">
      <alignment horizontal="left" vertical="center" wrapText="1"/>
    </xf>
    <xf numFmtId="0" fontId="10" fillId="4" borderId="27" xfId="0" applyFont="1" applyFill="1" applyBorder="1" applyAlignment="1">
      <alignment horizontal="left" vertical="center"/>
    </xf>
    <xf numFmtId="0" fontId="12" fillId="35" borderId="27" xfId="0" applyFont="1" applyFill="1" applyBorder="1" applyAlignment="1">
      <alignment horizontal="left" vertical="center"/>
    </xf>
    <xf numFmtId="0" fontId="12" fillId="32" borderId="27" xfId="0" applyFont="1" applyFill="1" applyBorder="1" applyAlignment="1">
      <alignment horizontal="left" vertical="center"/>
    </xf>
    <xf numFmtId="0" fontId="12" fillId="32" borderId="31" xfId="0" applyFont="1" applyFill="1" applyBorder="1" applyAlignment="1">
      <alignment horizontal="left" vertical="center"/>
    </xf>
    <xf numFmtId="0" fontId="10" fillId="0" borderId="27" xfId="0" applyFont="1" applyBorder="1" applyAlignment="1">
      <alignment vertical="center" wrapText="1"/>
    </xf>
    <xf numFmtId="0" fontId="17" fillId="4" borderId="32" xfId="0" applyFont="1" applyFill="1" applyBorder="1" applyAlignment="1">
      <alignment horizontal="left" vertical="center"/>
    </xf>
    <xf numFmtId="0" fontId="10" fillId="4" borderId="27" xfId="0" applyFont="1" applyFill="1" applyBorder="1" applyAlignment="1">
      <alignment horizontal="left" vertical="center" wrapText="1"/>
    </xf>
    <xf numFmtId="0" fontId="10" fillId="0" borderId="27" xfId="0" applyFont="1" applyBorder="1" applyAlignment="1">
      <alignment horizontal="left" vertical="center" wrapText="1"/>
    </xf>
    <xf numFmtId="0" fontId="12" fillId="36" borderId="32" xfId="0" applyFont="1" applyFill="1" applyBorder="1" applyAlignment="1">
      <alignment horizontal="left" vertical="center"/>
    </xf>
    <xf numFmtId="0" fontId="12" fillId="36" borderId="27" xfId="0" applyFont="1" applyFill="1" applyBorder="1" applyAlignment="1">
      <alignment horizontal="left" vertical="center"/>
    </xf>
    <xf numFmtId="0" fontId="6" fillId="16" borderId="1" xfId="0" applyFont="1" applyFill="1" applyBorder="1" applyAlignment="1">
      <alignment horizontal="center" vertical="center"/>
    </xf>
    <xf numFmtId="0" fontId="6" fillId="16" borderId="1" xfId="0" applyFont="1" applyFill="1" applyBorder="1" applyAlignment="1">
      <alignment horizontal="center" vertical="center" wrapText="1"/>
    </xf>
    <xf numFmtId="0" fontId="6" fillId="6" borderId="21" xfId="0" applyFont="1" applyFill="1" applyBorder="1" applyAlignment="1">
      <alignment horizontal="center" vertical="center" wrapText="1"/>
    </xf>
    <xf numFmtId="0" fontId="6" fillId="6" borderId="0" xfId="0" applyFont="1" applyFill="1" applyAlignment="1">
      <alignment horizontal="center" vertical="center" wrapText="1"/>
    </xf>
    <xf numFmtId="0" fontId="6" fillId="16" borderId="12" xfId="0" applyFont="1" applyFill="1" applyBorder="1" applyAlignment="1">
      <alignment horizontal="center" vertical="center"/>
    </xf>
    <xf numFmtId="0" fontId="6" fillId="16" borderId="13" xfId="0" applyFont="1" applyFill="1" applyBorder="1" applyAlignment="1">
      <alignment horizontal="center" vertical="center"/>
    </xf>
    <xf numFmtId="0" fontId="6" fillId="16" borderId="11" xfId="0" applyFont="1" applyFill="1" applyBorder="1" applyAlignment="1">
      <alignment horizontal="center" vertical="center"/>
    </xf>
    <xf numFmtId="0" fontId="14" fillId="22" borderId="12" xfId="0" applyFont="1" applyFill="1" applyBorder="1" applyAlignment="1">
      <alignment horizontal="center" vertical="center" wrapText="1"/>
    </xf>
    <xf numFmtId="0" fontId="14" fillId="22" borderId="13" xfId="0" applyFont="1" applyFill="1" applyBorder="1" applyAlignment="1">
      <alignment horizontal="center" vertical="center" wrapText="1"/>
    </xf>
    <xf numFmtId="0" fontId="14" fillId="22" borderId="11" xfId="0" applyFont="1" applyFill="1" applyBorder="1" applyAlignment="1">
      <alignment horizontal="center" vertical="center" wrapText="1"/>
    </xf>
    <xf numFmtId="0" fontId="14" fillId="22" borderId="19" xfId="0" applyFont="1" applyFill="1" applyBorder="1" applyAlignment="1">
      <alignment horizontal="center" vertical="center" wrapText="1"/>
    </xf>
    <xf numFmtId="0" fontId="14" fillId="22" borderId="24" xfId="0" applyFont="1" applyFill="1" applyBorder="1" applyAlignment="1">
      <alignment horizontal="center" vertical="center" wrapText="1"/>
    </xf>
    <xf numFmtId="0" fontId="14" fillId="22" borderId="16" xfId="0" applyFont="1" applyFill="1" applyBorder="1" applyAlignment="1">
      <alignment horizontal="center" vertical="center" wrapText="1"/>
    </xf>
    <xf numFmtId="0" fontId="23" fillId="22" borderId="14" xfId="0" applyFont="1" applyFill="1" applyBorder="1" applyAlignment="1">
      <alignment horizontal="center" vertical="center" wrapText="1"/>
    </xf>
    <xf numFmtId="0" fontId="23" fillId="22" borderId="15" xfId="0" applyFont="1" applyFill="1" applyBorder="1" applyAlignment="1">
      <alignment horizontal="center" vertical="center" wrapText="1"/>
    </xf>
    <xf numFmtId="0" fontId="12" fillId="16" borderId="1" xfId="0" applyFont="1" applyFill="1" applyBorder="1" applyAlignment="1">
      <alignment horizontal="center" vertical="center"/>
    </xf>
    <xf numFmtId="0" fontId="19" fillId="16" borderId="1" xfId="1" applyFont="1" applyFill="1" applyBorder="1" applyAlignment="1">
      <alignment horizontal="center" vertical="center"/>
    </xf>
    <xf numFmtId="0" fontId="10" fillId="0" borderId="1" xfId="0" applyFont="1" applyBorder="1" applyAlignment="1">
      <alignment horizontal="left" vertical="center" wrapText="1"/>
    </xf>
    <xf numFmtId="0" fontId="10" fillId="14" borderId="1" xfId="0" applyFont="1" applyFill="1" applyBorder="1" applyAlignment="1">
      <alignment horizontal="center" vertical="center" wrapText="1"/>
    </xf>
    <xf numFmtId="0" fontId="12" fillId="6" borderId="12" xfId="0" applyFont="1" applyFill="1" applyBorder="1" applyAlignment="1">
      <alignment horizontal="center" vertical="center"/>
    </xf>
    <xf numFmtId="0" fontId="12" fillId="6" borderId="13" xfId="0" applyFont="1" applyFill="1" applyBorder="1" applyAlignment="1">
      <alignment horizontal="center" vertical="center"/>
    </xf>
    <xf numFmtId="0" fontId="12" fillId="6" borderId="11" xfId="0" applyFont="1" applyFill="1" applyBorder="1" applyAlignment="1">
      <alignment horizontal="center" vertical="center"/>
    </xf>
    <xf numFmtId="0" fontId="10" fillId="10" borderId="12" xfId="0" applyFont="1" applyFill="1" applyBorder="1" applyAlignment="1">
      <alignment horizontal="center" vertical="center"/>
    </xf>
    <xf numFmtId="0" fontId="10" fillId="10" borderId="13" xfId="0" applyFont="1" applyFill="1" applyBorder="1" applyAlignment="1">
      <alignment horizontal="center" vertical="center"/>
    </xf>
    <xf numFmtId="0" fontId="10" fillId="10" borderId="11" xfId="0" applyFont="1" applyFill="1" applyBorder="1" applyAlignment="1">
      <alignment horizontal="center" vertical="center"/>
    </xf>
    <xf numFmtId="0" fontId="7" fillId="10" borderId="1" xfId="3" applyFill="1" applyBorder="1" applyAlignment="1">
      <alignment horizontal="center" vertical="center" wrapText="1"/>
    </xf>
    <xf numFmtId="0" fontId="18" fillId="10" borderId="1" xfId="3" applyFont="1" applyFill="1" applyBorder="1" applyAlignment="1">
      <alignment horizontal="center" vertical="center" wrapText="1"/>
    </xf>
    <xf numFmtId="0" fontId="12" fillId="39" borderId="23" xfId="0" applyFont="1" applyFill="1" applyBorder="1" applyAlignment="1">
      <alignment horizontal="center" vertical="center" wrapText="1"/>
    </xf>
    <xf numFmtId="0" fontId="12" fillId="39" borderId="0" xfId="0" applyFont="1" applyFill="1" applyAlignment="1">
      <alignment horizontal="center" vertical="center" wrapText="1"/>
    </xf>
    <xf numFmtId="0" fontId="3" fillId="9"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12" fillId="6" borderId="1" xfId="0" applyFont="1" applyFill="1" applyBorder="1" applyAlignment="1">
      <alignment horizontal="center" vertical="center"/>
    </xf>
    <xf numFmtId="0" fontId="6" fillId="4"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39" fillId="0" borderId="24" xfId="0" applyFont="1" applyBorder="1" applyAlignment="1">
      <alignment horizontal="center" vertical="center" wrapText="1"/>
    </xf>
    <xf numFmtId="0" fontId="38" fillId="6" borderId="21" xfId="0" applyFont="1" applyFill="1" applyBorder="1" applyAlignment="1">
      <alignment horizontal="center" vertical="center" wrapText="1"/>
    </xf>
    <xf numFmtId="0" fontId="38" fillId="6" borderId="0" xfId="0" applyFont="1" applyFill="1" applyAlignment="1">
      <alignment horizontal="center" vertical="center" wrapText="1"/>
    </xf>
    <xf numFmtId="0" fontId="38" fillId="18" borderId="1" xfId="0" applyFont="1" applyFill="1" applyBorder="1" applyAlignment="1">
      <alignment horizontal="center" vertical="center" wrapText="1"/>
    </xf>
    <xf numFmtId="0" fontId="38" fillId="16" borderId="12" xfId="0" applyFont="1" applyFill="1" applyBorder="1" applyAlignment="1">
      <alignment horizontal="center" vertical="center"/>
    </xf>
    <xf numFmtId="0" fontId="38" fillId="16" borderId="13" xfId="0" applyFont="1" applyFill="1" applyBorder="1" applyAlignment="1">
      <alignment horizontal="center" vertical="center"/>
    </xf>
    <xf numFmtId="0" fontId="38" fillId="16" borderId="11" xfId="0" applyFont="1" applyFill="1" applyBorder="1" applyAlignment="1">
      <alignment horizontal="center" vertical="center"/>
    </xf>
    <xf numFmtId="0" fontId="23" fillId="22" borderId="1" xfId="0" applyFont="1" applyFill="1" applyBorder="1" applyAlignment="1">
      <alignment horizontal="center" vertical="center" wrapText="1"/>
    </xf>
    <xf numFmtId="0" fontId="38" fillId="5" borderId="1" xfId="0" applyFont="1" applyFill="1" applyBorder="1" applyAlignment="1">
      <alignment horizontal="center" vertical="center"/>
    </xf>
    <xf numFmtId="0" fontId="38" fillId="6" borderId="1" xfId="0" applyFont="1" applyFill="1" applyBorder="1" applyAlignment="1">
      <alignment horizontal="center" vertical="center"/>
    </xf>
    <xf numFmtId="0" fontId="40" fillId="10" borderId="1" xfId="3" applyFont="1" applyFill="1" applyBorder="1" applyAlignment="1">
      <alignment horizontal="center" vertical="center" wrapText="1"/>
    </xf>
    <xf numFmtId="0" fontId="39" fillId="12" borderId="12" xfId="0" applyFont="1" applyFill="1" applyBorder="1" applyAlignment="1">
      <alignment horizontal="center" vertical="center" wrapText="1"/>
    </xf>
    <xf numFmtId="0" fontId="39" fillId="12" borderId="11" xfId="0" applyFont="1" applyFill="1" applyBorder="1" applyAlignment="1">
      <alignment horizontal="center" vertical="center" wrapText="1"/>
    </xf>
    <xf numFmtId="0" fontId="39" fillId="8" borderId="0" xfId="0" applyFont="1" applyFill="1" applyAlignment="1">
      <alignment horizontal="center" vertical="center" wrapText="1"/>
    </xf>
    <xf numFmtId="0" fontId="39" fillId="0" borderId="1" xfId="0" applyFont="1" applyBorder="1" applyAlignment="1">
      <alignment horizontal="center" vertical="center" wrapText="1"/>
    </xf>
    <xf numFmtId="0" fontId="6" fillId="40" borderId="27" xfId="0" applyFont="1" applyFill="1" applyBorder="1" applyAlignment="1">
      <alignment horizontal="center" wrapText="1"/>
    </xf>
    <xf numFmtId="0" fontId="45" fillId="0" borderId="28" xfId="0" applyFont="1" applyBorder="1"/>
    <xf numFmtId="0" fontId="45" fillId="0" borderId="29" xfId="0" applyFont="1" applyBorder="1"/>
    <xf numFmtId="0" fontId="6" fillId="6" borderId="12"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1" xfId="0" applyFont="1" applyFill="1" applyBorder="1" applyAlignment="1">
      <alignment horizontal="center" vertical="center" wrapText="1"/>
    </xf>
    <xf numFmtId="0" fontId="59" fillId="10" borderId="1" xfId="3" applyFont="1" applyFill="1" applyBorder="1" applyAlignment="1">
      <alignment horizontal="center" vertical="center" wrapText="1"/>
    </xf>
    <xf numFmtId="0" fontId="3" fillId="0" borderId="1" xfId="0" applyFont="1" applyBorder="1" applyAlignment="1">
      <alignment vertical="center" wrapText="1"/>
    </xf>
    <xf numFmtId="0" fontId="60" fillId="14" borderId="1" xfId="0" applyFont="1" applyFill="1" applyBorder="1" applyAlignment="1">
      <alignment horizontal="center" vertical="center" wrapText="1"/>
    </xf>
    <xf numFmtId="0" fontId="60" fillId="51" borderId="1" xfId="0" applyFont="1" applyFill="1" applyBorder="1" applyAlignment="1">
      <alignment horizontal="center" vertical="center" wrapText="1"/>
    </xf>
    <xf numFmtId="0" fontId="38" fillId="18" borderId="12" xfId="0" applyFont="1" applyFill="1" applyBorder="1" applyAlignment="1">
      <alignment horizontal="center" vertical="center" wrapText="1"/>
    </xf>
    <xf numFmtId="0" fontId="38" fillId="18" borderId="11" xfId="0" applyFont="1" applyFill="1" applyBorder="1" applyAlignment="1">
      <alignment horizontal="center" vertical="center" wrapText="1"/>
    </xf>
    <xf numFmtId="0" fontId="38" fillId="16" borderId="24" xfId="0" applyFont="1" applyFill="1" applyBorder="1" applyAlignment="1">
      <alignment horizontal="center" vertical="center"/>
    </xf>
    <xf numFmtId="0" fontId="38" fillId="16" borderId="16" xfId="0" applyFont="1" applyFill="1" applyBorder="1" applyAlignment="1">
      <alignment horizontal="center" vertical="center"/>
    </xf>
    <xf numFmtId="0" fontId="23" fillId="22" borderId="12" xfId="0" applyFont="1" applyFill="1" applyBorder="1" applyAlignment="1">
      <alignment horizontal="center" vertical="center" wrapText="1"/>
    </xf>
    <xf numFmtId="0" fontId="23" fillId="22" borderId="13" xfId="0" applyFont="1" applyFill="1" applyBorder="1" applyAlignment="1">
      <alignment horizontal="center" vertical="center" wrapText="1"/>
    </xf>
    <xf numFmtId="0" fontId="23" fillId="22" borderId="11" xfId="0" applyFont="1" applyFill="1" applyBorder="1" applyAlignment="1">
      <alignment horizontal="center" vertical="center" wrapText="1"/>
    </xf>
    <xf numFmtId="0" fontId="39" fillId="0" borderId="12" xfId="0" applyFont="1" applyBorder="1" applyAlignment="1">
      <alignment horizontal="center" vertical="center" wrapText="1"/>
    </xf>
    <xf numFmtId="0" fontId="39" fillId="0" borderId="11" xfId="0" applyFont="1" applyBorder="1" applyAlignment="1">
      <alignment horizontal="center" vertical="center" wrapText="1"/>
    </xf>
    <xf numFmtId="0" fontId="17" fillId="54" borderId="1" xfId="0" applyFont="1" applyFill="1" applyBorder="1" applyAlignment="1">
      <alignment horizontal="center" vertical="center" wrapText="1"/>
    </xf>
    <xf numFmtId="0" fontId="38" fillId="53" borderId="12" xfId="0" applyFont="1" applyFill="1" applyBorder="1" applyAlignment="1">
      <alignment horizontal="center" vertical="center" wrapText="1"/>
    </xf>
    <xf numFmtId="0" fontId="38" fillId="53" borderId="11" xfId="0" applyFont="1" applyFill="1" applyBorder="1" applyAlignment="1">
      <alignment horizontal="center" vertical="center" wrapText="1"/>
    </xf>
    <xf numFmtId="0" fontId="17" fillId="0" borderId="1" xfId="0" applyFont="1" applyBorder="1" applyAlignment="1">
      <alignment horizontal="center" vertical="center" readingOrder="1"/>
    </xf>
    <xf numFmtId="0" fontId="65" fillId="54" borderId="1" xfId="0" applyFont="1" applyFill="1" applyBorder="1" applyAlignment="1">
      <alignment horizontal="center" vertical="center" wrapText="1"/>
    </xf>
    <xf numFmtId="0" fontId="2" fillId="0" borderId="1" xfId="0" applyFont="1" applyBorder="1" applyAlignment="1">
      <alignment vertical="center" wrapText="1"/>
    </xf>
    <xf numFmtId="0" fontId="17" fillId="0" borderId="1" xfId="0" applyFont="1" applyBorder="1" applyAlignment="1">
      <alignment horizontal="center" vertical="center"/>
    </xf>
    <xf numFmtId="0" fontId="38" fillId="48" borderId="1" xfId="0" applyFont="1" applyFill="1" applyBorder="1" applyAlignment="1">
      <alignment horizontal="center"/>
    </xf>
    <xf numFmtId="0" fontId="14" fillId="11" borderId="0" xfId="0" applyFont="1" applyFill="1" applyAlignment="1">
      <alignment horizontal="center" vertical="center" wrapText="1"/>
    </xf>
    <xf numFmtId="0" fontId="14" fillId="11" borderId="17" xfId="0" applyFont="1" applyFill="1" applyBorder="1" applyAlignment="1">
      <alignment horizontal="center" vertical="center" wrapText="1"/>
    </xf>
    <xf numFmtId="0" fontId="61" fillId="2" borderId="80" xfId="0" applyFont="1" applyFill="1" applyBorder="1" applyAlignment="1">
      <alignment horizontal="center" vertical="center" wrapText="1"/>
    </xf>
    <xf numFmtId="0" fontId="61" fillId="2" borderId="81" xfId="0" applyFont="1" applyFill="1" applyBorder="1" applyAlignment="1">
      <alignment horizontal="center" vertical="center" wrapText="1"/>
    </xf>
    <xf numFmtId="0" fontId="61" fillId="2" borderId="82" xfId="0" applyFont="1" applyFill="1" applyBorder="1" applyAlignment="1">
      <alignment horizontal="center" vertical="center" wrapText="1"/>
    </xf>
    <xf numFmtId="0" fontId="61" fillId="2" borderId="83" xfId="0" applyFont="1" applyFill="1" applyBorder="1" applyAlignment="1">
      <alignment horizontal="center" vertical="center" wrapText="1"/>
    </xf>
    <xf numFmtId="0" fontId="61" fillId="2" borderId="84" xfId="0" applyFont="1" applyFill="1" applyBorder="1" applyAlignment="1">
      <alignment horizontal="center" vertical="center" wrapText="1"/>
    </xf>
    <xf numFmtId="0" fontId="61" fillId="2" borderId="79" xfId="0" applyFont="1" applyFill="1" applyBorder="1" applyAlignment="1">
      <alignment horizontal="center" vertical="center" wrapText="1"/>
    </xf>
    <xf numFmtId="0" fontId="10" fillId="0" borderId="84" xfId="0" applyFont="1" applyBorder="1" applyAlignment="1">
      <alignment horizontal="center" wrapText="1"/>
    </xf>
    <xf numFmtId="0" fontId="10" fillId="12" borderId="12" xfId="0" applyFont="1" applyFill="1" applyBorder="1" applyAlignment="1">
      <alignment horizontal="center" vertical="center" wrapText="1"/>
    </xf>
    <xf numFmtId="0" fontId="10" fillId="12" borderId="11" xfId="0" applyFont="1" applyFill="1" applyBorder="1" applyAlignment="1">
      <alignment horizontal="center" vertical="center" wrapText="1"/>
    </xf>
    <xf numFmtId="0" fontId="7" fillId="10" borderId="12" xfId="3" applyFill="1" applyBorder="1" applyAlignment="1">
      <alignment horizontal="center" wrapText="1"/>
    </xf>
    <xf numFmtId="0" fontId="18" fillId="10" borderId="13" xfId="3" applyFont="1" applyFill="1" applyBorder="1" applyAlignment="1">
      <alignment horizontal="center" wrapText="1"/>
    </xf>
    <xf numFmtId="0" fontId="18" fillId="10" borderId="11" xfId="3" applyFont="1" applyFill="1" applyBorder="1" applyAlignment="1">
      <alignment horizontal="center" wrapText="1"/>
    </xf>
    <xf numFmtId="0" fontId="6" fillId="0" borderId="35" xfId="0" applyFont="1" applyBorder="1" applyAlignment="1">
      <alignment horizontal="center" vertical="center" wrapText="1"/>
    </xf>
    <xf numFmtId="0" fontId="45" fillId="0" borderId="35" xfId="0" applyFont="1" applyBorder="1"/>
    <xf numFmtId="0" fontId="45" fillId="0" borderId="30" xfId="0" applyFont="1" applyBorder="1"/>
    <xf numFmtId="0" fontId="3" fillId="0" borderId="34" xfId="0" applyFont="1" applyBorder="1" applyAlignment="1">
      <alignment horizontal="center" vertical="center" wrapText="1"/>
    </xf>
    <xf numFmtId="0" fontId="17" fillId="19" borderId="1" xfId="0" applyFont="1" applyFill="1" applyBorder="1" applyAlignment="1">
      <alignment horizontal="center" vertical="center" wrapText="1"/>
    </xf>
    <xf numFmtId="0" fontId="17" fillId="25" borderId="1" xfId="0" applyFont="1" applyFill="1" applyBorder="1" applyAlignment="1">
      <alignment horizontal="center" vertical="center"/>
    </xf>
    <xf numFmtId="0" fontId="17" fillId="14" borderId="1" xfId="0" applyFont="1" applyFill="1" applyBorder="1" applyAlignment="1">
      <alignment horizontal="center" vertical="center" wrapText="1"/>
    </xf>
    <xf numFmtId="0" fontId="10" fillId="12" borderId="1" xfId="0" applyFont="1" applyFill="1" applyBorder="1" applyAlignment="1">
      <alignment horizontal="center" vertical="center" wrapText="1"/>
    </xf>
    <xf numFmtId="0" fontId="17" fillId="19" borderId="1" xfId="0" applyFont="1" applyFill="1" applyBorder="1" applyAlignment="1">
      <alignment horizontal="center" vertical="center"/>
    </xf>
    <xf numFmtId="0" fontId="14" fillId="24" borderId="20" xfId="0" applyFont="1" applyFill="1" applyBorder="1" applyAlignment="1">
      <alignment horizontal="center" vertical="center" wrapText="1"/>
    </xf>
    <xf numFmtId="0" fontId="14" fillId="24" borderId="17" xfId="0" applyFont="1" applyFill="1" applyBorder="1" applyAlignment="1">
      <alignment horizontal="center" vertical="center" wrapText="1"/>
    </xf>
    <xf numFmtId="0" fontId="14" fillId="24" borderId="18" xfId="0" applyFont="1" applyFill="1" applyBorder="1" applyAlignment="1">
      <alignment horizontal="center" vertical="center" wrapText="1"/>
    </xf>
    <xf numFmtId="0" fontId="15" fillId="24" borderId="12" xfId="0" applyFont="1" applyFill="1" applyBorder="1" applyAlignment="1">
      <alignment horizontal="center" vertical="center" wrapText="1"/>
    </xf>
    <xf numFmtId="0" fontId="15" fillId="24" borderId="13" xfId="0" applyFont="1" applyFill="1" applyBorder="1" applyAlignment="1">
      <alignment horizontal="center" vertical="center" wrapText="1"/>
    </xf>
    <xf numFmtId="0" fontId="15" fillId="24" borderId="11" xfId="0" applyFont="1" applyFill="1" applyBorder="1" applyAlignment="1">
      <alignment horizontal="center" vertical="center" wrapText="1"/>
    </xf>
    <xf numFmtId="0" fontId="10" fillId="0" borderId="0" xfId="0" applyFont="1" applyAlignment="1">
      <alignment horizontal="center" vertical="center" wrapText="1"/>
    </xf>
    <xf numFmtId="0" fontId="6" fillId="0" borderId="1" xfId="0" applyFont="1" applyBorder="1" applyAlignment="1">
      <alignment horizontal="center" vertical="center"/>
    </xf>
    <xf numFmtId="165" fontId="6" fillId="0" borderId="1" xfId="0" applyNumberFormat="1" applyFont="1" applyBorder="1" applyAlignment="1">
      <alignment horizontal="center" vertical="center" wrapText="1"/>
    </xf>
    <xf numFmtId="0" fontId="24" fillId="22" borderId="1" xfId="0" applyFont="1" applyFill="1" applyBorder="1" applyAlignment="1">
      <alignment horizontal="center" vertical="center" wrapText="1"/>
    </xf>
    <xf numFmtId="0" fontId="24" fillId="22" borderId="14" xfId="0" applyFont="1" applyFill="1" applyBorder="1" applyAlignment="1">
      <alignment horizontal="center" vertical="center" wrapText="1"/>
    </xf>
    <xf numFmtId="0" fontId="24" fillId="22" borderId="15" xfId="0" applyFont="1" applyFill="1" applyBorder="1" applyAlignment="1">
      <alignment horizontal="center" vertical="center" wrapText="1"/>
    </xf>
    <xf numFmtId="165" fontId="6" fillId="0" borderId="1" xfId="0" applyNumberFormat="1" applyFont="1" applyBorder="1" applyAlignment="1">
      <alignment horizontal="center" vertical="center"/>
    </xf>
    <xf numFmtId="0" fontId="12" fillId="16" borderId="12" xfId="0" applyFont="1" applyFill="1" applyBorder="1" applyAlignment="1">
      <alignment horizontal="center" vertical="center" wrapText="1"/>
    </xf>
    <xf numFmtId="0" fontId="12" fillId="16" borderId="13" xfId="0" applyFont="1" applyFill="1" applyBorder="1" applyAlignment="1">
      <alignment horizontal="center" vertical="center" wrapText="1"/>
    </xf>
    <xf numFmtId="0" fontId="12" fillId="16" borderId="11" xfId="0" applyFont="1" applyFill="1" applyBorder="1" applyAlignment="1">
      <alignment horizontal="center" vertical="center" wrapText="1"/>
    </xf>
    <xf numFmtId="0" fontId="38" fillId="18" borderId="21" xfId="0" applyFont="1" applyFill="1" applyBorder="1" applyAlignment="1">
      <alignment horizontal="center" vertical="center" wrapText="1"/>
    </xf>
    <xf numFmtId="0" fontId="38" fillId="18" borderId="0" xfId="0" applyFont="1" applyFill="1" applyAlignment="1">
      <alignment horizontal="center" vertical="center" wrapText="1"/>
    </xf>
    <xf numFmtId="0" fontId="38" fillId="18" borderId="20" xfId="0" applyFont="1" applyFill="1" applyBorder="1" applyAlignment="1">
      <alignment horizontal="center" vertical="center" wrapText="1"/>
    </xf>
    <xf numFmtId="0" fontId="38" fillId="18" borderId="17" xfId="0" applyFont="1" applyFill="1" applyBorder="1" applyAlignment="1">
      <alignment horizontal="center" vertical="center" wrapText="1"/>
    </xf>
    <xf numFmtId="0" fontId="69" fillId="2" borderId="80" xfId="0" applyFont="1" applyFill="1" applyBorder="1" applyAlignment="1">
      <alignment horizontal="center" vertical="center" wrapText="1"/>
    </xf>
    <xf numFmtId="0" fontId="69" fillId="2" borderId="81" xfId="0" applyFont="1" applyFill="1" applyBorder="1" applyAlignment="1">
      <alignment horizontal="center" vertical="center" wrapText="1"/>
    </xf>
    <xf numFmtId="0" fontId="69" fillId="2" borderId="82" xfId="0" applyFont="1" applyFill="1" applyBorder="1" applyAlignment="1">
      <alignment horizontal="center" vertical="center" wrapText="1"/>
    </xf>
    <xf numFmtId="0" fontId="10" fillId="0" borderId="0" xfId="0" applyFont="1" applyAlignment="1">
      <alignment horizontal="center" wrapText="1"/>
    </xf>
    <xf numFmtId="0" fontId="39" fillId="0" borderId="0" xfId="0" applyFont="1" applyAlignment="1">
      <alignment horizontal="center" vertical="center" wrapText="1"/>
    </xf>
    <xf numFmtId="0" fontId="27" fillId="0" borderId="50" xfId="0" applyFont="1" applyBorder="1" applyAlignment="1">
      <alignment horizontal="center" vertical="center" wrapText="1"/>
    </xf>
    <xf numFmtId="0" fontId="27" fillId="0" borderId="51" xfId="0" applyFont="1" applyBorder="1" applyAlignment="1">
      <alignment horizontal="center" vertical="center" wrapText="1"/>
    </xf>
    <xf numFmtId="0" fontId="27" fillId="0" borderId="70" xfId="0" applyFont="1" applyBorder="1" applyAlignment="1">
      <alignment horizontal="center" vertical="center" wrapText="1"/>
    </xf>
    <xf numFmtId="167" fontId="27" fillId="0" borderId="57" xfId="8" applyNumberFormat="1" applyFont="1" applyBorder="1" applyAlignment="1">
      <alignment horizontal="center" vertical="center" wrapText="1"/>
    </xf>
    <xf numFmtId="167" fontId="27" fillId="0" borderId="65" xfId="8" applyNumberFormat="1" applyFont="1" applyBorder="1" applyAlignment="1">
      <alignment horizontal="center" vertical="center" wrapText="1"/>
    </xf>
    <xf numFmtId="167" fontId="27" fillId="0" borderId="72" xfId="8" applyNumberFormat="1" applyFont="1" applyBorder="1" applyAlignment="1">
      <alignment horizontal="center" vertical="center" wrapText="1"/>
    </xf>
    <xf numFmtId="0" fontId="12" fillId="6" borderId="12" xfId="0" applyFont="1" applyFill="1" applyBorder="1" applyAlignment="1">
      <alignment horizontal="center" vertical="center" wrapText="1"/>
    </xf>
    <xf numFmtId="0" fontId="12" fillId="6" borderId="13"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10" fillId="10" borderId="12"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0" fillId="10" borderId="11" xfId="0" applyFont="1" applyFill="1" applyBorder="1" applyAlignment="1">
      <alignment horizontal="center" vertical="center" wrapText="1"/>
    </xf>
    <xf numFmtId="14" fontId="10" fillId="10" borderId="1" xfId="0" applyNumberFormat="1" applyFont="1" applyFill="1" applyBorder="1" applyAlignment="1">
      <alignment horizontal="center" vertical="center"/>
    </xf>
    <xf numFmtId="0" fontId="10" fillId="10" borderId="1" xfId="0" applyFont="1" applyFill="1" applyBorder="1" applyAlignment="1">
      <alignment horizontal="center" vertical="center"/>
    </xf>
    <xf numFmtId="0" fontId="10" fillId="26" borderId="1" xfId="0" applyFont="1" applyFill="1" applyBorder="1" applyAlignment="1">
      <alignment horizontal="center" wrapText="1"/>
    </xf>
    <xf numFmtId="14" fontId="10" fillId="10" borderId="12" xfId="0" applyNumberFormat="1" applyFont="1" applyFill="1" applyBorder="1" applyAlignment="1">
      <alignment horizontal="center" vertical="center"/>
    </xf>
    <xf numFmtId="0" fontId="7" fillId="26" borderId="1" xfId="3" applyFill="1" applyBorder="1" applyAlignment="1">
      <alignment horizontal="center" vertical="center" wrapText="1"/>
    </xf>
    <xf numFmtId="0" fontId="10" fillId="26" borderId="1" xfId="0" applyFont="1" applyFill="1" applyBorder="1" applyAlignment="1">
      <alignment horizontal="center" vertical="center" wrapText="1"/>
    </xf>
    <xf numFmtId="41" fontId="66" fillId="2" borderId="68" xfId="18" applyFont="1" applyFill="1" applyBorder="1" applyAlignment="1">
      <alignment horizontal="center" vertical="center" wrapText="1"/>
    </xf>
    <xf numFmtId="41" fontId="66" fillId="2" borderId="1" xfId="18" applyFont="1" applyFill="1" applyBorder="1" applyAlignment="1">
      <alignment horizontal="center" vertical="center" wrapText="1"/>
    </xf>
    <xf numFmtId="41" fontId="66" fillId="2" borderId="75" xfId="18" applyFont="1" applyFill="1" applyBorder="1" applyAlignment="1">
      <alignment horizontal="center" vertical="center" wrapText="1"/>
    </xf>
    <xf numFmtId="41" fontId="66" fillId="2" borderId="15" xfId="18" applyFont="1" applyFill="1" applyBorder="1" applyAlignment="1">
      <alignment horizontal="center" vertical="center" wrapText="1"/>
    </xf>
    <xf numFmtId="0" fontId="3" fillId="0" borderId="0" xfId="0" applyFont="1" applyAlignment="1">
      <alignment horizontal="center" vertical="center" wrapText="1"/>
    </xf>
    <xf numFmtId="0" fontId="66" fillId="2" borderId="67" xfId="21" applyFont="1" applyFill="1" applyBorder="1" applyAlignment="1">
      <alignment horizontal="center" vertical="center" wrapText="1"/>
    </xf>
    <xf numFmtId="0" fontId="66" fillId="2" borderId="51" xfId="21" applyFont="1" applyFill="1" applyBorder="1" applyAlignment="1">
      <alignment horizontal="center" vertical="center" wrapText="1"/>
    </xf>
    <xf numFmtId="0" fontId="66" fillId="2" borderId="68" xfId="21" applyFont="1" applyFill="1" applyBorder="1" applyAlignment="1">
      <alignment horizontal="center" vertical="center" wrapText="1"/>
    </xf>
    <xf numFmtId="0" fontId="66" fillId="2" borderId="1" xfId="21" applyFont="1" applyFill="1" applyBorder="1" applyAlignment="1">
      <alignment horizontal="center" vertical="center" wrapText="1"/>
    </xf>
    <xf numFmtId="0" fontId="66" fillId="2" borderId="75" xfId="21" applyFont="1" applyFill="1" applyBorder="1" applyAlignment="1">
      <alignment horizontal="center" vertical="center" wrapText="1"/>
    </xf>
    <xf numFmtId="0" fontId="66" fillId="2" borderId="15" xfId="21" applyFont="1" applyFill="1" applyBorder="1" applyAlignment="1">
      <alignment horizontal="center" vertical="center" wrapText="1"/>
    </xf>
    <xf numFmtId="0" fontId="66" fillId="2" borderId="12" xfId="21" applyFont="1" applyFill="1" applyBorder="1" applyAlignment="1">
      <alignment horizontal="center" vertical="center" wrapText="1"/>
    </xf>
    <xf numFmtId="0" fontId="66" fillId="2" borderId="13" xfId="21" applyFont="1" applyFill="1" applyBorder="1" applyAlignment="1">
      <alignment horizontal="center" vertical="center" wrapText="1"/>
    </xf>
    <xf numFmtId="0" fontId="66" fillId="2" borderId="86" xfId="21" applyFont="1" applyFill="1" applyBorder="1" applyAlignment="1">
      <alignment horizontal="center" vertical="center" wrapText="1"/>
    </xf>
    <xf numFmtId="0" fontId="41" fillId="0" borderId="62" xfId="0" applyFont="1" applyBorder="1" applyAlignment="1">
      <alignment horizontal="justify" vertical="center"/>
    </xf>
    <xf numFmtId="0" fontId="41" fillId="0" borderId="63" xfId="0" applyFont="1" applyBorder="1" applyAlignment="1">
      <alignment horizontal="justify" vertical="center"/>
    </xf>
    <xf numFmtId="0" fontId="41" fillId="0" borderId="73" xfId="0" applyFont="1" applyBorder="1" applyAlignment="1">
      <alignment horizontal="justify" vertical="center"/>
    </xf>
    <xf numFmtId="0" fontId="10" fillId="0" borderId="1" xfId="0" applyFont="1" applyBorder="1" applyAlignment="1">
      <alignment horizontal="center" vertical="center"/>
    </xf>
    <xf numFmtId="10" fontId="10" fillId="0" borderId="1" xfId="2" applyNumberFormat="1" applyFont="1" applyBorder="1" applyAlignment="1">
      <alignment horizontal="center" vertical="center"/>
    </xf>
    <xf numFmtId="0" fontId="12" fillId="16" borderId="12" xfId="0" applyFont="1" applyFill="1" applyBorder="1" applyAlignment="1">
      <alignment horizontal="center" vertical="center"/>
    </xf>
    <xf numFmtId="0" fontId="12" fillId="16" borderId="13" xfId="0" applyFont="1" applyFill="1" applyBorder="1" applyAlignment="1">
      <alignment horizontal="center" vertical="center"/>
    </xf>
    <xf numFmtId="0" fontId="12" fillId="16" borderId="11" xfId="0" applyFont="1" applyFill="1" applyBorder="1" applyAlignment="1">
      <alignment horizontal="center" vertical="center"/>
    </xf>
    <xf numFmtId="0" fontId="10" fillId="0" borderId="1" xfId="0" applyFont="1" applyBorder="1" applyAlignment="1">
      <alignment horizontal="center" vertical="center" wrapText="1"/>
    </xf>
    <xf numFmtId="10" fontId="10" fillId="0" borderId="1" xfId="2" applyNumberFormat="1" applyFont="1" applyBorder="1" applyAlignment="1">
      <alignment horizontal="center" vertical="center" wrapText="1"/>
    </xf>
    <xf numFmtId="170" fontId="10" fillId="0" borderId="1" xfId="2" applyNumberFormat="1" applyFont="1" applyBorder="1" applyAlignment="1">
      <alignment horizontal="center" vertical="center" wrapText="1"/>
    </xf>
    <xf numFmtId="0" fontId="73" fillId="13" borderId="1" xfId="0" applyFont="1" applyFill="1" applyBorder="1" applyAlignment="1">
      <alignment horizontal="center"/>
    </xf>
    <xf numFmtId="0" fontId="1" fillId="59" borderId="12" xfId="0" applyFont="1" applyFill="1" applyBorder="1" applyAlignment="1">
      <alignment horizontal="center"/>
    </xf>
    <xf numFmtId="0" fontId="1" fillId="59" borderId="11" xfId="0" applyFont="1" applyFill="1" applyBorder="1" applyAlignment="1">
      <alignment horizontal="center"/>
    </xf>
    <xf numFmtId="0" fontId="0" fillId="46" borderId="12" xfId="0" applyFill="1" applyBorder="1" applyAlignment="1">
      <alignment horizontal="center"/>
    </xf>
    <xf numFmtId="0" fontId="1" fillId="46" borderId="11" xfId="0" applyFont="1" applyFill="1" applyBorder="1" applyAlignment="1">
      <alignment horizontal="center"/>
    </xf>
    <xf numFmtId="0" fontId="0" fillId="46" borderId="11" xfId="0" applyFill="1" applyBorder="1" applyAlignment="1">
      <alignment horizontal="center"/>
    </xf>
    <xf numFmtId="0" fontId="73" fillId="48" borderId="12" xfId="0" applyFont="1" applyFill="1" applyBorder="1" applyAlignment="1">
      <alignment horizontal="center"/>
    </xf>
    <xf numFmtId="0" fontId="73" fillId="48" borderId="11" xfId="0" applyFont="1" applyFill="1" applyBorder="1" applyAlignment="1">
      <alignment horizontal="center"/>
    </xf>
    <xf numFmtId="0" fontId="73" fillId="0" borderId="92" xfId="0" applyFont="1" applyBorder="1" applyAlignment="1">
      <alignment horizontal="left" vertical="top" wrapText="1"/>
    </xf>
    <xf numFmtId="0" fontId="0" fillId="0" borderId="92" xfId="0" applyBorder="1" applyAlignment="1">
      <alignment horizontal="left" vertical="top" wrapText="1"/>
    </xf>
    <xf numFmtId="0" fontId="73" fillId="14" borderId="1" xfId="0" applyFont="1" applyFill="1" applyBorder="1" applyAlignment="1">
      <alignment horizontal="center"/>
    </xf>
    <xf numFmtId="0" fontId="1" fillId="46" borderId="12" xfId="0" applyFont="1" applyFill="1" applyBorder="1" applyAlignment="1">
      <alignment horizontal="center"/>
    </xf>
    <xf numFmtId="0" fontId="77" fillId="55" borderId="92" xfId="0" applyFont="1" applyFill="1" applyBorder="1" applyAlignment="1">
      <alignment horizontal="center" vertical="center" wrapText="1"/>
    </xf>
    <xf numFmtId="0" fontId="33" fillId="0" borderId="92" xfId="0" applyFont="1" applyBorder="1"/>
    <xf numFmtId="0" fontId="62" fillId="4" borderId="92" xfId="0" applyFont="1" applyFill="1" applyBorder="1" applyAlignment="1">
      <alignment horizontal="center" vertical="center" wrapText="1"/>
    </xf>
    <xf numFmtId="0" fontId="78" fillId="13" borderId="92" xfId="0" applyFont="1" applyFill="1" applyBorder="1" applyAlignment="1">
      <alignment vertical="center" wrapText="1"/>
    </xf>
    <xf numFmtId="176" fontId="2" fillId="13" borderId="92" xfId="0" applyNumberFormat="1" applyFont="1" applyFill="1" applyBorder="1" applyAlignment="1">
      <alignment horizontal="center" vertical="center" wrapText="1"/>
    </xf>
    <xf numFmtId="176" fontId="33" fillId="13" borderId="92" xfId="0" applyNumberFormat="1" applyFont="1" applyFill="1" applyBorder="1"/>
    <xf numFmtId="177" fontId="79" fillId="13" borderId="92" xfId="0" applyNumberFormat="1" applyFont="1" applyFill="1" applyBorder="1" applyAlignment="1">
      <alignment horizontal="center" vertical="center" wrapText="1"/>
    </xf>
    <xf numFmtId="0" fontId="33" fillId="13" borderId="92" xfId="0" applyFont="1" applyFill="1" applyBorder="1"/>
    <xf numFmtId="0" fontId="76" fillId="57" borderId="92" xfId="0" applyFont="1" applyFill="1" applyBorder="1" applyAlignment="1">
      <alignment horizontal="center" vertical="center" wrapText="1"/>
    </xf>
    <xf numFmtId="0" fontId="73" fillId="17" borderId="91" xfId="0" applyFont="1" applyFill="1" applyBorder="1" applyAlignment="1">
      <alignment horizontal="center" vertical="center" wrapText="1"/>
    </xf>
    <xf numFmtId="0" fontId="76" fillId="55" borderId="92" xfId="0" applyFont="1" applyFill="1" applyBorder="1" applyAlignment="1">
      <alignment horizontal="center" vertical="center" wrapText="1"/>
    </xf>
    <xf numFmtId="0" fontId="74" fillId="10" borderId="1" xfId="3" applyFont="1" applyFill="1" applyBorder="1" applyAlignment="1">
      <alignment horizontal="center" vertical="center" wrapText="1"/>
    </xf>
    <xf numFmtId="0" fontId="62" fillId="6" borderId="1" xfId="0" applyFont="1" applyFill="1" applyBorder="1" applyAlignment="1">
      <alignment horizontal="center" vertical="center"/>
    </xf>
    <xf numFmtId="0" fontId="10" fillId="0" borderId="12" xfId="0" applyFont="1" applyBorder="1" applyAlignment="1">
      <alignment horizontal="center" vertical="center"/>
    </xf>
    <xf numFmtId="0" fontId="10" fillId="0" borderId="13" xfId="0" applyFont="1" applyBorder="1" applyAlignment="1">
      <alignment horizontal="center" vertical="center"/>
    </xf>
    <xf numFmtId="0" fontId="10" fillId="0" borderId="11" xfId="0" applyFont="1" applyBorder="1" applyAlignment="1">
      <alignment horizontal="center" vertical="center"/>
    </xf>
    <xf numFmtId="0" fontId="6" fillId="47" borderId="27" xfId="0" applyFont="1" applyFill="1" applyBorder="1" applyAlignment="1">
      <alignment horizontal="center" vertical="center"/>
    </xf>
    <xf numFmtId="0" fontId="14" fillId="16" borderId="12" xfId="0" applyFont="1" applyFill="1" applyBorder="1" applyAlignment="1">
      <alignment horizontal="center" vertical="center" wrapText="1"/>
    </xf>
    <xf numFmtId="0" fontId="14" fillId="16" borderId="13" xfId="0" applyFont="1" applyFill="1" applyBorder="1" applyAlignment="1">
      <alignment horizontal="center" vertical="center" wrapText="1"/>
    </xf>
    <xf numFmtId="0" fontId="14" fillId="16" borderId="11" xfId="0" applyFont="1" applyFill="1" applyBorder="1" applyAlignment="1">
      <alignment horizontal="center" vertical="center" wrapText="1"/>
    </xf>
    <xf numFmtId="0" fontId="14" fillId="0" borderId="14" xfId="0" applyFont="1" applyBorder="1" applyAlignment="1">
      <alignment horizontal="center" vertical="center"/>
    </xf>
    <xf numFmtId="0" fontId="14" fillId="0" borderId="22" xfId="0" applyFont="1" applyBorder="1" applyAlignment="1">
      <alignment horizontal="center" vertical="center"/>
    </xf>
    <xf numFmtId="0" fontId="14" fillId="0" borderId="15" xfId="0" applyFont="1" applyBorder="1" applyAlignment="1">
      <alignment horizontal="center" vertical="center"/>
    </xf>
    <xf numFmtId="0" fontId="6" fillId="0" borderId="34" xfId="0" applyFont="1" applyBorder="1" applyAlignment="1">
      <alignment horizontal="center" vertical="center" wrapText="1"/>
    </xf>
    <xf numFmtId="0" fontId="6" fillId="41" borderId="27" xfId="0" applyFont="1" applyFill="1" applyBorder="1" applyAlignment="1">
      <alignment horizontal="center" wrapText="1"/>
    </xf>
    <xf numFmtId="0" fontId="14" fillId="0" borderId="2" xfId="4" applyFont="1" applyBorder="1" applyAlignment="1">
      <alignment horizontal="right" vertical="center" wrapText="1"/>
    </xf>
    <xf numFmtId="0" fontId="14" fillId="0" borderId="2" xfId="5" applyFont="1" applyBorder="1" applyAlignment="1">
      <alignment horizontal="left" vertical="center" wrapText="1"/>
    </xf>
    <xf numFmtId="0" fontId="15" fillId="0" borderId="2" xfId="5" applyFont="1" applyBorder="1" applyAlignment="1">
      <alignment horizontal="left" vertical="center" wrapText="1"/>
    </xf>
    <xf numFmtId="0" fontId="16" fillId="0" borderId="8" xfId="4" applyFont="1" applyBorder="1" applyAlignment="1">
      <alignment horizontal="left" vertical="center"/>
    </xf>
    <xf numFmtId="0" fontId="16" fillId="0" borderId="2" xfId="4" applyFont="1" applyBorder="1" applyAlignment="1">
      <alignment horizontal="left" vertical="center"/>
    </xf>
    <xf numFmtId="0" fontId="9" fillId="0" borderId="19" xfId="4" applyFont="1" applyBorder="1" applyAlignment="1">
      <alignment horizontal="center" vertical="top" wrapText="1"/>
    </xf>
    <xf numFmtId="0" fontId="9" fillId="0" borderId="24" xfId="4" applyFont="1" applyBorder="1" applyAlignment="1">
      <alignment horizontal="center" vertical="top" wrapText="1"/>
    </xf>
    <xf numFmtId="0" fontId="9" fillId="0" borderId="16" xfId="4" applyFont="1" applyBorder="1" applyAlignment="1">
      <alignment horizontal="center" vertical="top" wrapText="1"/>
    </xf>
    <xf numFmtId="0" fontId="9" fillId="0" borderId="21" xfId="4" applyFont="1" applyBorder="1" applyAlignment="1">
      <alignment horizontal="center" vertical="top" wrapText="1"/>
    </xf>
    <xf numFmtId="0" fontId="9" fillId="0" borderId="0" xfId="4" applyFont="1" applyAlignment="1">
      <alignment horizontal="center" vertical="top" wrapText="1"/>
    </xf>
    <xf numFmtId="0" fontId="9" fillId="0" borderId="25" xfId="4" applyFont="1" applyBorder="1" applyAlignment="1">
      <alignment horizontal="center" vertical="top" wrapText="1"/>
    </xf>
    <xf numFmtId="0" fontId="9" fillId="0" borderId="20" xfId="4" applyFont="1" applyBorder="1" applyAlignment="1">
      <alignment horizontal="center" vertical="top" wrapText="1"/>
    </xf>
    <xf numFmtId="0" fontId="9" fillId="0" borderId="17" xfId="4" applyFont="1" applyBorder="1" applyAlignment="1">
      <alignment horizontal="center" vertical="top" wrapText="1"/>
    </xf>
    <xf numFmtId="0" fontId="9" fillId="0" borderId="18" xfId="4" applyFont="1" applyBorder="1" applyAlignment="1">
      <alignment horizontal="center" vertical="top" wrapText="1"/>
    </xf>
    <xf numFmtId="0" fontId="9" fillId="0" borderId="7" xfId="4" applyFont="1" applyBorder="1" applyAlignment="1">
      <alignment horizontal="center" vertical="center"/>
    </xf>
    <xf numFmtId="0" fontId="9" fillId="0" borderId="7" xfId="4" applyFont="1" applyBorder="1" applyAlignment="1">
      <alignment horizontal="justify" vertical="center" wrapText="1"/>
    </xf>
    <xf numFmtId="49" fontId="10" fillId="38" borderId="45" xfId="4" applyNumberFormat="1" applyFont="1" applyFill="1" applyBorder="1" applyAlignment="1" applyProtection="1">
      <alignment horizontal="center" vertical="center" wrapText="1"/>
      <protection locked="0"/>
    </xf>
    <xf numFmtId="49" fontId="10" fillId="38" borderId="46" xfId="4" applyNumberFormat="1" applyFont="1" applyFill="1" applyBorder="1" applyAlignment="1" applyProtection="1">
      <alignment horizontal="center" vertical="center" wrapText="1"/>
      <protection locked="0"/>
    </xf>
    <xf numFmtId="49" fontId="7" fillId="38" borderId="4" xfId="3" applyNumberFormat="1" applyFill="1" applyBorder="1" applyAlignment="1" applyProtection="1">
      <alignment horizontal="center" vertical="center" wrapText="1"/>
      <protection locked="0"/>
    </xf>
    <xf numFmtId="49" fontId="7" fillId="38" borderId="6" xfId="3" applyNumberFormat="1" applyFill="1" applyBorder="1" applyAlignment="1" applyProtection="1">
      <alignment horizontal="center" vertical="center" wrapText="1"/>
      <protection locked="0"/>
    </xf>
    <xf numFmtId="0" fontId="12" fillId="0" borderId="7" xfId="4" applyFont="1" applyBorder="1" applyAlignment="1">
      <alignment horizontal="center" vertical="center"/>
    </xf>
    <xf numFmtId="0" fontId="39" fillId="0" borderId="47" xfId="4" applyFont="1" applyBorder="1" applyAlignment="1">
      <alignment horizontal="left" vertical="center" wrapText="1"/>
    </xf>
    <xf numFmtId="0" fontId="39" fillId="0" borderId="48" xfId="4" applyFont="1" applyBorder="1" applyAlignment="1">
      <alignment horizontal="left" vertical="center" wrapText="1"/>
    </xf>
    <xf numFmtId="0" fontId="39" fillId="0" borderId="49" xfId="4" applyFont="1" applyBorder="1" applyAlignment="1">
      <alignment horizontal="left" vertical="center" wrapText="1"/>
    </xf>
    <xf numFmtId="0" fontId="12" fillId="0" borderId="21" xfId="4" applyFont="1" applyBorder="1" applyAlignment="1">
      <alignment horizontal="right" vertical="center"/>
    </xf>
    <xf numFmtId="0" fontId="12" fillId="0" borderId="0" xfId="4" applyFont="1" applyAlignment="1">
      <alignment horizontal="right" vertical="center"/>
    </xf>
    <xf numFmtId="0" fontId="12" fillId="0" borderId="25" xfId="4" applyFont="1" applyBorder="1" applyAlignment="1">
      <alignment horizontal="right" vertical="center"/>
    </xf>
    <xf numFmtId="0" fontId="16" fillId="0" borderId="7" xfId="4" applyFont="1" applyBorder="1" applyAlignment="1">
      <alignment horizontal="left" vertical="center"/>
    </xf>
    <xf numFmtId="0" fontId="14" fillId="16" borderId="43" xfId="17" applyFont="1" applyFill="1" applyBorder="1" applyAlignment="1">
      <alignment horizontal="center" vertical="center"/>
    </xf>
    <xf numFmtId="0" fontId="14" fillId="16" borderId="53" xfId="17" applyFont="1" applyFill="1" applyBorder="1" applyAlignment="1">
      <alignment horizontal="center" vertical="center"/>
    </xf>
    <xf numFmtId="0" fontId="14" fillId="16" borderId="54" xfId="17" applyFont="1" applyFill="1" applyBorder="1" applyAlignment="1">
      <alignment horizontal="center" vertical="center"/>
    </xf>
    <xf numFmtId="0" fontId="12" fillId="17" borderId="2" xfId="0" applyFont="1" applyFill="1" applyBorder="1" applyAlignment="1">
      <alignment horizontal="center" vertical="center"/>
    </xf>
    <xf numFmtId="0" fontId="12" fillId="46" borderId="2" xfId="0" applyFont="1" applyFill="1" applyBorder="1" applyAlignment="1">
      <alignment horizontal="center" vertical="center"/>
    </xf>
    <xf numFmtId="0" fontId="12" fillId="16" borderId="43" xfId="17" applyFont="1" applyFill="1" applyBorder="1" applyAlignment="1">
      <alignment horizontal="center" vertical="center"/>
    </xf>
    <xf numFmtId="0" fontId="12" fillId="16" borderId="53" xfId="17" applyFont="1" applyFill="1" applyBorder="1" applyAlignment="1">
      <alignment horizontal="center" vertical="center"/>
    </xf>
    <xf numFmtId="171" fontId="12" fillId="5" borderId="53" xfId="17" applyNumberFormat="1" applyFont="1" applyFill="1" applyBorder="1" applyAlignment="1">
      <alignment horizontal="center" vertical="center"/>
    </xf>
    <xf numFmtId="171" fontId="12" fillId="5" borderId="54" xfId="17" applyNumberFormat="1" applyFont="1" applyFill="1" applyBorder="1" applyAlignment="1">
      <alignment horizontal="center" vertical="center"/>
    </xf>
    <xf numFmtId="0" fontId="3" fillId="0" borderId="34" xfId="0" applyFont="1" applyBorder="1" applyAlignment="1">
      <alignment vertical="center" wrapText="1"/>
    </xf>
    <xf numFmtId="0" fontId="6" fillId="41" borderId="27" xfId="0" applyFont="1" applyFill="1" applyBorder="1" applyAlignment="1">
      <alignment horizontal="center" vertical="center" wrapText="1"/>
    </xf>
    <xf numFmtId="0" fontId="6" fillId="41" borderId="27" xfId="0" applyFont="1" applyFill="1" applyBorder="1" applyAlignment="1">
      <alignment horizontal="center" vertical="center"/>
    </xf>
    <xf numFmtId="173" fontId="6" fillId="0" borderId="34" xfId="0" applyNumberFormat="1" applyFont="1" applyBorder="1" applyAlignment="1">
      <alignment horizontal="center" vertical="center" wrapText="1"/>
    </xf>
    <xf numFmtId="0" fontId="6" fillId="0" borderId="27" xfId="0" applyFont="1" applyBorder="1" applyAlignment="1">
      <alignment horizontal="center" vertical="center"/>
    </xf>
    <xf numFmtId="0" fontId="6" fillId="0" borderId="27" xfId="0" applyFont="1" applyBorder="1" applyAlignment="1">
      <alignment horizontal="center" wrapText="1"/>
    </xf>
    <xf numFmtId="0" fontId="3" fillId="0" borderId="37" xfId="0" applyFont="1" applyBorder="1" applyAlignment="1">
      <alignment horizontal="center" vertical="center" wrapText="1"/>
    </xf>
    <xf numFmtId="0" fontId="45" fillId="0" borderId="38" xfId="0" applyFont="1" applyBorder="1"/>
    <xf numFmtId="0" fontId="45" fillId="0" borderId="40" xfId="0" applyFont="1" applyBorder="1"/>
    <xf numFmtId="0" fontId="11" fillId="43" borderId="61" xfId="0" applyFont="1" applyFill="1" applyBorder="1" applyAlignment="1">
      <alignment horizontal="center" vertical="center" wrapText="1"/>
    </xf>
    <xf numFmtId="0" fontId="11" fillId="43" borderId="73" xfId="0" applyFont="1" applyFill="1" applyBorder="1" applyAlignment="1">
      <alignment horizontal="center" vertical="center" wrapText="1"/>
    </xf>
    <xf numFmtId="0" fontId="27" fillId="0" borderId="62" xfId="0" applyFont="1" applyBorder="1" applyAlignment="1">
      <alignment horizontal="center" vertical="center" wrapText="1"/>
    </xf>
    <xf numFmtId="0" fontId="27" fillId="0" borderId="63" xfId="0" applyFont="1" applyBorder="1" applyAlignment="1">
      <alignment horizontal="center" vertical="center" wrapText="1"/>
    </xf>
    <xf numFmtId="0" fontId="27" fillId="0" borderId="64" xfId="0" applyFont="1" applyBorder="1" applyAlignment="1">
      <alignment horizontal="center" vertical="center" wrapText="1"/>
    </xf>
    <xf numFmtId="0" fontId="0" fillId="0" borderId="67" xfId="0" applyBorder="1" applyAlignment="1">
      <alignment horizontal="center"/>
    </xf>
    <xf numFmtId="0" fontId="0" fillId="0" borderId="68" xfId="0" applyBorder="1" applyAlignment="1">
      <alignment horizontal="center"/>
    </xf>
    <xf numFmtId="0" fontId="0" fillId="0" borderId="51" xfId="0" applyBorder="1" applyAlignment="1">
      <alignment horizontal="center"/>
    </xf>
    <xf numFmtId="0" fontId="0" fillId="0" borderId="1" xfId="0" applyBorder="1" applyAlignment="1">
      <alignment horizontal="center"/>
    </xf>
    <xf numFmtId="0" fontId="0" fillId="0" borderId="70" xfId="0" applyBorder="1" applyAlignment="1">
      <alignment horizontal="center"/>
    </xf>
    <xf numFmtId="0" fontId="0" fillId="0" borderId="71" xfId="0" applyBorder="1" applyAlignment="1">
      <alignment horizontal="center"/>
    </xf>
    <xf numFmtId="0" fontId="27" fillId="0" borderId="74" xfId="0" applyFont="1" applyBorder="1" applyAlignment="1">
      <alignment horizontal="center" vertical="center" wrapText="1"/>
    </xf>
    <xf numFmtId="0" fontId="27" fillId="0" borderId="44" xfId="0" applyFont="1" applyBorder="1" applyAlignment="1">
      <alignment horizontal="center" vertical="center" wrapText="1"/>
    </xf>
    <xf numFmtId="167" fontId="27" fillId="0" borderId="76" xfId="0" applyNumberFormat="1" applyFont="1" applyBorder="1" applyAlignment="1">
      <alignment horizontal="center" vertical="center"/>
    </xf>
    <xf numFmtId="167" fontId="27" fillId="0" borderId="66" xfId="0" applyNumberFormat="1" applyFont="1" applyBorder="1" applyAlignment="1">
      <alignment horizontal="center" vertical="center"/>
    </xf>
    <xf numFmtId="0" fontId="27" fillId="0" borderId="67" xfId="0" applyFont="1" applyBorder="1" applyAlignment="1">
      <alignment horizontal="center" wrapText="1"/>
    </xf>
    <xf numFmtId="0" fontId="27" fillId="0" borderId="70" xfId="0" applyFont="1" applyBorder="1" applyAlignment="1">
      <alignment horizontal="center" wrapText="1"/>
    </xf>
    <xf numFmtId="167" fontId="27" fillId="0" borderId="76" xfId="8" applyNumberFormat="1" applyFont="1" applyFill="1" applyBorder="1" applyAlignment="1">
      <alignment horizontal="center" vertical="center" wrapText="1"/>
    </xf>
    <xf numFmtId="167" fontId="27" fillId="0" borderId="66" xfId="8" applyNumberFormat="1" applyFont="1" applyFill="1" applyBorder="1" applyAlignment="1">
      <alignment horizontal="center" vertical="center" wrapText="1"/>
    </xf>
    <xf numFmtId="0" fontId="27" fillId="0" borderId="67" xfId="0" applyFont="1" applyBorder="1" applyAlignment="1">
      <alignment horizontal="center" vertical="center" wrapText="1"/>
    </xf>
    <xf numFmtId="0" fontId="27" fillId="0" borderId="52" xfId="0" applyFont="1" applyBorder="1" applyAlignment="1">
      <alignment horizontal="center" vertical="center" wrapText="1"/>
    </xf>
    <xf numFmtId="167" fontId="27" fillId="0" borderId="69" xfId="8" applyNumberFormat="1" applyFont="1" applyFill="1" applyBorder="1" applyAlignment="1">
      <alignment horizontal="center" vertical="center" wrapText="1"/>
    </xf>
    <xf numFmtId="167" fontId="27" fillId="0" borderId="65" xfId="8" applyNumberFormat="1" applyFont="1" applyFill="1" applyBorder="1" applyAlignment="1">
      <alignment horizontal="center" vertical="center" wrapText="1"/>
    </xf>
    <xf numFmtId="167" fontId="27" fillId="0" borderId="77" xfId="8" applyNumberFormat="1" applyFont="1" applyFill="1" applyBorder="1" applyAlignment="1">
      <alignment horizontal="center" vertical="center" wrapText="1"/>
    </xf>
    <xf numFmtId="0" fontId="17" fillId="20" borderId="1" xfId="0" applyFont="1" applyFill="1" applyBorder="1" applyAlignment="1">
      <alignment horizontal="center" vertical="center" wrapText="1"/>
    </xf>
    <xf numFmtId="0" fontId="12" fillId="14" borderId="1" xfId="0" applyFont="1" applyFill="1" applyBorder="1" applyAlignment="1">
      <alignment horizontal="center" vertical="center" wrapText="1"/>
    </xf>
    <xf numFmtId="0" fontId="17" fillId="21" borderId="1" xfId="0" applyFont="1" applyFill="1" applyBorder="1" applyAlignment="1">
      <alignment horizontal="center" vertical="center" wrapText="1"/>
    </xf>
    <xf numFmtId="0" fontId="12" fillId="0" borderId="0" xfId="0" applyFont="1" applyAlignment="1">
      <alignment horizontal="center" vertical="center"/>
    </xf>
    <xf numFmtId="0" fontId="18" fillId="0" borderId="0" xfId="3" applyFont="1" applyFill="1" applyBorder="1" applyAlignment="1">
      <alignment horizontal="center" vertical="center" wrapText="1"/>
    </xf>
  </cellXfs>
  <cellStyles count="23">
    <cellStyle name="Hipervínculo" xfId="3" builtinId="8"/>
    <cellStyle name="Millares" xfId="9" builtinId="3"/>
    <cellStyle name="Millares [0]" xfId="18" builtinId="6"/>
    <cellStyle name="Millares [0] 2" xfId="14" xr:uid="{61C3DE9F-ED0F-4131-A52D-FD0F39300E29}"/>
    <cellStyle name="Millares [0] 2 2" xfId="19" xr:uid="{6D9DD2E9-2898-4E75-9204-4CAE9F02CD79}"/>
    <cellStyle name="Millares 2" xfId="12" xr:uid="{FCC86366-3863-4C99-BAB3-B990AE0B9D9E}"/>
    <cellStyle name="Millares 3" xfId="13" xr:uid="{F1185992-AF7F-4652-88CB-A99A595FE7B9}"/>
    <cellStyle name="Millares 9" xfId="20" xr:uid="{C1B64ACE-38CD-4868-A2E3-F424A7B7FB13}"/>
    <cellStyle name="Moneda" xfId="8" builtinId="4"/>
    <cellStyle name="Moneda 2" xfId="11" xr:uid="{002B699A-D6E2-4C23-8E73-6CC456DA2EC9}"/>
    <cellStyle name="Moneda 2 2" xfId="7" xr:uid="{48CDB748-9762-4F99-92D5-0D364B692EA5}"/>
    <cellStyle name="Moneda 2 2 2" xfId="10" xr:uid="{1AC85410-AD03-4A79-B897-D14E4392D896}"/>
    <cellStyle name="Moneda 2 2 3" xfId="16" xr:uid="{A7F46330-BFA3-457F-8F28-9D4AE3D649F6}"/>
    <cellStyle name="Moneda 3" xfId="15" xr:uid="{CE1850EC-36ED-4F26-B900-E6BBC67FBC93}"/>
    <cellStyle name="Normal" xfId="0" builtinId="0"/>
    <cellStyle name="Normal 12" xfId="21" xr:uid="{61450D3C-9116-419E-9E1E-646B63C02BFB}"/>
    <cellStyle name="Normal 2" xfId="4" xr:uid="{FACE45E9-3015-4CB6-9E6A-08224CFD452C}"/>
    <cellStyle name="Normal 2 2" xfId="5" xr:uid="{6DC459C9-A11C-4B19-948C-5C95CD7FA489}"/>
    <cellStyle name="Normal 2 3" xfId="17" xr:uid="{C51BB716-1AF6-4770-9472-8397D59C7F5F}"/>
    <cellStyle name="Normal 3" xfId="22" xr:uid="{ED05D658-6C3B-4ACF-8438-1130CBE594A2}"/>
    <cellStyle name="Normal 6" xfId="1" xr:uid="{B15314F5-4F7E-4FEA-AB81-97B49DDC9923}"/>
    <cellStyle name="Porcentaje" xfId="2" builtinId="5"/>
    <cellStyle name="Porcentaje 2 3" xfId="6" xr:uid="{C8BE49E2-436F-4CBC-B9BD-332C71FCAB45}"/>
  </cellStyles>
  <dxfs count="3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6699"/>
      <color rgb="FFFFF2CC"/>
      <color rgb="FFF05930"/>
      <color rgb="FFD368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theme" Target="theme/theme1.xml"/><Relationship Id="rId55"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styles" Target="styles.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 Id="rId5" Type="http://schemas.openxmlformats.org/officeDocument/2006/relationships/image" Target="../media/image11.png"/><Relationship Id="rId4" Type="http://schemas.openxmlformats.org/officeDocument/2006/relationships/image" Target="../media/image10.png"/></Relationships>
</file>

<file path=xl/drawings/_rels/drawing3.xml.rels><?xml version="1.0" encoding="UTF-8" standalone="yes"?>
<Relationships xmlns="http://schemas.openxmlformats.org/package/2006/relationships"><Relationship Id="rId1" Type="http://schemas.openxmlformats.org/officeDocument/2006/relationships/image" Target="../media/image12.png"/></Relationships>
</file>

<file path=xl/drawings/_rels/drawing4.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_rels/drawing5.x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5.png"/></Relationships>
</file>

<file path=xl/drawings/_rels/drawing6.xml.rels><?xml version="1.0" encoding="UTF-8" standalone="yes"?>
<Relationships xmlns="http://schemas.openxmlformats.org/package/2006/relationships"><Relationship Id="rId8" Type="http://schemas.openxmlformats.org/officeDocument/2006/relationships/image" Target="../media/image24.png"/><Relationship Id="rId13" Type="http://schemas.openxmlformats.org/officeDocument/2006/relationships/image" Target="../media/image29.png"/><Relationship Id="rId18" Type="http://schemas.openxmlformats.org/officeDocument/2006/relationships/image" Target="../media/image34.png"/><Relationship Id="rId3" Type="http://schemas.openxmlformats.org/officeDocument/2006/relationships/image" Target="../media/image19.png"/><Relationship Id="rId21" Type="http://schemas.openxmlformats.org/officeDocument/2006/relationships/image" Target="../media/image37.png"/><Relationship Id="rId7" Type="http://schemas.openxmlformats.org/officeDocument/2006/relationships/image" Target="../media/image23.png"/><Relationship Id="rId12" Type="http://schemas.openxmlformats.org/officeDocument/2006/relationships/image" Target="../media/image28.png"/><Relationship Id="rId17" Type="http://schemas.openxmlformats.org/officeDocument/2006/relationships/image" Target="../media/image33.png"/><Relationship Id="rId25" Type="http://schemas.openxmlformats.org/officeDocument/2006/relationships/image" Target="../media/image41.png"/><Relationship Id="rId2" Type="http://schemas.openxmlformats.org/officeDocument/2006/relationships/image" Target="../media/image18.png"/><Relationship Id="rId16" Type="http://schemas.openxmlformats.org/officeDocument/2006/relationships/image" Target="../media/image32.png"/><Relationship Id="rId20" Type="http://schemas.openxmlformats.org/officeDocument/2006/relationships/image" Target="../media/image36.png"/><Relationship Id="rId1" Type="http://schemas.openxmlformats.org/officeDocument/2006/relationships/image" Target="../media/image17.png"/><Relationship Id="rId6" Type="http://schemas.openxmlformats.org/officeDocument/2006/relationships/image" Target="../media/image22.png"/><Relationship Id="rId11" Type="http://schemas.openxmlformats.org/officeDocument/2006/relationships/image" Target="../media/image27.png"/><Relationship Id="rId24" Type="http://schemas.openxmlformats.org/officeDocument/2006/relationships/image" Target="../media/image40.png"/><Relationship Id="rId5" Type="http://schemas.openxmlformats.org/officeDocument/2006/relationships/image" Target="../media/image21.png"/><Relationship Id="rId15" Type="http://schemas.openxmlformats.org/officeDocument/2006/relationships/image" Target="../media/image31.png"/><Relationship Id="rId23" Type="http://schemas.openxmlformats.org/officeDocument/2006/relationships/image" Target="../media/image39.png"/><Relationship Id="rId10" Type="http://schemas.openxmlformats.org/officeDocument/2006/relationships/image" Target="../media/image26.png"/><Relationship Id="rId19" Type="http://schemas.openxmlformats.org/officeDocument/2006/relationships/image" Target="../media/image35.png"/><Relationship Id="rId4" Type="http://schemas.openxmlformats.org/officeDocument/2006/relationships/image" Target="../media/image20.png"/><Relationship Id="rId9" Type="http://schemas.openxmlformats.org/officeDocument/2006/relationships/image" Target="../media/image25.png"/><Relationship Id="rId14" Type="http://schemas.openxmlformats.org/officeDocument/2006/relationships/image" Target="../media/image30.png"/><Relationship Id="rId22" Type="http://schemas.openxmlformats.org/officeDocument/2006/relationships/image" Target="../media/image38.png"/></Relationships>
</file>

<file path=xl/drawings/_rels/drawing7.xml.rels><?xml version="1.0" encoding="UTF-8" standalone="yes"?>
<Relationships xmlns="http://schemas.openxmlformats.org/package/2006/relationships"><Relationship Id="rId1" Type="http://schemas.openxmlformats.org/officeDocument/2006/relationships/image" Target="../media/image42.png"/></Relationships>
</file>

<file path=xl/drawings/_rels/drawing8.xml.rels><?xml version="1.0" encoding="UTF-8" standalone="yes"?>
<Relationships xmlns="http://schemas.openxmlformats.org/package/2006/relationships"><Relationship Id="rId3" Type="http://schemas.openxmlformats.org/officeDocument/2006/relationships/image" Target="../media/image45.png"/><Relationship Id="rId2" Type="http://schemas.openxmlformats.org/officeDocument/2006/relationships/image" Target="../media/image44.png"/><Relationship Id="rId1" Type="http://schemas.openxmlformats.org/officeDocument/2006/relationships/image" Target="../media/image43.png"/><Relationship Id="rId5" Type="http://schemas.openxmlformats.org/officeDocument/2006/relationships/image" Target="../media/image47.png"/><Relationship Id="rId4" Type="http://schemas.openxmlformats.org/officeDocument/2006/relationships/image" Target="../media/image46.png"/></Relationships>
</file>

<file path=xl/drawings/_rels/drawing9.xml.rels><?xml version="1.0" encoding="UTF-8" standalone="yes"?>
<Relationships xmlns="http://schemas.openxmlformats.org/package/2006/relationships"><Relationship Id="rId1" Type="http://schemas.openxmlformats.org/officeDocument/2006/relationships/image" Target="../media/image48.png"/></Relationships>
</file>

<file path=xl/drawings/_rels/drawing10.xml.rels><?xml version="1.0" encoding="UTF-8" standalone="yes"?>
<Relationships xmlns="http://schemas.openxmlformats.org/package/2006/relationships"><Relationship Id="rId8" Type="http://schemas.openxmlformats.org/officeDocument/2006/relationships/image" Target="../media/image56.png"/><Relationship Id="rId13" Type="http://schemas.openxmlformats.org/officeDocument/2006/relationships/image" Target="../media/image61.png"/><Relationship Id="rId3" Type="http://schemas.openxmlformats.org/officeDocument/2006/relationships/image" Target="../media/image51.png"/><Relationship Id="rId7" Type="http://schemas.openxmlformats.org/officeDocument/2006/relationships/image" Target="../media/image55.png"/><Relationship Id="rId12" Type="http://schemas.openxmlformats.org/officeDocument/2006/relationships/image" Target="../media/image60.png"/><Relationship Id="rId2" Type="http://schemas.openxmlformats.org/officeDocument/2006/relationships/image" Target="../media/image50.png"/><Relationship Id="rId16" Type="http://schemas.openxmlformats.org/officeDocument/2006/relationships/image" Target="../media/image64.png"/><Relationship Id="rId1" Type="http://schemas.openxmlformats.org/officeDocument/2006/relationships/image" Target="../media/image49.png"/><Relationship Id="rId6" Type="http://schemas.openxmlformats.org/officeDocument/2006/relationships/image" Target="../media/image54.png"/><Relationship Id="rId11" Type="http://schemas.openxmlformats.org/officeDocument/2006/relationships/image" Target="../media/image59.png"/><Relationship Id="rId5" Type="http://schemas.openxmlformats.org/officeDocument/2006/relationships/image" Target="../media/image53.png"/><Relationship Id="rId15" Type="http://schemas.openxmlformats.org/officeDocument/2006/relationships/image" Target="../media/image63.png"/><Relationship Id="rId10" Type="http://schemas.openxmlformats.org/officeDocument/2006/relationships/image" Target="../media/image58.png"/><Relationship Id="rId4" Type="http://schemas.openxmlformats.org/officeDocument/2006/relationships/image" Target="../media/image52.png"/><Relationship Id="rId9" Type="http://schemas.openxmlformats.org/officeDocument/2006/relationships/image" Target="../media/image57.png"/><Relationship Id="rId14" Type="http://schemas.openxmlformats.org/officeDocument/2006/relationships/image" Target="../media/image62.png"/></Relationships>
</file>

<file path=xl/drawings/_rels/drawing11.xml.rels><?xml version="1.0" encoding="UTF-8" standalone="yes"?>
<Relationships xmlns="http://schemas.openxmlformats.org/package/2006/relationships"><Relationship Id="rId8" Type="http://schemas.openxmlformats.org/officeDocument/2006/relationships/image" Target="../media/image72.png"/><Relationship Id="rId3" Type="http://schemas.openxmlformats.org/officeDocument/2006/relationships/image" Target="../media/image67.png"/><Relationship Id="rId7" Type="http://schemas.openxmlformats.org/officeDocument/2006/relationships/image" Target="../media/image71.png"/><Relationship Id="rId2" Type="http://schemas.openxmlformats.org/officeDocument/2006/relationships/image" Target="../media/image66.png"/><Relationship Id="rId1" Type="http://schemas.openxmlformats.org/officeDocument/2006/relationships/image" Target="../media/image65.png"/><Relationship Id="rId6" Type="http://schemas.openxmlformats.org/officeDocument/2006/relationships/image" Target="../media/image70.png"/><Relationship Id="rId5" Type="http://schemas.openxmlformats.org/officeDocument/2006/relationships/image" Target="../media/image69.png"/><Relationship Id="rId4" Type="http://schemas.openxmlformats.org/officeDocument/2006/relationships/image" Target="../media/image68.png"/></Relationships>
</file>

<file path=xl/drawings/_rels/drawing12.xml.rels><?xml version="1.0" encoding="UTF-8" standalone="yes"?>
<Relationships xmlns="http://schemas.openxmlformats.org/package/2006/relationships"><Relationship Id="rId3" Type="http://schemas.openxmlformats.org/officeDocument/2006/relationships/image" Target="../media/image74.png"/><Relationship Id="rId2" Type="http://schemas.openxmlformats.org/officeDocument/2006/relationships/image" Target="../media/image73.png"/><Relationship Id="rId1"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115956</xdr:rowOff>
    </xdr:from>
    <xdr:to>
      <xdr:col>8</xdr:col>
      <xdr:colOff>201741</xdr:colOff>
      <xdr:row>13</xdr:row>
      <xdr:rowOff>474902</xdr:rowOff>
    </xdr:to>
    <xdr:pic>
      <xdr:nvPicPr>
        <xdr:cNvPr id="2" name="Imagen 1">
          <a:extLst>
            <a:ext uri="{FF2B5EF4-FFF2-40B4-BE49-F238E27FC236}">
              <a16:creationId xmlns:a16="http://schemas.microsoft.com/office/drawing/2014/main" id="{3B5A4F47-378F-46C0-967F-02572D2770CF}"/>
            </a:ext>
          </a:extLst>
        </xdr:cNvPr>
        <xdr:cNvPicPr>
          <a:picLocks noChangeAspect="1"/>
        </xdr:cNvPicPr>
      </xdr:nvPicPr>
      <xdr:blipFill>
        <a:blip xmlns:r="http://schemas.openxmlformats.org/officeDocument/2006/relationships" r:embed="rId1"/>
        <a:stretch>
          <a:fillRect/>
        </a:stretch>
      </xdr:blipFill>
      <xdr:spPr>
        <a:xfrm>
          <a:off x="0" y="687456"/>
          <a:ext cx="6297741" cy="4149896"/>
        </a:xfrm>
        <a:prstGeom prst="rect">
          <a:avLst/>
        </a:prstGeom>
      </xdr:spPr>
    </xdr:pic>
    <xdr:clientData/>
  </xdr:twoCellAnchor>
  <xdr:twoCellAnchor editAs="oneCell">
    <xdr:from>
      <xdr:col>0</xdr:col>
      <xdr:colOff>49696</xdr:colOff>
      <xdr:row>13</xdr:row>
      <xdr:rowOff>459093</xdr:rowOff>
    </xdr:from>
    <xdr:to>
      <xdr:col>8</xdr:col>
      <xdr:colOff>201315</xdr:colOff>
      <xdr:row>24</xdr:row>
      <xdr:rowOff>26680</xdr:rowOff>
    </xdr:to>
    <xdr:pic>
      <xdr:nvPicPr>
        <xdr:cNvPr id="3" name="Imagen 2">
          <a:extLst>
            <a:ext uri="{FF2B5EF4-FFF2-40B4-BE49-F238E27FC236}">
              <a16:creationId xmlns:a16="http://schemas.microsoft.com/office/drawing/2014/main" id="{C8B36980-749A-46E6-A41F-70C75D96A1D9}"/>
            </a:ext>
          </a:extLst>
        </xdr:cNvPr>
        <xdr:cNvPicPr>
          <a:picLocks noChangeAspect="1"/>
        </xdr:cNvPicPr>
      </xdr:nvPicPr>
      <xdr:blipFill>
        <a:blip xmlns:r="http://schemas.openxmlformats.org/officeDocument/2006/relationships" r:embed="rId2"/>
        <a:stretch>
          <a:fillRect/>
        </a:stretch>
      </xdr:blipFill>
      <xdr:spPr>
        <a:xfrm>
          <a:off x="49696" y="4821543"/>
          <a:ext cx="6247619" cy="3797515"/>
        </a:xfrm>
        <a:prstGeom prst="rect">
          <a:avLst/>
        </a:prstGeom>
      </xdr:spPr>
    </xdr:pic>
    <xdr:clientData/>
  </xdr:twoCellAnchor>
  <xdr:twoCellAnchor editAs="oneCell">
    <xdr:from>
      <xdr:col>0</xdr:col>
      <xdr:colOff>390525</xdr:colOff>
      <xdr:row>25</xdr:row>
      <xdr:rowOff>9525</xdr:rowOff>
    </xdr:from>
    <xdr:to>
      <xdr:col>8</xdr:col>
      <xdr:colOff>351668</xdr:colOff>
      <xdr:row>36</xdr:row>
      <xdr:rowOff>56882</xdr:rowOff>
    </xdr:to>
    <xdr:pic>
      <xdr:nvPicPr>
        <xdr:cNvPr id="4" name="Imagen 3">
          <a:extLst>
            <a:ext uri="{FF2B5EF4-FFF2-40B4-BE49-F238E27FC236}">
              <a16:creationId xmlns:a16="http://schemas.microsoft.com/office/drawing/2014/main" id="{8B19B5E1-48B4-4A25-929E-BBDECF3BC7E3}"/>
            </a:ext>
          </a:extLst>
        </xdr:cNvPr>
        <xdr:cNvPicPr>
          <a:picLocks noChangeAspect="1"/>
        </xdr:cNvPicPr>
      </xdr:nvPicPr>
      <xdr:blipFill>
        <a:blip xmlns:r="http://schemas.openxmlformats.org/officeDocument/2006/relationships" r:embed="rId3"/>
        <a:stretch>
          <a:fillRect/>
        </a:stretch>
      </xdr:blipFill>
      <xdr:spPr>
        <a:xfrm>
          <a:off x="390525" y="8543925"/>
          <a:ext cx="6057143" cy="2142857"/>
        </a:xfrm>
        <a:prstGeom prst="rect">
          <a:avLst/>
        </a:prstGeom>
      </xdr:spPr>
    </xdr:pic>
    <xdr:clientData/>
  </xdr:twoCellAnchor>
  <xdr:twoCellAnchor editAs="oneCell">
    <xdr:from>
      <xdr:col>0</xdr:col>
      <xdr:colOff>561975</xdr:colOff>
      <xdr:row>37</xdr:row>
      <xdr:rowOff>114300</xdr:rowOff>
    </xdr:from>
    <xdr:to>
      <xdr:col>8</xdr:col>
      <xdr:colOff>94546</xdr:colOff>
      <xdr:row>46</xdr:row>
      <xdr:rowOff>95038</xdr:rowOff>
    </xdr:to>
    <xdr:pic>
      <xdr:nvPicPr>
        <xdr:cNvPr id="5" name="Imagen 4">
          <a:extLst>
            <a:ext uri="{FF2B5EF4-FFF2-40B4-BE49-F238E27FC236}">
              <a16:creationId xmlns:a16="http://schemas.microsoft.com/office/drawing/2014/main" id="{945AD40E-C971-498C-9183-0200B26E9ED7}"/>
            </a:ext>
          </a:extLst>
        </xdr:cNvPr>
        <xdr:cNvPicPr>
          <a:picLocks noChangeAspect="1"/>
        </xdr:cNvPicPr>
      </xdr:nvPicPr>
      <xdr:blipFill>
        <a:blip xmlns:r="http://schemas.openxmlformats.org/officeDocument/2006/relationships" r:embed="rId4"/>
        <a:stretch>
          <a:fillRect/>
        </a:stretch>
      </xdr:blipFill>
      <xdr:spPr>
        <a:xfrm>
          <a:off x="561975" y="11315700"/>
          <a:ext cx="5628571" cy="1695238"/>
        </a:xfrm>
        <a:prstGeom prst="rect">
          <a:avLst/>
        </a:prstGeom>
      </xdr:spPr>
    </xdr:pic>
    <xdr:clientData/>
  </xdr:twoCellAnchor>
  <xdr:twoCellAnchor editAs="oneCell">
    <xdr:from>
      <xdr:col>0</xdr:col>
      <xdr:colOff>447675</xdr:colOff>
      <xdr:row>47</xdr:row>
      <xdr:rowOff>38100</xdr:rowOff>
    </xdr:from>
    <xdr:to>
      <xdr:col>8</xdr:col>
      <xdr:colOff>218342</xdr:colOff>
      <xdr:row>65</xdr:row>
      <xdr:rowOff>190052</xdr:rowOff>
    </xdr:to>
    <xdr:pic>
      <xdr:nvPicPr>
        <xdr:cNvPr id="6" name="Imagen 5">
          <a:extLst>
            <a:ext uri="{FF2B5EF4-FFF2-40B4-BE49-F238E27FC236}">
              <a16:creationId xmlns:a16="http://schemas.microsoft.com/office/drawing/2014/main" id="{AF92B974-007A-4000-8AA5-B93801582850}"/>
            </a:ext>
          </a:extLst>
        </xdr:cNvPr>
        <xdr:cNvPicPr>
          <a:picLocks noChangeAspect="1"/>
        </xdr:cNvPicPr>
      </xdr:nvPicPr>
      <xdr:blipFill>
        <a:blip xmlns:r="http://schemas.openxmlformats.org/officeDocument/2006/relationships" r:embed="rId5"/>
        <a:stretch>
          <a:fillRect/>
        </a:stretch>
      </xdr:blipFill>
      <xdr:spPr>
        <a:xfrm>
          <a:off x="447675" y="13144500"/>
          <a:ext cx="5866667" cy="3580952"/>
        </a:xfrm>
        <a:prstGeom prst="rect">
          <a:avLst/>
        </a:prstGeom>
      </xdr:spPr>
    </xdr:pic>
    <xdr:clientData/>
  </xdr:twoCellAnchor>
  <xdr:twoCellAnchor editAs="oneCell">
    <xdr:from>
      <xdr:col>0</xdr:col>
      <xdr:colOff>523875</xdr:colOff>
      <xdr:row>66</xdr:row>
      <xdr:rowOff>76200</xdr:rowOff>
    </xdr:from>
    <xdr:to>
      <xdr:col>8</xdr:col>
      <xdr:colOff>389780</xdr:colOff>
      <xdr:row>91</xdr:row>
      <xdr:rowOff>113700</xdr:rowOff>
    </xdr:to>
    <xdr:pic>
      <xdr:nvPicPr>
        <xdr:cNvPr id="7" name="Imagen 6">
          <a:extLst>
            <a:ext uri="{FF2B5EF4-FFF2-40B4-BE49-F238E27FC236}">
              <a16:creationId xmlns:a16="http://schemas.microsoft.com/office/drawing/2014/main" id="{69440DF1-CD33-414F-BB20-B41091E36C8C}"/>
            </a:ext>
          </a:extLst>
        </xdr:cNvPr>
        <xdr:cNvPicPr>
          <a:picLocks noChangeAspect="1"/>
        </xdr:cNvPicPr>
      </xdr:nvPicPr>
      <xdr:blipFill>
        <a:blip xmlns:r="http://schemas.openxmlformats.org/officeDocument/2006/relationships" r:embed="rId6"/>
        <a:stretch>
          <a:fillRect/>
        </a:stretch>
      </xdr:blipFill>
      <xdr:spPr>
        <a:xfrm>
          <a:off x="523875" y="16802100"/>
          <a:ext cx="5961905" cy="480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47625</xdr:colOff>
      <xdr:row>7</xdr:row>
      <xdr:rowOff>104775</xdr:rowOff>
    </xdr:from>
    <xdr:to>
      <xdr:col>5</xdr:col>
      <xdr:colOff>600757</xdr:colOff>
      <xdr:row>35</xdr:row>
      <xdr:rowOff>136507</xdr:rowOff>
    </xdr:to>
    <xdr:pic>
      <xdr:nvPicPr>
        <xdr:cNvPr id="2" name="Imagen 1">
          <a:extLst>
            <a:ext uri="{FF2B5EF4-FFF2-40B4-BE49-F238E27FC236}">
              <a16:creationId xmlns:a16="http://schemas.microsoft.com/office/drawing/2014/main" id="{08FF5A4A-89F6-4C69-9C80-E6180FFD4E2D}"/>
            </a:ext>
          </a:extLst>
        </xdr:cNvPr>
        <xdr:cNvPicPr>
          <a:picLocks noChangeAspect="1"/>
        </xdr:cNvPicPr>
      </xdr:nvPicPr>
      <xdr:blipFill>
        <a:blip xmlns:r="http://schemas.openxmlformats.org/officeDocument/2006/relationships" r:embed="rId1"/>
        <a:stretch>
          <a:fillRect/>
        </a:stretch>
      </xdr:blipFill>
      <xdr:spPr>
        <a:xfrm>
          <a:off x="809625" y="1323975"/>
          <a:ext cx="4887007" cy="4858428"/>
        </a:xfrm>
        <a:prstGeom prst="rect">
          <a:avLst/>
        </a:prstGeom>
      </xdr:spPr>
    </xdr:pic>
    <xdr:clientData/>
  </xdr:twoCellAnchor>
  <xdr:twoCellAnchor editAs="oneCell">
    <xdr:from>
      <xdr:col>5</xdr:col>
      <xdr:colOff>367561</xdr:colOff>
      <xdr:row>8</xdr:row>
      <xdr:rowOff>8481</xdr:rowOff>
    </xdr:from>
    <xdr:to>
      <xdr:col>7</xdr:col>
      <xdr:colOff>1999378</xdr:colOff>
      <xdr:row>33</xdr:row>
      <xdr:rowOff>180551</xdr:rowOff>
    </xdr:to>
    <xdr:pic>
      <xdr:nvPicPr>
        <xdr:cNvPr id="3" name="Imagen 2">
          <a:extLst>
            <a:ext uri="{FF2B5EF4-FFF2-40B4-BE49-F238E27FC236}">
              <a16:creationId xmlns:a16="http://schemas.microsoft.com/office/drawing/2014/main" id="{BFADD34C-8F16-4517-BF45-5DE8BD35007B}"/>
            </a:ext>
          </a:extLst>
        </xdr:cNvPr>
        <xdr:cNvPicPr>
          <a:picLocks noChangeAspect="1"/>
        </xdr:cNvPicPr>
      </xdr:nvPicPr>
      <xdr:blipFill>
        <a:blip xmlns:r="http://schemas.openxmlformats.org/officeDocument/2006/relationships" r:embed="rId2"/>
        <a:stretch>
          <a:fillRect/>
        </a:stretch>
      </xdr:blipFill>
      <xdr:spPr>
        <a:xfrm>
          <a:off x="6568336" y="1923006"/>
          <a:ext cx="4975092" cy="4934570"/>
        </a:xfrm>
        <a:prstGeom prst="rect">
          <a:avLst/>
        </a:prstGeom>
      </xdr:spPr>
    </xdr:pic>
    <xdr:clientData/>
  </xdr:twoCellAnchor>
  <xdr:twoCellAnchor editAs="oneCell">
    <xdr:from>
      <xdr:col>2</xdr:col>
      <xdr:colOff>0</xdr:colOff>
      <xdr:row>39</xdr:row>
      <xdr:rowOff>0</xdr:rowOff>
    </xdr:from>
    <xdr:to>
      <xdr:col>5</xdr:col>
      <xdr:colOff>77606</xdr:colOff>
      <xdr:row>55</xdr:row>
      <xdr:rowOff>49445</xdr:rowOff>
    </xdr:to>
    <xdr:pic>
      <xdr:nvPicPr>
        <xdr:cNvPr id="4" name="Imagen 3">
          <a:extLst>
            <a:ext uri="{FF2B5EF4-FFF2-40B4-BE49-F238E27FC236}">
              <a16:creationId xmlns:a16="http://schemas.microsoft.com/office/drawing/2014/main" id="{BB9FD24D-417F-9F4E-6BFA-71350E3AEAAD}"/>
            </a:ext>
          </a:extLst>
        </xdr:cNvPr>
        <xdr:cNvPicPr>
          <a:picLocks noChangeAspect="1"/>
        </xdr:cNvPicPr>
      </xdr:nvPicPr>
      <xdr:blipFill>
        <a:blip xmlns:r="http://schemas.openxmlformats.org/officeDocument/2006/relationships" r:embed="rId3"/>
        <a:stretch>
          <a:fillRect/>
        </a:stretch>
      </xdr:blipFill>
      <xdr:spPr>
        <a:xfrm>
          <a:off x="1865856" y="7985342"/>
          <a:ext cx="4409524" cy="3180952"/>
        </a:xfrm>
        <a:prstGeom prst="rect">
          <a:avLst/>
        </a:prstGeom>
      </xdr:spPr>
    </xdr:pic>
    <xdr:clientData/>
  </xdr:twoCellAnchor>
  <xdr:twoCellAnchor editAs="oneCell">
    <xdr:from>
      <xdr:col>5</xdr:col>
      <xdr:colOff>456677</xdr:colOff>
      <xdr:row>39</xdr:row>
      <xdr:rowOff>13049</xdr:rowOff>
    </xdr:from>
    <xdr:to>
      <xdr:col>7</xdr:col>
      <xdr:colOff>1544974</xdr:colOff>
      <xdr:row>50</xdr:row>
      <xdr:rowOff>88709</xdr:rowOff>
    </xdr:to>
    <xdr:pic>
      <xdr:nvPicPr>
        <xdr:cNvPr id="5" name="Imagen 4">
          <a:extLst>
            <a:ext uri="{FF2B5EF4-FFF2-40B4-BE49-F238E27FC236}">
              <a16:creationId xmlns:a16="http://schemas.microsoft.com/office/drawing/2014/main" id="{55969E6F-C3FA-5535-6AB1-5EF0B230B710}"/>
            </a:ext>
          </a:extLst>
        </xdr:cNvPr>
        <xdr:cNvPicPr>
          <a:picLocks noChangeAspect="1"/>
        </xdr:cNvPicPr>
      </xdr:nvPicPr>
      <xdr:blipFill>
        <a:blip xmlns:r="http://schemas.openxmlformats.org/officeDocument/2006/relationships" r:embed="rId4"/>
        <a:stretch>
          <a:fillRect/>
        </a:stretch>
      </xdr:blipFill>
      <xdr:spPr>
        <a:xfrm>
          <a:off x="6654451" y="7998391"/>
          <a:ext cx="4428571" cy="2228571"/>
        </a:xfrm>
        <a:prstGeom prst="rect">
          <a:avLst/>
        </a:prstGeom>
      </xdr:spPr>
    </xdr:pic>
    <xdr:clientData/>
  </xdr:twoCellAnchor>
  <xdr:twoCellAnchor editAs="oneCell">
    <xdr:from>
      <xdr:col>7</xdr:col>
      <xdr:colOff>2257294</xdr:colOff>
      <xdr:row>39</xdr:row>
      <xdr:rowOff>52192</xdr:rowOff>
    </xdr:from>
    <xdr:to>
      <xdr:col>10</xdr:col>
      <xdr:colOff>1012107</xdr:colOff>
      <xdr:row>53</xdr:row>
      <xdr:rowOff>7361</xdr:rowOff>
    </xdr:to>
    <xdr:pic>
      <xdr:nvPicPr>
        <xdr:cNvPr id="6" name="Imagen 5">
          <a:extLst>
            <a:ext uri="{FF2B5EF4-FFF2-40B4-BE49-F238E27FC236}">
              <a16:creationId xmlns:a16="http://schemas.microsoft.com/office/drawing/2014/main" id="{17A66D91-3473-DFE5-7D52-9ECED6CCA67D}"/>
            </a:ext>
          </a:extLst>
        </xdr:cNvPr>
        <xdr:cNvPicPr>
          <a:picLocks noChangeAspect="1"/>
        </xdr:cNvPicPr>
      </xdr:nvPicPr>
      <xdr:blipFill>
        <a:blip xmlns:r="http://schemas.openxmlformats.org/officeDocument/2006/relationships" r:embed="rId5"/>
        <a:stretch>
          <a:fillRect/>
        </a:stretch>
      </xdr:blipFill>
      <xdr:spPr>
        <a:xfrm>
          <a:off x="11795342" y="8037534"/>
          <a:ext cx="4352381" cy="26952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200026</xdr:colOff>
      <xdr:row>268</xdr:row>
      <xdr:rowOff>104776</xdr:rowOff>
    </xdr:from>
    <xdr:to>
      <xdr:col>4</xdr:col>
      <xdr:colOff>733426</xdr:colOff>
      <xdr:row>280</xdr:row>
      <xdr:rowOff>111874</xdr:rowOff>
    </xdr:to>
    <xdr:pic>
      <xdr:nvPicPr>
        <xdr:cNvPr id="2" name="Imagen 1">
          <a:extLst>
            <a:ext uri="{FF2B5EF4-FFF2-40B4-BE49-F238E27FC236}">
              <a16:creationId xmlns:a16="http://schemas.microsoft.com/office/drawing/2014/main" id="{8940519E-0A29-5507-81AA-5674A6AA630E}"/>
            </a:ext>
          </a:extLst>
        </xdr:cNvPr>
        <xdr:cNvPicPr>
          <a:picLocks noChangeAspect="1"/>
        </xdr:cNvPicPr>
      </xdr:nvPicPr>
      <xdr:blipFill>
        <a:blip xmlns:r="http://schemas.openxmlformats.org/officeDocument/2006/relationships" r:embed="rId1"/>
        <a:stretch>
          <a:fillRect/>
        </a:stretch>
      </xdr:blipFill>
      <xdr:spPr>
        <a:xfrm>
          <a:off x="200026" y="115271551"/>
          <a:ext cx="5486400" cy="195019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9</xdr:row>
      <xdr:rowOff>0</xdr:rowOff>
    </xdr:from>
    <xdr:to>
      <xdr:col>7</xdr:col>
      <xdr:colOff>335542</xdr:colOff>
      <xdr:row>20</xdr:row>
      <xdr:rowOff>243417</xdr:rowOff>
    </xdr:to>
    <xdr:pic>
      <xdr:nvPicPr>
        <xdr:cNvPr id="4" name="Imagen 3">
          <a:extLst>
            <a:ext uri="{FF2B5EF4-FFF2-40B4-BE49-F238E27FC236}">
              <a16:creationId xmlns:a16="http://schemas.microsoft.com/office/drawing/2014/main" id="{BAB60F90-6151-19DB-BC1D-B3ED36763A31}"/>
            </a:ext>
          </a:extLst>
        </xdr:cNvPr>
        <xdr:cNvPicPr>
          <a:picLocks noChangeAspect="1"/>
        </xdr:cNvPicPr>
      </xdr:nvPicPr>
      <xdr:blipFill>
        <a:blip xmlns:r="http://schemas.openxmlformats.org/officeDocument/2006/relationships" r:embed="rId1"/>
        <a:stretch>
          <a:fillRect/>
        </a:stretch>
      </xdr:blipFill>
      <xdr:spPr>
        <a:xfrm>
          <a:off x="762000" y="1979083"/>
          <a:ext cx="7944959" cy="2243667"/>
        </a:xfrm>
        <a:prstGeom prst="rect">
          <a:avLst/>
        </a:prstGeom>
      </xdr:spPr>
    </xdr:pic>
    <xdr:clientData/>
  </xdr:twoCellAnchor>
  <xdr:twoCellAnchor editAs="oneCell">
    <xdr:from>
      <xdr:col>1</xdr:col>
      <xdr:colOff>0</xdr:colOff>
      <xdr:row>27</xdr:row>
      <xdr:rowOff>0</xdr:rowOff>
    </xdr:from>
    <xdr:to>
      <xdr:col>13</xdr:col>
      <xdr:colOff>174232</xdr:colOff>
      <xdr:row>44</xdr:row>
      <xdr:rowOff>150706</xdr:rowOff>
    </xdr:to>
    <xdr:pic>
      <xdr:nvPicPr>
        <xdr:cNvPr id="5" name="Imagen 4">
          <a:extLst>
            <a:ext uri="{FF2B5EF4-FFF2-40B4-BE49-F238E27FC236}">
              <a16:creationId xmlns:a16="http://schemas.microsoft.com/office/drawing/2014/main" id="{B5D81B17-622E-9B8F-1EC4-7C5FFD025EF5}"/>
            </a:ext>
          </a:extLst>
        </xdr:cNvPr>
        <xdr:cNvPicPr>
          <a:picLocks noChangeAspect="1"/>
        </xdr:cNvPicPr>
      </xdr:nvPicPr>
      <xdr:blipFill>
        <a:blip xmlns:r="http://schemas.openxmlformats.org/officeDocument/2006/relationships" r:embed="rId2"/>
        <a:stretch>
          <a:fillRect/>
        </a:stretch>
      </xdr:blipFill>
      <xdr:spPr>
        <a:xfrm>
          <a:off x="762000" y="5619750"/>
          <a:ext cx="12355649" cy="302937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114300</xdr:colOff>
      <xdr:row>41</xdr:row>
      <xdr:rowOff>41051</xdr:rowOff>
    </xdr:from>
    <xdr:to>
      <xdr:col>5</xdr:col>
      <xdr:colOff>1255970</xdr:colOff>
      <xdr:row>52</xdr:row>
      <xdr:rowOff>132957</xdr:rowOff>
    </xdr:to>
    <xdr:pic>
      <xdr:nvPicPr>
        <xdr:cNvPr id="7" name="Imagen 6">
          <a:extLst>
            <a:ext uri="{FF2B5EF4-FFF2-40B4-BE49-F238E27FC236}">
              <a16:creationId xmlns:a16="http://schemas.microsoft.com/office/drawing/2014/main" id="{90BB5E50-4ABE-266D-10C4-A2F7EB9281FB}"/>
            </a:ext>
          </a:extLst>
        </xdr:cNvPr>
        <xdr:cNvPicPr>
          <a:picLocks noChangeAspect="1"/>
        </xdr:cNvPicPr>
      </xdr:nvPicPr>
      <xdr:blipFill>
        <a:blip xmlns:r="http://schemas.openxmlformats.org/officeDocument/2006/relationships" r:embed="rId1"/>
        <a:stretch>
          <a:fillRect/>
        </a:stretch>
      </xdr:blipFill>
      <xdr:spPr>
        <a:xfrm>
          <a:off x="876300" y="9251726"/>
          <a:ext cx="6694745" cy="1977856"/>
        </a:xfrm>
        <a:prstGeom prst="rect">
          <a:avLst/>
        </a:prstGeom>
      </xdr:spPr>
    </xdr:pic>
    <xdr:clientData/>
  </xdr:twoCellAnchor>
  <xdr:twoCellAnchor editAs="oneCell">
    <xdr:from>
      <xdr:col>0</xdr:col>
      <xdr:colOff>601135</xdr:colOff>
      <xdr:row>57</xdr:row>
      <xdr:rowOff>95249</xdr:rowOff>
    </xdr:from>
    <xdr:to>
      <xdr:col>4</xdr:col>
      <xdr:colOff>336651</xdr:colOff>
      <xdr:row>72</xdr:row>
      <xdr:rowOff>97944</xdr:rowOff>
    </xdr:to>
    <xdr:pic>
      <xdr:nvPicPr>
        <xdr:cNvPr id="8" name="Imagen 7">
          <a:extLst>
            <a:ext uri="{FF2B5EF4-FFF2-40B4-BE49-F238E27FC236}">
              <a16:creationId xmlns:a16="http://schemas.microsoft.com/office/drawing/2014/main" id="{375ACCAD-B730-4371-AAC3-74DD0FE3839B}"/>
            </a:ext>
          </a:extLst>
        </xdr:cNvPr>
        <xdr:cNvPicPr>
          <a:picLocks noChangeAspect="1"/>
        </xdr:cNvPicPr>
      </xdr:nvPicPr>
      <xdr:blipFill>
        <a:blip xmlns:r="http://schemas.openxmlformats.org/officeDocument/2006/relationships" r:embed="rId2"/>
        <a:stretch>
          <a:fillRect/>
        </a:stretch>
      </xdr:blipFill>
      <xdr:spPr>
        <a:xfrm>
          <a:off x="601135" y="12361332"/>
          <a:ext cx="4561516" cy="279669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115431</xdr:colOff>
      <xdr:row>7</xdr:row>
      <xdr:rowOff>81048</xdr:rowOff>
    </xdr:from>
    <xdr:to>
      <xdr:col>3</xdr:col>
      <xdr:colOff>1104900</xdr:colOff>
      <xdr:row>16</xdr:row>
      <xdr:rowOff>94757</xdr:rowOff>
    </xdr:to>
    <xdr:pic>
      <xdr:nvPicPr>
        <xdr:cNvPr id="2" name="Imagen 1">
          <a:extLst>
            <a:ext uri="{FF2B5EF4-FFF2-40B4-BE49-F238E27FC236}">
              <a16:creationId xmlns:a16="http://schemas.microsoft.com/office/drawing/2014/main" id="{427397DF-FF29-45C0-944A-08A61E418A36}"/>
            </a:ext>
          </a:extLst>
        </xdr:cNvPr>
        <xdr:cNvPicPr>
          <a:picLocks noChangeAspect="1"/>
        </xdr:cNvPicPr>
      </xdr:nvPicPr>
      <xdr:blipFill>
        <a:blip xmlns:r="http://schemas.openxmlformats.org/officeDocument/2006/relationships" r:embed="rId1"/>
        <a:stretch>
          <a:fillRect/>
        </a:stretch>
      </xdr:blipFill>
      <xdr:spPr>
        <a:xfrm>
          <a:off x="877431" y="1452648"/>
          <a:ext cx="3818394" cy="1556759"/>
        </a:xfrm>
        <a:prstGeom prst="rect">
          <a:avLst/>
        </a:prstGeom>
      </xdr:spPr>
    </xdr:pic>
    <xdr:clientData/>
  </xdr:twoCellAnchor>
  <xdr:twoCellAnchor editAs="oneCell">
    <xdr:from>
      <xdr:col>1</xdr:col>
      <xdr:colOff>133350</xdr:colOff>
      <xdr:row>18</xdr:row>
      <xdr:rowOff>13793</xdr:rowOff>
    </xdr:from>
    <xdr:to>
      <xdr:col>4</xdr:col>
      <xdr:colOff>36882</xdr:colOff>
      <xdr:row>27</xdr:row>
      <xdr:rowOff>94750</xdr:rowOff>
    </xdr:to>
    <xdr:pic>
      <xdr:nvPicPr>
        <xdr:cNvPr id="3" name="Imagen 2">
          <a:extLst>
            <a:ext uri="{FF2B5EF4-FFF2-40B4-BE49-F238E27FC236}">
              <a16:creationId xmlns:a16="http://schemas.microsoft.com/office/drawing/2014/main" id="{E281CF8F-4F59-DAA6-5C9A-EE7E515F7194}"/>
            </a:ext>
          </a:extLst>
        </xdr:cNvPr>
        <xdr:cNvPicPr>
          <a:picLocks noChangeAspect="1"/>
        </xdr:cNvPicPr>
      </xdr:nvPicPr>
      <xdr:blipFill>
        <a:blip xmlns:r="http://schemas.openxmlformats.org/officeDocument/2006/relationships" r:embed="rId2"/>
        <a:stretch>
          <a:fillRect/>
        </a:stretch>
      </xdr:blipFill>
      <xdr:spPr>
        <a:xfrm>
          <a:off x="895350" y="3271343"/>
          <a:ext cx="3961182" cy="1624007"/>
        </a:xfrm>
        <a:prstGeom prst="rect">
          <a:avLst/>
        </a:prstGeom>
      </xdr:spPr>
    </xdr:pic>
    <xdr:clientData/>
  </xdr:twoCellAnchor>
  <xdr:twoCellAnchor editAs="oneCell">
    <xdr:from>
      <xdr:col>1</xdr:col>
      <xdr:colOff>142875</xdr:colOff>
      <xdr:row>29</xdr:row>
      <xdr:rowOff>99587</xdr:rowOff>
    </xdr:from>
    <xdr:to>
      <xdr:col>3</xdr:col>
      <xdr:colOff>1024203</xdr:colOff>
      <xdr:row>38</xdr:row>
      <xdr:rowOff>56659</xdr:rowOff>
    </xdr:to>
    <xdr:pic>
      <xdr:nvPicPr>
        <xdr:cNvPr id="4" name="Imagen 3">
          <a:extLst>
            <a:ext uri="{FF2B5EF4-FFF2-40B4-BE49-F238E27FC236}">
              <a16:creationId xmlns:a16="http://schemas.microsoft.com/office/drawing/2014/main" id="{B85BA23D-465B-908C-A235-C010C3572D30}"/>
            </a:ext>
          </a:extLst>
        </xdr:cNvPr>
        <xdr:cNvPicPr>
          <a:picLocks noChangeAspect="1"/>
        </xdr:cNvPicPr>
      </xdr:nvPicPr>
      <xdr:blipFill>
        <a:blip xmlns:r="http://schemas.openxmlformats.org/officeDocument/2006/relationships" r:embed="rId3"/>
        <a:stretch>
          <a:fillRect/>
        </a:stretch>
      </xdr:blipFill>
      <xdr:spPr>
        <a:xfrm>
          <a:off x="904875" y="5243087"/>
          <a:ext cx="3710253" cy="1500122"/>
        </a:xfrm>
        <a:prstGeom prst="rect">
          <a:avLst/>
        </a:prstGeom>
      </xdr:spPr>
    </xdr:pic>
    <xdr:clientData/>
  </xdr:twoCellAnchor>
  <xdr:twoCellAnchor editAs="oneCell">
    <xdr:from>
      <xdr:col>1</xdr:col>
      <xdr:colOff>208631</xdr:colOff>
      <xdr:row>40</xdr:row>
      <xdr:rowOff>114300</xdr:rowOff>
    </xdr:from>
    <xdr:to>
      <xdr:col>3</xdr:col>
      <xdr:colOff>1132206</xdr:colOff>
      <xdr:row>47</xdr:row>
      <xdr:rowOff>75806</xdr:rowOff>
    </xdr:to>
    <xdr:pic>
      <xdr:nvPicPr>
        <xdr:cNvPr id="6" name="Imagen 5">
          <a:extLst>
            <a:ext uri="{FF2B5EF4-FFF2-40B4-BE49-F238E27FC236}">
              <a16:creationId xmlns:a16="http://schemas.microsoft.com/office/drawing/2014/main" id="{E4F14A1E-9F5F-9AE2-24C9-A5F102943AA6}"/>
            </a:ext>
          </a:extLst>
        </xdr:cNvPr>
        <xdr:cNvPicPr>
          <a:picLocks noChangeAspect="1"/>
        </xdr:cNvPicPr>
      </xdr:nvPicPr>
      <xdr:blipFill>
        <a:blip xmlns:r="http://schemas.openxmlformats.org/officeDocument/2006/relationships" r:embed="rId4"/>
        <a:stretch>
          <a:fillRect/>
        </a:stretch>
      </xdr:blipFill>
      <xdr:spPr>
        <a:xfrm>
          <a:off x="970631" y="7143750"/>
          <a:ext cx="3752500" cy="1161656"/>
        </a:xfrm>
        <a:prstGeom prst="rect">
          <a:avLst/>
        </a:prstGeom>
      </xdr:spPr>
    </xdr:pic>
    <xdr:clientData/>
  </xdr:twoCellAnchor>
  <xdr:twoCellAnchor editAs="oneCell">
    <xdr:from>
      <xdr:col>1</xdr:col>
      <xdr:colOff>190499</xdr:colOff>
      <xdr:row>49</xdr:row>
      <xdr:rowOff>146438</xdr:rowOff>
    </xdr:from>
    <xdr:to>
      <xdr:col>3</xdr:col>
      <xdr:colOff>1179861</xdr:colOff>
      <xdr:row>56</xdr:row>
      <xdr:rowOff>161531</xdr:rowOff>
    </xdr:to>
    <xdr:pic>
      <xdr:nvPicPr>
        <xdr:cNvPr id="7" name="Imagen 6">
          <a:extLst>
            <a:ext uri="{FF2B5EF4-FFF2-40B4-BE49-F238E27FC236}">
              <a16:creationId xmlns:a16="http://schemas.microsoft.com/office/drawing/2014/main" id="{971EAC8E-0904-A925-B4BD-7E0EB3880C07}"/>
            </a:ext>
          </a:extLst>
        </xdr:cNvPr>
        <xdr:cNvPicPr>
          <a:picLocks noChangeAspect="1"/>
        </xdr:cNvPicPr>
      </xdr:nvPicPr>
      <xdr:blipFill>
        <a:blip xmlns:r="http://schemas.openxmlformats.org/officeDocument/2006/relationships" r:embed="rId5"/>
        <a:stretch>
          <a:fillRect/>
        </a:stretch>
      </xdr:blipFill>
      <xdr:spPr>
        <a:xfrm>
          <a:off x="952499" y="8718938"/>
          <a:ext cx="3818287" cy="1215243"/>
        </a:xfrm>
        <a:prstGeom prst="rect">
          <a:avLst/>
        </a:prstGeom>
      </xdr:spPr>
    </xdr:pic>
    <xdr:clientData/>
  </xdr:twoCellAnchor>
  <xdr:twoCellAnchor editAs="oneCell">
    <xdr:from>
      <xdr:col>1</xdr:col>
      <xdr:colOff>180975</xdr:colOff>
      <xdr:row>111</xdr:row>
      <xdr:rowOff>161925</xdr:rowOff>
    </xdr:from>
    <xdr:to>
      <xdr:col>4</xdr:col>
      <xdr:colOff>390525</xdr:colOff>
      <xdr:row>120</xdr:row>
      <xdr:rowOff>95251</xdr:rowOff>
    </xdr:to>
    <xdr:pic>
      <xdr:nvPicPr>
        <xdr:cNvPr id="9" name="Imagen 8">
          <a:extLst>
            <a:ext uri="{FF2B5EF4-FFF2-40B4-BE49-F238E27FC236}">
              <a16:creationId xmlns:a16="http://schemas.microsoft.com/office/drawing/2014/main" id="{1F7DA185-0145-4C00-AB0D-223329AA927D}"/>
            </a:ext>
          </a:extLst>
        </xdr:cNvPr>
        <xdr:cNvPicPr>
          <a:picLocks noChangeAspect="1"/>
        </xdr:cNvPicPr>
      </xdr:nvPicPr>
      <xdr:blipFill>
        <a:blip xmlns:r="http://schemas.openxmlformats.org/officeDocument/2006/relationships" r:embed="rId6"/>
        <a:stretch>
          <a:fillRect/>
        </a:stretch>
      </xdr:blipFill>
      <xdr:spPr>
        <a:xfrm>
          <a:off x="400050" y="5391150"/>
          <a:ext cx="4267200" cy="1476376"/>
        </a:xfrm>
        <a:prstGeom prst="rect">
          <a:avLst/>
        </a:prstGeom>
      </xdr:spPr>
    </xdr:pic>
    <xdr:clientData/>
  </xdr:twoCellAnchor>
  <xdr:twoCellAnchor editAs="oneCell">
    <xdr:from>
      <xdr:col>1</xdr:col>
      <xdr:colOff>371474</xdr:colOff>
      <xdr:row>57</xdr:row>
      <xdr:rowOff>168580</xdr:rowOff>
    </xdr:from>
    <xdr:to>
      <xdr:col>3</xdr:col>
      <xdr:colOff>894262</xdr:colOff>
      <xdr:row>66</xdr:row>
      <xdr:rowOff>123338</xdr:rowOff>
    </xdr:to>
    <xdr:pic>
      <xdr:nvPicPr>
        <xdr:cNvPr id="12" name="Imagen 11">
          <a:extLst>
            <a:ext uri="{FF2B5EF4-FFF2-40B4-BE49-F238E27FC236}">
              <a16:creationId xmlns:a16="http://schemas.microsoft.com/office/drawing/2014/main" id="{7C020D55-2EB7-EC8D-7777-7224B47894FA}"/>
            </a:ext>
          </a:extLst>
        </xdr:cNvPr>
        <xdr:cNvPicPr>
          <a:picLocks noChangeAspect="1"/>
        </xdr:cNvPicPr>
      </xdr:nvPicPr>
      <xdr:blipFill>
        <a:blip xmlns:r="http://schemas.openxmlformats.org/officeDocument/2006/relationships" r:embed="rId7"/>
        <a:stretch>
          <a:fillRect/>
        </a:stretch>
      </xdr:blipFill>
      <xdr:spPr>
        <a:xfrm>
          <a:off x="1133474" y="10112680"/>
          <a:ext cx="3351713" cy="1497808"/>
        </a:xfrm>
        <a:prstGeom prst="rect">
          <a:avLst/>
        </a:prstGeom>
      </xdr:spPr>
    </xdr:pic>
    <xdr:clientData/>
  </xdr:twoCellAnchor>
  <xdr:twoCellAnchor editAs="oneCell">
    <xdr:from>
      <xdr:col>1</xdr:col>
      <xdr:colOff>238124</xdr:colOff>
      <xdr:row>67</xdr:row>
      <xdr:rowOff>142277</xdr:rowOff>
    </xdr:from>
    <xdr:to>
      <xdr:col>3</xdr:col>
      <xdr:colOff>837100</xdr:colOff>
      <xdr:row>76</xdr:row>
      <xdr:rowOff>66205</xdr:rowOff>
    </xdr:to>
    <xdr:pic>
      <xdr:nvPicPr>
        <xdr:cNvPr id="13" name="Imagen 12">
          <a:extLst>
            <a:ext uri="{FF2B5EF4-FFF2-40B4-BE49-F238E27FC236}">
              <a16:creationId xmlns:a16="http://schemas.microsoft.com/office/drawing/2014/main" id="{9D3CBD06-109E-199A-2FA9-983CF1FAEC5E}"/>
            </a:ext>
          </a:extLst>
        </xdr:cNvPr>
        <xdr:cNvPicPr>
          <a:picLocks noChangeAspect="1"/>
        </xdr:cNvPicPr>
      </xdr:nvPicPr>
      <xdr:blipFill>
        <a:blip xmlns:r="http://schemas.openxmlformats.org/officeDocument/2006/relationships" r:embed="rId8"/>
        <a:stretch>
          <a:fillRect/>
        </a:stretch>
      </xdr:blipFill>
      <xdr:spPr>
        <a:xfrm>
          <a:off x="1000124" y="11800877"/>
          <a:ext cx="3427901" cy="1466978"/>
        </a:xfrm>
        <a:prstGeom prst="rect">
          <a:avLst/>
        </a:prstGeom>
      </xdr:spPr>
    </xdr:pic>
    <xdr:clientData/>
  </xdr:twoCellAnchor>
  <xdr:twoCellAnchor editAs="oneCell">
    <xdr:from>
      <xdr:col>1</xdr:col>
      <xdr:colOff>285750</xdr:colOff>
      <xdr:row>77</xdr:row>
      <xdr:rowOff>98322</xdr:rowOff>
    </xdr:from>
    <xdr:to>
      <xdr:col>3</xdr:col>
      <xdr:colOff>1065682</xdr:colOff>
      <xdr:row>86</xdr:row>
      <xdr:rowOff>123338</xdr:rowOff>
    </xdr:to>
    <xdr:pic>
      <xdr:nvPicPr>
        <xdr:cNvPr id="14" name="Imagen 13">
          <a:extLst>
            <a:ext uri="{FF2B5EF4-FFF2-40B4-BE49-F238E27FC236}">
              <a16:creationId xmlns:a16="http://schemas.microsoft.com/office/drawing/2014/main" id="{A6BE19C9-F94E-3964-D619-F1BC764EF765}"/>
            </a:ext>
          </a:extLst>
        </xdr:cNvPr>
        <xdr:cNvPicPr>
          <a:picLocks noChangeAspect="1"/>
        </xdr:cNvPicPr>
      </xdr:nvPicPr>
      <xdr:blipFill>
        <a:blip xmlns:r="http://schemas.openxmlformats.org/officeDocument/2006/relationships" r:embed="rId9"/>
        <a:stretch>
          <a:fillRect/>
        </a:stretch>
      </xdr:blipFill>
      <xdr:spPr>
        <a:xfrm>
          <a:off x="1047750" y="13471422"/>
          <a:ext cx="3608857" cy="1568066"/>
        </a:xfrm>
        <a:prstGeom prst="rect">
          <a:avLst/>
        </a:prstGeom>
      </xdr:spPr>
    </xdr:pic>
    <xdr:clientData/>
  </xdr:twoCellAnchor>
  <xdr:twoCellAnchor editAs="oneCell">
    <xdr:from>
      <xdr:col>0</xdr:col>
      <xdr:colOff>419101</xdr:colOff>
      <xdr:row>126</xdr:row>
      <xdr:rowOff>47625</xdr:rowOff>
    </xdr:from>
    <xdr:to>
      <xdr:col>3</xdr:col>
      <xdr:colOff>860782</xdr:colOff>
      <xdr:row>134</xdr:row>
      <xdr:rowOff>142427</xdr:rowOff>
    </xdr:to>
    <xdr:pic>
      <xdr:nvPicPr>
        <xdr:cNvPr id="15" name="Imagen 14">
          <a:extLst>
            <a:ext uri="{FF2B5EF4-FFF2-40B4-BE49-F238E27FC236}">
              <a16:creationId xmlns:a16="http://schemas.microsoft.com/office/drawing/2014/main" id="{382D41A1-BA03-7669-FBC7-6454BB0E29D7}"/>
            </a:ext>
          </a:extLst>
        </xdr:cNvPr>
        <xdr:cNvPicPr>
          <a:picLocks noChangeAspect="1"/>
        </xdr:cNvPicPr>
      </xdr:nvPicPr>
      <xdr:blipFill>
        <a:blip xmlns:r="http://schemas.openxmlformats.org/officeDocument/2006/relationships" r:embed="rId10"/>
        <a:stretch>
          <a:fillRect/>
        </a:stretch>
      </xdr:blipFill>
      <xdr:spPr>
        <a:xfrm>
          <a:off x="419101" y="21840825"/>
          <a:ext cx="4032606" cy="1466402"/>
        </a:xfrm>
        <a:prstGeom prst="rect">
          <a:avLst/>
        </a:prstGeom>
      </xdr:spPr>
    </xdr:pic>
    <xdr:clientData/>
  </xdr:twoCellAnchor>
  <xdr:twoCellAnchor editAs="oneCell">
    <xdr:from>
      <xdr:col>0</xdr:col>
      <xdr:colOff>638175</xdr:colOff>
      <xdr:row>136</xdr:row>
      <xdr:rowOff>43355</xdr:rowOff>
    </xdr:from>
    <xdr:to>
      <xdr:col>4</xdr:col>
      <xdr:colOff>190500</xdr:colOff>
      <xdr:row>148</xdr:row>
      <xdr:rowOff>18467</xdr:rowOff>
    </xdr:to>
    <xdr:pic>
      <xdr:nvPicPr>
        <xdr:cNvPr id="16" name="Imagen 15">
          <a:extLst>
            <a:ext uri="{FF2B5EF4-FFF2-40B4-BE49-F238E27FC236}">
              <a16:creationId xmlns:a16="http://schemas.microsoft.com/office/drawing/2014/main" id="{4ED4893B-A733-FFBA-25F4-857D5F8E8AD3}"/>
            </a:ext>
          </a:extLst>
        </xdr:cNvPr>
        <xdr:cNvPicPr>
          <a:picLocks noChangeAspect="1"/>
        </xdr:cNvPicPr>
      </xdr:nvPicPr>
      <xdr:blipFill>
        <a:blip xmlns:r="http://schemas.openxmlformats.org/officeDocument/2006/relationships" r:embed="rId11"/>
        <a:stretch>
          <a:fillRect/>
        </a:stretch>
      </xdr:blipFill>
      <xdr:spPr>
        <a:xfrm>
          <a:off x="638175" y="23551055"/>
          <a:ext cx="4371975" cy="2032512"/>
        </a:xfrm>
        <a:prstGeom prst="rect">
          <a:avLst/>
        </a:prstGeom>
      </xdr:spPr>
    </xdr:pic>
    <xdr:clientData/>
  </xdr:twoCellAnchor>
  <xdr:twoCellAnchor editAs="oneCell">
    <xdr:from>
      <xdr:col>1</xdr:col>
      <xdr:colOff>457200</xdr:colOff>
      <xdr:row>92</xdr:row>
      <xdr:rowOff>28575</xdr:rowOff>
    </xdr:from>
    <xdr:to>
      <xdr:col>4</xdr:col>
      <xdr:colOff>463387</xdr:colOff>
      <xdr:row>101</xdr:row>
      <xdr:rowOff>170905</xdr:rowOff>
    </xdr:to>
    <xdr:pic>
      <xdr:nvPicPr>
        <xdr:cNvPr id="17" name="Imagen 16">
          <a:extLst>
            <a:ext uri="{FF2B5EF4-FFF2-40B4-BE49-F238E27FC236}">
              <a16:creationId xmlns:a16="http://schemas.microsoft.com/office/drawing/2014/main" id="{E6D3D901-D2FD-0E6E-7BDB-E2215B54303C}"/>
            </a:ext>
          </a:extLst>
        </xdr:cNvPr>
        <xdr:cNvPicPr>
          <a:picLocks noChangeAspect="1"/>
        </xdr:cNvPicPr>
      </xdr:nvPicPr>
      <xdr:blipFill>
        <a:blip xmlns:r="http://schemas.openxmlformats.org/officeDocument/2006/relationships" r:embed="rId12"/>
        <a:stretch>
          <a:fillRect/>
        </a:stretch>
      </xdr:blipFill>
      <xdr:spPr>
        <a:xfrm>
          <a:off x="1219200" y="15973425"/>
          <a:ext cx="4063837" cy="1704430"/>
        </a:xfrm>
        <a:prstGeom prst="rect">
          <a:avLst/>
        </a:prstGeom>
      </xdr:spPr>
    </xdr:pic>
    <xdr:clientData/>
  </xdr:twoCellAnchor>
  <xdr:twoCellAnchor editAs="oneCell">
    <xdr:from>
      <xdr:col>1</xdr:col>
      <xdr:colOff>120876</xdr:colOff>
      <xdr:row>202</xdr:row>
      <xdr:rowOff>19049</xdr:rowOff>
    </xdr:from>
    <xdr:to>
      <xdr:col>4</xdr:col>
      <xdr:colOff>476250</xdr:colOff>
      <xdr:row>213</xdr:row>
      <xdr:rowOff>151730</xdr:rowOff>
    </xdr:to>
    <xdr:pic>
      <xdr:nvPicPr>
        <xdr:cNvPr id="18" name="Imagen 17">
          <a:extLst>
            <a:ext uri="{FF2B5EF4-FFF2-40B4-BE49-F238E27FC236}">
              <a16:creationId xmlns:a16="http://schemas.microsoft.com/office/drawing/2014/main" id="{220284DB-2581-959D-B470-27EFA05D0E2B}"/>
            </a:ext>
          </a:extLst>
        </xdr:cNvPr>
        <xdr:cNvPicPr>
          <a:picLocks noChangeAspect="1"/>
        </xdr:cNvPicPr>
      </xdr:nvPicPr>
      <xdr:blipFill>
        <a:blip xmlns:r="http://schemas.openxmlformats.org/officeDocument/2006/relationships" r:embed="rId13"/>
        <a:stretch>
          <a:fillRect/>
        </a:stretch>
      </xdr:blipFill>
      <xdr:spPr>
        <a:xfrm>
          <a:off x="882876" y="27298649"/>
          <a:ext cx="4413024" cy="2018631"/>
        </a:xfrm>
        <a:prstGeom prst="rect">
          <a:avLst/>
        </a:prstGeom>
      </xdr:spPr>
    </xdr:pic>
    <xdr:clientData/>
  </xdr:twoCellAnchor>
  <xdr:twoCellAnchor editAs="oneCell">
    <xdr:from>
      <xdr:col>0</xdr:col>
      <xdr:colOff>714376</xdr:colOff>
      <xdr:row>232</xdr:row>
      <xdr:rowOff>142876</xdr:rowOff>
    </xdr:from>
    <xdr:to>
      <xdr:col>3</xdr:col>
      <xdr:colOff>926454</xdr:colOff>
      <xdr:row>245</xdr:row>
      <xdr:rowOff>28576</xdr:rowOff>
    </xdr:to>
    <xdr:pic>
      <xdr:nvPicPr>
        <xdr:cNvPr id="20" name="Imagen 19">
          <a:extLst>
            <a:ext uri="{FF2B5EF4-FFF2-40B4-BE49-F238E27FC236}">
              <a16:creationId xmlns:a16="http://schemas.microsoft.com/office/drawing/2014/main" id="{19AEC060-52BD-523C-BCE3-F6C5A4700D90}"/>
            </a:ext>
          </a:extLst>
        </xdr:cNvPr>
        <xdr:cNvPicPr>
          <a:picLocks noChangeAspect="1"/>
        </xdr:cNvPicPr>
      </xdr:nvPicPr>
      <xdr:blipFill>
        <a:blip xmlns:r="http://schemas.openxmlformats.org/officeDocument/2006/relationships" r:embed="rId14"/>
        <a:stretch>
          <a:fillRect/>
        </a:stretch>
      </xdr:blipFill>
      <xdr:spPr>
        <a:xfrm>
          <a:off x="714376" y="33080326"/>
          <a:ext cx="3803003" cy="2133600"/>
        </a:xfrm>
        <a:prstGeom prst="rect">
          <a:avLst/>
        </a:prstGeom>
      </xdr:spPr>
    </xdr:pic>
    <xdr:clientData/>
  </xdr:twoCellAnchor>
  <xdr:twoCellAnchor editAs="oneCell">
    <xdr:from>
      <xdr:col>1</xdr:col>
      <xdr:colOff>95250</xdr:colOff>
      <xdr:row>284</xdr:row>
      <xdr:rowOff>137205</xdr:rowOff>
    </xdr:from>
    <xdr:to>
      <xdr:col>4</xdr:col>
      <xdr:colOff>466725</xdr:colOff>
      <xdr:row>295</xdr:row>
      <xdr:rowOff>27992</xdr:rowOff>
    </xdr:to>
    <xdr:pic>
      <xdr:nvPicPr>
        <xdr:cNvPr id="21" name="Imagen 20">
          <a:extLst>
            <a:ext uri="{FF2B5EF4-FFF2-40B4-BE49-F238E27FC236}">
              <a16:creationId xmlns:a16="http://schemas.microsoft.com/office/drawing/2014/main" id="{51962670-4792-3330-DF69-3CBA87358CB5}"/>
            </a:ext>
          </a:extLst>
        </xdr:cNvPr>
        <xdr:cNvPicPr>
          <a:picLocks noChangeAspect="1"/>
        </xdr:cNvPicPr>
      </xdr:nvPicPr>
      <xdr:blipFill>
        <a:blip xmlns:r="http://schemas.openxmlformats.org/officeDocument/2006/relationships" r:embed="rId15"/>
        <a:stretch>
          <a:fillRect/>
        </a:stretch>
      </xdr:blipFill>
      <xdr:spPr>
        <a:xfrm>
          <a:off x="857250" y="37532355"/>
          <a:ext cx="4429125" cy="1776737"/>
        </a:xfrm>
        <a:prstGeom prst="rect">
          <a:avLst/>
        </a:prstGeom>
      </xdr:spPr>
    </xdr:pic>
    <xdr:clientData/>
  </xdr:twoCellAnchor>
  <xdr:twoCellAnchor editAs="oneCell">
    <xdr:from>
      <xdr:col>1</xdr:col>
      <xdr:colOff>276225</xdr:colOff>
      <xdr:row>247</xdr:row>
      <xdr:rowOff>81970</xdr:rowOff>
    </xdr:from>
    <xdr:to>
      <xdr:col>3</xdr:col>
      <xdr:colOff>942975</xdr:colOff>
      <xdr:row>258</xdr:row>
      <xdr:rowOff>74105</xdr:rowOff>
    </xdr:to>
    <xdr:pic>
      <xdr:nvPicPr>
        <xdr:cNvPr id="22" name="Imagen 21">
          <a:extLst>
            <a:ext uri="{FF2B5EF4-FFF2-40B4-BE49-F238E27FC236}">
              <a16:creationId xmlns:a16="http://schemas.microsoft.com/office/drawing/2014/main" id="{7286D781-56D0-7349-9F2F-39ED751C8441}"/>
            </a:ext>
          </a:extLst>
        </xdr:cNvPr>
        <xdr:cNvPicPr>
          <a:picLocks noChangeAspect="1"/>
        </xdr:cNvPicPr>
      </xdr:nvPicPr>
      <xdr:blipFill>
        <a:blip xmlns:r="http://schemas.openxmlformats.org/officeDocument/2006/relationships" r:embed="rId16"/>
        <a:stretch>
          <a:fillRect/>
        </a:stretch>
      </xdr:blipFill>
      <xdr:spPr>
        <a:xfrm>
          <a:off x="1038225" y="35591170"/>
          <a:ext cx="3495675" cy="1878085"/>
        </a:xfrm>
        <a:prstGeom prst="rect">
          <a:avLst/>
        </a:prstGeom>
      </xdr:spPr>
    </xdr:pic>
    <xdr:clientData/>
  </xdr:twoCellAnchor>
  <xdr:twoCellAnchor editAs="oneCell">
    <xdr:from>
      <xdr:col>1</xdr:col>
      <xdr:colOff>161925</xdr:colOff>
      <xdr:row>258</xdr:row>
      <xdr:rowOff>9525</xdr:rowOff>
    </xdr:from>
    <xdr:to>
      <xdr:col>3</xdr:col>
      <xdr:colOff>827029</xdr:colOff>
      <xdr:row>268</xdr:row>
      <xdr:rowOff>6471</xdr:rowOff>
    </xdr:to>
    <xdr:pic>
      <xdr:nvPicPr>
        <xdr:cNvPr id="23" name="Imagen 22">
          <a:extLst>
            <a:ext uri="{FF2B5EF4-FFF2-40B4-BE49-F238E27FC236}">
              <a16:creationId xmlns:a16="http://schemas.microsoft.com/office/drawing/2014/main" id="{5EDE5266-1690-8154-C5F1-035D76D720F5}"/>
            </a:ext>
          </a:extLst>
        </xdr:cNvPr>
        <xdr:cNvPicPr>
          <a:picLocks noChangeAspect="1"/>
        </xdr:cNvPicPr>
      </xdr:nvPicPr>
      <xdr:blipFill>
        <a:blip xmlns:r="http://schemas.openxmlformats.org/officeDocument/2006/relationships" r:embed="rId17"/>
        <a:stretch>
          <a:fillRect/>
        </a:stretch>
      </xdr:blipFill>
      <xdr:spPr>
        <a:xfrm>
          <a:off x="923925" y="37404675"/>
          <a:ext cx="3494029" cy="1711446"/>
        </a:xfrm>
        <a:prstGeom prst="rect">
          <a:avLst/>
        </a:prstGeom>
      </xdr:spPr>
    </xdr:pic>
    <xdr:clientData/>
  </xdr:twoCellAnchor>
  <xdr:twoCellAnchor editAs="oneCell">
    <xdr:from>
      <xdr:col>0</xdr:col>
      <xdr:colOff>742950</xdr:colOff>
      <xdr:row>302</xdr:row>
      <xdr:rowOff>38099</xdr:rowOff>
    </xdr:from>
    <xdr:to>
      <xdr:col>4</xdr:col>
      <xdr:colOff>852726</xdr:colOff>
      <xdr:row>314</xdr:row>
      <xdr:rowOff>76200</xdr:rowOff>
    </xdr:to>
    <xdr:pic>
      <xdr:nvPicPr>
        <xdr:cNvPr id="24" name="Imagen 23">
          <a:extLst>
            <a:ext uri="{FF2B5EF4-FFF2-40B4-BE49-F238E27FC236}">
              <a16:creationId xmlns:a16="http://schemas.microsoft.com/office/drawing/2014/main" id="{56FDD2B0-3F79-E374-56F5-CD88BACE87D8}"/>
            </a:ext>
          </a:extLst>
        </xdr:cNvPr>
        <xdr:cNvPicPr>
          <a:picLocks noChangeAspect="1"/>
        </xdr:cNvPicPr>
      </xdr:nvPicPr>
      <xdr:blipFill>
        <a:blip xmlns:r="http://schemas.openxmlformats.org/officeDocument/2006/relationships" r:embed="rId18"/>
        <a:stretch>
          <a:fillRect/>
        </a:stretch>
      </xdr:blipFill>
      <xdr:spPr>
        <a:xfrm>
          <a:off x="742950" y="43091099"/>
          <a:ext cx="4929426" cy="2114551"/>
        </a:xfrm>
        <a:prstGeom prst="rect">
          <a:avLst/>
        </a:prstGeom>
      </xdr:spPr>
    </xdr:pic>
    <xdr:clientData/>
  </xdr:twoCellAnchor>
  <xdr:twoCellAnchor editAs="oneCell">
    <xdr:from>
      <xdr:col>1</xdr:col>
      <xdr:colOff>257175</xdr:colOff>
      <xdr:row>149</xdr:row>
      <xdr:rowOff>60281</xdr:rowOff>
    </xdr:from>
    <xdr:to>
      <xdr:col>3</xdr:col>
      <xdr:colOff>1143000</xdr:colOff>
      <xdr:row>160</xdr:row>
      <xdr:rowOff>37529</xdr:rowOff>
    </xdr:to>
    <xdr:pic>
      <xdr:nvPicPr>
        <xdr:cNvPr id="27" name="Imagen 26">
          <a:extLst>
            <a:ext uri="{FF2B5EF4-FFF2-40B4-BE49-F238E27FC236}">
              <a16:creationId xmlns:a16="http://schemas.microsoft.com/office/drawing/2014/main" id="{0C9156BA-884A-B3B5-EEDE-3F813A314FC6}"/>
            </a:ext>
          </a:extLst>
        </xdr:cNvPr>
        <xdr:cNvPicPr>
          <a:picLocks noChangeAspect="1"/>
        </xdr:cNvPicPr>
      </xdr:nvPicPr>
      <xdr:blipFill>
        <a:blip xmlns:r="http://schemas.openxmlformats.org/officeDocument/2006/relationships" r:embed="rId19"/>
        <a:stretch>
          <a:fillRect/>
        </a:stretch>
      </xdr:blipFill>
      <xdr:spPr>
        <a:xfrm>
          <a:off x="1019175" y="25796831"/>
          <a:ext cx="3714750" cy="1863198"/>
        </a:xfrm>
        <a:prstGeom prst="rect">
          <a:avLst/>
        </a:prstGeom>
      </xdr:spPr>
    </xdr:pic>
    <xdr:clientData/>
  </xdr:twoCellAnchor>
  <xdr:twoCellAnchor editAs="oneCell">
    <xdr:from>
      <xdr:col>1</xdr:col>
      <xdr:colOff>190500</xdr:colOff>
      <xdr:row>163</xdr:row>
      <xdr:rowOff>40986</xdr:rowOff>
    </xdr:from>
    <xdr:to>
      <xdr:col>4</xdr:col>
      <xdr:colOff>257175</xdr:colOff>
      <xdr:row>172</xdr:row>
      <xdr:rowOff>75755</xdr:rowOff>
    </xdr:to>
    <xdr:pic>
      <xdr:nvPicPr>
        <xdr:cNvPr id="28" name="Imagen 27">
          <a:extLst>
            <a:ext uri="{FF2B5EF4-FFF2-40B4-BE49-F238E27FC236}">
              <a16:creationId xmlns:a16="http://schemas.microsoft.com/office/drawing/2014/main" id="{0C6E4E94-3FFC-731E-7C84-197DEDD6A711}"/>
            </a:ext>
          </a:extLst>
        </xdr:cNvPr>
        <xdr:cNvPicPr>
          <a:picLocks noChangeAspect="1"/>
        </xdr:cNvPicPr>
      </xdr:nvPicPr>
      <xdr:blipFill>
        <a:blip xmlns:r="http://schemas.openxmlformats.org/officeDocument/2006/relationships" r:embed="rId20"/>
        <a:stretch>
          <a:fillRect/>
        </a:stretch>
      </xdr:blipFill>
      <xdr:spPr>
        <a:xfrm>
          <a:off x="952500" y="28177836"/>
          <a:ext cx="4124325" cy="1577819"/>
        </a:xfrm>
        <a:prstGeom prst="rect">
          <a:avLst/>
        </a:prstGeom>
      </xdr:spPr>
    </xdr:pic>
    <xdr:clientData/>
  </xdr:twoCellAnchor>
  <xdr:twoCellAnchor editAs="oneCell">
    <xdr:from>
      <xdr:col>1</xdr:col>
      <xdr:colOff>171450</xdr:colOff>
      <xdr:row>174</xdr:row>
      <xdr:rowOff>55421</xdr:rowOff>
    </xdr:from>
    <xdr:to>
      <xdr:col>3</xdr:col>
      <xdr:colOff>1152525</xdr:colOff>
      <xdr:row>184</xdr:row>
      <xdr:rowOff>145843</xdr:rowOff>
    </xdr:to>
    <xdr:pic>
      <xdr:nvPicPr>
        <xdr:cNvPr id="5" name="8 Imagen">
          <a:extLst>
            <a:ext uri="{FF2B5EF4-FFF2-40B4-BE49-F238E27FC236}">
              <a16:creationId xmlns:a16="http://schemas.microsoft.com/office/drawing/2014/main" id="{542B3DB6-187C-4C25-82D9-17BBE8AB782E}"/>
            </a:ext>
          </a:extLst>
        </xdr:cNvPr>
        <xdr:cNvPicPr>
          <a:picLocks noChangeAspect="1"/>
        </xdr:cNvPicPr>
      </xdr:nvPicPr>
      <xdr:blipFill>
        <a:blip xmlns:r="http://schemas.openxmlformats.org/officeDocument/2006/relationships" r:embed="rId21"/>
        <a:stretch>
          <a:fillRect/>
        </a:stretch>
      </xdr:blipFill>
      <xdr:spPr>
        <a:xfrm>
          <a:off x="933450" y="30078221"/>
          <a:ext cx="3810000" cy="1843022"/>
        </a:xfrm>
        <a:prstGeom prst="rect">
          <a:avLst/>
        </a:prstGeom>
      </xdr:spPr>
    </xdr:pic>
    <xdr:clientData/>
  </xdr:twoCellAnchor>
  <xdr:twoCellAnchor editAs="oneCell">
    <xdr:from>
      <xdr:col>1</xdr:col>
      <xdr:colOff>457201</xdr:colOff>
      <xdr:row>215</xdr:row>
      <xdr:rowOff>47626</xdr:rowOff>
    </xdr:from>
    <xdr:to>
      <xdr:col>4</xdr:col>
      <xdr:colOff>180975</xdr:colOff>
      <xdr:row>227</xdr:row>
      <xdr:rowOff>33314</xdr:rowOff>
    </xdr:to>
    <xdr:pic>
      <xdr:nvPicPr>
        <xdr:cNvPr id="8" name="11 Imagen">
          <a:extLst>
            <a:ext uri="{FF2B5EF4-FFF2-40B4-BE49-F238E27FC236}">
              <a16:creationId xmlns:a16="http://schemas.microsoft.com/office/drawing/2014/main" id="{828C146D-F971-44A3-B218-780AAA66A839}"/>
            </a:ext>
          </a:extLst>
        </xdr:cNvPr>
        <xdr:cNvPicPr>
          <a:picLocks noChangeAspect="1"/>
        </xdr:cNvPicPr>
      </xdr:nvPicPr>
      <xdr:blipFill>
        <a:blip xmlns:r="http://schemas.openxmlformats.org/officeDocument/2006/relationships" r:embed="rId22"/>
        <a:stretch>
          <a:fillRect/>
        </a:stretch>
      </xdr:blipFill>
      <xdr:spPr>
        <a:xfrm>
          <a:off x="1219201" y="35080576"/>
          <a:ext cx="3781424" cy="2043088"/>
        </a:xfrm>
        <a:prstGeom prst="rect">
          <a:avLst/>
        </a:prstGeom>
      </xdr:spPr>
    </xdr:pic>
    <xdr:clientData/>
  </xdr:twoCellAnchor>
  <xdr:twoCellAnchor editAs="oneCell">
    <xdr:from>
      <xdr:col>1</xdr:col>
      <xdr:colOff>95250</xdr:colOff>
      <xdr:row>270</xdr:row>
      <xdr:rowOff>0</xdr:rowOff>
    </xdr:from>
    <xdr:to>
      <xdr:col>3</xdr:col>
      <xdr:colOff>978764</xdr:colOff>
      <xdr:row>280</xdr:row>
      <xdr:rowOff>152400</xdr:rowOff>
    </xdr:to>
    <xdr:pic>
      <xdr:nvPicPr>
        <xdr:cNvPr id="10" name="Imagen 9">
          <a:extLst>
            <a:ext uri="{FF2B5EF4-FFF2-40B4-BE49-F238E27FC236}">
              <a16:creationId xmlns:a16="http://schemas.microsoft.com/office/drawing/2014/main" id="{3B609FC5-EE12-B730-424D-5B217CD5A976}"/>
            </a:ext>
          </a:extLst>
        </xdr:cNvPr>
        <xdr:cNvPicPr>
          <a:picLocks noChangeAspect="1"/>
        </xdr:cNvPicPr>
      </xdr:nvPicPr>
      <xdr:blipFill>
        <a:blip xmlns:r="http://schemas.openxmlformats.org/officeDocument/2006/relationships" r:embed="rId23"/>
        <a:stretch>
          <a:fillRect/>
        </a:stretch>
      </xdr:blipFill>
      <xdr:spPr>
        <a:xfrm>
          <a:off x="857250" y="46005750"/>
          <a:ext cx="3712439" cy="1866900"/>
        </a:xfrm>
        <a:prstGeom prst="rect">
          <a:avLst/>
        </a:prstGeom>
      </xdr:spPr>
    </xdr:pic>
    <xdr:clientData/>
  </xdr:twoCellAnchor>
  <xdr:twoCellAnchor editAs="oneCell">
    <xdr:from>
      <xdr:col>1</xdr:col>
      <xdr:colOff>685801</xdr:colOff>
      <xdr:row>186</xdr:row>
      <xdr:rowOff>19050</xdr:rowOff>
    </xdr:from>
    <xdr:to>
      <xdr:col>4</xdr:col>
      <xdr:colOff>241860</xdr:colOff>
      <xdr:row>196</xdr:row>
      <xdr:rowOff>133350</xdr:rowOff>
    </xdr:to>
    <xdr:pic>
      <xdr:nvPicPr>
        <xdr:cNvPr id="11" name="Imagen 10">
          <a:extLst>
            <a:ext uri="{FF2B5EF4-FFF2-40B4-BE49-F238E27FC236}">
              <a16:creationId xmlns:a16="http://schemas.microsoft.com/office/drawing/2014/main" id="{8FE710BF-5C73-559C-9CAB-1407AE12D5C7}"/>
            </a:ext>
          </a:extLst>
        </xdr:cNvPr>
        <xdr:cNvPicPr>
          <a:picLocks noChangeAspect="1"/>
        </xdr:cNvPicPr>
      </xdr:nvPicPr>
      <xdr:blipFill>
        <a:blip xmlns:r="http://schemas.openxmlformats.org/officeDocument/2006/relationships" r:embed="rId24"/>
        <a:stretch>
          <a:fillRect/>
        </a:stretch>
      </xdr:blipFill>
      <xdr:spPr>
        <a:xfrm>
          <a:off x="1447801" y="32137350"/>
          <a:ext cx="3613709" cy="1828800"/>
        </a:xfrm>
        <a:prstGeom prst="rect">
          <a:avLst/>
        </a:prstGeom>
      </xdr:spPr>
    </xdr:pic>
    <xdr:clientData/>
  </xdr:twoCellAnchor>
  <xdr:twoCellAnchor editAs="oneCell">
    <xdr:from>
      <xdr:col>1</xdr:col>
      <xdr:colOff>342900</xdr:colOff>
      <xdr:row>323</xdr:row>
      <xdr:rowOff>47625</xdr:rowOff>
    </xdr:from>
    <xdr:to>
      <xdr:col>4</xdr:col>
      <xdr:colOff>371930</xdr:colOff>
      <xdr:row>337</xdr:row>
      <xdr:rowOff>76201</xdr:rowOff>
    </xdr:to>
    <xdr:pic>
      <xdr:nvPicPr>
        <xdr:cNvPr id="19" name="Imagen 18">
          <a:extLst>
            <a:ext uri="{FF2B5EF4-FFF2-40B4-BE49-F238E27FC236}">
              <a16:creationId xmlns:a16="http://schemas.microsoft.com/office/drawing/2014/main" id="{05B34510-4874-3633-BF8D-F6FFE6508A9B}"/>
            </a:ext>
          </a:extLst>
        </xdr:cNvPr>
        <xdr:cNvPicPr>
          <a:picLocks noChangeAspect="1"/>
        </xdr:cNvPicPr>
      </xdr:nvPicPr>
      <xdr:blipFill>
        <a:blip xmlns:r="http://schemas.openxmlformats.org/officeDocument/2006/relationships" r:embed="rId25"/>
        <a:stretch>
          <a:fillRect/>
        </a:stretch>
      </xdr:blipFill>
      <xdr:spPr>
        <a:xfrm>
          <a:off x="1104900" y="58740675"/>
          <a:ext cx="4086680" cy="242887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190500</xdr:colOff>
      <xdr:row>27</xdr:row>
      <xdr:rowOff>122226</xdr:rowOff>
    </xdr:from>
    <xdr:to>
      <xdr:col>8</xdr:col>
      <xdr:colOff>333375</xdr:colOff>
      <xdr:row>48</xdr:row>
      <xdr:rowOff>85043</xdr:rowOff>
    </xdr:to>
    <xdr:pic>
      <xdr:nvPicPr>
        <xdr:cNvPr id="2" name="Imagen 1">
          <a:extLst>
            <a:ext uri="{FF2B5EF4-FFF2-40B4-BE49-F238E27FC236}">
              <a16:creationId xmlns:a16="http://schemas.microsoft.com/office/drawing/2014/main" id="{38246A6D-943D-77B6-5CC4-670745865614}"/>
            </a:ext>
          </a:extLst>
        </xdr:cNvPr>
        <xdr:cNvPicPr>
          <a:picLocks noChangeAspect="1"/>
        </xdr:cNvPicPr>
      </xdr:nvPicPr>
      <xdr:blipFill>
        <a:blip xmlns:r="http://schemas.openxmlformats.org/officeDocument/2006/relationships" r:embed="rId1"/>
        <a:stretch>
          <a:fillRect/>
        </a:stretch>
      </xdr:blipFill>
      <xdr:spPr>
        <a:xfrm>
          <a:off x="190500" y="11685576"/>
          <a:ext cx="10086975" cy="455386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0</xdr:colOff>
      <xdr:row>40</xdr:row>
      <xdr:rowOff>0</xdr:rowOff>
    </xdr:from>
    <xdr:to>
      <xdr:col>7</xdr:col>
      <xdr:colOff>170589</xdr:colOff>
      <xdr:row>43</xdr:row>
      <xdr:rowOff>133269</xdr:rowOff>
    </xdr:to>
    <xdr:pic>
      <xdr:nvPicPr>
        <xdr:cNvPr id="2" name="Imagen 1">
          <a:extLst>
            <a:ext uri="{FF2B5EF4-FFF2-40B4-BE49-F238E27FC236}">
              <a16:creationId xmlns:a16="http://schemas.microsoft.com/office/drawing/2014/main" id="{A7BFD3F9-8BA9-43D4-AECA-4B1E04E8BE8A}"/>
            </a:ext>
          </a:extLst>
        </xdr:cNvPr>
        <xdr:cNvPicPr>
          <a:picLocks noChangeAspect="1"/>
        </xdr:cNvPicPr>
      </xdr:nvPicPr>
      <xdr:blipFill>
        <a:blip xmlns:r="http://schemas.openxmlformats.org/officeDocument/2006/relationships" r:embed="rId1"/>
        <a:stretch>
          <a:fillRect/>
        </a:stretch>
      </xdr:blipFill>
      <xdr:spPr>
        <a:xfrm>
          <a:off x="1171575" y="11515725"/>
          <a:ext cx="6885714" cy="647619"/>
        </a:xfrm>
        <a:prstGeom prst="rect">
          <a:avLst/>
        </a:prstGeom>
      </xdr:spPr>
    </xdr:pic>
    <xdr:clientData/>
  </xdr:twoCellAnchor>
  <xdr:twoCellAnchor editAs="oneCell">
    <xdr:from>
      <xdr:col>1</xdr:col>
      <xdr:colOff>0</xdr:colOff>
      <xdr:row>71</xdr:row>
      <xdr:rowOff>0</xdr:rowOff>
    </xdr:from>
    <xdr:to>
      <xdr:col>6</xdr:col>
      <xdr:colOff>1046724</xdr:colOff>
      <xdr:row>77</xdr:row>
      <xdr:rowOff>28443</xdr:rowOff>
    </xdr:to>
    <xdr:pic>
      <xdr:nvPicPr>
        <xdr:cNvPr id="3" name="Imagen 2">
          <a:extLst>
            <a:ext uri="{FF2B5EF4-FFF2-40B4-BE49-F238E27FC236}">
              <a16:creationId xmlns:a16="http://schemas.microsoft.com/office/drawing/2014/main" id="{FE7BAC84-A6B2-457A-9EAB-0C8451CB82FF}"/>
            </a:ext>
          </a:extLst>
        </xdr:cNvPr>
        <xdr:cNvPicPr>
          <a:picLocks noChangeAspect="1"/>
        </xdr:cNvPicPr>
      </xdr:nvPicPr>
      <xdr:blipFill>
        <a:blip xmlns:r="http://schemas.openxmlformats.org/officeDocument/2006/relationships" r:embed="rId2"/>
        <a:stretch>
          <a:fillRect/>
        </a:stretch>
      </xdr:blipFill>
      <xdr:spPr>
        <a:xfrm>
          <a:off x="381000" y="26155650"/>
          <a:ext cx="8209524" cy="1057143"/>
        </a:xfrm>
        <a:prstGeom prst="rect">
          <a:avLst/>
        </a:prstGeom>
      </xdr:spPr>
    </xdr:pic>
    <xdr:clientData/>
  </xdr:twoCellAnchor>
  <xdr:twoCellAnchor editAs="oneCell">
    <xdr:from>
      <xdr:col>1</xdr:col>
      <xdr:colOff>0</xdr:colOff>
      <xdr:row>78</xdr:row>
      <xdr:rowOff>0</xdr:rowOff>
    </xdr:from>
    <xdr:to>
      <xdr:col>6</xdr:col>
      <xdr:colOff>1103867</xdr:colOff>
      <xdr:row>84</xdr:row>
      <xdr:rowOff>9395</xdr:rowOff>
    </xdr:to>
    <xdr:pic>
      <xdr:nvPicPr>
        <xdr:cNvPr id="4" name="Imagen 3">
          <a:extLst>
            <a:ext uri="{FF2B5EF4-FFF2-40B4-BE49-F238E27FC236}">
              <a16:creationId xmlns:a16="http://schemas.microsoft.com/office/drawing/2014/main" id="{8B5EDB3D-62B6-4D70-82F7-3853F93DC939}"/>
            </a:ext>
          </a:extLst>
        </xdr:cNvPr>
        <xdr:cNvPicPr>
          <a:picLocks noChangeAspect="1"/>
        </xdr:cNvPicPr>
      </xdr:nvPicPr>
      <xdr:blipFill>
        <a:blip xmlns:r="http://schemas.openxmlformats.org/officeDocument/2006/relationships" r:embed="rId3"/>
        <a:stretch>
          <a:fillRect/>
        </a:stretch>
      </xdr:blipFill>
      <xdr:spPr>
        <a:xfrm>
          <a:off x="381000" y="27289125"/>
          <a:ext cx="8266667" cy="1038095"/>
        </a:xfrm>
        <a:prstGeom prst="rect">
          <a:avLst/>
        </a:prstGeom>
      </xdr:spPr>
    </xdr:pic>
    <xdr:clientData/>
  </xdr:twoCellAnchor>
  <xdr:twoCellAnchor editAs="oneCell">
    <xdr:from>
      <xdr:col>1</xdr:col>
      <xdr:colOff>238124</xdr:colOff>
      <xdr:row>99</xdr:row>
      <xdr:rowOff>107831</xdr:rowOff>
    </xdr:from>
    <xdr:to>
      <xdr:col>4</xdr:col>
      <xdr:colOff>875252</xdr:colOff>
      <xdr:row>108</xdr:row>
      <xdr:rowOff>161621</xdr:rowOff>
    </xdr:to>
    <xdr:pic>
      <xdr:nvPicPr>
        <xdr:cNvPr id="5" name="Imagen 4">
          <a:extLst>
            <a:ext uri="{FF2B5EF4-FFF2-40B4-BE49-F238E27FC236}">
              <a16:creationId xmlns:a16="http://schemas.microsoft.com/office/drawing/2014/main" id="{161108A9-5D9B-4F35-B7C8-B729B55CE8F4}"/>
            </a:ext>
          </a:extLst>
        </xdr:cNvPr>
        <xdr:cNvPicPr>
          <a:picLocks noChangeAspect="1"/>
        </xdr:cNvPicPr>
      </xdr:nvPicPr>
      <xdr:blipFill>
        <a:blip xmlns:r="http://schemas.openxmlformats.org/officeDocument/2006/relationships" r:embed="rId4"/>
        <a:stretch>
          <a:fillRect/>
        </a:stretch>
      </xdr:blipFill>
      <xdr:spPr>
        <a:xfrm>
          <a:off x="619124" y="31768931"/>
          <a:ext cx="5504403" cy="1596840"/>
        </a:xfrm>
        <a:prstGeom prst="rect">
          <a:avLst/>
        </a:prstGeom>
      </xdr:spPr>
    </xdr:pic>
    <xdr:clientData/>
  </xdr:twoCellAnchor>
  <xdr:twoCellAnchor editAs="oneCell">
    <xdr:from>
      <xdr:col>1</xdr:col>
      <xdr:colOff>0</xdr:colOff>
      <xdr:row>113</xdr:row>
      <xdr:rowOff>0</xdr:rowOff>
    </xdr:from>
    <xdr:to>
      <xdr:col>6</xdr:col>
      <xdr:colOff>1138701</xdr:colOff>
      <xdr:row>114</xdr:row>
      <xdr:rowOff>190500</xdr:rowOff>
    </xdr:to>
    <xdr:pic>
      <xdr:nvPicPr>
        <xdr:cNvPr id="6" name="Imagen 5">
          <a:extLst>
            <a:ext uri="{FF2B5EF4-FFF2-40B4-BE49-F238E27FC236}">
              <a16:creationId xmlns:a16="http://schemas.microsoft.com/office/drawing/2014/main" id="{539D7E0A-4D65-4DBF-9077-55B0EFE05B80}"/>
            </a:ext>
          </a:extLst>
        </xdr:cNvPr>
        <xdr:cNvPicPr>
          <a:picLocks noChangeAspect="1"/>
        </xdr:cNvPicPr>
      </xdr:nvPicPr>
      <xdr:blipFill>
        <a:blip xmlns:r="http://schemas.openxmlformats.org/officeDocument/2006/relationships" r:embed="rId5"/>
        <a:stretch>
          <a:fillRect/>
        </a:stretch>
      </xdr:blipFill>
      <xdr:spPr>
        <a:xfrm>
          <a:off x="247650" y="23374350"/>
          <a:ext cx="8301501" cy="6762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56032</xdr:colOff>
      <xdr:row>1</xdr:row>
      <xdr:rowOff>22412</xdr:rowOff>
    </xdr:from>
    <xdr:to>
      <xdr:col>2</xdr:col>
      <xdr:colOff>129541</xdr:colOff>
      <xdr:row>3</xdr:row>
      <xdr:rowOff>209916</xdr:rowOff>
    </xdr:to>
    <xdr:pic>
      <xdr:nvPicPr>
        <xdr:cNvPr id="2" name="Imagen 1" descr="Minjusticia">
          <a:extLst>
            <a:ext uri="{FF2B5EF4-FFF2-40B4-BE49-F238E27FC236}">
              <a16:creationId xmlns:a16="http://schemas.microsoft.com/office/drawing/2014/main" id="{2CBAA665-3E6B-487E-8299-0511B177C4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0332" y="108137"/>
          <a:ext cx="635484" cy="6256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47434</xdr:colOff>
      <xdr:row>5</xdr:row>
      <xdr:rowOff>179615</xdr:rowOff>
    </xdr:from>
    <xdr:to>
      <xdr:col>8</xdr:col>
      <xdr:colOff>0</xdr:colOff>
      <xdr:row>15</xdr:row>
      <xdr:rowOff>665854</xdr:rowOff>
    </xdr:to>
    <xdr:pic>
      <xdr:nvPicPr>
        <xdr:cNvPr id="2" name="Imagen 1">
          <a:extLst>
            <a:ext uri="{FF2B5EF4-FFF2-40B4-BE49-F238E27FC236}">
              <a16:creationId xmlns:a16="http://schemas.microsoft.com/office/drawing/2014/main" id="{4717C606-EF48-4A4D-96C9-FD6998B9F72F}"/>
            </a:ext>
          </a:extLst>
        </xdr:cNvPr>
        <xdr:cNvPicPr>
          <a:picLocks noChangeAspect="1"/>
        </xdr:cNvPicPr>
      </xdr:nvPicPr>
      <xdr:blipFill>
        <a:blip xmlns:r="http://schemas.openxmlformats.org/officeDocument/2006/relationships" r:embed="rId1"/>
        <a:stretch>
          <a:fillRect/>
        </a:stretch>
      </xdr:blipFill>
      <xdr:spPr>
        <a:xfrm>
          <a:off x="47434" y="1132115"/>
          <a:ext cx="5867591" cy="4181939"/>
        </a:xfrm>
        <a:prstGeom prst="rect">
          <a:avLst/>
        </a:prstGeom>
      </xdr:spPr>
    </xdr:pic>
    <xdr:clientData/>
  </xdr:twoCellAnchor>
  <xdr:twoCellAnchor editAs="oneCell">
    <xdr:from>
      <xdr:col>0</xdr:col>
      <xdr:colOff>98534</xdr:colOff>
      <xdr:row>27</xdr:row>
      <xdr:rowOff>123825</xdr:rowOff>
    </xdr:from>
    <xdr:to>
      <xdr:col>7</xdr:col>
      <xdr:colOff>516915</xdr:colOff>
      <xdr:row>39</xdr:row>
      <xdr:rowOff>66325</xdr:rowOff>
    </xdr:to>
    <xdr:pic>
      <xdr:nvPicPr>
        <xdr:cNvPr id="3" name="Imagen 2">
          <a:extLst>
            <a:ext uri="{FF2B5EF4-FFF2-40B4-BE49-F238E27FC236}">
              <a16:creationId xmlns:a16="http://schemas.microsoft.com/office/drawing/2014/main" id="{015A81D2-178B-4B0C-92FB-D74FE7EB6145}"/>
            </a:ext>
          </a:extLst>
        </xdr:cNvPr>
        <xdr:cNvPicPr>
          <a:picLocks noChangeAspect="1"/>
        </xdr:cNvPicPr>
      </xdr:nvPicPr>
      <xdr:blipFill>
        <a:blip xmlns:r="http://schemas.openxmlformats.org/officeDocument/2006/relationships" r:embed="rId2"/>
        <a:stretch>
          <a:fillRect/>
        </a:stretch>
      </xdr:blipFill>
      <xdr:spPr>
        <a:xfrm>
          <a:off x="98534" y="7562850"/>
          <a:ext cx="5752381" cy="2809525"/>
        </a:xfrm>
        <a:prstGeom prst="rect">
          <a:avLst/>
        </a:prstGeom>
      </xdr:spPr>
    </xdr:pic>
    <xdr:clientData/>
  </xdr:twoCellAnchor>
  <xdr:twoCellAnchor editAs="oneCell">
    <xdr:from>
      <xdr:col>0</xdr:col>
      <xdr:colOff>103225</xdr:colOff>
      <xdr:row>39</xdr:row>
      <xdr:rowOff>10558</xdr:rowOff>
    </xdr:from>
    <xdr:to>
      <xdr:col>7</xdr:col>
      <xdr:colOff>483511</xdr:colOff>
      <xdr:row>54</xdr:row>
      <xdr:rowOff>560143</xdr:rowOff>
    </xdr:to>
    <xdr:pic>
      <xdr:nvPicPr>
        <xdr:cNvPr id="4" name="Imagen 3">
          <a:extLst>
            <a:ext uri="{FF2B5EF4-FFF2-40B4-BE49-F238E27FC236}">
              <a16:creationId xmlns:a16="http://schemas.microsoft.com/office/drawing/2014/main" id="{8467560C-C085-42C5-A3A9-50FBCD8B3CBC}"/>
            </a:ext>
          </a:extLst>
        </xdr:cNvPr>
        <xdr:cNvPicPr>
          <a:picLocks noChangeAspect="1"/>
        </xdr:cNvPicPr>
      </xdr:nvPicPr>
      <xdr:blipFill>
        <a:blip xmlns:r="http://schemas.openxmlformats.org/officeDocument/2006/relationships" r:embed="rId3"/>
        <a:stretch>
          <a:fillRect/>
        </a:stretch>
      </xdr:blipFill>
      <xdr:spPr>
        <a:xfrm>
          <a:off x="103225" y="10316608"/>
          <a:ext cx="5714286" cy="4369110"/>
        </a:xfrm>
        <a:prstGeom prst="rect">
          <a:avLst/>
        </a:prstGeom>
      </xdr:spPr>
    </xdr:pic>
    <xdr:clientData/>
  </xdr:twoCellAnchor>
  <xdr:twoCellAnchor editAs="oneCell">
    <xdr:from>
      <xdr:col>0</xdr:col>
      <xdr:colOff>183932</xdr:colOff>
      <xdr:row>54</xdr:row>
      <xdr:rowOff>601388</xdr:rowOff>
    </xdr:from>
    <xdr:to>
      <xdr:col>7</xdr:col>
      <xdr:colOff>354694</xdr:colOff>
      <xdr:row>58</xdr:row>
      <xdr:rowOff>1602914</xdr:rowOff>
    </xdr:to>
    <xdr:pic>
      <xdr:nvPicPr>
        <xdr:cNvPr id="5" name="Imagen 4">
          <a:extLst>
            <a:ext uri="{FF2B5EF4-FFF2-40B4-BE49-F238E27FC236}">
              <a16:creationId xmlns:a16="http://schemas.microsoft.com/office/drawing/2014/main" id="{3724885D-C59C-41BD-8288-9538D8202BEE}"/>
            </a:ext>
          </a:extLst>
        </xdr:cNvPr>
        <xdr:cNvPicPr>
          <a:picLocks noChangeAspect="1"/>
        </xdr:cNvPicPr>
      </xdr:nvPicPr>
      <xdr:blipFill>
        <a:blip xmlns:r="http://schemas.openxmlformats.org/officeDocument/2006/relationships" r:embed="rId4"/>
        <a:stretch>
          <a:fillRect/>
        </a:stretch>
      </xdr:blipFill>
      <xdr:spPr>
        <a:xfrm>
          <a:off x="183932" y="14726963"/>
          <a:ext cx="5504762" cy="4563876"/>
        </a:xfrm>
        <a:prstGeom prst="rect">
          <a:avLst/>
        </a:prstGeom>
      </xdr:spPr>
    </xdr:pic>
    <xdr:clientData/>
  </xdr:twoCellAnchor>
  <xdr:twoCellAnchor editAs="oneCell">
    <xdr:from>
      <xdr:col>0</xdr:col>
      <xdr:colOff>186887</xdr:colOff>
      <xdr:row>58</xdr:row>
      <xdr:rowOff>1569984</xdr:rowOff>
    </xdr:from>
    <xdr:to>
      <xdr:col>7</xdr:col>
      <xdr:colOff>348125</xdr:colOff>
      <xdr:row>62</xdr:row>
      <xdr:rowOff>63623</xdr:rowOff>
    </xdr:to>
    <xdr:pic>
      <xdr:nvPicPr>
        <xdr:cNvPr id="6" name="Imagen 5">
          <a:extLst>
            <a:ext uri="{FF2B5EF4-FFF2-40B4-BE49-F238E27FC236}">
              <a16:creationId xmlns:a16="http://schemas.microsoft.com/office/drawing/2014/main" id="{EBDE7308-07CA-4E18-A61D-864FCE745E39}"/>
            </a:ext>
          </a:extLst>
        </xdr:cNvPr>
        <xdr:cNvPicPr>
          <a:picLocks noChangeAspect="1"/>
        </xdr:cNvPicPr>
      </xdr:nvPicPr>
      <xdr:blipFill rotWithShape="1">
        <a:blip xmlns:r="http://schemas.openxmlformats.org/officeDocument/2006/relationships" r:embed="rId5"/>
        <a:srcRect t="1609"/>
        <a:stretch/>
      </xdr:blipFill>
      <xdr:spPr>
        <a:xfrm>
          <a:off x="186887" y="19257909"/>
          <a:ext cx="5495238" cy="3351389"/>
        </a:xfrm>
        <a:prstGeom prst="rect">
          <a:avLst/>
        </a:prstGeom>
      </xdr:spPr>
    </xdr:pic>
    <xdr:clientData/>
  </xdr:twoCellAnchor>
  <xdr:twoCellAnchor editAs="oneCell">
    <xdr:from>
      <xdr:col>0</xdr:col>
      <xdr:colOff>216776</xdr:colOff>
      <xdr:row>65</xdr:row>
      <xdr:rowOff>26296</xdr:rowOff>
    </xdr:from>
    <xdr:to>
      <xdr:col>7</xdr:col>
      <xdr:colOff>378014</xdr:colOff>
      <xdr:row>74</xdr:row>
      <xdr:rowOff>476521</xdr:rowOff>
    </xdr:to>
    <xdr:pic>
      <xdr:nvPicPr>
        <xdr:cNvPr id="7" name="Imagen 6">
          <a:extLst>
            <a:ext uri="{FF2B5EF4-FFF2-40B4-BE49-F238E27FC236}">
              <a16:creationId xmlns:a16="http://schemas.microsoft.com/office/drawing/2014/main" id="{F020F6C6-183C-4923-9137-55F2B1362846}"/>
            </a:ext>
          </a:extLst>
        </xdr:cNvPr>
        <xdr:cNvPicPr>
          <a:picLocks noChangeAspect="1"/>
        </xdr:cNvPicPr>
      </xdr:nvPicPr>
      <xdr:blipFill rotWithShape="1">
        <a:blip xmlns:r="http://schemas.openxmlformats.org/officeDocument/2006/relationships" r:embed="rId6"/>
        <a:srcRect b="1346"/>
        <a:stretch/>
      </xdr:blipFill>
      <xdr:spPr>
        <a:xfrm>
          <a:off x="216776" y="25905721"/>
          <a:ext cx="5495238" cy="4660275"/>
        </a:xfrm>
        <a:prstGeom prst="rect">
          <a:avLst/>
        </a:prstGeom>
      </xdr:spPr>
    </xdr:pic>
    <xdr:clientData/>
  </xdr:twoCellAnchor>
  <xdr:twoCellAnchor editAs="oneCell">
    <xdr:from>
      <xdr:col>0</xdr:col>
      <xdr:colOff>208666</xdr:colOff>
      <xdr:row>75</xdr:row>
      <xdr:rowOff>17179</xdr:rowOff>
    </xdr:from>
    <xdr:to>
      <xdr:col>7</xdr:col>
      <xdr:colOff>369904</xdr:colOff>
      <xdr:row>81</xdr:row>
      <xdr:rowOff>244721</xdr:rowOff>
    </xdr:to>
    <xdr:pic>
      <xdr:nvPicPr>
        <xdr:cNvPr id="8" name="Imagen 7">
          <a:extLst>
            <a:ext uri="{FF2B5EF4-FFF2-40B4-BE49-F238E27FC236}">
              <a16:creationId xmlns:a16="http://schemas.microsoft.com/office/drawing/2014/main" id="{8D083744-FF47-47EF-8BBE-C0D3BD37478C}"/>
            </a:ext>
          </a:extLst>
        </xdr:cNvPr>
        <xdr:cNvPicPr>
          <a:picLocks noChangeAspect="1"/>
        </xdr:cNvPicPr>
      </xdr:nvPicPr>
      <xdr:blipFill rotWithShape="1">
        <a:blip xmlns:r="http://schemas.openxmlformats.org/officeDocument/2006/relationships" r:embed="rId7"/>
        <a:srcRect t="2006"/>
        <a:stretch/>
      </xdr:blipFill>
      <xdr:spPr>
        <a:xfrm>
          <a:off x="208666" y="30592429"/>
          <a:ext cx="5495238" cy="2980267"/>
        </a:xfrm>
        <a:prstGeom prst="rect">
          <a:avLst/>
        </a:prstGeom>
      </xdr:spPr>
    </xdr:pic>
    <xdr:clientData/>
  </xdr:twoCellAnchor>
  <xdr:twoCellAnchor editAs="oneCell">
    <xdr:from>
      <xdr:col>0</xdr:col>
      <xdr:colOff>203636</xdr:colOff>
      <xdr:row>81</xdr:row>
      <xdr:rowOff>219809</xdr:rowOff>
    </xdr:from>
    <xdr:to>
      <xdr:col>7</xdr:col>
      <xdr:colOff>383922</xdr:colOff>
      <xdr:row>94</xdr:row>
      <xdr:rowOff>107848</xdr:rowOff>
    </xdr:to>
    <xdr:pic>
      <xdr:nvPicPr>
        <xdr:cNvPr id="9" name="Imagen 8">
          <a:extLst>
            <a:ext uri="{FF2B5EF4-FFF2-40B4-BE49-F238E27FC236}">
              <a16:creationId xmlns:a16="http://schemas.microsoft.com/office/drawing/2014/main" id="{FD917CB6-754D-41EE-A062-63927943B92A}"/>
            </a:ext>
          </a:extLst>
        </xdr:cNvPr>
        <xdr:cNvPicPr>
          <a:picLocks noChangeAspect="1"/>
        </xdr:cNvPicPr>
      </xdr:nvPicPr>
      <xdr:blipFill>
        <a:blip xmlns:r="http://schemas.openxmlformats.org/officeDocument/2006/relationships" r:embed="rId8"/>
        <a:stretch>
          <a:fillRect/>
        </a:stretch>
      </xdr:blipFill>
      <xdr:spPr>
        <a:xfrm>
          <a:off x="203636" y="33547784"/>
          <a:ext cx="5514286" cy="4745789"/>
        </a:xfrm>
        <a:prstGeom prst="rect">
          <a:avLst/>
        </a:prstGeom>
      </xdr:spPr>
    </xdr:pic>
    <xdr:clientData/>
  </xdr:twoCellAnchor>
  <xdr:twoCellAnchor editAs="oneCell">
    <xdr:from>
      <xdr:col>0</xdr:col>
      <xdr:colOff>212482</xdr:colOff>
      <xdr:row>94</xdr:row>
      <xdr:rowOff>47498</xdr:rowOff>
    </xdr:from>
    <xdr:to>
      <xdr:col>7</xdr:col>
      <xdr:colOff>392768</xdr:colOff>
      <xdr:row>102</xdr:row>
      <xdr:rowOff>297705</xdr:rowOff>
    </xdr:to>
    <xdr:pic>
      <xdr:nvPicPr>
        <xdr:cNvPr id="10" name="Imagen 9">
          <a:extLst>
            <a:ext uri="{FF2B5EF4-FFF2-40B4-BE49-F238E27FC236}">
              <a16:creationId xmlns:a16="http://schemas.microsoft.com/office/drawing/2014/main" id="{D2A0716B-4FD4-4180-85B3-FFFFCA8E35B2}"/>
            </a:ext>
          </a:extLst>
        </xdr:cNvPr>
        <xdr:cNvPicPr>
          <a:picLocks noChangeAspect="1"/>
        </xdr:cNvPicPr>
      </xdr:nvPicPr>
      <xdr:blipFill>
        <a:blip xmlns:r="http://schemas.openxmlformats.org/officeDocument/2006/relationships" r:embed="rId9"/>
        <a:stretch>
          <a:fillRect/>
        </a:stretch>
      </xdr:blipFill>
      <xdr:spPr>
        <a:xfrm>
          <a:off x="212482" y="38233223"/>
          <a:ext cx="5514286" cy="3002932"/>
        </a:xfrm>
        <a:prstGeom prst="rect">
          <a:avLst/>
        </a:prstGeom>
      </xdr:spPr>
    </xdr:pic>
    <xdr:clientData/>
  </xdr:twoCellAnchor>
  <xdr:twoCellAnchor editAs="oneCell">
    <xdr:from>
      <xdr:col>0</xdr:col>
      <xdr:colOff>218290</xdr:colOff>
      <xdr:row>102</xdr:row>
      <xdr:rowOff>254422</xdr:rowOff>
    </xdr:from>
    <xdr:to>
      <xdr:col>7</xdr:col>
      <xdr:colOff>360480</xdr:colOff>
      <xdr:row>109</xdr:row>
      <xdr:rowOff>163972</xdr:rowOff>
    </xdr:to>
    <xdr:pic>
      <xdr:nvPicPr>
        <xdr:cNvPr id="11" name="Imagen 10">
          <a:extLst>
            <a:ext uri="{FF2B5EF4-FFF2-40B4-BE49-F238E27FC236}">
              <a16:creationId xmlns:a16="http://schemas.microsoft.com/office/drawing/2014/main" id="{2FB77352-2A1F-4F28-A57E-ADEF81B30FDD}"/>
            </a:ext>
          </a:extLst>
        </xdr:cNvPr>
        <xdr:cNvPicPr>
          <a:picLocks noChangeAspect="1"/>
        </xdr:cNvPicPr>
      </xdr:nvPicPr>
      <xdr:blipFill rotWithShape="1">
        <a:blip xmlns:r="http://schemas.openxmlformats.org/officeDocument/2006/relationships" r:embed="rId10"/>
        <a:srcRect b="1406"/>
        <a:stretch/>
      </xdr:blipFill>
      <xdr:spPr>
        <a:xfrm>
          <a:off x="218290" y="41192872"/>
          <a:ext cx="5476190" cy="4662525"/>
        </a:xfrm>
        <a:prstGeom prst="rect">
          <a:avLst/>
        </a:prstGeom>
      </xdr:spPr>
    </xdr:pic>
    <xdr:clientData/>
  </xdr:twoCellAnchor>
  <xdr:twoCellAnchor editAs="oneCell">
    <xdr:from>
      <xdr:col>0</xdr:col>
      <xdr:colOff>211722</xdr:colOff>
      <xdr:row>109</xdr:row>
      <xdr:rowOff>153864</xdr:rowOff>
    </xdr:from>
    <xdr:to>
      <xdr:col>7</xdr:col>
      <xdr:colOff>382484</xdr:colOff>
      <xdr:row>123</xdr:row>
      <xdr:rowOff>124361</xdr:rowOff>
    </xdr:to>
    <xdr:pic>
      <xdr:nvPicPr>
        <xdr:cNvPr id="12" name="Imagen 11">
          <a:extLst>
            <a:ext uri="{FF2B5EF4-FFF2-40B4-BE49-F238E27FC236}">
              <a16:creationId xmlns:a16="http://schemas.microsoft.com/office/drawing/2014/main" id="{CA384973-1330-4A16-BDCA-1545FB1799FA}"/>
            </a:ext>
          </a:extLst>
        </xdr:cNvPr>
        <xdr:cNvPicPr>
          <a:picLocks noChangeAspect="1"/>
        </xdr:cNvPicPr>
      </xdr:nvPicPr>
      <xdr:blipFill rotWithShape="1">
        <a:blip xmlns:r="http://schemas.openxmlformats.org/officeDocument/2006/relationships" r:embed="rId11"/>
        <a:srcRect t="16354" b="1"/>
        <a:stretch/>
      </xdr:blipFill>
      <xdr:spPr>
        <a:xfrm>
          <a:off x="211722" y="45845289"/>
          <a:ext cx="5504762" cy="2647022"/>
        </a:xfrm>
        <a:prstGeom prst="rect">
          <a:avLst/>
        </a:prstGeom>
      </xdr:spPr>
    </xdr:pic>
    <xdr:clientData/>
  </xdr:twoCellAnchor>
  <xdr:twoCellAnchor editAs="oneCell">
    <xdr:from>
      <xdr:col>0</xdr:col>
      <xdr:colOff>115210</xdr:colOff>
      <xdr:row>124</xdr:row>
      <xdr:rowOff>121523</xdr:rowOff>
    </xdr:from>
    <xdr:to>
      <xdr:col>7</xdr:col>
      <xdr:colOff>437089</xdr:colOff>
      <xdr:row>132</xdr:row>
      <xdr:rowOff>7047</xdr:rowOff>
    </xdr:to>
    <xdr:pic>
      <xdr:nvPicPr>
        <xdr:cNvPr id="13" name="Imagen 12">
          <a:extLst>
            <a:ext uri="{FF2B5EF4-FFF2-40B4-BE49-F238E27FC236}">
              <a16:creationId xmlns:a16="http://schemas.microsoft.com/office/drawing/2014/main" id="{0359F152-BFB2-4E6E-A865-F35FC70DE77A}"/>
            </a:ext>
          </a:extLst>
        </xdr:cNvPr>
        <xdr:cNvPicPr>
          <a:picLocks noChangeAspect="1"/>
        </xdr:cNvPicPr>
      </xdr:nvPicPr>
      <xdr:blipFill rotWithShape="1">
        <a:blip xmlns:r="http://schemas.openxmlformats.org/officeDocument/2006/relationships" r:embed="rId12"/>
        <a:srcRect r="2804"/>
        <a:stretch/>
      </xdr:blipFill>
      <xdr:spPr>
        <a:xfrm>
          <a:off x="115210" y="48679973"/>
          <a:ext cx="5655879" cy="1409524"/>
        </a:xfrm>
        <a:prstGeom prst="rect">
          <a:avLst/>
        </a:prstGeom>
      </xdr:spPr>
    </xdr:pic>
    <xdr:clientData/>
  </xdr:twoCellAnchor>
  <xdr:twoCellAnchor editAs="oneCell">
    <xdr:from>
      <xdr:col>0</xdr:col>
      <xdr:colOff>141485</xdr:colOff>
      <xdr:row>132</xdr:row>
      <xdr:rowOff>56087</xdr:rowOff>
    </xdr:from>
    <xdr:to>
      <xdr:col>7</xdr:col>
      <xdr:colOff>540818</xdr:colOff>
      <xdr:row>151</xdr:row>
      <xdr:rowOff>642430</xdr:rowOff>
    </xdr:to>
    <xdr:pic>
      <xdr:nvPicPr>
        <xdr:cNvPr id="14" name="Imagen 13">
          <a:extLst>
            <a:ext uri="{FF2B5EF4-FFF2-40B4-BE49-F238E27FC236}">
              <a16:creationId xmlns:a16="http://schemas.microsoft.com/office/drawing/2014/main" id="{34645E56-7959-4CF3-92E2-64DE182FFC27}"/>
            </a:ext>
          </a:extLst>
        </xdr:cNvPr>
        <xdr:cNvPicPr>
          <a:picLocks noChangeAspect="1"/>
        </xdr:cNvPicPr>
      </xdr:nvPicPr>
      <xdr:blipFill>
        <a:blip xmlns:r="http://schemas.openxmlformats.org/officeDocument/2006/relationships" r:embed="rId13"/>
        <a:stretch>
          <a:fillRect/>
        </a:stretch>
      </xdr:blipFill>
      <xdr:spPr>
        <a:xfrm>
          <a:off x="141485" y="50138537"/>
          <a:ext cx="5733333" cy="4358243"/>
        </a:xfrm>
        <a:prstGeom prst="rect">
          <a:avLst/>
        </a:prstGeom>
      </xdr:spPr>
    </xdr:pic>
    <xdr:clientData/>
  </xdr:twoCellAnchor>
  <xdr:twoCellAnchor editAs="oneCell">
    <xdr:from>
      <xdr:col>0</xdr:col>
      <xdr:colOff>62406</xdr:colOff>
      <xdr:row>152</xdr:row>
      <xdr:rowOff>48276</xdr:rowOff>
    </xdr:from>
    <xdr:to>
      <xdr:col>7</xdr:col>
      <xdr:colOff>542192</xdr:colOff>
      <xdr:row>171</xdr:row>
      <xdr:rowOff>47017</xdr:rowOff>
    </xdr:to>
    <xdr:pic>
      <xdr:nvPicPr>
        <xdr:cNvPr id="15" name="Imagen 14">
          <a:extLst>
            <a:ext uri="{FF2B5EF4-FFF2-40B4-BE49-F238E27FC236}">
              <a16:creationId xmlns:a16="http://schemas.microsoft.com/office/drawing/2014/main" id="{FB64DD56-6EB5-4CBC-95C5-356626DC7893}"/>
            </a:ext>
          </a:extLst>
        </xdr:cNvPr>
        <xdr:cNvPicPr>
          <a:picLocks noChangeAspect="1"/>
        </xdr:cNvPicPr>
      </xdr:nvPicPr>
      <xdr:blipFill>
        <a:blip xmlns:r="http://schemas.openxmlformats.org/officeDocument/2006/relationships" r:embed="rId14"/>
        <a:stretch>
          <a:fillRect/>
        </a:stretch>
      </xdr:blipFill>
      <xdr:spPr>
        <a:xfrm>
          <a:off x="62406" y="54550326"/>
          <a:ext cx="5813786" cy="4227841"/>
        </a:xfrm>
        <a:prstGeom prst="rect">
          <a:avLst/>
        </a:prstGeom>
      </xdr:spPr>
    </xdr:pic>
    <xdr:clientData/>
  </xdr:twoCellAnchor>
  <xdr:twoCellAnchor editAs="oneCell">
    <xdr:from>
      <xdr:col>0</xdr:col>
      <xdr:colOff>129105</xdr:colOff>
      <xdr:row>171</xdr:row>
      <xdr:rowOff>88427</xdr:rowOff>
    </xdr:from>
    <xdr:to>
      <xdr:col>7</xdr:col>
      <xdr:colOff>385581</xdr:colOff>
      <xdr:row>186</xdr:row>
      <xdr:rowOff>309978</xdr:rowOff>
    </xdr:to>
    <xdr:pic>
      <xdr:nvPicPr>
        <xdr:cNvPr id="16" name="Imagen 15">
          <a:extLst>
            <a:ext uri="{FF2B5EF4-FFF2-40B4-BE49-F238E27FC236}">
              <a16:creationId xmlns:a16="http://schemas.microsoft.com/office/drawing/2014/main" id="{82B16BB9-8944-4C6F-A9AF-88119334DA5E}"/>
            </a:ext>
          </a:extLst>
        </xdr:cNvPr>
        <xdr:cNvPicPr>
          <a:picLocks noChangeAspect="1"/>
        </xdr:cNvPicPr>
      </xdr:nvPicPr>
      <xdr:blipFill>
        <a:blip xmlns:r="http://schemas.openxmlformats.org/officeDocument/2006/relationships" r:embed="rId15"/>
        <a:stretch>
          <a:fillRect/>
        </a:stretch>
      </xdr:blipFill>
      <xdr:spPr>
        <a:xfrm>
          <a:off x="129105" y="58819577"/>
          <a:ext cx="5590476" cy="3631501"/>
        </a:xfrm>
        <a:prstGeom prst="rect">
          <a:avLst/>
        </a:prstGeom>
      </xdr:spPr>
    </xdr:pic>
    <xdr:clientData/>
  </xdr:twoCellAnchor>
  <xdr:twoCellAnchor editAs="oneCell">
    <xdr:from>
      <xdr:col>0</xdr:col>
      <xdr:colOff>235147</xdr:colOff>
      <xdr:row>186</xdr:row>
      <xdr:rowOff>122679</xdr:rowOff>
    </xdr:from>
    <xdr:to>
      <xdr:col>7</xdr:col>
      <xdr:colOff>398433</xdr:colOff>
      <xdr:row>199</xdr:row>
      <xdr:rowOff>84916</xdr:rowOff>
    </xdr:to>
    <xdr:pic>
      <xdr:nvPicPr>
        <xdr:cNvPr id="17" name="Imagen 16">
          <a:extLst>
            <a:ext uri="{FF2B5EF4-FFF2-40B4-BE49-F238E27FC236}">
              <a16:creationId xmlns:a16="http://schemas.microsoft.com/office/drawing/2014/main" id="{75A98971-577B-40E0-B689-C42C6733B894}"/>
            </a:ext>
          </a:extLst>
        </xdr:cNvPr>
        <xdr:cNvPicPr>
          <a:picLocks noChangeAspect="1"/>
        </xdr:cNvPicPr>
      </xdr:nvPicPr>
      <xdr:blipFill rotWithShape="1">
        <a:blip xmlns:r="http://schemas.openxmlformats.org/officeDocument/2006/relationships" r:embed="rId16"/>
        <a:srcRect r="3957"/>
        <a:stretch/>
      </xdr:blipFill>
      <xdr:spPr>
        <a:xfrm>
          <a:off x="235147" y="62263779"/>
          <a:ext cx="5497286" cy="3172162"/>
        </a:xfrm>
        <a:prstGeom prst="rect">
          <a:avLst/>
        </a:prstGeom>
      </xdr:spPr>
    </xdr:pic>
    <xdr:clientData/>
  </xdr:twoCellAnchor>
  <xdr:twoCellAnchor>
    <xdr:from>
      <xdr:col>1</xdr:col>
      <xdr:colOff>328448</xdr:colOff>
      <xdr:row>8</xdr:row>
      <xdr:rowOff>400706</xdr:rowOff>
    </xdr:from>
    <xdr:to>
      <xdr:col>7</xdr:col>
      <xdr:colOff>446690</xdr:colOff>
      <xdr:row>9</xdr:row>
      <xdr:rowOff>157655</xdr:rowOff>
    </xdr:to>
    <xdr:sp macro="" textlink="">
      <xdr:nvSpPr>
        <xdr:cNvPr id="18" name="17 Rectángulo">
          <a:extLst>
            <a:ext uri="{FF2B5EF4-FFF2-40B4-BE49-F238E27FC236}">
              <a16:creationId xmlns:a16="http://schemas.microsoft.com/office/drawing/2014/main" id="{AA6E621C-D5B5-4D5F-AE59-E03C2B96F2FB}"/>
            </a:ext>
          </a:extLst>
        </xdr:cNvPr>
        <xdr:cNvSpPr/>
      </xdr:nvSpPr>
      <xdr:spPr>
        <a:xfrm>
          <a:off x="1090448" y="1934231"/>
          <a:ext cx="4690242" cy="252249"/>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329762</xdr:colOff>
      <xdr:row>9</xdr:row>
      <xdr:rowOff>191813</xdr:rowOff>
    </xdr:from>
    <xdr:to>
      <xdr:col>7</xdr:col>
      <xdr:colOff>448004</xdr:colOff>
      <xdr:row>10</xdr:row>
      <xdr:rowOff>6569</xdr:rowOff>
    </xdr:to>
    <xdr:sp macro="" textlink="">
      <xdr:nvSpPr>
        <xdr:cNvPr id="19" name="18 Rectángulo">
          <a:extLst>
            <a:ext uri="{FF2B5EF4-FFF2-40B4-BE49-F238E27FC236}">
              <a16:creationId xmlns:a16="http://schemas.microsoft.com/office/drawing/2014/main" id="{E8F452D9-9979-42B7-96EF-B6C8FFB1C324}"/>
            </a:ext>
          </a:extLst>
        </xdr:cNvPr>
        <xdr:cNvSpPr/>
      </xdr:nvSpPr>
      <xdr:spPr>
        <a:xfrm>
          <a:off x="1091762" y="2220638"/>
          <a:ext cx="4690242" cy="329106"/>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337645</xdr:colOff>
      <xdr:row>10</xdr:row>
      <xdr:rowOff>35470</xdr:rowOff>
    </xdr:from>
    <xdr:to>
      <xdr:col>7</xdr:col>
      <xdr:colOff>455887</xdr:colOff>
      <xdr:row>10</xdr:row>
      <xdr:rowOff>275896</xdr:rowOff>
    </xdr:to>
    <xdr:sp macro="" textlink="">
      <xdr:nvSpPr>
        <xdr:cNvPr id="20" name="19 Rectángulo">
          <a:extLst>
            <a:ext uri="{FF2B5EF4-FFF2-40B4-BE49-F238E27FC236}">
              <a16:creationId xmlns:a16="http://schemas.microsoft.com/office/drawing/2014/main" id="{85680AF4-4999-476B-9991-83B8962719B9}"/>
            </a:ext>
          </a:extLst>
        </xdr:cNvPr>
        <xdr:cNvSpPr/>
      </xdr:nvSpPr>
      <xdr:spPr>
        <a:xfrm>
          <a:off x="1099645" y="2578645"/>
          <a:ext cx="4690242" cy="240426"/>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338958</xdr:colOff>
      <xdr:row>10</xdr:row>
      <xdr:rowOff>279837</xdr:rowOff>
    </xdr:from>
    <xdr:to>
      <xdr:col>7</xdr:col>
      <xdr:colOff>457200</xdr:colOff>
      <xdr:row>10</xdr:row>
      <xdr:rowOff>466397</xdr:rowOff>
    </xdr:to>
    <xdr:sp macro="" textlink="">
      <xdr:nvSpPr>
        <xdr:cNvPr id="21" name="20 Rectángulo">
          <a:extLst>
            <a:ext uri="{FF2B5EF4-FFF2-40B4-BE49-F238E27FC236}">
              <a16:creationId xmlns:a16="http://schemas.microsoft.com/office/drawing/2014/main" id="{5E9A7CF4-2B16-47D7-A629-862A19024652}"/>
            </a:ext>
          </a:extLst>
        </xdr:cNvPr>
        <xdr:cNvSpPr/>
      </xdr:nvSpPr>
      <xdr:spPr>
        <a:xfrm>
          <a:off x="1100958" y="2823012"/>
          <a:ext cx="4690242" cy="18656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340272</xdr:colOff>
      <xdr:row>10</xdr:row>
      <xdr:rowOff>484788</xdr:rowOff>
    </xdr:from>
    <xdr:to>
      <xdr:col>7</xdr:col>
      <xdr:colOff>458514</xdr:colOff>
      <xdr:row>11</xdr:row>
      <xdr:rowOff>0</xdr:rowOff>
    </xdr:to>
    <xdr:sp macro="" textlink="">
      <xdr:nvSpPr>
        <xdr:cNvPr id="22" name="21 Rectángulo">
          <a:extLst>
            <a:ext uri="{FF2B5EF4-FFF2-40B4-BE49-F238E27FC236}">
              <a16:creationId xmlns:a16="http://schemas.microsoft.com/office/drawing/2014/main" id="{99EAAC52-9450-4422-A380-C57FB8657543}"/>
            </a:ext>
          </a:extLst>
        </xdr:cNvPr>
        <xdr:cNvSpPr/>
      </xdr:nvSpPr>
      <xdr:spPr>
        <a:xfrm>
          <a:off x="1102272" y="3027963"/>
          <a:ext cx="4690242" cy="162912"/>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348155</xdr:colOff>
      <xdr:row>11</xdr:row>
      <xdr:rowOff>26275</xdr:rowOff>
    </xdr:from>
    <xdr:to>
      <xdr:col>7</xdr:col>
      <xdr:colOff>466397</xdr:colOff>
      <xdr:row>11</xdr:row>
      <xdr:rowOff>361293</xdr:rowOff>
    </xdr:to>
    <xdr:sp macro="" textlink="">
      <xdr:nvSpPr>
        <xdr:cNvPr id="23" name="22 Rectángulo">
          <a:extLst>
            <a:ext uri="{FF2B5EF4-FFF2-40B4-BE49-F238E27FC236}">
              <a16:creationId xmlns:a16="http://schemas.microsoft.com/office/drawing/2014/main" id="{83A7CDA6-E79F-47E2-B3C1-0115AEAB1250}"/>
            </a:ext>
          </a:extLst>
        </xdr:cNvPr>
        <xdr:cNvSpPr/>
      </xdr:nvSpPr>
      <xdr:spPr>
        <a:xfrm>
          <a:off x="1110155" y="3217150"/>
          <a:ext cx="4690242" cy="335018"/>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356038</xdr:colOff>
      <xdr:row>11</xdr:row>
      <xdr:rowOff>402019</xdr:rowOff>
    </xdr:from>
    <xdr:to>
      <xdr:col>7</xdr:col>
      <xdr:colOff>474280</xdr:colOff>
      <xdr:row>13</xdr:row>
      <xdr:rowOff>13137</xdr:rowOff>
    </xdr:to>
    <xdr:sp macro="" textlink="">
      <xdr:nvSpPr>
        <xdr:cNvPr id="24" name="23 Rectángulo">
          <a:extLst>
            <a:ext uri="{FF2B5EF4-FFF2-40B4-BE49-F238E27FC236}">
              <a16:creationId xmlns:a16="http://schemas.microsoft.com/office/drawing/2014/main" id="{C9489857-E2D0-4AC6-85EE-2D4FF9B4CC85}"/>
            </a:ext>
          </a:extLst>
        </xdr:cNvPr>
        <xdr:cNvSpPr/>
      </xdr:nvSpPr>
      <xdr:spPr>
        <a:xfrm>
          <a:off x="1118038" y="3592894"/>
          <a:ext cx="4690242" cy="420743"/>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357351</xdr:colOff>
      <xdr:row>13</xdr:row>
      <xdr:rowOff>55178</xdr:rowOff>
    </xdr:from>
    <xdr:to>
      <xdr:col>7</xdr:col>
      <xdr:colOff>475593</xdr:colOff>
      <xdr:row>14</xdr:row>
      <xdr:rowOff>52553</xdr:rowOff>
    </xdr:to>
    <xdr:sp macro="" textlink="">
      <xdr:nvSpPr>
        <xdr:cNvPr id="25" name="24 Rectángulo">
          <a:extLst>
            <a:ext uri="{FF2B5EF4-FFF2-40B4-BE49-F238E27FC236}">
              <a16:creationId xmlns:a16="http://schemas.microsoft.com/office/drawing/2014/main" id="{01AF0A8D-B80C-4D24-851D-6DCE4B182A73}"/>
            </a:ext>
          </a:extLst>
        </xdr:cNvPr>
        <xdr:cNvSpPr/>
      </xdr:nvSpPr>
      <xdr:spPr>
        <a:xfrm>
          <a:off x="1119351" y="4055678"/>
          <a:ext cx="4690242" cy="32122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352096</xdr:colOff>
      <xdr:row>14</xdr:row>
      <xdr:rowOff>82767</xdr:rowOff>
    </xdr:from>
    <xdr:to>
      <xdr:col>7</xdr:col>
      <xdr:colOff>470338</xdr:colOff>
      <xdr:row>15</xdr:row>
      <xdr:rowOff>105102</xdr:rowOff>
    </xdr:to>
    <xdr:sp macro="" textlink="">
      <xdr:nvSpPr>
        <xdr:cNvPr id="26" name="25 Rectángulo">
          <a:extLst>
            <a:ext uri="{FF2B5EF4-FFF2-40B4-BE49-F238E27FC236}">
              <a16:creationId xmlns:a16="http://schemas.microsoft.com/office/drawing/2014/main" id="{49156F00-67FA-4F12-B921-35ADFE0375CD}"/>
            </a:ext>
          </a:extLst>
        </xdr:cNvPr>
        <xdr:cNvSpPr/>
      </xdr:nvSpPr>
      <xdr:spPr>
        <a:xfrm>
          <a:off x="1114096" y="4407117"/>
          <a:ext cx="4690242" cy="34618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346841</xdr:colOff>
      <xdr:row>15</xdr:row>
      <xdr:rowOff>130063</xdr:rowOff>
    </xdr:from>
    <xdr:to>
      <xdr:col>7</xdr:col>
      <xdr:colOff>465083</xdr:colOff>
      <xdr:row>15</xdr:row>
      <xdr:rowOff>564931</xdr:rowOff>
    </xdr:to>
    <xdr:sp macro="" textlink="">
      <xdr:nvSpPr>
        <xdr:cNvPr id="27" name="26 Rectángulo">
          <a:extLst>
            <a:ext uri="{FF2B5EF4-FFF2-40B4-BE49-F238E27FC236}">
              <a16:creationId xmlns:a16="http://schemas.microsoft.com/office/drawing/2014/main" id="{09215A84-BF27-4D8F-8320-84CA750DB3C4}"/>
            </a:ext>
          </a:extLst>
        </xdr:cNvPr>
        <xdr:cNvSpPr/>
      </xdr:nvSpPr>
      <xdr:spPr>
        <a:xfrm>
          <a:off x="1108841" y="4778263"/>
          <a:ext cx="4690242" cy="434868"/>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295602</xdr:colOff>
      <xdr:row>27</xdr:row>
      <xdr:rowOff>183929</xdr:rowOff>
    </xdr:from>
    <xdr:to>
      <xdr:col>7</xdr:col>
      <xdr:colOff>216775</xdr:colOff>
      <xdr:row>28</xdr:row>
      <xdr:rowOff>256189</xdr:rowOff>
    </xdr:to>
    <xdr:sp macro="" textlink="">
      <xdr:nvSpPr>
        <xdr:cNvPr id="28" name="27 Rectángulo">
          <a:extLst>
            <a:ext uri="{FF2B5EF4-FFF2-40B4-BE49-F238E27FC236}">
              <a16:creationId xmlns:a16="http://schemas.microsoft.com/office/drawing/2014/main" id="{E1749988-6409-4642-956B-0A4221F96C8F}"/>
            </a:ext>
          </a:extLst>
        </xdr:cNvPr>
        <xdr:cNvSpPr/>
      </xdr:nvSpPr>
      <xdr:spPr>
        <a:xfrm>
          <a:off x="1057602" y="7622954"/>
          <a:ext cx="4493173" cy="27228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290346</xdr:colOff>
      <xdr:row>28</xdr:row>
      <xdr:rowOff>270639</xdr:rowOff>
    </xdr:from>
    <xdr:to>
      <xdr:col>7</xdr:col>
      <xdr:colOff>211519</xdr:colOff>
      <xdr:row>29</xdr:row>
      <xdr:rowOff>47296</xdr:rowOff>
    </xdr:to>
    <xdr:sp macro="" textlink="">
      <xdr:nvSpPr>
        <xdr:cNvPr id="29" name="28 Rectángulo">
          <a:extLst>
            <a:ext uri="{FF2B5EF4-FFF2-40B4-BE49-F238E27FC236}">
              <a16:creationId xmlns:a16="http://schemas.microsoft.com/office/drawing/2014/main" id="{909A1656-180F-43E4-89F8-80B2EE103D22}"/>
            </a:ext>
          </a:extLst>
        </xdr:cNvPr>
        <xdr:cNvSpPr/>
      </xdr:nvSpPr>
      <xdr:spPr>
        <a:xfrm>
          <a:off x="1052346" y="7909689"/>
          <a:ext cx="4493173" cy="27195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249620</xdr:colOff>
      <xdr:row>44</xdr:row>
      <xdr:rowOff>183928</xdr:rowOff>
    </xdr:from>
    <xdr:to>
      <xdr:col>7</xdr:col>
      <xdr:colOff>308741</xdr:colOff>
      <xdr:row>45</xdr:row>
      <xdr:rowOff>59121</xdr:rowOff>
    </xdr:to>
    <xdr:sp macro="" textlink="">
      <xdr:nvSpPr>
        <xdr:cNvPr id="30" name="29 Rectángulo">
          <a:extLst>
            <a:ext uri="{FF2B5EF4-FFF2-40B4-BE49-F238E27FC236}">
              <a16:creationId xmlns:a16="http://schemas.microsoft.com/office/drawing/2014/main" id="{B4FFC1D6-EA54-4D6C-9701-B5E85EE39939}"/>
            </a:ext>
          </a:extLst>
        </xdr:cNvPr>
        <xdr:cNvSpPr/>
      </xdr:nvSpPr>
      <xdr:spPr>
        <a:xfrm>
          <a:off x="1011620" y="11452003"/>
          <a:ext cx="4631121" cy="208568"/>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257503</xdr:colOff>
      <xdr:row>45</xdr:row>
      <xdr:rowOff>73570</xdr:rowOff>
    </xdr:from>
    <xdr:to>
      <xdr:col>7</xdr:col>
      <xdr:colOff>316624</xdr:colOff>
      <xdr:row>46</xdr:row>
      <xdr:rowOff>119555</xdr:rowOff>
    </xdr:to>
    <xdr:sp macro="" textlink="">
      <xdr:nvSpPr>
        <xdr:cNvPr id="31" name="30 Rectángulo">
          <a:extLst>
            <a:ext uri="{FF2B5EF4-FFF2-40B4-BE49-F238E27FC236}">
              <a16:creationId xmlns:a16="http://schemas.microsoft.com/office/drawing/2014/main" id="{953A999A-A4AF-47D8-A196-B5265FE5FF26}"/>
            </a:ext>
          </a:extLst>
        </xdr:cNvPr>
        <xdr:cNvSpPr/>
      </xdr:nvSpPr>
      <xdr:spPr>
        <a:xfrm>
          <a:off x="1019503" y="11675020"/>
          <a:ext cx="4631121" cy="36983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195191</xdr:colOff>
      <xdr:row>53</xdr:row>
      <xdr:rowOff>227334</xdr:rowOff>
    </xdr:from>
    <xdr:to>
      <xdr:col>7</xdr:col>
      <xdr:colOff>254312</xdr:colOff>
      <xdr:row>54</xdr:row>
      <xdr:rowOff>72259</xdr:rowOff>
    </xdr:to>
    <xdr:sp macro="" textlink="">
      <xdr:nvSpPr>
        <xdr:cNvPr id="32" name="31 Rectángulo">
          <a:extLst>
            <a:ext uri="{FF2B5EF4-FFF2-40B4-BE49-F238E27FC236}">
              <a16:creationId xmlns:a16="http://schemas.microsoft.com/office/drawing/2014/main" id="{BBAD78B2-21E1-4F8E-BBCB-98C45D1B48D9}"/>
            </a:ext>
          </a:extLst>
        </xdr:cNvPr>
        <xdr:cNvSpPr/>
      </xdr:nvSpPr>
      <xdr:spPr>
        <a:xfrm>
          <a:off x="957191" y="13705209"/>
          <a:ext cx="4631121" cy="49262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196504</xdr:colOff>
      <xdr:row>54</xdr:row>
      <xdr:rowOff>84130</xdr:rowOff>
    </xdr:from>
    <xdr:to>
      <xdr:col>7</xdr:col>
      <xdr:colOff>255625</xdr:colOff>
      <xdr:row>54</xdr:row>
      <xdr:rowOff>579383</xdr:rowOff>
    </xdr:to>
    <xdr:sp macro="" textlink="">
      <xdr:nvSpPr>
        <xdr:cNvPr id="33" name="32 Rectángulo">
          <a:extLst>
            <a:ext uri="{FF2B5EF4-FFF2-40B4-BE49-F238E27FC236}">
              <a16:creationId xmlns:a16="http://schemas.microsoft.com/office/drawing/2014/main" id="{4BF54E04-DA8C-4E01-B772-6F79C6D390B1}"/>
            </a:ext>
          </a:extLst>
        </xdr:cNvPr>
        <xdr:cNvSpPr/>
      </xdr:nvSpPr>
      <xdr:spPr>
        <a:xfrm>
          <a:off x="958504" y="14209705"/>
          <a:ext cx="4631121" cy="495253"/>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158404</xdr:colOff>
      <xdr:row>54</xdr:row>
      <xdr:rowOff>932794</xdr:rowOff>
    </xdr:from>
    <xdr:to>
      <xdr:col>7</xdr:col>
      <xdr:colOff>256190</xdr:colOff>
      <xdr:row>55</xdr:row>
      <xdr:rowOff>1</xdr:rowOff>
    </xdr:to>
    <xdr:sp macro="" textlink="">
      <xdr:nvSpPr>
        <xdr:cNvPr id="34" name="33 Rectángulo">
          <a:extLst>
            <a:ext uri="{FF2B5EF4-FFF2-40B4-BE49-F238E27FC236}">
              <a16:creationId xmlns:a16="http://schemas.microsoft.com/office/drawing/2014/main" id="{BAFECBD1-9EC0-4CE6-9EF1-3BA447A87F7F}"/>
            </a:ext>
          </a:extLst>
        </xdr:cNvPr>
        <xdr:cNvSpPr/>
      </xdr:nvSpPr>
      <xdr:spPr>
        <a:xfrm>
          <a:off x="920404" y="15058369"/>
          <a:ext cx="4669786" cy="200682"/>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166286</xdr:colOff>
      <xdr:row>55</xdr:row>
      <xdr:rowOff>40727</xdr:rowOff>
    </xdr:from>
    <xdr:to>
      <xdr:col>7</xdr:col>
      <xdr:colOff>256441</xdr:colOff>
      <xdr:row>55</xdr:row>
      <xdr:rowOff>486102</xdr:rowOff>
    </xdr:to>
    <xdr:sp macro="" textlink="">
      <xdr:nvSpPr>
        <xdr:cNvPr id="35" name="34 Rectángulo">
          <a:extLst>
            <a:ext uri="{FF2B5EF4-FFF2-40B4-BE49-F238E27FC236}">
              <a16:creationId xmlns:a16="http://schemas.microsoft.com/office/drawing/2014/main" id="{9C280BE1-3E51-4304-A249-FBB12262A8B2}"/>
            </a:ext>
          </a:extLst>
        </xdr:cNvPr>
        <xdr:cNvSpPr/>
      </xdr:nvSpPr>
      <xdr:spPr>
        <a:xfrm>
          <a:off x="928286" y="15299777"/>
          <a:ext cx="4662155" cy="4453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161032</xdr:colOff>
      <xdr:row>55</xdr:row>
      <xdr:rowOff>521575</xdr:rowOff>
    </xdr:from>
    <xdr:to>
      <xdr:col>7</xdr:col>
      <xdr:colOff>271096</xdr:colOff>
      <xdr:row>56</xdr:row>
      <xdr:rowOff>158967</xdr:rowOff>
    </xdr:to>
    <xdr:sp macro="" textlink="">
      <xdr:nvSpPr>
        <xdr:cNvPr id="36" name="36 Rectángulo">
          <a:extLst>
            <a:ext uri="{FF2B5EF4-FFF2-40B4-BE49-F238E27FC236}">
              <a16:creationId xmlns:a16="http://schemas.microsoft.com/office/drawing/2014/main" id="{A070909F-190B-475E-9E96-06874A982C72}"/>
            </a:ext>
          </a:extLst>
        </xdr:cNvPr>
        <xdr:cNvSpPr/>
      </xdr:nvSpPr>
      <xdr:spPr>
        <a:xfrm>
          <a:off x="923032" y="15780625"/>
          <a:ext cx="4682064" cy="44701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168915</xdr:colOff>
      <xdr:row>56</xdr:row>
      <xdr:rowOff>187872</xdr:rowOff>
    </xdr:from>
    <xdr:to>
      <xdr:col>7</xdr:col>
      <xdr:colOff>263769</xdr:colOff>
      <xdr:row>56</xdr:row>
      <xdr:rowOff>633247</xdr:rowOff>
    </xdr:to>
    <xdr:sp macro="" textlink="">
      <xdr:nvSpPr>
        <xdr:cNvPr id="37" name="38 Rectángulo">
          <a:extLst>
            <a:ext uri="{FF2B5EF4-FFF2-40B4-BE49-F238E27FC236}">
              <a16:creationId xmlns:a16="http://schemas.microsoft.com/office/drawing/2014/main" id="{869C2787-B49C-414C-8E63-C5F06C147A19}"/>
            </a:ext>
          </a:extLst>
        </xdr:cNvPr>
        <xdr:cNvSpPr/>
      </xdr:nvSpPr>
      <xdr:spPr>
        <a:xfrm>
          <a:off x="930915" y="16256547"/>
          <a:ext cx="4666854" cy="4453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170229</xdr:colOff>
      <xdr:row>56</xdr:row>
      <xdr:rowOff>655582</xdr:rowOff>
    </xdr:from>
    <xdr:to>
      <xdr:col>7</xdr:col>
      <xdr:colOff>263769</xdr:colOff>
      <xdr:row>57</xdr:row>
      <xdr:rowOff>683172</xdr:rowOff>
    </xdr:to>
    <xdr:sp macro="" textlink="">
      <xdr:nvSpPr>
        <xdr:cNvPr id="38" name="40 Rectángulo">
          <a:extLst>
            <a:ext uri="{FF2B5EF4-FFF2-40B4-BE49-F238E27FC236}">
              <a16:creationId xmlns:a16="http://schemas.microsoft.com/office/drawing/2014/main" id="{DB1E8CC4-C085-4670-A183-F6913DD55407}"/>
            </a:ext>
          </a:extLst>
        </xdr:cNvPr>
        <xdr:cNvSpPr/>
      </xdr:nvSpPr>
      <xdr:spPr>
        <a:xfrm>
          <a:off x="932229" y="16724257"/>
          <a:ext cx="4665540" cy="83721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178110</xdr:colOff>
      <xdr:row>57</xdr:row>
      <xdr:rowOff>709449</xdr:rowOff>
    </xdr:from>
    <xdr:to>
      <xdr:col>7</xdr:col>
      <xdr:colOff>269327</xdr:colOff>
      <xdr:row>58</xdr:row>
      <xdr:rowOff>702881</xdr:rowOff>
    </xdr:to>
    <xdr:sp macro="" textlink="">
      <xdr:nvSpPr>
        <xdr:cNvPr id="39" name="42 Rectángulo">
          <a:extLst>
            <a:ext uri="{FF2B5EF4-FFF2-40B4-BE49-F238E27FC236}">
              <a16:creationId xmlns:a16="http://schemas.microsoft.com/office/drawing/2014/main" id="{1D6D2BD1-BD0D-4F56-9DEA-104535DB189A}"/>
            </a:ext>
          </a:extLst>
        </xdr:cNvPr>
        <xdr:cNvSpPr/>
      </xdr:nvSpPr>
      <xdr:spPr>
        <a:xfrm>
          <a:off x="940110" y="17587749"/>
          <a:ext cx="4663217" cy="80305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179423</xdr:colOff>
      <xdr:row>58</xdr:row>
      <xdr:rowOff>750177</xdr:rowOff>
    </xdr:from>
    <xdr:to>
      <xdr:col>7</xdr:col>
      <xdr:colOff>270640</xdr:colOff>
      <xdr:row>58</xdr:row>
      <xdr:rowOff>1551591</xdr:rowOff>
    </xdr:to>
    <xdr:sp macro="" textlink="">
      <xdr:nvSpPr>
        <xdr:cNvPr id="40" name="43 Rectángulo">
          <a:extLst>
            <a:ext uri="{FF2B5EF4-FFF2-40B4-BE49-F238E27FC236}">
              <a16:creationId xmlns:a16="http://schemas.microsoft.com/office/drawing/2014/main" id="{48F5B033-CC9E-4B5C-B3D5-D8037A019937}"/>
            </a:ext>
          </a:extLst>
        </xdr:cNvPr>
        <xdr:cNvSpPr/>
      </xdr:nvSpPr>
      <xdr:spPr>
        <a:xfrm>
          <a:off x="941423" y="18438102"/>
          <a:ext cx="4663217" cy="801414"/>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180736</xdr:colOff>
      <xdr:row>58</xdr:row>
      <xdr:rowOff>1605457</xdr:rowOff>
    </xdr:from>
    <xdr:to>
      <xdr:col>7</xdr:col>
      <xdr:colOff>271953</xdr:colOff>
      <xdr:row>59</xdr:row>
      <xdr:rowOff>426983</xdr:rowOff>
    </xdr:to>
    <xdr:sp macro="" textlink="">
      <xdr:nvSpPr>
        <xdr:cNvPr id="41" name="44 Rectángulo">
          <a:extLst>
            <a:ext uri="{FF2B5EF4-FFF2-40B4-BE49-F238E27FC236}">
              <a16:creationId xmlns:a16="http://schemas.microsoft.com/office/drawing/2014/main" id="{D3AB0A7C-EF9E-4D62-9DA0-296B21EEDDF8}"/>
            </a:ext>
          </a:extLst>
        </xdr:cNvPr>
        <xdr:cNvSpPr/>
      </xdr:nvSpPr>
      <xdr:spPr>
        <a:xfrm>
          <a:off x="942736" y="19293382"/>
          <a:ext cx="4663217" cy="440776"/>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182050</xdr:colOff>
      <xdr:row>59</xdr:row>
      <xdr:rowOff>463771</xdr:rowOff>
    </xdr:from>
    <xdr:to>
      <xdr:col>7</xdr:col>
      <xdr:colOff>273267</xdr:colOff>
      <xdr:row>59</xdr:row>
      <xdr:rowOff>939362</xdr:rowOff>
    </xdr:to>
    <xdr:sp macro="" textlink="">
      <xdr:nvSpPr>
        <xdr:cNvPr id="42" name="45 Rectángulo">
          <a:extLst>
            <a:ext uri="{FF2B5EF4-FFF2-40B4-BE49-F238E27FC236}">
              <a16:creationId xmlns:a16="http://schemas.microsoft.com/office/drawing/2014/main" id="{66870564-894D-4A7F-BC6B-C8B7324AB4B6}"/>
            </a:ext>
          </a:extLst>
        </xdr:cNvPr>
        <xdr:cNvSpPr/>
      </xdr:nvSpPr>
      <xdr:spPr>
        <a:xfrm>
          <a:off x="944050" y="19770946"/>
          <a:ext cx="4663217" cy="475591"/>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170227</xdr:colOff>
      <xdr:row>59</xdr:row>
      <xdr:rowOff>944620</xdr:rowOff>
    </xdr:from>
    <xdr:to>
      <xdr:col>7</xdr:col>
      <xdr:colOff>278423</xdr:colOff>
      <xdr:row>59</xdr:row>
      <xdr:rowOff>1420211</xdr:rowOff>
    </xdr:to>
    <xdr:sp macro="" textlink="">
      <xdr:nvSpPr>
        <xdr:cNvPr id="43" name="47 Rectángulo">
          <a:extLst>
            <a:ext uri="{FF2B5EF4-FFF2-40B4-BE49-F238E27FC236}">
              <a16:creationId xmlns:a16="http://schemas.microsoft.com/office/drawing/2014/main" id="{ECBCFF82-5DCB-4ECB-8E39-BF9E5E6F918C}"/>
            </a:ext>
          </a:extLst>
        </xdr:cNvPr>
        <xdr:cNvSpPr/>
      </xdr:nvSpPr>
      <xdr:spPr>
        <a:xfrm>
          <a:off x="932227" y="20251795"/>
          <a:ext cx="4680196" cy="475591"/>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178110</xdr:colOff>
      <xdr:row>59</xdr:row>
      <xdr:rowOff>1438606</xdr:rowOff>
    </xdr:from>
    <xdr:to>
      <xdr:col>7</xdr:col>
      <xdr:colOff>285750</xdr:colOff>
      <xdr:row>60</xdr:row>
      <xdr:rowOff>1280948</xdr:rowOff>
    </xdr:to>
    <xdr:sp macro="" textlink="">
      <xdr:nvSpPr>
        <xdr:cNvPr id="44" name="48 Rectángulo">
          <a:extLst>
            <a:ext uri="{FF2B5EF4-FFF2-40B4-BE49-F238E27FC236}">
              <a16:creationId xmlns:a16="http://schemas.microsoft.com/office/drawing/2014/main" id="{F88A85CE-E066-4E90-B792-E80DDA8A9DCB}"/>
            </a:ext>
          </a:extLst>
        </xdr:cNvPr>
        <xdr:cNvSpPr/>
      </xdr:nvSpPr>
      <xdr:spPr>
        <a:xfrm>
          <a:off x="940110" y="20745781"/>
          <a:ext cx="4679640" cy="129966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192562</xdr:colOff>
      <xdr:row>60</xdr:row>
      <xdr:rowOff>1295403</xdr:rowOff>
    </xdr:from>
    <xdr:to>
      <xdr:col>7</xdr:col>
      <xdr:colOff>289034</xdr:colOff>
      <xdr:row>62</xdr:row>
      <xdr:rowOff>0</xdr:rowOff>
    </xdr:to>
    <xdr:sp macro="" textlink="">
      <xdr:nvSpPr>
        <xdr:cNvPr id="45" name="50 Rectángulo">
          <a:extLst>
            <a:ext uri="{FF2B5EF4-FFF2-40B4-BE49-F238E27FC236}">
              <a16:creationId xmlns:a16="http://schemas.microsoft.com/office/drawing/2014/main" id="{DBE08347-A312-49E6-BF9E-11231E47DD1E}"/>
            </a:ext>
          </a:extLst>
        </xdr:cNvPr>
        <xdr:cNvSpPr/>
      </xdr:nvSpPr>
      <xdr:spPr>
        <a:xfrm>
          <a:off x="954562" y="22059903"/>
          <a:ext cx="4668472" cy="485772"/>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200446</xdr:colOff>
      <xdr:row>66</xdr:row>
      <xdr:rowOff>22338</xdr:rowOff>
    </xdr:from>
    <xdr:to>
      <xdr:col>7</xdr:col>
      <xdr:colOff>296918</xdr:colOff>
      <xdr:row>66</xdr:row>
      <xdr:rowOff>472965</xdr:rowOff>
    </xdr:to>
    <xdr:sp macro="" textlink="">
      <xdr:nvSpPr>
        <xdr:cNvPr id="46" name="51 Rectángulo">
          <a:extLst>
            <a:ext uri="{FF2B5EF4-FFF2-40B4-BE49-F238E27FC236}">
              <a16:creationId xmlns:a16="http://schemas.microsoft.com/office/drawing/2014/main" id="{E3E3B6FE-82D4-4558-B06B-EEDE0D8684FF}"/>
            </a:ext>
          </a:extLst>
        </xdr:cNvPr>
        <xdr:cNvSpPr/>
      </xdr:nvSpPr>
      <xdr:spPr>
        <a:xfrm>
          <a:off x="962446" y="26225613"/>
          <a:ext cx="4668472" cy="45062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201760</xdr:colOff>
      <xdr:row>67</xdr:row>
      <xdr:rowOff>17084</xdr:rowOff>
    </xdr:from>
    <xdr:to>
      <xdr:col>7</xdr:col>
      <xdr:colOff>298232</xdr:colOff>
      <xdr:row>67</xdr:row>
      <xdr:rowOff>467711</xdr:rowOff>
    </xdr:to>
    <xdr:sp macro="" textlink="">
      <xdr:nvSpPr>
        <xdr:cNvPr id="47" name="52 Rectángulo">
          <a:extLst>
            <a:ext uri="{FF2B5EF4-FFF2-40B4-BE49-F238E27FC236}">
              <a16:creationId xmlns:a16="http://schemas.microsoft.com/office/drawing/2014/main" id="{621DECA5-9E99-493F-8C8F-4AFEAFDB30AB}"/>
            </a:ext>
          </a:extLst>
        </xdr:cNvPr>
        <xdr:cNvSpPr/>
      </xdr:nvSpPr>
      <xdr:spPr>
        <a:xfrm>
          <a:off x="963760" y="26706134"/>
          <a:ext cx="4668472" cy="45062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209643</xdr:colOff>
      <xdr:row>68</xdr:row>
      <xdr:rowOff>18398</xdr:rowOff>
    </xdr:from>
    <xdr:to>
      <xdr:col>7</xdr:col>
      <xdr:colOff>306115</xdr:colOff>
      <xdr:row>68</xdr:row>
      <xdr:rowOff>469025</xdr:rowOff>
    </xdr:to>
    <xdr:sp macro="" textlink="">
      <xdr:nvSpPr>
        <xdr:cNvPr id="48" name="53 Rectángulo">
          <a:extLst>
            <a:ext uri="{FF2B5EF4-FFF2-40B4-BE49-F238E27FC236}">
              <a16:creationId xmlns:a16="http://schemas.microsoft.com/office/drawing/2014/main" id="{2EB31BDE-31D9-470B-9E9F-F3CE84EE6378}"/>
            </a:ext>
          </a:extLst>
        </xdr:cNvPr>
        <xdr:cNvSpPr/>
      </xdr:nvSpPr>
      <xdr:spPr>
        <a:xfrm>
          <a:off x="971643" y="27193223"/>
          <a:ext cx="4668472" cy="45062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210956</xdr:colOff>
      <xdr:row>69</xdr:row>
      <xdr:rowOff>6574</xdr:rowOff>
    </xdr:from>
    <xdr:to>
      <xdr:col>7</xdr:col>
      <xdr:colOff>307428</xdr:colOff>
      <xdr:row>69</xdr:row>
      <xdr:rowOff>457201</xdr:rowOff>
    </xdr:to>
    <xdr:sp macro="" textlink="">
      <xdr:nvSpPr>
        <xdr:cNvPr id="49" name="54 Rectángulo">
          <a:extLst>
            <a:ext uri="{FF2B5EF4-FFF2-40B4-BE49-F238E27FC236}">
              <a16:creationId xmlns:a16="http://schemas.microsoft.com/office/drawing/2014/main" id="{AD3FC438-9A7F-4904-BE48-A5FA2DB806D3}"/>
            </a:ext>
          </a:extLst>
        </xdr:cNvPr>
        <xdr:cNvSpPr/>
      </xdr:nvSpPr>
      <xdr:spPr>
        <a:xfrm>
          <a:off x="972956" y="27667174"/>
          <a:ext cx="4668472" cy="45062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203629</xdr:colOff>
      <xdr:row>70</xdr:row>
      <xdr:rowOff>20469</xdr:rowOff>
    </xdr:from>
    <xdr:to>
      <xdr:col>7</xdr:col>
      <xdr:colOff>300101</xdr:colOff>
      <xdr:row>70</xdr:row>
      <xdr:rowOff>471096</xdr:rowOff>
    </xdr:to>
    <xdr:sp macro="" textlink="">
      <xdr:nvSpPr>
        <xdr:cNvPr id="50" name="55 Rectángulo">
          <a:extLst>
            <a:ext uri="{FF2B5EF4-FFF2-40B4-BE49-F238E27FC236}">
              <a16:creationId xmlns:a16="http://schemas.microsoft.com/office/drawing/2014/main" id="{36817772-57CA-434B-8282-F936A6053AC0}"/>
            </a:ext>
          </a:extLst>
        </xdr:cNvPr>
        <xdr:cNvSpPr/>
      </xdr:nvSpPr>
      <xdr:spPr>
        <a:xfrm>
          <a:off x="965629" y="28166844"/>
          <a:ext cx="4668472" cy="45062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202162</xdr:colOff>
      <xdr:row>71</xdr:row>
      <xdr:rowOff>19007</xdr:rowOff>
    </xdr:from>
    <xdr:to>
      <xdr:col>7</xdr:col>
      <xdr:colOff>298634</xdr:colOff>
      <xdr:row>71</xdr:row>
      <xdr:rowOff>469634</xdr:rowOff>
    </xdr:to>
    <xdr:sp macro="" textlink="">
      <xdr:nvSpPr>
        <xdr:cNvPr id="51" name="56 Rectángulo">
          <a:extLst>
            <a:ext uri="{FF2B5EF4-FFF2-40B4-BE49-F238E27FC236}">
              <a16:creationId xmlns:a16="http://schemas.microsoft.com/office/drawing/2014/main" id="{155EF3DB-69A8-4405-84DD-B6321D947C71}"/>
            </a:ext>
          </a:extLst>
        </xdr:cNvPr>
        <xdr:cNvSpPr/>
      </xdr:nvSpPr>
      <xdr:spPr>
        <a:xfrm>
          <a:off x="964162" y="28651157"/>
          <a:ext cx="4668472" cy="45062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200695</xdr:colOff>
      <xdr:row>72</xdr:row>
      <xdr:rowOff>24873</xdr:rowOff>
    </xdr:from>
    <xdr:to>
      <xdr:col>7</xdr:col>
      <xdr:colOff>297167</xdr:colOff>
      <xdr:row>72</xdr:row>
      <xdr:rowOff>475500</xdr:rowOff>
    </xdr:to>
    <xdr:sp macro="" textlink="">
      <xdr:nvSpPr>
        <xdr:cNvPr id="52" name="57 Rectángulo">
          <a:extLst>
            <a:ext uri="{FF2B5EF4-FFF2-40B4-BE49-F238E27FC236}">
              <a16:creationId xmlns:a16="http://schemas.microsoft.com/office/drawing/2014/main" id="{BEF7209C-74F1-48BD-A781-B0FB79B7084F}"/>
            </a:ext>
          </a:extLst>
        </xdr:cNvPr>
        <xdr:cNvSpPr/>
      </xdr:nvSpPr>
      <xdr:spPr>
        <a:xfrm>
          <a:off x="962695" y="29142798"/>
          <a:ext cx="4668472" cy="45062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191902</xdr:colOff>
      <xdr:row>73</xdr:row>
      <xdr:rowOff>23407</xdr:rowOff>
    </xdr:from>
    <xdr:to>
      <xdr:col>7</xdr:col>
      <xdr:colOff>288374</xdr:colOff>
      <xdr:row>73</xdr:row>
      <xdr:rowOff>474034</xdr:rowOff>
    </xdr:to>
    <xdr:sp macro="" textlink="">
      <xdr:nvSpPr>
        <xdr:cNvPr id="53" name="58 Rectángulo">
          <a:extLst>
            <a:ext uri="{FF2B5EF4-FFF2-40B4-BE49-F238E27FC236}">
              <a16:creationId xmlns:a16="http://schemas.microsoft.com/office/drawing/2014/main" id="{9B76ADF0-E6FC-4E97-8C38-E94EA931AFDC}"/>
            </a:ext>
          </a:extLst>
        </xdr:cNvPr>
        <xdr:cNvSpPr/>
      </xdr:nvSpPr>
      <xdr:spPr>
        <a:xfrm>
          <a:off x="953902" y="29627107"/>
          <a:ext cx="4668472" cy="45062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205091</xdr:colOff>
      <xdr:row>74</xdr:row>
      <xdr:rowOff>14615</xdr:rowOff>
    </xdr:from>
    <xdr:to>
      <xdr:col>7</xdr:col>
      <xdr:colOff>301563</xdr:colOff>
      <xdr:row>74</xdr:row>
      <xdr:rowOff>465242</xdr:rowOff>
    </xdr:to>
    <xdr:sp macro="" textlink="">
      <xdr:nvSpPr>
        <xdr:cNvPr id="54" name="59 Rectángulo">
          <a:extLst>
            <a:ext uri="{FF2B5EF4-FFF2-40B4-BE49-F238E27FC236}">
              <a16:creationId xmlns:a16="http://schemas.microsoft.com/office/drawing/2014/main" id="{AB43AD9E-94A9-4617-B377-8FBCA50219FD}"/>
            </a:ext>
          </a:extLst>
        </xdr:cNvPr>
        <xdr:cNvSpPr/>
      </xdr:nvSpPr>
      <xdr:spPr>
        <a:xfrm>
          <a:off x="967091" y="30104090"/>
          <a:ext cx="4668472" cy="45062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196297</xdr:colOff>
      <xdr:row>75</xdr:row>
      <xdr:rowOff>13153</xdr:rowOff>
    </xdr:from>
    <xdr:to>
      <xdr:col>7</xdr:col>
      <xdr:colOff>292769</xdr:colOff>
      <xdr:row>75</xdr:row>
      <xdr:rowOff>463780</xdr:rowOff>
    </xdr:to>
    <xdr:sp macro="" textlink="">
      <xdr:nvSpPr>
        <xdr:cNvPr id="55" name="60 Rectángulo">
          <a:extLst>
            <a:ext uri="{FF2B5EF4-FFF2-40B4-BE49-F238E27FC236}">
              <a16:creationId xmlns:a16="http://schemas.microsoft.com/office/drawing/2014/main" id="{3ECBCAC8-E546-42F2-A9AE-E78C680CB5DA}"/>
            </a:ext>
          </a:extLst>
        </xdr:cNvPr>
        <xdr:cNvSpPr/>
      </xdr:nvSpPr>
      <xdr:spPr>
        <a:xfrm>
          <a:off x="958297" y="30588403"/>
          <a:ext cx="4668472" cy="45062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194830</xdr:colOff>
      <xdr:row>76</xdr:row>
      <xdr:rowOff>19018</xdr:rowOff>
    </xdr:from>
    <xdr:to>
      <xdr:col>7</xdr:col>
      <xdr:colOff>291302</xdr:colOff>
      <xdr:row>77</xdr:row>
      <xdr:rowOff>147260</xdr:rowOff>
    </xdr:to>
    <xdr:sp macro="" textlink="">
      <xdr:nvSpPr>
        <xdr:cNvPr id="56" name="61 Rectángulo">
          <a:extLst>
            <a:ext uri="{FF2B5EF4-FFF2-40B4-BE49-F238E27FC236}">
              <a16:creationId xmlns:a16="http://schemas.microsoft.com/office/drawing/2014/main" id="{4B6A539B-A5D5-4511-9232-05CE5F0A76A1}"/>
            </a:ext>
          </a:extLst>
        </xdr:cNvPr>
        <xdr:cNvSpPr/>
      </xdr:nvSpPr>
      <xdr:spPr>
        <a:xfrm>
          <a:off x="956830" y="31080043"/>
          <a:ext cx="4668472" cy="452092"/>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200690</xdr:colOff>
      <xdr:row>77</xdr:row>
      <xdr:rowOff>193402</xdr:rowOff>
    </xdr:from>
    <xdr:to>
      <xdr:col>7</xdr:col>
      <xdr:colOff>297162</xdr:colOff>
      <xdr:row>78</xdr:row>
      <xdr:rowOff>175846</xdr:rowOff>
    </xdr:to>
    <xdr:sp macro="" textlink="">
      <xdr:nvSpPr>
        <xdr:cNvPr id="57" name="62 Rectángulo">
          <a:extLst>
            <a:ext uri="{FF2B5EF4-FFF2-40B4-BE49-F238E27FC236}">
              <a16:creationId xmlns:a16="http://schemas.microsoft.com/office/drawing/2014/main" id="{C2190E97-62FF-4C6A-9952-C3EC1A954E07}"/>
            </a:ext>
          </a:extLst>
        </xdr:cNvPr>
        <xdr:cNvSpPr/>
      </xdr:nvSpPr>
      <xdr:spPr>
        <a:xfrm>
          <a:off x="962690" y="31578277"/>
          <a:ext cx="4668472" cy="468219"/>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199225</xdr:colOff>
      <xdr:row>78</xdr:row>
      <xdr:rowOff>162629</xdr:rowOff>
    </xdr:from>
    <xdr:to>
      <xdr:col>7</xdr:col>
      <xdr:colOff>295697</xdr:colOff>
      <xdr:row>79</xdr:row>
      <xdr:rowOff>145073</xdr:rowOff>
    </xdr:to>
    <xdr:sp macro="" textlink="">
      <xdr:nvSpPr>
        <xdr:cNvPr id="58" name="63 Rectángulo">
          <a:extLst>
            <a:ext uri="{FF2B5EF4-FFF2-40B4-BE49-F238E27FC236}">
              <a16:creationId xmlns:a16="http://schemas.microsoft.com/office/drawing/2014/main" id="{F5C8777C-FF7E-4159-8CB8-811F2FD54EF3}"/>
            </a:ext>
          </a:extLst>
        </xdr:cNvPr>
        <xdr:cNvSpPr/>
      </xdr:nvSpPr>
      <xdr:spPr>
        <a:xfrm>
          <a:off x="961225" y="32033279"/>
          <a:ext cx="4668472" cy="468219"/>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197758</xdr:colOff>
      <xdr:row>79</xdr:row>
      <xdr:rowOff>175821</xdr:rowOff>
    </xdr:from>
    <xdr:to>
      <xdr:col>7</xdr:col>
      <xdr:colOff>294230</xdr:colOff>
      <xdr:row>80</xdr:row>
      <xdr:rowOff>158265</xdr:rowOff>
    </xdr:to>
    <xdr:sp macro="" textlink="">
      <xdr:nvSpPr>
        <xdr:cNvPr id="59" name="64 Rectángulo">
          <a:extLst>
            <a:ext uri="{FF2B5EF4-FFF2-40B4-BE49-F238E27FC236}">
              <a16:creationId xmlns:a16="http://schemas.microsoft.com/office/drawing/2014/main" id="{5B115163-0892-4709-8B2C-0C88D038C6AB}"/>
            </a:ext>
          </a:extLst>
        </xdr:cNvPr>
        <xdr:cNvSpPr/>
      </xdr:nvSpPr>
      <xdr:spPr>
        <a:xfrm>
          <a:off x="959758" y="32532246"/>
          <a:ext cx="4668472" cy="468219"/>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188966</xdr:colOff>
      <xdr:row>80</xdr:row>
      <xdr:rowOff>181683</xdr:rowOff>
    </xdr:from>
    <xdr:to>
      <xdr:col>7</xdr:col>
      <xdr:colOff>285438</xdr:colOff>
      <xdr:row>81</xdr:row>
      <xdr:rowOff>164128</xdr:rowOff>
    </xdr:to>
    <xdr:sp macro="" textlink="">
      <xdr:nvSpPr>
        <xdr:cNvPr id="60" name="65 Rectángulo">
          <a:extLst>
            <a:ext uri="{FF2B5EF4-FFF2-40B4-BE49-F238E27FC236}">
              <a16:creationId xmlns:a16="http://schemas.microsoft.com/office/drawing/2014/main" id="{36F3617F-E970-48CF-A8B6-E6067601CDAD}"/>
            </a:ext>
          </a:extLst>
        </xdr:cNvPr>
        <xdr:cNvSpPr/>
      </xdr:nvSpPr>
      <xdr:spPr>
        <a:xfrm>
          <a:off x="950966" y="33023883"/>
          <a:ext cx="4668472" cy="46822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187500</xdr:colOff>
      <xdr:row>82</xdr:row>
      <xdr:rowOff>41007</xdr:rowOff>
    </xdr:from>
    <xdr:to>
      <xdr:col>7</xdr:col>
      <xdr:colOff>283972</xdr:colOff>
      <xdr:row>83</xdr:row>
      <xdr:rowOff>36635</xdr:rowOff>
    </xdr:to>
    <xdr:sp macro="" textlink="">
      <xdr:nvSpPr>
        <xdr:cNvPr id="61" name="66 Rectángulo">
          <a:extLst>
            <a:ext uri="{FF2B5EF4-FFF2-40B4-BE49-F238E27FC236}">
              <a16:creationId xmlns:a16="http://schemas.microsoft.com/office/drawing/2014/main" id="{AB663B0D-7112-4A9A-A095-7BEEDDE44B0B}"/>
            </a:ext>
          </a:extLst>
        </xdr:cNvPr>
        <xdr:cNvSpPr/>
      </xdr:nvSpPr>
      <xdr:spPr>
        <a:xfrm>
          <a:off x="949500" y="33854757"/>
          <a:ext cx="4668472" cy="481403"/>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200688</xdr:colOff>
      <xdr:row>83</xdr:row>
      <xdr:rowOff>68851</xdr:rowOff>
    </xdr:from>
    <xdr:to>
      <xdr:col>7</xdr:col>
      <xdr:colOff>297160</xdr:colOff>
      <xdr:row>84</xdr:row>
      <xdr:rowOff>36635</xdr:rowOff>
    </xdr:to>
    <xdr:sp macro="" textlink="">
      <xdr:nvSpPr>
        <xdr:cNvPr id="62" name="67 Rectángulo">
          <a:extLst>
            <a:ext uri="{FF2B5EF4-FFF2-40B4-BE49-F238E27FC236}">
              <a16:creationId xmlns:a16="http://schemas.microsoft.com/office/drawing/2014/main" id="{9984400D-7461-47CE-B6DF-8C065D97C55C}"/>
            </a:ext>
          </a:extLst>
        </xdr:cNvPr>
        <xdr:cNvSpPr/>
      </xdr:nvSpPr>
      <xdr:spPr>
        <a:xfrm>
          <a:off x="962688" y="34368376"/>
          <a:ext cx="4668472" cy="453559"/>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199223</xdr:colOff>
      <xdr:row>84</xdr:row>
      <xdr:rowOff>74713</xdr:rowOff>
    </xdr:from>
    <xdr:to>
      <xdr:col>7</xdr:col>
      <xdr:colOff>295695</xdr:colOff>
      <xdr:row>85</xdr:row>
      <xdr:rowOff>21981</xdr:rowOff>
    </xdr:to>
    <xdr:sp macro="" textlink="">
      <xdr:nvSpPr>
        <xdr:cNvPr id="63" name="68 Rectángulo">
          <a:extLst>
            <a:ext uri="{FF2B5EF4-FFF2-40B4-BE49-F238E27FC236}">
              <a16:creationId xmlns:a16="http://schemas.microsoft.com/office/drawing/2014/main" id="{66A608EE-700B-4B65-9CB9-E72B49344FC1}"/>
            </a:ext>
          </a:extLst>
        </xdr:cNvPr>
        <xdr:cNvSpPr/>
      </xdr:nvSpPr>
      <xdr:spPr>
        <a:xfrm>
          <a:off x="961223" y="34860013"/>
          <a:ext cx="4668472" cy="433043"/>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197757</xdr:colOff>
      <xdr:row>85</xdr:row>
      <xdr:rowOff>73248</xdr:rowOff>
    </xdr:from>
    <xdr:to>
      <xdr:col>7</xdr:col>
      <xdr:colOff>294229</xdr:colOff>
      <xdr:row>86</xdr:row>
      <xdr:rowOff>190500</xdr:rowOff>
    </xdr:to>
    <xdr:sp macro="" textlink="">
      <xdr:nvSpPr>
        <xdr:cNvPr id="64" name="69 Rectángulo">
          <a:extLst>
            <a:ext uri="{FF2B5EF4-FFF2-40B4-BE49-F238E27FC236}">
              <a16:creationId xmlns:a16="http://schemas.microsoft.com/office/drawing/2014/main" id="{E484331B-9F25-4915-8E3C-071C840DE0D1}"/>
            </a:ext>
          </a:extLst>
        </xdr:cNvPr>
        <xdr:cNvSpPr/>
      </xdr:nvSpPr>
      <xdr:spPr>
        <a:xfrm>
          <a:off x="959757" y="35344323"/>
          <a:ext cx="4668472" cy="441102"/>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203619</xdr:colOff>
      <xdr:row>86</xdr:row>
      <xdr:rowOff>225646</xdr:rowOff>
    </xdr:from>
    <xdr:to>
      <xdr:col>7</xdr:col>
      <xdr:colOff>300091</xdr:colOff>
      <xdr:row>88</xdr:row>
      <xdr:rowOff>29308</xdr:rowOff>
    </xdr:to>
    <xdr:sp macro="" textlink="">
      <xdr:nvSpPr>
        <xdr:cNvPr id="65" name="70 Rectángulo">
          <a:extLst>
            <a:ext uri="{FF2B5EF4-FFF2-40B4-BE49-F238E27FC236}">
              <a16:creationId xmlns:a16="http://schemas.microsoft.com/office/drawing/2014/main" id="{EB3CDEF6-D36C-4811-A174-14F8E40BAEFB}"/>
            </a:ext>
          </a:extLst>
        </xdr:cNvPr>
        <xdr:cNvSpPr/>
      </xdr:nvSpPr>
      <xdr:spPr>
        <a:xfrm>
          <a:off x="965619" y="35820571"/>
          <a:ext cx="4668472" cy="451362"/>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202154</xdr:colOff>
      <xdr:row>88</xdr:row>
      <xdr:rowOff>55662</xdr:rowOff>
    </xdr:from>
    <xdr:to>
      <xdr:col>7</xdr:col>
      <xdr:colOff>298626</xdr:colOff>
      <xdr:row>89</xdr:row>
      <xdr:rowOff>190501</xdr:rowOff>
    </xdr:to>
    <xdr:sp macro="" textlink="">
      <xdr:nvSpPr>
        <xdr:cNvPr id="66" name="71 Rectángulo">
          <a:extLst>
            <a:ext uri="{FF2B5EF4-FFF2-40B4-BE49-F238E27FC236}">
              <a16:creationId xmlns:a16="http://schemas.microsoft.com/office/drawing/2014/main" id="{B321105F-03E1-4E7D-B021-C66AEA9CBB9A}"/>
            </a:ext>
          </a:extLst>
        </xdr:cNvPr>
        <xdr:cNvSpPr/>
      </xdr:nvSpPr>
      <xdr:spPr>
        <a:xfrm>
          <a:off x="964154" y="36298287"/>
          <a:ext cx="4668472" cy="458689"/>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208016</xdr:colOff>
      <xdr:row>89</xdr:row>
      <xdr:rowOff>230043</xdr:rowOff>
    </xdr:from>
    <xdr:to>
      <xdr:col>7</xdr:col>
      <xdr:colOff>304488</xdr:colOff>
      <xdr:row>91</xdr:row>
      <xdr:rowOff>43961</xdr:rowOff>
    </xdr:to>
    <xdr:sp macro="" textlink="">
      <xdr:nvSpPr>
        <xdr:cNvPr id="67" name="72 Rectángulo">
          <a:extLst>
            <a:ext uri="{FF2B5EF4-FFF2-40B4-BE49-F238E27FC236}">
              <a16:creationId xmlns:a16="http://schemas.microsoft.com/office/drawing/2014/main" id="{31662A6F-A903-4851-8801-4A2E231AF1FB}"/>
            </a:ext>
          </a:extLst>
        </xdr:cNvPr>
        <xdr:cNvSpPr/>
      </xdr:nvSpPr>
      <xdr:spPr>
        <a:xfrm>
          <a:off x="970016" y="36796518"/>
          <a:ext cx="4668472" cy="461618"/>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221204</xdr:colOff>
      <xdr:row>91</xdr:row>
      <xdr:rowOff>67386</xdr:rowOff>
    </xdr:from>
    <xdr:to>
      <xdr:col>7</xdr:col>
      <xdr:colOff>317676</xdr:colOff>
      <xdr:row>92</xdr:row>
      <xdr:rowOff>219808</xdr:rowOff>
    </xdr:to>
    <xdr:sp macro="" textlink="">
      <xdr:nvSpPr>
        <xdr:cNvPr id="68" name="73 Rectángulo">
          <a:extLst>
            <a:ext uri="{FF2B5EF4-FFF2-40B4-BE49-F238E27FC236}">
              <a16:creationId xmlns:a16="http://schemas.microsoft.com/office/drawing/2014/main" id="{83082B71-C595-461E-926D-A6E17BCB24B2}"/>
            </a:ext>
          </a:extLst>
        </xdr:cNvPr>
        <xdr:cNvSpPr/>
      </xdr:nvSpPr>
      <xdr:spPr>
        <a:xfrm>
          <a:off x="983204" y="37281561"/>
          <a:ext cx="4668472" cy="476272"/>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219739</xdr:colOff>
      <xdr:row>92</xdr:row>
      <xdr:rowOff>241769</xdr:rowOff>
    </xdr:from>
    <xdr:to>
      <xdr:col>7</xdr:col>
      <xdr:colOff>316211</xdr:colOff>
      <xdr:row>94</xdr:row>
      <xdr:rowOff>51289</xdr:rowOff>
    </xdr:to>
    <xdr:sp macro="" textlink="">
      <xdr:nvSpPr>
        <xdr:cNvPr id="69" name="74 Rectángulo">
          <a:extLst>
            <a:ext uri="{FF2B5EF4-FFF2-40B4-BE49-F238E27FC236}">
              <a16:creationId xmlns:a16="http://schemas.microsoft.com/office/drawing/2014/main" id="{3739E866-76DF-4D43-85BB-78486E4D1D9E}"/>
            </a:ext>
          </a:extLst>
        </xdr:cNvPr>
        <xdr:cNvSpPr/>
      </xdr:nvSpPr>
      <xdr:spPr>
        <a:xfrm>
          <a:off x="981739" y="37779794"/>
          <a:ext cx="4668472" cy="45722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218273</xdr:colOff>
      <xdr:row>94</xdr:row>
      <xdr:rowOff>93765</xdr:rowOff>
    </xdr:from>
    <xdr:to>
      <xdr:col>7</xdr:col>
      <xdr:colOff>314745</xdr:colOff>
      <xdr:row>95</xdr:row>
      <xdr:rowOff>225671</xdr:rowOff>
    </xdr:to>
    <xdr:sp macro="" textlink="">
      <xdr:nvSpPr>
        <xdr:cNvPr id="70" name="75 Rectángulo">
          <a:extLst>
            <a:ext uri="{FF2B5EF4-FFF2-40B4-BE49-F238E27FC236}">
              <a16:creationId xmlns:a16="http://schemas.microsoft.com/office/drawing/2014/main" id="{FAFDE9E9-8A3F-4026-BA55-66123383348F}"/>
            </a:ext>
          </a:extLst>
        </xdr:cNvPr>
        <xdr:cNvSpPr/>
      </xdr:nvSpPr>
      <xdr:spPr>
        <a:xfrm>
          <a:off x="980273" y="38279490"/>
          <a:ext cx="4668472" cy="455756"/>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209481</xdr:colOff>
      <xdr:row>95</xdr:row>
      <xdr:rowOff>260820</xdr:rowOff>
    </xdr:from>
    <xdr:to>
      <xdr:col>7</xdr:col>
      <xdr:colOff>305953</xdr:colOff>
      <xdr:row>97</xdr:row>
      <xdr:rowOff>58615</xdr:rowOff>
    </xdr:to>
    <xdr:sp macro="" textlink="">
      <xdr:nvSpPr>
        <xdr:cNvPr id="71" name="76 Rectángulo">
          <a:extLst>
            <a:ext uri="{FF2B5EF4-FFF2-40B4-BE49-F238E27FC236}">
              <a16:creationId xmlns:a16="http://schemas.microsoft.com/office/drawing/2014/main" id="{B7D0FFBA-FBFC-45AE-968D-637F681650AE}"/>
            </a:ext>
          </a:extLst>
        </xdr:cNvPr>
        <xdr:cNvSpPr/>
      </xdr:nvSpPr>
      <xdr:spPr>
        <a:xfrm>
          <a:off x="971481" y="38770395"/>
          <a:ext cx="4668472" cy="44549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222669</xdr:colOff>
      <xdr:row>97</xdr:row>
      <xdr:rowOff>90836</xdr:rowOff>
    </xdr:from>
    <xdr:to>
      <xdr:col>7</xdr:col>
      <xdr:colOff>319141</xdr:colOff>
      <xdr:row>98</xdr:row>
      <xdr:rowOff>227136</xdr:rowOff>
    </xdr:to>
    <xdr:sp macro="" textlink="">
      <xdr:nvSpPr>
        <xdr:cNvPr id="72" name="77 Rectángulo">
          <a:extLst>
            <a:ext uri="{FF2B5EF4-FFF2-40B4-BE49-F238E27FC236}">
              <a16:creationId xmlns:a16="http://schemas.microsoft.com/office/drawing/2014/main" id="{9F8C33AA-CAB7-43D0-85CE-6870EF8D49E4}"/>
            </a:ext>
          </a:extLst>
        </xdr:cNvPr>
        <xdr:cNvSpPr/>
      </xdr:nvSpPr>
      <xdr:spPr>
        <a:xfrm>
          <a:off x="984669" y="39248111"/>
          <a:ext cx="4668472" cy="46015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206550</xdr:colOff>
      <xdr:row>98</xdr:row>
      <xdr:rowOff>265216</xdr:rowOff>
    </xdr:from>
    <xdr:to>
      <xdr:col>7</xdr:col>
      <xdr:colOff>303022</xdr:colOff>
      <xdr:row>99</xdr:row>
      <xdr:rowOff>395654</xdr:rowOff>
    </xdr:to>
    <xdr:sp macro="" textlink="">
      <xdr:nvSpPr>
        <xdr:cNvPr id="73" name="78 Rectángulo">
          <a:extLst>
            <a:ext uri="{FF2B5EF4-FFF2-40B4-BE49-F238E27FC236}">
              <a16:creationId xmlns:a16="http://schemas.microsoft.com/office/drawing/2014/main" id="{33235C79-3E18-4480-ADAC-88954CDB462E}"/>
            </a:ext>
          </a:extLst>
        </xdr:cNvPr>
        <xdr:cNvSpPr/>
      </xdr:nvSpPr>
      <xdr:spPr>
        <a:xfrm>
          <a:off x="968550" y="39746341"/>
          <a:ext cx="4668472" cy="454288"/>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205086</xdr:colOff>
      <xdr:row>99</xdr:row>
      <xdr:rowOff>424944</xdr:rowOff>
    </xdr:from>
    <xdr:to>
      <xdr:col>7</xdr:col>
      <xdr:colOff>301558</xdr:colOff>
      <xdr:row>101</xdr:row>
      <xdr:rowOff>73272</xdr:rowOff>
    </xdr:to>
    <xdr:sp macro="" textlink="">
      <xdr:nvSpPr>
        <xdr:cNvPr id="74" name="79 Rectángulo">
          <a:extLst>
            <a:ext uri="{FF2B5EF4-FFF2-40B4-BE49-F238E27FC236}">
              <a16:creationId xmlns:a16="http://schemas.microsoft.com/office/drawing/2014/main" id="{69465BE2-EB82-46E7-A2C1-BF54F3E233B6}"/>
            </a:ext>
          </a:extLst>
        </xdr:cNvPr>
        <xdr:cNvSpPr/>
      </xdr:nvSpPr>
      <xdr:spPr>
        <a:xfrm>
          <a:off x="967086" y="40229919"/>
          <a:ext cx="4668472" cy="457953"/>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218274</xdr:colOff>
      <xdr:row>101</xdr:row>
      <xdr:rowOff>108421</xdr:rowOff>
    </xdr:from>
    <xdr:to>
      <xdr:col>7</xdr:col>
      <xdr:colOff>314746</xdr:colOff>
      <xdr:row>102</xdr:row>
      <xdr:rowOff>240327</xdr:rowOff>
    </xdr:to>
    <xdr:sp macro="" textlink="">
      <xdr:nvSpPr>
        <xdr:cNvPr id="75" name="80 Rectángulo">
          <a:extLst>
            <a:ext uri="{FF2B5EF4-FFF2-40B4-BE49-F238E27FC236}">
              <a16:creationId xmlns:a16="http://schemas.microsoft.com/office/drawing/2014/main" id="{A30AAE0C-C615-44FF-856D-D9B5C30577AC}"/>
            </a:ext>
          </a:extLst>
        </xdr:cNvPr>
        <xdr:cNvSpPr/>
      </xdr:nvSpPr>
      <xdr:spPr>
        <a:xfrm>
          <a:off x="980274" y="40723021"/>
          <a:ext cx="4668472" cy="455756"/>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224136</xdr:colOff>
      <xdr:row>103</xdr:row>
      <xdr:rowOff>224186</xdr:rowOff>
    </xdr:from>
    <xdr:to>
      <xdr:col>7</xdr:col>
      <xdr:colOff>320608</xdr:colOff>
      <xdr:row>105</xdr:row>
      <xdr:rowOff>36634</xdr:rowOff>
    </xdr:to>
    <xdr:sp macro="" textlink="">
      <xdr:nvSpPr>
        <xdr:cNvPr id="76" name="81 Rectángulo">
          <a:extLst>
            <a:ext uri="{FF2B5EF4-FFF2-40B4-BE49-F238E27FC236}">
              <a16:creationId xmlns:a16="http://schemas.microsoft.com/office/drawing/2014/main" id="{977E3AC9-6BEB-4531-8DE7-44B6FDEB601E}"/>
            </a:ext>
          </a:extLst>
        </xdr:cNvPr>
        <xdr:cNvSpPr/>
      </xdr:nvSpPr>
      <xdr:spPr>
        <a:xfrm>
          <a:off x="986136" y="41486486"/>
          <a:ext cx="4668472" cy="460148"/>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229997</xdr:colOff>
      <xdr:row>105</xdr:row>
      <xdr:rowOff>61530</xdr:rowOff>
    </xdr:from>
    <xdr:to>
      <xdr:col>7</xdr:col>
      <xdr:colOff>326469</xdr:colOff>
      <xdr:row>106</xdr:row>
      <xdr:rowOff>212482</xdr:rowOff>
    </xdr:to>
    <xdr:sp macro="" textlink="">
      <xdr:nvSpPr>
        <xdr:cNvPr id="77" name="82 Rectángulo">
          <a:extLst>
            <a:ext uri="{FF2B5EF4-FFF2-40B4-BE49-F238E27FC236}">
              <a16:creationId xmlns:a16="http://schemas.microsoft.com/office/drawing/2014/main" id="{B41E8199-6216-4CFA-ADBB-918AB10D239A}"/>
            </a:ext>
          </a:extLst>
        </xdr:cNvPr>
        <xdr:cNvSpPr/>
      </xdr:nvSpPr>
      <xdr:spPr>
        <a:xfrm>
          <a:off x="991997" y="41971530"/>
          <a:ext cx="4668472" cy="474802"/>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228531</xdr:colOff>
      <xdr:row>106</xdr:row>
      <xdr:rowOff>235908</xdr:rowOff>
    </xdr:from>
    <xdr:to>
      <xdr:col>7</xdr:col>
      <xdr:colOff>325003</xdr:colOff>
      <xdr:row>106</xdr:row>
      <xdr:rowOff>690198</xdr:rowOff>
    </xdr:to>
    <xdr:sp macro="" textlink="">
      <xdr:nvSpPr>
        <xdr:cNvPr id="78" name="83 Rectángulo">
          <a:extLst>
            <a:ext uri="{FF2B5EF4-FFF2-40B4-BE49-F238E27FC236}">
              <a16:creationId xmlns:a16="http://schemas.microsoft.com/office/drawing/2014/main" id="{3C6F38F5-A8B9-43AC-8D2C-D72C70E4E2C3}"/>
            </a:ext>
          </a:extLst>
        </xdr:cNvPr>
        <xdr:cNvSpPr/>
      </xdr:nvSpPr>
      <xdr:spPr>
        <a:xfrm>
          <a:off x="990531" y="42469758"/>
          <a:ext cx="4668472" cy="45429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221204</xdr:colOff>
      <xdr:row>106</xdr:row>
      <xdr:rowOff>712160</xdr:rowOff>
    </xdr:from>
    <xdr:to>
      <xdr:col>7</xdr:col>
      <xdr:colOff>317676</xdr:colOff>
      <xdr:row>106</xdr:row>
      <xdr:rowOff>1166450</xdr:rowOff>
    </xdr:to>
    <xdr:sp macro="" textlink="">
      <xdr:nvSpPr>
        <xdr:cNvPr id="79" name="84 Rectángulo">
          <a:extLst>
            <a:ext uri="{FF2B5EF4-FFF2-40B4-BE49-F238E27FC236}">
              <a16:creationId xmlns:a16="http://schemas.microsoft.com/office/drawing/2014/main" id="{E1D869C4-07AC-471D-9B9E-16C71465CB63}"/>
            </a:ext>
          </a:extLst>
        </xdr:cNvPr>
        <xdr:cNvSpPr/>
      </xdr:nvSpPr>
      <xdr:spPr>
        <a:xfrm>
          <a:off x="983204" y="42946010"/>
          <a:ext cx="4668472" cy="45429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205086</xdr:colOff>
      <xdr:row>106</xdr:row>
      <xdr:rowOff>1201597</xdr:rowOff>
    </xdr:from>
    <xdr:to>
      <xdr:col>7</xdr:col>
      <xdr:colOff>301558</xdr:colOff>
      <xdr:row>106</xdr:row>
      <xdr:rowOff>1655887</xdr:rowOff>
    </xdr:to>
    <xdr:sp macro="" textlink="">
      <xdr:nvSpPr>
        <xdr:cNvPr id="80" name="85 Rectángulo">
          <a:extLst>
            <a:ext uri="{FF2B5EF4-FFF2-40B4-BE49-F238E27FC236}">
              <a16:creationId xmlns:a16="http://schemas.microsoft.com/office/drawing/2014/main" id="{B7FF38AD-C187-472E-98C6-F21ADEDAFBD6}"/>
            </a:ext>
          </a:extLst>
        </xdr:cNvPr>
        <xdr:cNvSpPr/>
      </xdr:nvSpPr>
      <xdr:spPr>
        <a:xfrm>
          <a:off x="967086" y="43435447"/>
          <a:ext cx="4668472" cy="45429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210946</xdr:colOff>
      <xdr:row>106</xdr:row>
      <xdr:rowOff>1676380</xdr:rowOff>
    </xdr:from>
    <xdr:to>
      <xdr:col>7</xdr:col>
      <xdr:colOff>307418</xdr:colOff>
      <xdr:row>106</xdr:row>
      <xdr:rowOff>2130670</xdr:rowOff>
    </xdr:to>
    <xdr:sp macro="" textlink="">
      <xdr:nvSpPr>
        <xdr:cNvPr id="81" name="86 Rectángulo">
          <a:extLst>
            <a:ext uri="{FF2B5EF4-FFF2-40B4-BE49-F238E27FC236}">
              <a16:creationId xmlns:a16="http://schemas.microsoft.com/office/drawing/2014/main" id="{6FDABA29-A841-465C-8D70-1648E59EFB5F}"/>
            </a:ext>
          </a:extLst>
        </xdr:cNvPr>
        <xdr:cNvSpPr/>
      </xdr:nvSpPr>
      <xdr:spPr>
        <a:xfrm>
          <a:off x="972946" y="43910230"/>
          <a:ext cx="4668472" cy="45429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216808</xdr:colOff>
      <xdr:row>106</xdr:row>
      <xdr:rowOff>2158492</xdr:rowOff>
    </xdr:from>
    <xdr:to>
      <xdr:col>7</xdr:col>
      <xdr:colOff>313280</xdr:colOff>
      <xdr:row>106</xdr:row>
      <xdr:rowOff>2612782</xdr:rowOff>
    </xdr:to>
    <xdr:sp macro="" textlink="">
      <xdr:nvSpPr>
        <xdr:cNvPr id="82" name="87 Rectángulo">
          <a:extLst>
            <a:ext uri="{FF2B5EF4-FFF2-40B4-BE49-F238E27FC236}">
              <a16:creationId xmlns:a16="http://schemas.microsoft.com/office/drawing/2014/main" id="{356CCE32-80CA-4C06-9D4A-337F180C301D}"/>
            </a:ext>
          </a:extLst>
        </xdr:cNvPr>
        <xdr:cNvSpPr/>
      </xdr:nvSpPr>
      <xdr:spPr>
        <a:xfrm>
          <a:off x="978808" y="44392342"/>
          <a:ext cx="4668472" cy="45429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222670</xdr:colOff>
      <xdr:row>106</xdr:row>
      <xdr:rowOff>2640604</xdr:rowOff>
    </xdr:from>
    <xdr:to>
      <xdr:col>7</xdr:col>
      <xdr:colOff>319142</xdr:colOff>
      <xdr:row>107</xdr:row>
      <xdr:rowOff>17586</xdr:rowOff>
    </xdr:to>
    <xdr:sp macro="" textlink="">
      <xdr:nvSpPr>
        <xdr:cNvPr id="83" name="88 Rectángulo">
          <a:extLst>
            <a:ext uri="{FF2B5EF4-FFF2-40B4-BE49-F238E27FC236}">
              <a16:creationId xmlns:a16="http://schemas.microsoft.com/office/drawing/2014/main" id="{C200C982-7127-48E3-8F0E-FE62ADABB7D1}"/>
            </a:ext>
          </a:extLst>
        </xdr:cNvPr>
        <xdr:cNvSpPr/>
      </xdr:nvSpPr>
      <xdr:spPr>
        <a:xfrm>
          <a:off x="984670" y="44874454"/>
          <a:ext cx="4668472" cy="45355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213878</xdr:colOff>
      <xdr:row>107</xdr:row>
      <xdr:rowOff>52735</xdr:rowOff>
    </xdr:from>
    <xdr:to>
      <xdr:col>7</xdr:col>
      <xdr:colOff>310350</xdr:colOff>
      <xdr:row>109</xdr:row>
      <xdr:rowOff>126025</xdr:rowOff>
    </xdr:to>
    <xdr:sp macro="" textlink="">
      <xdr:nvSpPr>
        <xdr:cNvPr id="84" name="89 Rectángulo">
          <a:extLst>
            <a:ext uri="{FF2B5EF4-FFF2-40B4-BE49-F238E27FC236}">
              <a16:creationId xmlns:a16="http://schemas.microsoft.com/office/drawing/2014/main" id="{A4668FDC-0492-478F-85BF-0C8F955C9122}"/>
            </a:ext>
          </a:extLst>
        </xdr:cNvPr>
        <xdr:cNvSpPr/>
      </xdr:nvSpPr>
      <xdr:spPr>
        <a:xfrm>
          <a:off x="975878" y="45363160"/>
          <a:ext cx="4668472" cy="45429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212413</xdr:colOff>
      <xdr:row>109</xdr:row>
      <xdr:rowOff>175828</xdr:rowOff>
    </xdr:from>
    <xdr:to>
      <xdr:col>7</xdr:col>
      <xdr:colOff>308885</xdr:colOff>
      <xdr:row>112</xdr:row>
      <xdr:rowOff>58618</xdr:rowOff>
    </xdr:to>
    <xdr:sp macro="" textlink="">
      <xdr:nvSpPr>
        <xdr:cNvPr id="85" name="90 Rectángulo">
          <a:extLst>
            <a:ext uri="{FF2B5EF4-FFF2-40B4-BE49-F238E27FC236}">
              <a16:creationId xmlns:a16="http://schemas.microsoft.com/office/drawing/2014/main" id="{23D5FED4-7BCD-4956-8E8D-6199761BECFD}"/>
            </a:ext>
          </a:extLst>
        </xdr:cNvPr>
        <xdr:cNvSpPr/>
      </xdr:nvSpPr>
      <xdr:spPr>
        <a:xfrm>
          <a:off x="974413" y="45867253"/>
          <a:ext cx="4668472" cy="46381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210947</xdr:colOff>
      <xdr:row>112</xdr:row>
      <xdr:rowOff>86439</xdr:rowOff>
    </xdr:from>
    <xdr:to>
      <xdr:col>7</xdr:col>
      <xdr:colOff>307419</xdr:colOff>
      <xdr:row>120</xdr:row>
      <xdr:rowOff>7327</xdr:rowOff>
    </xdr:to>
    <xdr:sp macro="" textlink="">
      <xdr:nvSpPr>
        <xdr:cNvPr id="86" name="91 Rectángulo">
          <a:extLst>
            <a:ext uri="{FF2B5EF4-FFF2-40B4-BE49-F238E27FC236}">
              <a16:creationId xmlns:a16="http://schemas.microsoft.com/office/drawing/2014/main" id="{625B1E30-EB75-42A3-B569-E351D26B09C4}"/>
            </a:ext>
          </a:extLst>
        </xdr:cNvPr>
        <xdr:cNvSpPr/>
      </xdr:nvSpPr>
      <xdr:spPr>
        <a:xfrm>
          <a:off x="972947" y="46358889"/>
          <a:ext cx="4668472" cy="1444888"/>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298871</xdr:colOff>
      <xdr:row>178</xdr:row>
      <xdr:rowOff>247629</xdr:rowOff>
    </xdr:from>
    <xdr:to>
      <xdr:col>1</xdr:col>
      <xdr:colOff>578827</xdr:colOff>
      <xdr:row>180</xdr:row>
      <xdr:rowOff>146538</xdr:rowOff>
    </xdr:to>
    <xdr:sp macro="" textlink="">
      <xdr:nvSpPr>
        <xdr:cNvPr id="87" name="92 Rectángulo">
          <a:extLst>
            <a:ext uri="{FF2B5EF4-FFF2-40B4-BE49-F238E27FC236}">
              <a16:creationId xmlns:a16="http://schemas.microsoft.com/office/drawing/2014/main" id="{49341500-EAB7-4F45-A94A-FC4DA5678981}"/>
            </a:ext>
          </a:extLst>
        </xdr:cNvPr>
        <xdr:cNvSpPr/>
      </xdr:nvSpPr>
      <xdr:spPr>
        <a:xfrm>
          <a:off x="298871" y="60464679"/>
          <a:ext cx="1041956" cy="413259"/>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531867</xdr:colOff>
      <xdr:row>178</xdr:row>
      <xdr:rowOff>260819</xdr:rowOff>
    </xdr:from>
    <xdr:to>
      <xdr:col>7</xdr:col>
      <xdr:colOff>49823</xdr:colOff>
      <xdr:row>180</xdr:row>
      <xdr:rowOff>153866</xdr:rowOff>
    </xdr:to>
    <xdr:sp macro="" textlink="">
      <xdr:nvSpPr>
        <xdr:cNvPr id="88" name="93 Rectángulo">
          <a:extLst>
            <a:ext uri="{FF2B5EF4-FFF2-40B4-BE49-F238E27FC236}">
              <a16:creationId xmlns:a16="http://schemas.microsoft.com/office/drawing/2014/main" id="{9DDCF4A0-A928-4CD9-84C1-CF2787853B80}"/>
            </a:ext>
          </a:extLst>
        </xdr:cNvPr>
        <xdr:cNvSpPr/>
      </xdr:nvSpPr>
      <xdr:spPr>
        <a:xfrm>
          <a:off x="4341867" y="60477869"/>
          <a:ext cx="1041956" cy="40739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290079</xdr:colOff>
      <xdr:row>180</xdr:row>
      <xdr:rowOff>165568</xdr:rowOff>
    </xdr:from>
    <xdr:to>
      <xdr:col>1</xdr:col>
      <xdr:colOff>570035</xdr:colOff>
      <xdr:row>182</xdr:row>
      <xdr:rowOff>36635</xdr:rowOff>
    </xdr:to>
    <xdr:sp macro="" textlink="">
      <xdr:nvSpPr>
        <xdr:cNvPr id="89" name="94 Rectángulo">
          <a:extLst>
            <a:ext uri="{FF2B5EF4-FFF2-40B4-BE49-F238E27FC236}">
              <a16:creationId xmlns:a16="http://schemas.microsoft.com/office/drawing/2014/main" id="{D116B251-DA23-4054-8F93-068F373E9CF2}"/>
            </a:ext>
          </a:extLst>
        </xdr:cNvPr>
        <xdr:cNvSpPr/>
      </xdr:nvSpPr>
      <xdr:spPr>
        <a:xfrm>
          <a:off x="290079" y="60896968"/>
          <a:ext cx="1041956" cy="25206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 </a:t>
          </a:r>
        </a:p>
      </xdr:txBody>
    </xdr:sp>
    <xdr:clientData/>
  </xdr:twoCellAnchor>
  <xdr:twoCellAnchor>
    <xdr:from>
      <xdr:col>5</xdr:col>
      <xdr:colOff>545056</xdr:colOff>
      <xdr:row>180</xdr:row>
      <xdr:rowOff>178759</xdr:rowOff>
    </xdr:from>
    <xdr:to>
      <xdr:col>7</xdr:col>
      <xdr:colOff>29308</xdr:colOff>
      <xdr:row>182</xdr:row>
      <xdr:rowOff>58617</xdr:rowOff>
    </xdr:to>
    <xdr:sp macro="" textlink="">
      <xdr:nvSpPr>
        <xdr:cNvPr id="90" name="95 Rectángulo">
          <a:extLst>
            <a:ext uri="{FF2B5EF4-FFF2-40B4-BE49-F238E27FC236}">
              <a16:creationId xmlns:a16="http://schemas.microsoft.com/office/drawing/2014/main" id="{26F44D09-5139-4BC9-A776-B172D2149934}"/>
            </a:ext>
          </a:extLst>
        </xdr:cNvPr>
        <xdr:cNvSpPr/>
      </xdr:nvSpPr>
      <xdr:spPr>
        <a:xfrm>
          <a:off x="4355056" y="60910159"/>
          <a:ext cx="1008252" cy="260858"/>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303267</xdr:colOff>
      <xdr:row>182</xdr:row>
      <xdr:rowOff>61527</xdr:rowOff>
    </xdr:from>
    <xdr:to>
      <xdr:col>1</xdr:col>
      <xdr:colOff>583223</xdr:colOff>
      <xdr:row>183</xdr:row>
      <xdr:rowOff>58617</xdr:rowOff>
    </xdr:to>
    <xdr:sp macro="" textlink="">
      <xdr:nvSpPr>
        <xdr:cNvPr id="91" name="96 Rectángulo">
          <a:extLst>
            <a:ext uri="{FF2B5EF4-FFF2-40B4-BE49-F238E27FC236}">
              <a16:creationId xmlns:a16="http://schemas.microsoft.com/office/drawing/2014/main" id="{85A86270-0C31-479A-95C0-66971ED0C469}"/>
            </a:ext>
          </a:extLst>
        </xdr:cNvPr>
        <xdr:cNvSpPr/>
      </xdr:nvSpPr>
      <xdr:spPr>
        <a:xfrm>
          <a:off x="303267" y="61173927"/>
          <a:ext cx="1041956" cy="18759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 </a:t>
          </a:r>
        </a:p>
      </xdr:txBody>
    </xdr:sp>
    <xdr:clientData/>
  </xdr:twoCellAnchor>
  <xdr:twoCellAnchor>
    <xdr:from>
      <xdr:col>5</xdr:col>
      <xdr:colOff>550918</xdr:colOff>
      <xdr:row>182</xdr:row>
      <xdr:rowOff>82043</xdr:rowOff>
    </xdr:from>
    <xdr:to>
      <xdr:col>7</xdr:col>
      <xdr:colOff>35170</xdr:colOff>
      <xdr:row>183</xdr:row>
      <xdr:rowOff>87923</xdr:rowOff>
    </xdr:to>
    <xdr:sp macro="" textlink="">
      <xdr:nvSpPr>
        <xdr:cNvPr id="92" name="97 Rectángulo">
          <a:extLst>
            <a:ext uri="{FF2B5EF4-FFF2-40B4-BE49-F238E27FC236}">
              <a16:creationId xmlns:a16="http://schemas.microsoft.com/office/drawing/2014/main" id="{0CE23E5D-A478-424A-A4FB-D1E788C6CDB5}"/>
            </a:ext>
          </a:extLst>
        </xdr:cNvPr>
        <xdr:cNvSpPr/>
      </xdr:nvSpPr>
      <xdr:spPr>
        <a:xfrm>
          <a:off x="4360918" y="61194443"/>
          <a:ext cx="1008252" cy="19638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301801</xdr:colOff>
      <xdr:row>183</xdr:row>
      <xdr:rowOff>96697</xdr:rowOff>
    </xdr:from>
    <xdr:to>
      <xdr:col>1</xdr:col>
      <xdr:colOff>581757</xdr:colOff>
      <xdr:row>183</xdr:row>
      <xdr:rowOff>285750</xdr:rowOff>
    </xdr:to>
    <xdr:sp macro="" textlink="">
      <xdr:nvSpPr>
        <xdr:cNvPr id="93" name="98 Rectángulo">
          <a:extLst>
            <a:ext uri="{FF2B5EF4-FFF2-40B4-BE49-F238E27FC236}">
              <a16:creationId xmlns:a16="http://schemas.microsoft.com/office/drawing/2014/main" id="{F0D77424-5DDC-455C-8EDD-57AB9609BB85}"/>
            </a:ext>
          </a:extLst>
        </xdr:cNvPr>
        <xdr:cNvSpPr/>
      </xdr:nvSpPr>
      <xdr:spPr>
        <a:xfrm>
          <a:off x="301801" y="61399597"/>
          <a:ext cx="1041956" cy="189053"/>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 </a:t>
          </a:r>
        </a:p>
      </xdr:txBody>
    </xdr:sp>
    <xdr:clientData/>
  </xdr:twoCellAnchor>
  <xdr:twoCellAnchor>
    <xdr:from>
      <xdr:col>5</xdr:col>
      <xdr:colOff>549452</xdr:colOff>
      <xdr:row>183</xdr:row>
      <xdr:rowOff>102560</xdr:rowOff>
    </xdr:from>
    <xdr:to>
      <xdr:col>7</xdr:col>
      <xdr:colOff>33704</xdr:colOff>
      <xdr:row>183</xdr:row>
      <xdr:rowOff>307732</xdr:rowOff>
    </xdr:to>
    <xdr:sp macro="" textlink="">
      <xdr:nvSpPr>
        <xdr:cNvPr id="94" name="99 Rectángulo">
          <a:extLst>
            <a:ext uri="{FF2B5EF4-FFF2-40B4-BE49-F238E27FC236}">
              <a16:creationId xmlns:a16="http://schemas.microsoft.com/office/drawing/2014/main" id="{7D5B505C-896D-49F8-B16D-F2B1F70CA6EE}"/>
            </a:ext>
          </a:extLst>
        </xdr:cNvPr>
        <xdr:cNvSpPr/>
      </xdr:nvSpPr>
      <xdr:spPr>
        <a:xfrm>
          <a:off x="4359452" y="61405460"/>
          <a:ext cx="1008252" cy="205172"/>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285681</xdr:colOff>
      <xdr:row>183</xdr:row>
      <xdr:rowOff>300385</xdr:rowOff>
    </xdr:from>
    <xdr:to>
      <xdr:col>1</xdr:col>
      <xdr:colOff>565637</xdr:colOff>
      <xdr:row>184</xdr:row>
      <xdr:rowOff>165590</xdr:rowOff>
    </xdr:to>
    <xdr:sp macro="" textlink="">
      <xdr:nvSpPr>
        <xdr:cNvPr id="95" name="100 Rectángulo">
          <a:extLst>
            <a:ext uri="{FF2B5EF4-FFF2-40B4-BE49-F238E27FC236}">
              <a16:creationId xmlns:a16="http://schemas.microsoft.com/office/drawing/2014/main" id="{B4998C75-9745-419D-8880-B85E9F06CE11}"/>
            </a:ext>
          </a:extLst>
        </xdr:cNvPr>
        <xdr:cNvSpPr/>
      </xdr:nvSpPr>
      <xdr:spPr>
        <a:xfrm>
          <a:off x="285681" y="61603285"/>
          <a:ext cx="1041956" cy="18905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 </a:t>
          </a:r>
        </a:p>
      </xdr:txBody>
    </xdr:sp>
    <xdr:clientData/>
  </xdr:twoCellAnchor>
  <xdr:twoCellAnchor>
    <xdr:from>
      <xdr:col>5</xdr:col>
      <xdr:colOff>533332</xdr:colOff>
      <xdr:row>186</xdr:row>
      <xdr:rowOff>225648</xdr:rowOff>
    </xdr:from>
    <xdr:to>
      <xdr:col>7</xdr:col>
      <xdr:colOff>17584</xdr:colOff>
      <xdr:row>187</xdr:row>
      <xdr:rowOff>99644</xdr:rowOff>
    </xdr:to>
    <xdr:sp macro="" textlink="">
      <xdr:nvSpPr>
        <xdr:cNvPr id="96" name="101 Rectángulo">
          <a:extLst>
            <a:ext uri="{FF2B5EF4-FFF2-40B4-BE49-F238E27FC236}">
              <a16:creationId xmlns:a16="http://schemas.microsoft.com/office/drawing/2014/main" id="{6AD5F466-E548-4953-8528-CDC64D1A3EAC}"/>
            </a:ext>
          </a:extLst>
        </xdr:cNvPr>
        <xdr:cNvSpPr/>
      </xdr:nvSpPr>
      <xdr:spPr>
        <a:xfrm>
          <a:off x="4343332" y="62366748"/>
          <a:ext cx="1008252" cy="197846"/>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291543</xdr:colOff>
      <xdr:row>184</xdr:row>
      <xdr:rowOff>181689</xdr:rowOff>
    </xdr:from>
    <xdr:to>
      <xdr:col>1</xdr:col>
      <xdr:colOff>571499</xdr:colOff>
      <xdr:row>186</xdr:row>
      <xdr:rowOff>87924</xdr:rowOff>
    </xdr:to>
    <xdr:sp macro="" textlink="">
      <xdr:nvSpPr>
        <xdr:cNvPr id="97" name="102 Rectángulo">
          <a:extLst>
            <a:ext uri="{FF2B5EF4-FFF2-40B4-BE49-F238E27FC236}">
              <a16:creationId xmlns:a16="http://schemas.microsoft.com/office/drawing/2014/main" id="{D9D9428B-6C67-45DA-A3A1-1B08122D82D6}"/>
            </a:ext>
          </a:extLst>
        </xdr:cNvPr>
        <xdr:cNvSpPr/>
      </xdr:nvSpPr>
      <xdr:spPr>
        <a:xfrm>
          <a:off x="291543" y="61808439"/>
          <a:ext cx="1041956" cy="42058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 </a:t>
          </a:r>
        </a:p>
      </xdr:txBody>
    </xdr:sp>
    <xdr:clientData/>
  </xdr:twoCellAnchor>
  <xdr:twoCellAnchor>
    <xdr:from>
      <xdr:col>5</xdr:col>
      <xdr:colOff>546521</xdr:colOff>
      <xdr:row>185</xdr:row>
      <xdr:rowOff>26359</xdr:rowOff>
    </xdr:from>
    <xdr:to>
      <xdr:col>7</xdr:col>
      <xdr:colOff>30773</xdr:colOff>
      <xdr:row>186</xdr:row>
      <xdr:rowOff>102578</xdr:rowOff>
    </xdr:to>
    <xdr:sp macro="" textlink="">
      <xdr:nvSpPr>
        <xdr:cNvPr id="98" name="103 Rectángulo">
          <a:extLst>
            <a:ext uri="{FF2B5EF4-FFF2-40B4-BE49-F238E27FC236}">
              <a16:creationId xmlns:a16="http://schemas.microsoft.com/office/drawing/2014/main" id="{A61FC5E9-C9C8-4384-905F-4B81C5AE9943}"/>
            </a:ext>
          </a:extLst>
        </xdr:cNvPr>
        <xdr:cNvSpPr/>
      </xdr:nvSpPr>
      <xdr:spPr>
        <a:xfrm>
          <a:off x="4356521" y="61843609"/>
          <a:ext cx="1008252" cy="400069"/>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328177</xdr:colOff>
      <xdr:row>186</xdr:row>
      <xdr:rowOff>218321</xdr:rowOff>
    </xdr:from>
    <xdr:to>
      <xdr:col>1</xdr:col>
      <xdr:colOff>608133</xdr:colOff>
      <xdr:row>187</xdr:row>
      <xdr:rowOff>83527</xdr:rowOff>
    </xdr:to>
    <xdr:sp macro="" textlink="">
      <xdr:nvSpPr>
        <xdr:cNvPr id="99" name="104 Rectángulo">
          <a:extLst>
            <a:ext uri="{FF2B5EF4-FFF2-40B4-BE49-F238E27FC236}">
              <a16:creationId xmlns:a16="http://schemas.microsoft.com/office/drawing/2014/main" id="{AE196F1C-EC44-42B0-9119-8D07DF06522A}"/>
            </a:ext>
          </a:extLst>
        </xdr:cNvPr>
        <xdr:cNvSpPr/>
      </xdr:nvSpPr>
      <xdr:spPr>
        <a:xfrm>
          <a:off x="328177" y="62359421"/>
          <a:ext cx="1041956" cy="189056"/>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 </a:t>
          </a:r>
        </a:p>
      </xdr:txBody>
    </xdr:sp>
    <xdr:clientData/>
  </xdr:twoCellAnchor>
  <xdr:twoCellAnchor>
    <xdr:from>
      <xdr:col>5</xdr:col>
      <xdr:colOff>539193</xdr:colOff>
      <xdr:row>184</xdr:row>
      <xdr:rowOff>4378</xdr:rowOff>
    </xdr:from>
    <xdr:to>
      <xdr:col>7</xdr:col>
      <xdr:colOff>23445</xdr:colOff>
      <xdr:row>185</xdr:row>
      <xdr:rowOff>10258</xdr:rowOff>
    </xdr:to>
    <xdr:sp macro="" textlink="">
      <xdr:nvSpPr>
        <xdr:cNvPr id="100" name="105 Rectángulo">
          <a:extLst>
            <a:ext uri="{FF2B5EF4-FFF2-40B4-BE49-F238E27FC236}">
              <a16:creationId xmlns:a16="http://schemas.microsoft.com/office/drawing/2014/main" id="{02DF2973-078A-49CF-8ECF-72DD8A7A155C}"/>
            </a:ext>
          </a:extLst>
        </xdr:cNvPr>
        <xdr:cNvSpPr/>
      </xdr:nvSpPr>
      <xdr:spPr>
        <a:xfrm>
          <a:off x="4349193" y="61631128"/>
          <a:ext cx="1008252" cy="19638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312059</xdr:colOff>
      <xdr:row>187</xdr:row>
      <xdr:rowOff>99628</xdr:rowOff>
    </xdr:from>
    <xdr:to>
      <xdr:col>1</xdr:col>
      <xdr:colOff>592015</xdr:colOff>
      <xdr:row>187</xdr:row>
      <xdr:rowOff>417635</xdr:rowOff>
    </xdr:to>
    <xdr:sp macro="" textlink="">
      <xdr:nvSpPr>
        <xdr:cNvPr id="101" name="106 Rectángulo">
          <a:extLst>
            <a:ext uri="{FF2B5EF4-FFF2-40B4-BE49-F238E27FC236}">
              <a16:creationId xmlns:a16="http://schemas.microsoft.com/office/drawing/2014/main" id="{9401BF85-DC18-4434-B283-15624614137F}"/>
            </a:ext>
          </a:extLst>
        </xdr:cNvPr>
        <xdr:cNvSpPr/>
      </xdr:nvSpPr>
      <xdr:spPr>
        <a:xfrm>
          <a:off x="312059" y="62564578"/>
          <a:ext cx="1041956" cy="31800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 </a:t>
          </a:r>
        </a:p>
      </xdr:txBody>
    </xdr:sp>
    <xdr:clientData/>
  </xdr:twoCellAnchor>
  <xdr:twoCellAnchor>
    <xdr:from>
      <xdr:col>5</xdr:col>
      <xdr:colOff>553847</xdr:colOff>
      <xdr:row>187</xdr:row>
      <xdr:rowOff>121607</xdr:rowOff>
    </xdr:from>
    <xdr:to>
      <xdr:col>7</xdr:col>
      <xdr:colOff>38099</xdr:colOff>
      <xdr:row>187</xdr:row>
      <xdr:rowOff>410309</xdr:rowOff>
    </xdr:to>
    <xdr:sp macro="" textlink="">
      <xdr:nvSpPr>
        <xdr:cNvPr id="102" name="107 Rectángulo">
          <a:extLst>
            <a:ext uri="{FF2B5EF4-FFF2-40B4-BE49-F238E27FC236}">
              <a16:creationId xmlns:a16="http://schemas.microsoft.com/office/drawing/2014/main" id="{BCEC2E76-E86E-437A-BDBA-AAE103B94C97}"/>
            </a:ext>
          </a:extLst>
        </xdr:cNvPr>
        <xdr:cNvSpPr/>
      </xdr:nvSpPr>
      <xdr:spPr>
        <a:xfrm>
          <a:off x="4363847" y="62586557"/>
          <a:ext cx="1008252" cy="288702"/>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317921</xdr:colOff>
      <xdr:row>187</xdr:row>
      <xdr:rowOff>435202</xdr:rowOff>
    </xdr:from>
    <xdr:to>
      <xdr:col>1</xdr:col>
      <xdr:colOff>597877</xdr:colOff>
      <xdr:row>188</xdr:row>
      <xdr:rowOff>351692</xdr:rowOff>
    </xdr:to>
    <xdr:sp macro="" textlink="">
      <xdr:nvSpPr>
        <xdr:cNvPr id="103" name="108 Rectángulo">
          <a:extLst>
            <a:ext uri="{FF2B5EF4-FFF2-40B4-BE49-F238E27FC236}">
              <a16:creationId xmlns:a16="http://schemas.microsoft.com/office/drawing/2014/main" id="{3B70537C-19B7-4EF2-9D37-17408E341BE8}"/>
            </a:ext>
          </a:extLst>
        </xdr:cNvPr>
        <xdr:cNvSpPr/>
      </xdr:nvSpPr>
      <xdr:spPr>
        <a:xfrm>
          <a:off x="317921" y="62900152"/>
          <a:ext cx="1041956" cy="40226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 </a:t>
          </a:r>
        </a:p>
      </xdr:txBody>
    </xdr:sp>
    <xdr:clientData/>
  </xdr:twoCellAnchor>
  <xdr:twoCellAnchor>
    <xdr:from>
      <xdr:col>5</xdr:col>
      <xdr:colOff>545055</xdr:colOff>
      <xdr:row>187</xdr:row>
      <xdr:rowOff>449852</xdr:rowOff>
    </xdr:from>
    <xdr:to>
      <xdr:col>7</xdr:col>
      <xdr:colOff>29307</xdr:colOff>
      <xdr:row>188</xdr:row>
      <xdr:rowOff>351692</xdr:rowOff>
    </xdr:to>
    <xdr:sp macro="" textlink="">
      <xdr:nvSpPr>
        <xdr:cNvPr id="104" name="109 Rectángulo">
          <a:extLst>
            <a:ext uri="{FF2B5EF4-FFF2-40B4-BE49-F238E27FC236}">
              <a16:creationId xmlns:a16="http://schemas.microsoft.com/office/drawing/2014/main" id="{88BF6FF2-C6EB-43A5-B5D9-7F9EF8436EB0}"/>
            </a:ext>
          </a:extLst>
        </xdr:cNvPr>
        <xdr:cNvSpPr/>
      </xdr:nvSpPr>
      <xdr:spPr>
        <a:xfrm>
          <a:off x="4355055" y="62914802"/>
          <a:ext cx="1008252" cy="38761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309129</xdr:colOff>
      <xdr:row>191</xdr:row>
      <xdr:rowOff>82044</xdr:rowOff>
    </xdr:from>
    <xdr:to>
      <xdr:col>1</xdr:col>
      <xdr:colOff>589085</xdr:colOff>
      <xdr:row>195</xdr:row>
      <xdr:rowOff>21981</xdr:rowOff>
    </xdr:to>
    <xdr:sp macro="" textlink="">
      <xdr:nvSpPr>
        <xdr:cNvPr id="105" name="110 Rectángulo">
          <a:extLst>
            <a:ext uri="{FF2B5EF4-FFF2-40B4-BE49-F238E27FC236}">
              <a16:creationId xmlns:a16="http://schemas.microsoft.com/office/drawing/2014/main" id="{DE7E497E-DCD4-4B3D-BDDC-C7687BD9F644}"/>
            </a:ext>
          </a:extLst>
        </xdr:cNvPr>
        <xdr:cNvSpPr/>
      </xdr:nvSpPr>
      <xdr:spPr>
        <a:xfrm>
          <a:off x="309129" y="63909069"/>
          <a:ext cx="1041956" cy="70193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 </a:t>
          </a:r>
        </a:p>
      </xdr:txBody>
    </xdr:sp>
    <xdr:clientData/>
  </xdr:twoCellAnchor>
  <xdr:twoCellAnchor>
    <xdr:from>
      <xdr:col>5</xdr:col>
      <xdr:colOff>558243</xdr:colOff>
      <xdr:row>188</xdr:row>
      <xdr:rowOff>389770</xdr:rowOff>
    </xdr:from>
    <xdr:to>
      <xdr:col>7</xdr:col>
      <xdr:colOff>42495</xdr:colOff>
      <xdr:row>191</xdr:row>
      <xdr:rowOff>58614</xdr:rowOff>
    </xdr:to>
    <xdr:sp macro="" textlink="">
      <xdr:nvSpPr>
        <xdr:cNvPr id="106" name="111 Rectángulo">
          <a:extLst>
            <a:ext uri="{FF2B5EF4-FFF2-40B4-BE49-F238E27FC236}">
              <a16:creationId xmlns:a16="http://schemas.microsoft.com/office/drawing/2014/main" id="{47B7FC1D-59F8-4384-92A4-D8E526F88351}"/>
            </a:ext>
          </a:extLst>
        </xdr:cNvPr>
        <xdr:cNvSpPr/>
      </xdr:nvSpPr>
      <xdr:spPr>
        <a:xfrm>
          <a:off x="4368243" y="63340495"/>
          <a:ext cx="1008252" cy="545144"/>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309129</xdr:colOff>
      <xdr:row>188</xdr:row>
      <xdr:rowOff>375121</xdr:rowOff>
    </xdr:from>
    <xdr:to>
      <xdr:col>1</xdr:col>
      <xdr:colOff>589085</xdr:colOff>
      <xdr:row>191</xdr:row>
      <xdr:rowOff>51289</xdr:rowOff>
    </xdr:to>
    <xdr:sp macro="" textlink="">
      <xdr:nvSpPr>
        <xdr:cNvPr id="107" name="112 Rectángulo">
          <a:extLst>
            <a:ext uri="{FF2B5EF4-FFF2-40B4-BE49-F238E27FC236}">
              <a16:creationId xmlns:a16="http://schemas.microsoft.com/office/drawing/2014/main" id="{04253FD9-9535-431B-801C-35BCFDA4AD22}"/>
            </a:ext>
          </a:extLst>
        </xdr:cNvPr>
        <xdr:cNvSpPr/>
      </xdr:nvSpPr>
      <xdr:spPr>
        <a:xfrm>
          <a:off x="309129" y="63325846"/>
          <a:ext cx="1041956" cy="552468"/>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t> </a:t>
          </a:r>
        </a:p>
      </xdr:txBody>
    </xdr:sp>
    <xdr:clientData/>
  </xdr:twoCellAnchor>
  <xdr:twoCellAnchor>
    <xdr:from>
      <xdr:col>5</xdr:col>
      <xdr:colOff>549450</xdr:colOff>
      <xdr:row>191</xdr:row>
      <xdr:rowOff>87901</xdr:rowOff>
    </xdr:from>
    <xdr:to>
      <xdr:col>7</xdr:col>
      <xdr:colOff>33702</xdr:colOff>
      <xdr:row>195</xdr:row>
      <xdr:rowOff>29308</xdr:rowOff>
    </xdr:to>
    <xdr:sp macro="" textlink="">
      <xdr:nvSpPr>
        <xdr:cNvPr id="108" name="113 Rectángulo">
          <a:extLst>
            <a:ext uri="{FF2B5EF4-FFF2-40B4-BE49-F238E27FC236}">
              <a16:creationId xmlns:a16="http://schemas.microsoft.com/office/drawing/2014/main" id="{50DF40A2-05DC-4796-8245-2DE0F4B010A9}"/>
            </a:ext>
          </a:extLst>
        </xdr:cNvPr>
        <xdr:cNvSpPr/>
      </xdr:nvSpPr>
      <xdr:spPr>
        <a:xfrm>
          <a:off x="4359450" y="63914926"/>
          <a:ext cx="1008252" cy="703407"/>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352425</xdr:colOff>
      <xdr:row>8</xdr:row>
      <xdr:rowOff>152400</xdr:rowOff>
    </xdr:from>
    <xdr:to>
      <xdr:col>7</xdr:col>
      <xdr:colOff>151771</xdr:colOff>
      <xdr:row>15</xdr:row>
      <xdr:rowOff>104293</xdr:rowOff>
    </xdr:to>
    <xdr:pic>
      <xdr:nvPicPr>
        <xdr:cNvPr id="2" name="Imagen 1">
          <a:extLst>
            <a:ext uri="{FF2B5EF4-FFF2-40B4-BE49-F238E27FC236}">
              <a16:creationId xmlns:a16="http://schemas.microsoft.com/office/drawing/2014/main" id="{E68FA630-11AC-4F8D-849C-3DCC4D3566FE}"/>
            </a:ext>
          </a:extLst>
        </xdr:cNvPr>
        <xdr:cNvPicPr>
          <a:picLocks noChangeAspect="1"/>
        </xdr:cNvPicPr>
      </xdr:nvPicPr>
      <xdr:blipFill>
        <a:blip xmlns:r="http://schemas.openxmlformats.org/officeDocument/2006/relationships" r:embed="rId1"/>
        <a:stretch>
          <a:fillRect/>
        </a:stretch>
      </xdr:blipFill>
      <xdr:spPr>
        <a:xfrm>
          <a:off x="1114425" y="1685925"/>
          <a:ext cx="5028571" cy="3857143"/>
        </a:xfrm>
        <a:prstGeom prst="rect">
          <a:avLst/>
        </a:prstGeom>
      </xdr:spPr>
    </xdr:pic>
    <xdr:clientData/>
  </xdr:twoCellAnchor>
  <xdr:twoCellAnchor editAs="oneCell">
    <xdr:from>
      <xdr:col>1</xdr:col>
      <xdr:colOff>342900</xdr:colOff>
      <xdr:row>15</xdr:row>
      <xdr:rowOff>73399</xdr:rowOff>
    </xdr:from>
    <xdr:to>
      <xdr:col>7</xdr:col>
      <xdr:colOff>161294</xdr:colOff>
      <xdr:row>22</xdr:row>
      <xdr:rowOff>207869</xdr:rowOff>
    </xdr:to>
    <xdr:pic>
      <xdr:nvPicPr>
        <xdr:cNvPr id="3" name="Imagen 2">
          <a:extLst>
            <a:ext uri="{FF2B5EF4-FFF2-40B4-BE49-F238E27FC236}">
              <a16:creationId xmlns:a16="http://schemas.microsoft.com/office/drawing/2014/main" id="{67DB98DA-3D5D-4A86-B857-497852DA5356}"/>
            </a:ext>
          </a:extLst>
        </xdr:cNvPr>
        <xdr:cNvPicPr>
          <a:picLocks noChangeAspect="1"/>
        </xdr:cNvPicPr>
      </xdr:nvPicPr>
      <xdr:blipFill rotWithShape="1">
        <a:blip xmlns:r="http://schemas.openxmlformats.org/officeDocument/2006/relationships" r:embed="rId2"/>
        <a:srcRect t="1" b="2281"/>
        <a:stretch/>
      </xdr:blipFill>
      <xdr:spPr>
        <a:xfrm>
          <a:off x="1104900" y="5512174"/>
          <a:ext cx="5047619" cy="2029945"/>
        </a:xfrm>
        <a:prstGeom prst="rect">
          <a:avLst/>
        </a:prstGeom>
      </xdr:spPr>
    </xdr:pic>
    <xdr:clientData/>
  </xdr:twoCellAnchor>
  <xdr:twoCellAnchor editAs="oneCell">
    <xdr:from>
      <xdr:col>1</xdr:col>
      <xdr:colOff>347383</xdr:colOff>
      <xdr:row>22</xdr:row>
      <xdr:rowOff>228428</xdr:rowOff>
    </xdr:from>
    <xdr:to>
      <xdr:col>7</xdr:col>
      <xdr:colOff>91170</xdr:colOff>
      <xdr:row>56</xdr:row>
      <xdr:rowOff>167528</xdr:rowOff>
    </xdr:to>
    <xdr:pic>
      <xdr:nvPicPr>
        <xdr:cNvPr id="4" name="Imagen 3">
          <a:extLst>
            <a:ext uri="{FF2B5EF4-FFF2-40B4-BE49-F238E27FC236}">
              <a16:creationId xmlns:a16="http://schemas.microsoft.com/office/drawing/2014/main" id="{60D437C0-18CD-418E-B20D-3393A3E67D52}"/>
            </a:ext>
          </a:extLst>
        </xdr:cNvPr>
        <xdr:cNvPicPr>
          <a:picLocks noChangeAspect="1"/>
        </xdr:cNvPicPr>
      </xdr:nvPicPr>
      <xdr:blipFill>
        <a:blip xmlns:r="http://schemas.openxmlformats.org/officeDocument/2006/relationships" r:embed="rId3"/>
        <a:stretch>
          <a:fillRect/>
        </a:stretch>
      </xdr:blipFill>
      <xdr:spPr>
        <a:xfrm>
          <a:off x="1109383" y="7562678"/>
          <a:ext cx="4973012" cy="6825675"/>
        </a:xfrm>
        <a:prstGeom prst="rect">
          <a:avLst/>
        </a:prstGeom>
      </xdr:spPr>
    </xdr:pic>
    <xdr:clientData/>
  </xdr:twoCellAnchor>
  <xdr:twoCellAnchor editAs="oneCell">
    <xdr:from>
      <xdr:col>1</xdr:col>
      <xdr:colOff>361950</xdr:colOff>
      <xdr:row>56</xdr:row>
      <xdr:rowOff>114299</xdr:rowOff>
    </xdr:from>
    <xdr:to>
      <xdr:col>7</xdr:col>
      <xdr:colOff>142875</xdr:colOff>
      <xdr:row>60</xdr:row>
      <xdr:rowOff>153125</xdr:rowOff>
    </xdr:to>
    <xdr:pic>
      <xdr:nvPicPr>
        <xdr:cNvPr id="5" name="Imagen 4">
          <a:extLst>
            <a:ext uri="{FF2B5EF4-FFF2-40B4-BE49-F238E27FC236}">
              <a16:creationId xmlns:a16="http://schemas.microsoft.com/office/drawing/2014/main" id="{9446468C-FF5C-4CEE-B703-D02A6D4B75E4}"/>
            </a:ext>
          </a:extLst>
        </xdr:cNvPr>
        <xdr:cNvPicPr>
          <a:picLocks noChangeAspect="1"/>
        </xdr:cNvPicPr>
      </xdr:nvPicPr>
      <xdr:blipFill>
        <a:blip xmlns:r="http://schemas.openxmlformats.org/officeDocument/2006/relationships" r:embed="rId4"/>
        <a:stretch>
          <a:fillRect/>
        </a:stretch>
      </xdr:blipFill>
      <xdr:spPr>
        <a:xfrm>
          <a:off x="1123950" y="14335124"/>
          <a:ext cx="5010150" cy="2886801"/>
        </a:xfrm>
        <a:prstGeom prst="rect">
          <a:avLst/>
        </a:prstGeom>
      </xdr:spPr>
    </xdr:pic>
    <xdr:clientData/>
  </xdr:twoCellAnchor>
  <xdr:twoCellAnchor editAs="oneCell">
    <xdr:from>
      <xdr:col>1</xdr:col>
      <xdr:colOff>361950</xdr:colOff>
      <xdr:row>60</xdr:row>
      <xdr:rowOff>123825</xdr:rowOff>
    </xdr:from>
    <xdr:to>
      <xdr:col>7</xdr:col>
      <xdr:colOff>161925</xdr:colOff>
      <xdr:row>72</xdr:row>
      <xdr:rowOff>742950</xdr:rowOff>
    </xdr:to>
    <xdr:pic>
      <xdr:nvPicPr>
        <xdr:cNvPr id="6" name="Imagen 5">
          <a:extLst>
            <a:ext uri="{FF2B5EF4-FFF2-40B4-BE49-F238E27FC236}">
              <a16:creationId xmlns:a16="http://schemas.microsoft.com/office/drawing/2014/main" id="{7525B78D-ECD6-4B83-BB7D-D6C61C08EB5C}"/>
            </a:ext>
          </a:extLst>
        </xdr:cNvPr>
        <xdr:cNvPicPr>
          <a:picLocks noChangeAspect="1"/>
        </xdr:cNvPicPr>
      </xdr:nvPicPr>
      <xdr:blipFill>
        <a:blip xmlns:r="http://schemas.openxmlformats.org/officeDocument/2006/relationships" r:embed="rId5"/>
        <a:stretch>
          <a:fillRect/>
        </a:stretch>
      </xdr:blipFill>
      <xdr:spPr>
        <a:xfrm>
          <a:off x="1123950" y="17192625"/>
          <a:ext cx="5029200" cy="5562600"/>
        </a:xfrm>
        <a:prstGeom prst="rect">
          <a:avLst/>
        </a:prstGeom>
      </xdr:spPr>
    </xdr:pic>
    <xdr:clientData/>
  </xdr:twoCellAnchor>
  <xdr:twoCellAnchor editAs="oneCell">
    <xdr:from>
      <xdr:col>1</xdr:col>
      <xdr:colOff>390524</xdr:colOff>
      <xdr:row>94</xdr:row>
      <xdr:rowOff>180974</xdr:rowOff>
    </xdr:from>
    <xdr:to>
      <xdr:col>7</xdr:col>
      <xdr:colOff>123824</xdr:colOff>
      <xdr:row>97</xdr:row>
      <xdr:rowOff>95067</xdr:rowOff>
    </xdr:to>
    <xdr:pic>
      <xdr:nvPicPr>
        <xdr:cNvPr id="7" name="Imagen 6">
          <a:extLst>
            <a:ext uri="{FF2B5EF4-FFF2-40B4-BE49-F238E27FC236}">
              <a16:creationId xmlns:a16="http://schemas.microsoft.com/office/drawing/2014/main" id="{FA5C23CC-E990-4330-8A0C-E5FEBA5AD0A1}"/>
            </a:ext>
          </a:extLst>
        </xdr:cNvPr>
        <xdr:cNvPicPr>
          <a:picLocks noChangeAspect="1"/>
        </xdr:cNvPicPr>
      </xdr:nvPicPr>
      <xdr:blipFill>
        <a:blip xmlns:r="http://schemas.openxmlformats.org/officeDocument/2006/relationships" r:embed="rId6"/>
        <a:stretch>
          <a:fillRect/>
        </a:stretch>
      </xdr:blipFill>
      <xdr:spPr>
        <a:xfrm>
          <a:off x="1152524" y="29937074"/>
          <a:ext cx="4962525" cy="485593"/>
        </a:xfrm>
        <a:prstGeom prst="rect">
          <a:avLst/>
        </a:prstGeom>
      </xdr:spPr>
    </xdr:pic>
    <xdr:clientData/>
  </xdr:twoCellAnchor>
  <xdr:twoCellAnchor editAs="oneCell">
    <xdr:from>
      <xdr:col>1</xdr:col>
      <xdr:colOff>419101</xdr:colOff>
      <xdr:row>72</xdr:row>
      <xdr:rowOff>695325</xdr:rowOff>
    </xdr:from>
    <xdr:to>
      <xdr:col>7</xdr:col>
      <xdr:colOff>144196</xdr:colOff>
      <xdr:row>86</xdr:row>
      <xdr:rowOff>514350</xdr:rowOff>
    </xdr:to>
    <xdr:pic>
      <xdr:nvPicPr>
        <xdr:cNvPr id="8" name="Imagen 7">
          <a:extLst>
            <a:ext uri="{FF2B5EF4-FFF2-40B4-BE49-F238E27FC236}">
              <a16:creationId xmlns:a16="http://schemas.microsoft.com/office/drawing/2014/main" id="{B02CC1AA-8632-4FBA-BB2B-1C71CC9B6B7A}"/>
            </a:ext>
          </a:extLst>
        </xdr:cNvPr>
        <xdr:cNvPicPr>
          <a:picLocks noChangeAspect="1"/>
        </xdr:cNvPicPr>
      </xdr:nvPicPr>
      <xdr:blipFill>
        <a:blip xmlns:r="http://schemas.openxmlformats.org/officeDocument/2006/relationships" r:embed="rId7"/>
        <a:stretch>
          <a:fillRect/>
        </a:stretch>
      </xdr:blipFill>
      <xdr:spPr>
        <a:xfrm>
          <a:off x="1181101" y="22707600"/>
          <a:ext cx="4954320" cy="5572125"/>
        </a:xfrm>
        <a:prstGeom prst="rect">
          <a:avLst/>
        </a:prstGeom>
      </xdr:spPr>
    </xdr:pic>
    <xdr:clientData/>
  </xdr:twoCellAnchor>
  <xdr:twoCellAnchor editAs="oneCell">
    <xdr:from>
      <xdr:col>1</xdr:col>
      <xdr:colOff>400049</xdr:colOff>
      <xdr:row>86</xdr:row>
      <xdr:rowOff>542925</xdr:rowOff>
    </xdr:from>
    <xdr:to>
      <xdr:col>7</xdr:col>
      <xdr:colOff>133349</xdr:colOff>
      <xdr:row>95</xdr:row>
      <xdr:rowOff>43511</xdr:rowOff>
    </xdr:to>
    <xdr:pic>
      <xdr:nvPicPr>
        <xdr:cNvPr id="9" name="Imagen 8">
          <a:extLst>
            <a:ext uri="{FF2B5EF4-FFF2-40B4-BE49-F238E27FC236}">
              <a16:creationId xmlns:a16="http://schemas.microsoft.com/office/drawing/2014/main" id="{0017855F-A8B0-4695-9346-A1C83E8F5E3F}"/>
            </a:ext>
          </a:extLst>
        </xdr:cNvPr>
        <xdr:cNvPicPr>
          <a:picLocks noChangeAspect="1"/>
        </xdr:cNvPicPr>
      </xdr:nvPicPr>
      <xdr:blipFill>
        <a:blip xmlns:r="http://schemas.openxmlformats.org/officeDocument/2006/relationships" r:embed="rId8"/>
        <a:stretch>
          <a:fillRect/>
        </a:stretch>
      </xdr:blipFill>
      <xdr:spPr>
        <a:xfrm>
          <a:off x="1162049" y="28308300"/>
          <a:ext cx="4962525" cy="1681811"/>
        </a:xfrm>
        <a:prstGeom prst="rect">
          <a:avLst/>
        </a:prstGeom>
      </xdr:spPr>
    </xdr:pic>
    <xdr:clientData/>
  </xdr:twoCellAnchor>
  <xdr:twoCellAnchor>
    <xdr:from>
      <xdr:col>3</xdr:col>
      <xdr:colOff>590550</xdr:colOff>
      <xdr:row>9</xdr:row>
      <xdr:rowOff>323850</xdr:rowOff>
    </xdr:from>
    <xdr:to>
      <xdr:col>5</xdr:col>
      <xdr:colOff>952500</xdr:colOff>
      <xdr:row>9</xdr:row>
      <xdr:rowOff>695325</xdr:rowOff>
    </xdr:to>
    <xdr:sp macro="" textlink="">
      <xdr:nvSpPr>
        <xdr:cNvPr id="10" name="9 Rectángulo">
          <a:extLst>
            <a:ext uri="{FF2B5EF4-FFF2-40B4-BE49-F238E27FC236}">
              <a16:creationId xmlns:a16="http://schemas.microsoft.com/office/drawing/2014/main" id="{8C7FF337-7C1E-4FF8-BC3C-BDC1EA2513CD}"/>
            </a:ext>
          </a:extLst>
        </xdr:cNvPr>
        <xdr:cNvSpPr/>
      </xdr:nvSpPr>
      <xdr:spPr>
        <a:xfrm>
          <a:off x="3038475" y="2057400"/>
          <a:ext cx="1962150" cy="3714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590550</xdr:colOff>
      <xdr:row>10</xdr:row>
      <xdr:rowOff>9525</xdr:rowOff>
    </xdr:from>
    <xdr:to>
      <xdr:col>5</xdr:col>
      <xdr:colOff>952500</xdr:colOff>
      <xdr:row>10</xdr:row>
      <xdr:rowOff>514350</xdr:rowOff>
    </xdr:to>
    <xdr:sp macro="" textlink="">
      <xdr:nvSpPr>
        <xdr:cNvPr id="11" name="10 Rectángulo">
          <a:extLst>
            <a:ext uri="{FF2B5EF4-FFF2-40B4-BE49-F238E27FC236}">
              <a16:creationId xmlns:a16="http://schemas.microsoft.com/office/drawing/2014/main" id="{29EE9C96-10F3-4D44-913B-3C8680CC596E}"/>
            </a:ext>
          </a:extLst>
        </xdr:cNvPr>
        <xdr:cNvSpPr/>
      </xdr:nvSpPr>
      <xdr:spPr>
        <a:xfrm>
          <a:off x="3038475" y="2476500"/>
          <a:ext cx="1962150" cy="50482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590550</xdr:colOff>
      <xdr:row>10</xdr:row>
      <xdr:rowOff>561975</xdr:rowOff>
    </xdr:from>
    <xdr:to>
      <xdr:col>5</xdr:col>
      <xdr:colOff>952500</xdr:colOff>
      <xdr:row>11</xdr:row>
      <xdr:rowOff>381000</xdr:rowOff>
    </xdr:to>
    <xdr:sp macro="" textlink="">
      <xdr:nvSpPr>
        <xdr:cNvPr id="12" name="11 Rectángulo">
          <a:extLst>
            <a:ext uri="{FF2B5EF4-FFF2-40B4-BE49-F238E27FC236}">
              <a16:creationId xmlns:a16="http://schemas.microsoft.com/office/drawing/2014/main" id="{DE1001E9-DAE8-42A1-B8AD-23B90435E5FD}"/>
            </a:ext>
          </a:extLst>
        </xdr:cNvPr>
        <xdr:cNvSpPr/>
      </xdr:nvSpPr>
      <xdr:spPr>
        <a:xfrm>
          <a:off x="3038475" y="3028950"/>
          <a:ext cx="1962150" cy="62865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581025</xdr:colOff>
      <xdr:row>11</xdr:row>
      <xdr:rowOff>638175</xdr:rowOff>
    </xdr:from>
    <xdr:to>
      <xdr:col>5</xdr:col>
      <xdr:colOff>942975</xdr:colOff>
      <xdr:row>11</xdr:row>
      <xdr:rowOff>914400</xdr:rowOff>
    </xdr:to>
    <xdr:sp macro="" textlink="">
      <xdr:nvSpPr>
        <xdr:cNvPr id="13" name="12 Rectángulo">
          <a:extLst>
            <a:ext uri="{FF2B5EF4-FFF2-40B4-BE49-F238E27FC236}">
              <a16:creationId xmlns:a16="http://schemas.microsoft.com/office/drawing/2014/main" id="{D6411E10-B5DE-4BF5-8BE1-92970FF96202}"/>
            </a:ext>
          </a:extLst>
        </xdr:cNvPr>
        <xdr:cNvSpPr/>
      </xdr:nvSpPr>
      <xdr:spPr>
        <a:xfrm>
          <a:off x="3028950" y="3914775"/>
          <a:ext cx="1962150" cy="27622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581025</xdr:colOff>
      <xdr:row>11</xdr:row>
      <xdr:rowOff>933450</xdr:rowOff>
    </xdr:from>
    <xdr:to>
      <xdr:col>5</xdr:col>
      <xdr:colOff>942975</xdr:colOff>
      <xdr:row>13</xdr:row>
      <xdr:rowOff>47625</xdr:rowOff>
    </xdr:to>
    <xdr:sp macro="" textlink="">
      <xdr:nvSpPr>
        <xdr:cNvPr id="14" name="13 Rectángulo">
          <a:extLst>
            <a:ext uri="{FF2B5EF4-FFF2-40B4-BE49-F238E27FC236}">
              <a16:creationId xmlns:a16="http://schemas.microsoft.com/office/drawing/2014/main" id="{FD837BF2-19DF-49C6-812E-4632D94F36EA}"/>
            </a:ext>
          </a:extLst>
        </xdr:cNvPr>
        <xdr:cNvSpPr/>
      </xdr:nvSpPr>
      <xdr:spPr>
        <a:xfrm>
          <a:off x="3028950" y="4210050"/>
          <a:ext cx="1962150" cy="27622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590550</xdr:colOff>
      <xdr:row>13</xdr:row>
      <xdr:rowOff>66675</xdr:rowOff>
    </xdr:from>
    <xdr:to>
      <xdr:col>5</xdr:col>
      <xdr:colOff>952500</xdr:colOff>
      <xdr:row>14</xdr:row>
      <xdr:rowOff>390525</xdr:rowOff>
    </xdr:to>
    <xdr:sp macro="" textlink="">
      <xdr:nvSpPr>
        <xdr:cNvPr id="15" name="14 Rectángulo">
          <a:extLst>
            <a:ext uri="{FF2B5EF4-FFF2-40B4-BE49-F238E27FC236}">
              <a16:creationId xmlns:a16="http://schemas.microsoft.com/office/drawing/2014/main" id="{0FF452DD-BD46-44BE-AAA9-AEF003564D32}"/>
            </a:ext>
          </a:extLst>
        </xdr:cNvPr>
        <xdr:cNvSpPr/>
      </xdr:nvSpPr>
      <xdr:spPr>
        <a:xfrm>
          <a:off x="3038475" y="4505325"/>
          <a:ext cx="1962150" cy="51435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590550</xdr:colOff>
      <xdr:row>14</xdr:row>
      <xdr:rowOff>609600</xdr:rowOff>
    </xdr:from>
    <xdr:to>
      <xdr:col>5</xdr:col>
      <xdr:colOff>952500</xdr:colOff>
      <xdr:row>15</xdr:row>
      <xdr:rowOff>57150</xdr:rowOff>
    </xdr:to>
    <xdr:sp macro="" textlink="">
      <xdr:nvSpPr>
        <xdr:cNvPr id="16" name="15 Rectángulo">
          <a:extLst>
            <a:ext uri="{FF2B5EF4-FFF2-40B4-BE49-F238E27FC236}">
              <a16:creationId xmlns:a16="http://schemas.microsoft.com/office/drawing/2014/main" id="{A2E86848-0E03-43F8-A0B1-2A50E0603E7D}"/>
            </a:ext>
          </a:extLst>
        </xdr:cNvPr>
        <xdr:cNvSpPr/>
      </xdr:nvSpPr>
      <xdr:spPr>
        <a:xfrm>
          <a:off x="3038475" y="5238750"/>
          <a:ext cx="1962150" cy="2571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590550</xdr:colOff>
      <xdr:row>15</xdr:row>
      <xdr:rowOff>95250</xdr:rowOff>
    </xdr:from>
    <xdr:to>
      <xdr:col>5</xdr:col>
      <xdr:colOff>952500</xdr:colOff>
      <xdr:row>16</xdr:row>
      <xdr:rowOff>28575</xdr:rowOff>
    </xdr:to>
    <xdr:sp macro="" textlink="">
      <xdr:nvSpPr>
        <xdr:cNvPr id="17" name="16 Rectángulo">
          <a:extLst>
            <a:ext uri="{FF2B5EF4-FFF2-40B4-BE49-F238E27FC236}">
              <a16:creationId xmlns:a16="http://schemas.microsoft.com/office/drawing/2014/main" id="{829EC2DC-7AE5-4106-B123-719D983C9576}"/>
            </a:ext>
          </a:extLst>
        </xdr:cNvPr>
        <xdr:cNvSpPr/>
      </xdr:nvSpPr>
      <xdr:spPr>
        <a:xfrm>
          <a:off x="3038475" y="5534025"/>
          <a:ext cx="1962150" cy="2571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590550</xdr:colOff>
      <xdr:row>16</xdr:row>
      <xdr:rowOff>57150</xdr:rowOff>
    </xdr:from>
    <xdr:to>
      <xdr:col>5</xdr:col>
      <xdr:colOff>952500</xdr:colOff>
      <xdr:row>17</xdr:row>
      <xdr:rowOff>123825</xdr:rowOff>
    </xdr:to>
    <xdr:sp macro="" textlink="">
      <xdr:nvSpPr>
        <xdr:cNvPr id="18" name="17 Rectángulo">
          <a:extLst>
            <a:ext uri="{FF2B5EF4-FFF2-40B4-BE49-F238E27FC236}">
              <a16:creationId xmlns:a16="http://schemas.microsoft.com/office/drawing/2014/main" id="{1C62EB95-919F-4868-9DF7-F5E95CAB3970}"/>
            </a:ext>
          </a:extLst>
        </xdr:cNvPr>
        <xdr:cNvSpPr/>
      </xdr:nvSpPr>
      <xdr:spPr>
        <a:xfrm>
          <a:off x="3038475" y="5819775"/>
          <a:ext cx="1962150" cy="2571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590550</xdr:colOff>
      <xdr:row>17</xdr:row>
      <xdr:rowOff>161926</xdr:rowOff>
    </xdr:from>
    <xdr:to>
      <xdr:col>5</xdr:col>
      <xdr:colOff>952500</xdr:colOff>
      <xdr:row>18</xdr:row>
      <xdr:rowOff>47626</xdr:rowOff>
    </xdr:to>
    <xdr:sp macro="" textlink="">
      <xdr:nvSpPr>
        <xdr:cNvPr id="19" name="18 Rectángulo">
          <a:extLst>
            <a:ext uri="{FF2B5EF4-FFF2-40B4-BE49-F238E27FC236}">
              <a16:creationId xmlns:a16="http://schemas.microsoft.com/office/drawing/2014/main" id="{6303616B-D5D6-4848-8D71-8C606653369D}"/>
            </a:ext>
          </a:extLst>
        </xdr:cNvPr>
        <xdr:cNvSpPr/>
      </xdr:nvSpPr>
      <xdr:spPr>
        <a:xfrm>
          <a:off x="3038475" y="6115051"/>
          <a:ext cx="1962150" cy="20955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600075</xdr:colOff>
      <xdr:row>18</xdr:row>
      <xdr:rowOff>85726</xdr:rowOff>
    </xdr:from>
    <xdr:to>
      <xdr:col>5</xdr:col>
      <xdr:colOff>962025</xdr:colOff>
      <xdr:row>19</xdr:row>
      <xdr:rowOff>152400</xdr:rowOff>
    </xdr:to>
    <xdr:sp macro="" textlink="">
      <xdr:nvSpPr>
        <xdr:cNvPr id="20" name="19 Rectángulo">
          <a:extLst>
            <a:ext uri="{FF2B5EF4-FFF2-40B4-BE49-F238E27FC236}">
              <a16:creationId xmlns:a16="http://schemas.microsoft.com/office/drawing/2014/main" id="{E2B0CF32-EDA4-4333-B5A8-823DDE21B2E1}"/>
            </a:ext>
          </a:extLst>
        </xdr:cNvPr>
        <xdr:cNvSpPr/>
      </xdr:nvSpPr>
      <xdr:spPr>
        <a:xfrm>
          <a:off x="3048000" y="6362701"/>
          <a:ext cx="1962150" cy="257174"/>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590550</xdr:colOff>
      <xdr:row>19</xdr:row>
      <xdr:rowOff>171450</xdr:rowOff>
    </xdr:from>
    <xdr:to>
      <xdr:col>5</xdr:col>
      <xdr:colOff>952500</xdr:colOff>
      <xdr:row>20</xdr:row>
      <xdr:rowOff>304799</xdr:rowOff>
    </xdr:to>
    <xdr:sp macro="" textlink="">
      <xdr:nvSpPr>
        <xdr:cNvPr id="21" name="20 Rectángulo">
          <a:extLst>
            <a:ext uri="{FF2B5EF4-FFF2-40B4-BE49-F238E27FC236}">
              <a16:creationId xmlns:a16="http://schemas.microsoft.com/office/drawing/2014/main" id="{A09721BC-3920-49E2-AFB3-3E6DC12CD2B1}"/>
            </a:ext>
          </a:extLst>
        </xdr:cNvPr>
        <xdr:cNvSpPr/>
      </xdr:nvSpPr>
      <xdr:spPr>
        <a:xfrm>
          <a:off x="3038475" y="6638925"/>
          <a:ext cx="1962150" cy="323849"/>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590550</xdr:colOff>
      <xdr:row>20</xdr:row>
      <xdr:rowOff>352425</xdr:rowOff>
    </xdr:from>
    <xdr:to>
      <xdr:col>5</xdr:col>
      <xdr:colOff>952500</xdr:colOff>
      <xdr:row>21</xdr:row>
      <xdr:rowOff>104775</xdr:rowOff>
    </xdr:to>
    <xdr:sp macro="" textlink="">
      <xdr:nvSpPr>
        <xdr:cNvPr id="22" name="21 Rectángulo">
          <a:extLst>
            <a:ext uri="{FF2B5EF4-FFF2-40B4-BE49-F238E27FC236}">
              <a16:creationId xmlns:a16="http://schemas.microsoft.com/office/drawing/2014/main" id="{9290A42B-9261-407F-B19A-F636DC9ACEDF}"/>
            </a:ext>
          </a:extLst>
        </xdr:cNvPr>
        <xdr:cNvSpPr/>
      </xdr:nvSpPr>
      <xdr:spPr>
        <a:xfrm>
          <a:off x="3038475" y="7010400"/>
          <a:ext cx="1962150" cy="23812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590550</xdr:colOff>
      <xdr:row>21</xdr:row>
      <xdr:rowOff>142875</xdr:rowOff>
    </xdr:from>
    <xdr:to>
      <xdr:col>5</xdr:col>
      <xdr:colOff>952500</xdr:colOff>
      <xdr:row>22</xdr:row>
      <xdr:rowOff>247650</xdr:rowOff>
    </xdr:to>
    <xdr:sp macro="" textlink="">
      <xdr:nvSpPr>
        <xdr:cNvPr id="23" name="22 Rectángulo">
          <a:extLst>
            <a:ext uri="{FF2B5EF4-FFF2-40B4-BE49-F238E27FC236}">
              <a16:creationId xmlns:a16="http://schemas.microsoft.com/office/drawing/2014/main" id="{823C1BD1-BA8F-4CFA-8235-F5AA49AAB1E3}"/>
            </a:ext>
          </a:extLst>
        </xdr:cNvPr>
        <xdr:cNvSpPr/>
      </xdr:nvSpPr>
      <xdr:spPr>
        <a:xfrm>
          <a:off x="3038475" y="7286625"/>
          <a:ext cx="1962150" cy="2952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600075</xdr:colOff>
      <xdr:row>22</xdr:row>
      <xdr:rowOff>285751</xdr:rowOff>
    </xdr:from>
    <xdr:to>
      <xdr:col>5</xdr:col>
      <xdr:colOff>962025</xdr:colOff>
      <xdr:row>24</xdr:row>
      <xdr:rowOff>0</xdr:rowOff>
    </xdr:to>
    <xdr:sp macro="" textlink="">
      <xdr:nvSpPr>
        <xdr:cNvPr id="24" name="23 Rectángulo">
          <a:extLst>
            <a:ext uri="{FF2B5EF4-FFF2-40B4-BE49-F238E27FC236}">
              <a16:creationId xmlns:a16="http://schemas.microsoft.com/office/drawing/2014/main" id="{9C69674B-4788-48EC-BBCE-0D085DF1BEB9}"/>
            </a:ext>
          </a:extLst>
        </xdr:cNvPr>
        <xdr:cNvSpPr/>
      </xdr:nvSpPr>
      <xdr:spPr>
        <a:xfrm>
          <a:off x="3048000" y="7620001"/>
          <a:ext cx="1962150" cy="238124"/>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600075</xdr:colOff>
      <xdr:row>24</xdr:row>
      <xdr:rowOff>38101</xdr:rowOff>
    </xdr:from>
    <xdr:to>
      <xdr:col>5</xdr:col>
      <xdr:colOff>962025</xdr:colOff>
      <xdr:row>25</xdr:row>
      <xdr:rowOff>85725</xdr:rowOff>
    </xdr:to>
    <xdr:sp macro="" textlink="">
      <xdr:nvSpPr>
        <xdr:cNvPr id="25" name="24 Rectángulo">
          <a:extLst>
            <a:ext uri="{FF2B5EF4-FFF2-40B4-BE49-F238E27FC236}">
              <a16:creationId xmlns:a16="http://schemas.microsoft.com/office/drawing/2014/main" id="{B29F3FB3-1A3B-4AA9-868A-3E555528D6C2}"/>
            </a:ext>
          </a:extLst>
        </xdr:cNvPr>
        <xdr:cNvSpPr/>
      </xdr:nvSpPr>
      <xdr:spPr>
        <a:xfrm>
          <a:off x="3048000" y="7896226"/>
          <a:ext cx="1962150" cy="238124"/>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600075</xdr:colOff>
      <xdr:row>25</xdr:row>
      <xdr:rowOff>123826</xdr:rowOff>
    </xdr:from>
    <xdr:to>
      <xdr:col>5</xdr:col>
      <xdr:colOff>962025</xdr:colOff>
      <xdr:row>26</xdr:row>
      <xdr:rowOff>152400</xdr:rowOff>
    </xdr:to>
    <xdr:sp macro="" textlink="">
      <xdr:nvSpPr>
        <xdr:cNvPr id="26" name="25 Rectángulo">
          <a:extLst>
            <a:ext uri="{FF2B5EF4-FFF2-40B4-BE49-F238E27FC236}">
              <a16:creationId xmlns:a16="http://schemas.microsoft.com/office/drawing/2014/main" id="{6B7A5FD3-1540-4B40-93CA-0D2D2F02577E}"/>
            </a:ext>
          </a:extLst>
        </xdr:cNvPr>
        <xdr:cNvSpPr/>
      </xdr:nvSpPr>
      <xdr:spPr>
        <a:xfrm>
          <a:off x="3048000" y="8172451"/>
          <a:ext cx="1962150" cy="219074"/>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27</xdr:row>
      <xdr:rowOff>19051</xdr:rowOff>
    </xdr:from>
    <xdr:to>
      <xdr:col>5</xdr:col>
      <xdr:colOff>971550</xdr:colOff>
      <xdr:row>28</xdr:row>
      <xdr:rowOff>47625</xdr:rowOff>
    </xdr:to>
    <xdr:sp macro="" textlink="">
      <xdr:nvSpPr>
        <xdr:cNvPr id="27" name="26 Rectángulo">
          <a:extLst>
            <a:ext uri="{FF2B5EF4-FFF2-40B4-BE49-F238E27FC236}">
              <a16:creationId xmlns:a16="http://schemas.microsoft.com/office/drawing/2014/main" id="{27880403-4C80-4619-B739-E23A23B15686}"/>
            </a:ext>
          </a:extLst>
        </xdr:cNvPr>
        <xdr:cNvSpPr/>
      </xdr:nvSpPr>
      <xdr:spPr>
        <a:xfrm>
          <a:off x="3057525" y="8448676"/>
          <a:ext cx="1962150" cy="219074"/>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28</xdr:row>
      <xdr:rowOff>85725</xdr:rowOff>
    </xdr:from>
    <xdr:to>
      <xdr:col>5</xdr:col>
      <xdr:colOff>971550</xdr:colOff>
      <xdr:row>29</xdr:row>
      <xdr:rowOff>133350</xdr:rowOff>
    </xdr:to>
    <xdr:sp macro="" textlink="">
      <xdr:nvSpPr>
        <xdr:cNvPr id="28" name="27 Rectángulo">
          <a:extLst>
            <a:ext uri="{FF2B5EF4-FFF2-40B4-BE49-F238E27FC236}">
              <a16:creationId xmlns:a16="http://schemas.microsoft.com/office/drawing/2014/main" id="{7DD995F0-CFE5-4269-BD7D-22EF269F0BB3}"/>
            </a:ext>
          </a:extLst>
        </xdr:cNvPr>
        <xdr:cNvSpPr/>
      </xdr:nvSpPr>
      <xdr:spPr>
        <a:xfrm>
          <a:off x="3057525" y="8705850"/>
          <a:ext cx="1962150" cy="23812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590550</xdr:colOff>
      <xdr:row>29</xdr:row>
      <xdr:rowOff>171450</xdr:rowOff>
    </xdr:from>
    <xdr:to>
      <xdr:col>5</xdr:col>
      <xdr:colOff>952500</xdr:colOff>
      <xdr:row>31</xdr:row>
      <xdr:rowOff>47625</xdr:rowOff>
    </xdr:to>
    <xdr:sp macro="" textlink="">
      <xdr:nvSpPr>
        <xdr:cNvPr id="29" name="28 Rectángulo">
          <a:extLst>
            <a:ext uri="{FF2B5EF4-FFF2-40B4-BE49-F238E27FC236}">
              <a16:creationId xmlns:a16="http://schemas.microsoft.com/office/drawing/2014/main" id="{93AC38C1-AB60-478B-A786-4EC00FA16EDB}"/>
            </a:ext>
          </a:extLst>
        </xdr:cNvPr>
        <xdr:cNvSpPr/>
      </xdr:nvSpPr>
      <xdr:spPr>
        <a:xfrm>
          <a:off x="3038475" y="8982075"/>
          <a:ext cx="1962150" cy="2571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590550</xdr:colOff>
      <xdr:row>31</xdr:row>
      <xdr:rowOff>85725</xdr:rowOff>
    </xdr:from>
    <xdr:to>
      <xdr:col>5</xdr:col>
      <xdr:colOff>952500</xdr:colOff>
      <xdr:row>32</xdr:row>
      <xdr:rowOff>114300</xdr:rowOff>
    </xdr:to>
    <xdr:sp macro="" textlink="">
      <xdr:nvSpPr>
        <xdr:cNvPr id="30" name="29 Rectángulo">
          <a:extLst>
            <a:ext uri="{FF2B5EF4-FFF2-40B4-BE49-F238E27FC236}">
              <a16:creationId xmlns:a16="http://schemas.microsoft.com/office/drawing/2014/main" id="{0DA3A47E-5855-4439-A8AD-E3EB91AE8DD4}"/>
            </a:ext>
          </a:extLst>
        </xdr:cNvPr>
        <xdr:cNvSpPr/>
      </xdr:nvSpPr>
      <xdr:spPr>
        <a:xfrm>
          <a:off x="3038475" y="9277350"/>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32</xdr:row>
      <xdr:rowOff>171450</xdr:rowOff>
    </xdr:from>
    <xdr:to>
      <xdr:col>5</xdr:col>
      <xdr:colOff>971550</xdr:colOff>
      <xdr:row>34</xdr:row>
      <xdr:rowOff>9525</xdr:rowOff>
    </xdr:to>
    <xdr:sp macro="" textlink="">
      <xdr:nvSpPr>
        <xdr:cNvPr id="31" name="30 Rectángulo">
          <a:extLst>
            <a:ext uri="{FF2B5EF4-FFF2-40B4-BE49-F238E27FC236}">
              <a16:creationId xmlns:a16="http://schemas.microsoft.com/office/drawing/2014/main" id="{5560757D-7144-491D-A702-990A22900F8E}"/>
            </a:ext>
          </a:extLst>
        </xdr:cNvPr>
        <xdr:cNvSpPr/>
      </xdr:nvSpPr>
      <xdr:spPr>
        <a:xfrm>
          <a:off x="3057525" y="9553575"/>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34</xdr:row>
      <xdr:rowOff>66675</xdr:rowOff>
    </xdr:from>
    <xdr:to>
      <xdr:col>5</xdr:col>
      <xdr:colOff>971550</xdr:colOff>
      <xdr:row>35</xdr:row>
      <xdr:rowOff>95250</xdr:rowOff>
    </xdr:to>
    <xdr:sp macro="" textlink="">
      <xdr:nvSpPr>
        <xdr:cNvPr id="32" name="31 Rectángulo">
          <a:extLst>
            <a:ext uri="{FF2B5EF4-FFF2-40B4-BE49-F238E27FC236}">
              <a16:creationId xmlns:a16="http://schemas.microsoft.com/office/drawing/2014/main" id="{02B09993-DF69-4DD1-987B-F3FE31433E17}"/>
            </a:ext>
          </a:extLst>
        </xdr:cNvPr>
        <xdr:cNvSpPr/>
      </xdr:nvSpPr>
      <xdr:spPr>
        <a:xfrm>
          <a:off x="3057525" y="9829800"/>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600075</xdr:colOff>
      <xdr:row>35</xdr:row>
      <xdr:rowOff>142875</xdr:rowOff>
    </xdr:from>
    <xdr:to>
      <xdr:col>5</xdr:col>
      <xdr:colOff>962025</xdr:colOff>
      <xdr:row>36</xdr:row>
      <xdr:rowOff>171450</xdr:rowOff>
    </xdr:to>
    <xdr:sp macro="" textlink="">
      <xdr:nvSpPr>
        <xdr:cNvPr id="33" name="32 Rectángulo">
          <a:extLst>
            <a:ext uri="{FF2B5EF4-FFF2-40B4-BE49-F238E27FC236}">
              <a16:creationId xmlns:a16="http://schemas.microsoft.com/office/drawing/2014/main" id="{DFC2BB95-B907-4E1C-9748-3AFA47B8FAC9}"/>
            </a:ext>
          </a:extLst>
        </xdr:cNvPr>
        <xdr:cNvSpPr/>
      </xdr:nvSpPr>
      <xdr:spPr>
        <a:xfrm>
          <a:off x="3048000" y="10096500"/>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600075</xdr:colOff>
      <xdr:row>37</xdr:row>
      <xdr:rowOff>38100</xdr:rowOff>
    </xdr:from>
    <xdr:to>
      <xdr:col>5</xdr:col>
      <xdr:colOff>962025</xdr:colOff>
      <xdr:row>38</xdr:row>
      <xdr:rowOff>66675</xdr:rowOff>
    </xdr:to>
    <xdr:sp macro="" textlink="">
      <xdr:nvSpPr>
        <xdr:cNvPr id="34" name="33 Rectángulo">
          <a:extLst>
            <a:ext uri="{FF2B5EF4-FFF2-40B4-BE49-F238E27FC236}">
              <a16:creationId xmlns:a16="http://schemas.microsoft.com/office/drawing/2014/main" id="{3E347B72-F6A5-4BA8-BD33-8ABFDB578EE5}"/>
            </a:ext>
          </a:extLst>
        </xdr:cNvPr>
        <xdr:cNvSpPr/>
      </xdr:nvSpPr>
      <xdr:spPr>
        <a:xfrm>
          <a:off x="3048000" y="10372725"/>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600075</xdr:colOff>
      <xdr:row>38</xdr:row>
      <xdr:rowOff>123825</xdr:rowOff>
    </xdr:from>
    <xdr:to>
      <xdr:col>5</xdr:col>
      <xdr:colOff>962025</xdr:colOff>
      <xdr:row>39</xdr:row>
      <xdr:rowOff>152400</xdr:rowOff>
    </xdr:to>
    <xdr:sp macro="" textlink="">
      <xdr:nvSpPr>
        <xdr:cNvPr id="35" name="34 Rectángulo">
          <a:extLst>
            <a:ext uri="{FF2B5EF4-FFF2-40B4-BE49-F238E27FC236}">
              <a16:creationId xmlns:a16="http://schemas.microsoft.com/office/drawing/2014/main" id="{2B0B950B-A7A2-457D-946E-351E4DD4B3B8}"/>
            </a:ext>
          </a:extLst>
        </xdr:cNvPr>
        <xdr:cNvSpPr/>
      </xdr:nvSpPr>
      <xdr:spPr>
        <a:xfrm>
          <a:off x="3048000" y="10648950"/>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590550</xdr:colOff>
      <xdr:row>40</xdr:row>
      <xdr:rowOff>19050</xdr:rowOff>
    </xdr:from>
    <xdr:to>
      <xdr:col>5</xdr:col>
      <xdr:colOff>952500</xdr:colOff>
      <xdr:row>41</xdr:row>
      <xdr:rowOff>47625</xdr:rowOff>
    </xdr:to>
    <xdr:sp macro="" textlink="">
      <xdr:nvSpPr>
        <xdr:cNvPr id="36" name="35 Rectángulo">
          <a:extLst>
            <a:ext uri="{FF2B5EF4-FFF2-40B4-BE49-F238E27FC236}">
              <a16:creationId xmlns:a16="http://schemas.microsoft.com/office/drawing/2014/main" id="{91E73818-861E-49FE-BAF6-9389A8DB0C3B}"/>
            </a:ext>
          </a:extLst>
        </xdr:cNvPr>
        <xdr:cNvSpPr/>
      </xdr:nvSpPr>
      <xdr:spPr>
        <a:xfrm>
          <a:off x="3038475" y="10925175"/>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600075</xdr:colOff>
      <xdr:row>41</xdr:row>
      <xdr:rowOff>104775</xdr:rowOff>
    </xdr:from>
    <xdr:to>
      <xdr:col>5</xdr:col>
      <xdr:colOff>962025</xdr:colOff>
      <xdr:row>42</xdr:row>
      <xdr:rowOff>133350</xdr:rowOff>
    </xdr:to>
    <xdr:sp macro="" textlink="">
      <xdr:nvSpPr>
        <xdr:cNvPr id="37" name="36 Rectángulo">
          <a:extLst>
            <a:ext uri="{FF2B5EF4-FFF2-40B4-BE49-F238E27FC236}">
              <a16:creationId xmlns:a16="http://schemas.microsoft.com/office/drawing/2014/main" id="{4695F104-3A12-477A-A898-C329F359CBEB}"/>
            </a:ext>
          </a:extLst>
        </xdr:cNvPr>
        <xdr:cNvSpPr/>
      </xdr:nvSpPr>
      <xdr:spPr>
        <a:xfrm>
          <a:off x="3048000" y="11201400"/>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600075</xdr:colOff>
      <xdr:row>42</xdr:row>
      <xdr:rowOff>180975</xdr:rowOff>
    </xdr:from>
    <xdr:to>
      <xdr:col>5</xdr:col>
      <xdr:colOff>962025</xdr:colOff>
      <xdr:row>44</xdr:row>
      <xdr:rowOff>19050</xdr:rowOff>
    </xdr:to>
    <xdr:sp macro="" textlink="">
      <xdr:nvSpPr>
        <xdr:cNvPr id="38" name="37 Rectángulo">
          <a:extLst>
            <a:ext uri="{FF2B5EF4-FFF2-40B4-BE49-F238E27FC236}">
              <a16:creationId xmlns:a16="http://schemas.microsoft.com/office/drawing/2014/main" id="{5053204A-F414-4C9F-A1CB-15B8C7B2D92F}"/>
            </a:ext>
          </a:extLst>
        </xdr:cNvPr>
        <xdr:cNvSpPr/>
      </xdr:nvSpPr>
      <xdr:spPr>
        <a:xfrm>
          <a:off x="3048000" y="11468100"/>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600075</xdr:colOff>
      <xdr:row>44</xdr:row>
      <xdr:rowOff>85725</xdr:rowOff>
    </xdr:from>
    <xdr:to>
      <xdr:col>5</xdr:col>
      <xdr:colOff>962025</xdr:colOff>
      <xdr:row>45</xdr:row>
      <xdr:rowOff>114300</xdr:rowOff>
    </xdr:to>
    <xdr:sp macro="" textlink="">
      <xdr:nvSpPr>
        <xdr:cNvPr id="39" name="38 Rectángulo">
          <a:extLst>
            <a:ext uri="{FF2B5EF4-FFF2-40B4-BE49-F238E27FC236}">
              <a16:creationId xmlns:a16="http://schemas.microsoft.com/office/drawing/2014/main" id="{E01DA862-788F-4058-B9C0-698574733FD3}"/>
            </a:ext>
          </a:extLst>
        </xdr:cNvPr>
        <xdr:cNvSpPr/>
      </xdr:nvSpPr>
      <xdr:spPr>
        <a:xfrm>
          <a:off x="3048000" y="11753850"/>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45</xdr:row>
      <xdr:rowOff>161926</xdr:rowOff>
    </xdr:from>
    <xdr:to>
      <xdr:col>5</xdr:col>
      <xdr:colOff>971550</xdr:colOff>
      <xdr:row>46</xdr:row>
      <xdr:rowOff>85726</xdr:rowOff>
    </xdr:to>
    <xdr:sp macro="" textlink="">
      <xdr:nvSpPr>
        <xdr:cNvPr id="40" name="39 Rectángulo">
          <a:extLst>
            <a:ext uri="{FF2B5EF4-FFF2-40B4-BE49-F238E27FC236}">
              <a16:creationId xmlns:a16="http://schemas.microsoft.com/office/drawing/2014/main" id="{3880C13C-C7C2-4E36-86B3-2F46EEA6A6F7}"/>
            </a:ext>
          </a:extLst>
        </xdr:cNvPr>
        <xdr:cNvSpPr/>
      </xdr:nvSpPr>
      <xdr:spPr>
        <a:xfrm>
          <a:off x="3057525" y="12020551"/>
          <a:ext cx="1962150" cy="24765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46</xdr:row>
      <xdr:rowOff>114300</xdr:rowOff>
    </xdr:from>
    <xdr:to>
      <xdr:col>5</xdr:col>
      <xdr:colOff>971550</xdr:colOff>
      <xdr:row>47</xdr:row>
      <xdr:rowOff>142875</xdr:rowOff>
    </xdr:to>
    <xdr:sp macro="" textlink="">
      <xdr:nvSpPr>
        <xdr:cNvPr id="41" name="40 Rectángulo">
          <a:extLst>
            <a:ext uri="{FF2B5EF4-FFF2-40B4-BE49-F238E27FC236}">
              <a16:creationId xmlns:a16="http://schemas.microsoft.com/office/drawing/2014/main" id="{5DC6F7BB-4BFC-439E-AF21-B4ED522E71E9}"/>
            </a:ext>
          </a:extLst>
        </xdr:cNvPr>
        <xdr:cNvSpPr/>
      </xdr:nvSpPr>
      <xdr:spPr>
        <a:xfrm>
          <a:off x="3057525" y="12296775"/>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600075</xdr:colOff>
      <xdr:row>48</xdr:row>
      <xdr:rowOff>9525</xdr:rowOff>
    </xdr:from>
    <xdr:to>
      <xdr:col>5</xdr:col>
      <xdr:colOff>962025</xdr:colOff>
      <xdr:row>49</xdr:row>
      <xdr:rowOff>38100</xdr:rowOff>
    </xdr:to>
    <xdr:sp macro="" textlink="">
      <xdr:nvSpPr>
        <xdr:cNvPr id="42" name="41 Rectángulo">
          <a:extLst>
            <a:ext uri="{FF2B5EF4-FFF2-40B4-BE49-F238E27FC236}">
              <a16:creationId xmlns:a16="http://schemas.microsoft.com/office/drawing/2014/main" id="{0C917731-D511-483D-919F-D06198461C1D}"/>
            </a:ext>
          </a:extLst>
        </xdr:cNvPr>
        <xdr:cNvSpPr/>
      </xdr:nvSpPr>
      <xdr:spPr>
        <a:xfrm>
          <a:off x="3048000" y="12573000"/>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49</xdr:row>
      <xdr:rowOff>95251</xdr:rowOff>
    </xdr:from>
    <xdr:to>
      <xdr:col>5</xdr:col>
      <xdr:colOff>971550</xdr:colOff>
      <xdr:row>50</xdr:row>
      <xdr:rowOff>1</xdr:rowOff>
    </xdr:to>
    <xdr:sp macro="" textlink="">
      <xdr:nvSpPr>
        <xdr:cNvPr id="43" name="42 Rectángulo">
          <a:extLst>
            <a:ext uri="{FF2B5EF4-FFF2-40B4-BE49-F238E27FC236}">
              <a16:creationId xmlns:a16="http://schemas.microsoft.com/office/drawing/2014/main" id="{1F8986D7-3325-4E8E-A99C-66B9106712DA}"/>
            </a:ext>
          </a:extLst>
        </xdr:cNvPr>
        <xdr:cNvSpPr/>
      </xdr:nvSpPr>
      <xdr:spPr>
        <a:xfrm>
          <a:off x="3057525" y="12849226"/>
          <a:ext cx="1962150" cy="22860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600075</xdr:colOff>
      <xdr:row>50</xdr:row>
      <xdr:rowOff>47625</xdr:rowOff>
    </xdr:from>
    <xdr:to>
      <xdr:col>5</xdr:col>
      <xdr:colOff>962025</xdr:colOff>
      <xdr:row>51</xdr:row>
      <xdr:rowOff>76200</xdr:rowOff>
    </xdr:to>
    <xdr:sp macro="" textlink="">
      <xdr:nvSpPr>
        <xdr:cNvPr id="44" name="43 Rectángulo">
          <a:extLst>
            <a:ext uri="{FF2B5EF4-FFF2-40B4-BE49-F238E27FC236}">
              <a16:creationId xmlns:a16="http://schemas.microsoft.com/office/drawing/2014/main" id="{6CC1C840-A109-4D37-A52D-33CFEA8AF9AE}"/>
            </a:ext>
          </a:extLst>
        </xdr:cNvPr>
        <xdr:cNvSpPr/>
      </xdr:nvSpPr>
      <xdr:spPr>
        <a:xfrm>
          <a:off x="3048000" y="13125450"/>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51</xdr:row>
      <xdr:rowOff>133350</xdr:rowOff>
    </xdr:from>
    <xdr:to>
      <xdr:col>5</xdr:col>
      <xdr:colOff>971550</xdr:colOff>
      <xdr:row>52</xdr:row>
      <xdr:rowOff>161925</xdr:rowOff>
    </xdr:to>
    <xdr:sp macro="" textlink="">
      <xdr:nvSpPr>
        <xdr:cNvPr id="45" name="44 Rectángulo">
          <a:extLst>
            <a:ext uri="{FF2B5EF4-FFF2-40B4-BE49-F238E27FC236}">
              <a16:creationId xmlns:a16="http://schemas.microsoft.com/office/drawing/2014/main" id="{53FB7C8D-60F1-4802-888A-7F2062891B6E}"/>
            </a:ext>
          </a:extLst>
        </xdr:cNvPr>
        <xdr:cNvSpPr/>
      </xdr:nvSpPr>
      <xdr:spPr>
        <a:xfrm>
          <a:off x="3057525" y="13401675"/>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600075</xdr:colOff>
      <xdr:row>53</xdr:row>
      <xdr:rowOff>19050</xdr:rowOff>
    </xdr:from>
    <xdr:to>
      <xdr:col>5</xdr:col>
      <xdr:colOff>962025</xdr:colOff>
      <xdr:row>55</xdr:row>
      <xdr:rowOff>9525</xdr:rowOff>
    </xdr:to>
    <xdr:sp macro="" textlink="">
      <xdr:nvSpPr>
        <xdr:cNvPr id="46" name="45 Rectángulo">
          <a:extLst>
            <a:ext uri="{FF2B5EF4-FFF2-40B4-BE49-F238E27FC236}">
              <a16:creationId xmlns:a16="http://schemas.microsoft.com/office/drawing/2014/main" id="{50169913-FC31-40EC-8378-04DD8C11B3E0}"/>
            </a:ext>
          </a:extLst>
        </xdr:cNvPr>
        <xdr:cNvSpPr/>
      </xdr:nvSpPr>
      <xdr:spPr>
        <a:xfrm>
          <a:off x="3048000" y="13668375"/>
          <a:ext cx="1962150" cy="3714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55</xdr:row>
      <xdr:rowOff>57150</xdr:rowOff>
    </xdr:from>
    <xdr:to>
      <xdr:col>5</xdr:col>
      <xdr:colOff>971550</xdr:colOff>
      <xdr:row>56</xdr:row>
      <xdr:rowOff>85725</xdr:rowOff>
    </xdr:to>
    <xdr:sp macro="" textlink="">
      <xdr:nvSpPr>
        <xdr:cNvPr id="47" name="46 Rectángulo">
          <a:extLst>
            <a:ext uri="{FF2B5EF4-FFF2-40B4-BE49-F238E27FC236}">
              <a16:creationId xmlns:a16="http://schemas.microsoft.com/office/drawing/2014/main" id="{124E8EF1-1C39-4353-9A6E-472485B54239}"/>
            </a:ext>
          </a:extLst>
        </xdr:cNvPr>
        <xdr:cNvSpPr/>
      </xdr:nvSpPr>
      <xdr:spPr>
        <a:xfrm>
          <a:off x="3057525" y="14087475"/>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56</xdr:row>
      <xdr:rowOff>152400</xdr:rowOff>
    </xdr:from>
    <xdr:to>
      <xdr:col>5</xdr:col>
      <xdr:colOff>971550</xdr:colOff>
      <xdr:row>57</xdr:row>
      <xdr:rowOff>47625</xdr:rowOff>
    </xdr:to>
    <xdr:sp macro="" textlink="">
      <xdr:nvSpPr>
        <xdr:cNvPr id="48" name="47 Rectángulo">
          <a:extLst>
            <a:ext uri="{FF2B5EF4-FFF2-40B4-BE49-F238E27FC236}">
              <a16:creationId xmlns:a16="http://schemas.microsoft.com/office/drawing/2014/main" id="{B9752497-AA5C-4E92-B3A4-F3AA1C680D02}"/>
            </a:ext>
          </a:extLst>
        </xdr:cNvPr>
        <xdr:cNvSpPr/>
      </xdr:nvSpPr>
      <xdr:spPr>
        <a:xfrm>
          <a:off x="3057525" y="14373225"/>
          <a:ext cx="1962150" cy="22860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590550</xdr:colOff>
      <xdr:row>57</xdr:row>
      <xdr:rowOff>104776</xdr:rowOff>
    </xdr:from>
    <xdr:to>
      <xdr:col>5</xdr:col>
      <xdr:colOff>952500</xdr:colOff>
      <xdr:row>57</xdr:row>
      <xdr:rowOff>333376</xdr:rowOff>
    </xdr:to>
    <xdr:sp macro="" textlink="">
      <xdr:nvSpPr>
        <xdr:cNvPr id="49" name="48 Rectángulo">
          <a:extLst>
            <a:ext uri="{FF2B5EF4-FFF2-40B4-BE49-F238E27FC236}">
              <a16:creationId xmlns:a16="http://schemas.microsoft.com/office/drawing/2014/main" id="{2B0590D5-DB37-40DF-A043-08E8BBDAF7E3}"/>
            </a:ext>
          </a:extLst>
        </xdr:cNvPr>
        <xdr:cNvSpPr/>
      </xdr:nvSpPr>
      <xdr:spPr>
        <a:xfrm>
          <a:off x="3038475" y="14658976"/>
          <a:ext cx="1962150" cy="22860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57</xdr:row>
      <xdr:rowOff>371475</xdr:rowOff>
    </xdr:from>
    <xdr:to>
      <xdr:col>5</xdr:col>
      <xdr:colOff>971550</xdr:colOff>
      <xdr:row>57</xdr:row>
      <xdr:rowOff>685800</xdr:rowOff>
    </xdr:to>
    <xdr:sp macro="" textlink="">
      <xdr:nvSpPr>
        <xdr:cNvPr id="50" name="49 Rectángulo">
          <a:extLst>
            <a:ext uri="{FF2B5EF4-FFF2-40B4-BE49-F238E27FC236}">
              <a16:creationId xmlns:a16="http://schemas.microsoft.com/office/drawing/2014/main" id="{EB09360E-C763-4A15-ABA5-04F3A57366CE}"/>
            </a:ext>
          </a:extLst>
        </xdr:cNvPr>
        <xdr:cNvSpPr/>
      </xdr:nvSpPr>
      <xdr:spPr>
        <a:xfrm>
          <a:off x="3057525" y="14925675"/>
          <a:ext cx="1962150" cy="31432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600075</xdr:colOff>
      <xdr:row>58</xdr:row>
      <xdr:rowOff>0</xdr:rowOff>
    </xdr:from>
    <xdr:to>
      <xdr:col>5</xdr:col>
      <xdr:colOff>962025</xdr:colOff>
      <xdr:row>58</xdr:row>
      <xdr:rowOff>219075</xdr:rowOff>
    </xdr:to>
    <xdr:sp macro="" textlink="">
      <xdr:nvSpPr>
        <xdr:cNvPr id="51" name="50 Rectángulo">
          <a:extLst>
            <a:ext uri="{FF2B5EF4-FFF2-40B4-BE49-F238E27FC236}">
              <a16:creationId xmlns:a16="http://schemas.microsoft.com/office/drawing/2014/main" id="{DACCF1F2-81B6-4C00-9C39-09B6FEC6552E}"/>
            </a:ext>
          </a:extLst>
        </xdr:cNvPr>
        <xdr:cNvSpPr/>
      </xdr:nvSpPr>
      <xdr:spPr>
        <a:xfrm>
          <a:off x="3048000" y="15287625"/>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58</xdr:row>
      <xdr:rowOff>285750</xdr:rowOff>
    </xdr:from>
    <xdr:to>
      <xdr:col>5</xdr:col>
      <xdr:colOff>971550</xdr:colOff>
      <xdr:row>58</xdr:row>
      <xdr:rowOff>504825</xdr:rowOff>
    </xdr:to>
    <xdr:sp macro="" textlink="">
      <xdr:nvSpPr>
        <xdr:cNvPr id="52" name="51 Rectángulo">
          <a:extLst>
            <a:ext uri="{FF2B5EF4-FFF2-40B4-BE49-F238E27FC236}">
              <a16:creationId xmlns:a16="http://schemas.microsoft.com/office/drawing/2014/main" id="{38898981-2033-44DB-A20C-42458186DFE0}"/>
            </a:ext>
          </a:extLst>
        </xdr:cNvPr>
        <xdr:cNvSpPr/>
      </xdr:nvSpPr>
      <xdr:spPr>
        <a:xfrm>
          <a:off x="3057525" y="15573375"/>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600075</xdr:colOff>
      <xdr:row>58</xdr:row>
      <xdr:rowOff>542925</xdr:rowOff>
    </xdr:from>
    <xdr:to>
      <xdr:col>5</xdr:col>
      <xdr:colOff>962025</xdr:colOff>
      <xdr:row>58</xdr:row>
      <xdr:rowOff>762000</xdr:rowOff>
    </xdr:to>
    <xdr:sp macro="" textlink="">
      <xdr:nvSpPr>
        <xdr:cNvPr id="53" name="52 Rectángulo">
          <a:extLst>
            <a:ext uri="{FF2B5EF4-FFF2-40B4-BE49-F238E27FC236}">
              <a16:creationId xmlns:a16="http://schemas.microsoft.com/office/drawing/2014/main" id="{33C4CA17-6852-4AFA-BE33-F253031C9BEE}"/>
            </a:ext>
          </a:extLst>
        </xdr:cNvPr>
        <xdr:cNvSpPr/>
      </xdr:nvSpPr>
      <xdr:spPr>
        <a:xfrm>
          <a:off x="3048000" y="15830550"/>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619125</xdr:colOff>
      <xdr:row>59</xdr:row>
      <xdr:rowOff>19051</xdr:rowOff>
    </xdr:from>
    <xdr:to>
      <xdr:col>5</xdr:col>
      <xdr:colOff>981075</xdr:colOff>
      <xdr:row>59</xdr:row>
      <xdr:rowOff>228601</xdr:rowOff>
    </xdr:to>
    <xdr:sp macro="" textlink="">
      <xdr:nvSpPr>
        <xdr:cNvPr id="54" name="53 Rectángulo">
          <a:extLst>
            <a:ext uri="{FF2B5EF4-FFF2-40B4-BE49-F238E27FC236}">
              <a16:creationId xmlns:a16="http://schemas.microsoft.com/office/drawing/2014/main" id="{56536716-3351-4186-ADBA-C09DEEFD6FD5}"/>
            </a:ext>
          </a:extLst>
        </xdr:cNvPr>
        <xdr:cNvSpPr/>
      </xdr:nvSpPr>
      <xdr:spPr>
        <a:xfrm>
          <a:off x="3067050" y="16116301"/>
          <a:ext cx="1962150" cy="20955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59</xdr:row>
      <xdr:rowOff>276225</xdr:rowOff>
    </xdr:from>
    <xdr:to>
      <xdr:col>5</xdr:col>
      <xdr:colOff>971550</xdr:colOff>
      <xdr:row>59</xdr:row>
      <xdr:rowOff>495300</xdr:rowOff>
    </xdr:to>
    <xdr:sp macro="" textlink="">
      <xdr:nvSpPr>
        <xdr:cNvPr id="55" name="54 Rectángulo">
          <a:extLst>
            <a:ext uri="{FF2B5EF4-FFF2-40B4-BE49-F238E27FC236}">
              <a16:creationId xmlns:a16="http://schemas.microsoft.com/office/drawing/2014/main" id="{02C31DB4-69C2-4F97-B066-5904D631E512}"/>
            </a:ext>
          </a:extLst>
        </xdr:cNvPr>
        <xdr:cNvSpPr/>
      </xdr:nvSpPr>
      <xdr:spPr>
        <a:xfrm>
          <a:off x="3057525" y="16373475"/>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619125</xdr:colOff>
      <xdr:row>59</xdr:row>
      <xdr:rowOff>561975</xdr:rowOff>
    </xdr:from>
    <xdr:to>
      <xdr:col>5</xdr:col>
      <xdr:colOff>981075</xdr:colOff>
      <xdr:row>59</xdr:row>
      <xdr:rowOff>781050</xdr:rowOff>
    </xdr:to>
    <xdr:sp macro="" textlink="">
      <xdr:nvSpPr>
        <xdr:cNvPr id="56" name="55 Rectángulo">
          <a:extLst>
            <a:ext uri="{FF2B5EF4-FFF2-40B4-BE49-F238E27FC236}">
              <a16:creationId xmlns:a16="http://schemas.microsoft.com/office/drawing/2014/main" id="{9A3D8023-CD1E-46B0-B5A9-6E85FFACD7CA}"/>
            </a:ext>
          </a:extLst>
        </xdr:cNvPr>
        <xdr:cNvSpPr/>
      </xdr:nvSpPr>
      <xdr:spPr>
        <a:xfrm>
          <a:off x="3067050" y="16659225"/>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600075</xdr:colOff>
      <xdr:row>59</xdr:row>
      <xdr:rowOff>828675</xdr:rowOff>
    </xdr:from>
    <xdr:to>
      <xdr:col>5</xdr:col>
      <xdr:colOff>962025</xdr:colOff>
      <xdr:row>60</xdr:row>
      <xdr:rowOff>76200</xdr:rowOff>
    </xdr:to>
    <xdr:sp macro="" textlink="">
      <xdr:nvSpPr>
        <xdr:cNvPr id="57" name="56 Rectángulo">
          <a:extLst>
            <a:ext uri="{FF2B5EF4-FFF2-40B4-BE49-F238E27FC236}">
              <a16:creationId xmlns:a16="http://schemas.microsoft.com/office/drawing/2014/main" id="{B6B71BA1-25BA-4011-9536-F9CC3B13EE18}"/>
            </a:ext>
          </a:extLst>
        </xdr:cNvPr>
        <xdr:cNvSpPr/>
      </xdr:nvSpPr>
      <xdr:spPr>
        <a:xfrm>
          <a:off x="3048000" y="16925925"/>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60</xdr:row>
      <xdr:rowOff>171450</xdr:rowOff>
    </xdr:from>
    <xdr:to>
      <xdr:col>5</xdr:col>
      <xdr:colOff>971550</xdr:colOff>
      <xdr:row>62</xdr:row>
      <xdr:rowOff>161925</xdr:rowOff>
    </xdr:to>
    <xdr:sp macro="" textlink="">
      <xdr:nvSpPr>
        <xdr:cNvPr id="58" name="57 Rectángulo">
          <a:extLst>
            <a:ext uri="{FF2B5EF4-FFF2-40B4-BE49-F238E27FC236}">
              <a16:creationId xmlns:a16="http://schemas.microsoft.com/office/drawing/2014/main" id="{247EC768-3A99-448B-89BE-FD7850502ABA}"/>
            </a:ext>
          </a:extLst>
        </xdr:cNvPr>
        <xdr:cNvSpPr/>
      </xdr:nvSpPr>
      <xdr:spPr>
        <a:xfrm>
          <a:off x="3057525" y="17240250"/>
          <a:ext cx="1962150" cy="3714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619125</xdr:colOff>
      <xdr:row>62</xdr:row>
      <xdr:rowOff>200025</xdr:rowOff>
    </xdr:from>
    <xdr:to>
      <xdr:col>5</xdr:col>
      <xdr:colOff>981075</xdr:colOff>
      <xdr:row>62</xdr:row>
      <xdr:rowOff>695325</xdr:rowOff>
    </xdr:to>
    <xdr:sp macro="" textlink="">
      <xdr:nvSpPr>
        <xdr:cNvPr id="59" name="58 Rectángulo">
          <a:extLst>
            <a:ext uri="{FF2B5EF4-FFF2-40B4-BE49-F238E27FC236}">
              <a16:creationId xmlns:a16="http://schemas.microsoft.com/office/drawing/2014/main" id="{5C4E3081-0AB5-489A-8333-CBBDCDE7B34D}"/>
            </a:ext>
          </a:extLst>
        </xdr:cNvPr>
        <xdr:cNvSpPr/>
      </xdr:nvSpPr>
      <xdr:spPr>
        <a:xfrm>
          <a:off x="3067050" y="17649825"/>
          <a:ext cx="1962150" cy="49530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62</xdr:row>
      <xdr:rowOff>752476</xdr:rowOff>
    </xdr:from>
    <xdr:to>
      <xdr:col>5</xdr:col>
      <xdr:colOff>971550</xdr:colOff>
      <xdr:row>65</xdr:row>
      <xdr:rowOff>257175</xdr:rowOff>
    </xdr:to>
    <xdr:sp macro="" textlink="">
      <xdr:nvSpPr>
        <xdr:cNvPr id="60" name="59 Rectángulo">
          <a:extLst>
            <a:ext uri="{FF2B5EF4-FFF2-40B4-BE49-F238E27FC236}">
              <a16:creationId xmlns:a16="http://schemas.microsoft.com/office/drawing/2014/main" id="{CF346D41-DA96-4EA9-9F8C-FBCD8BDB7BF1}"/>
            </a:ext>
          </a:extLst>
        </xdr:cNvPr>
        <xdr:cNvSpPr/>
      </xdr:nvSpPr>
      <xdr:spPr>
        <a:xfrm>
          <a:off x="3057525" y="18202276"/>
          <a:ext cx="1962150" cy="828674"/>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619125</xdr:colOff>
      <xdr:row>66</xdr:row>
      <xdr:rowOff>9525</xdr:rowOff>
    </xdr:from>
    <xdr:to>
      <xdr:col>5</xdr:col>
      <xdr:colOff>981075</xdr:colOff>
      <xdr:row>67</xdr:row>
      <xdr:rowOff>38100</xdr:rowOff>
    </xdr:to>
    <xdr:sp macro="" textlink="">
      <xdr:nvSpPr>
        <xdr:cNvPr id="61" name="60 Rectángulo">
          <a:extLst>
            <a:ext uri="{FF2B5EF4-FFF2-40B4-BE49-F238E27FC236}">
              <a16:creationId xmlns:a16="http://schemas.microsoft.com/office/drawing/2014/main" id="{88607E08-82DA-4EA5-8179-2F516D0BCD0F}"/>
            </a:ext>
          </a:extLst>
        </xdr:cNvPr>
        <xdr:cNvSpPr/>
      </xdr:nvSpPr>
      <xdr:spPr>
        <a:xfrm>
          <a:off x="3067050" y="19107150"/>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619125</xdr:colOff>
      <xdr:row>67</xdr:row>
      <xdr:rowOff>104775</xdr:rowOff>
    </xdr:from>
    <xdr:to>
      <xdr:col>5</xdr:col>
      <xdr:colOff>981075</xdr:colOff>
      <xdr:row>68</xdr:row>
      <xdr:rowOff>123825</xdr:rowOff>
    </xdr:to>
    <xdr:sp macro="" textlink="">
      <xdr:nvSpPr>
        <xdr:cNvPr id="62" name="61 Rectángulo">
          <a:extLst>
            <a:ext uri="{FF2B5EF4-FFF2-40B4-BE49-F238E27FC236}">
              <a16:creationId xmlns:a16="http://schemas.microsoft.com/office/drawing/2014/main" id="{88CBA4BF-54AB-4C3F-A6F8-BA40CDD679CD}"/>
            </a:ext>
          </a:extLst>
        </xdr:cNvPr>
        <xdr:cNvSpPr/>
      </xdr:nvSpPr>
      <xdr:spPr>
        <a:xfrm>
          <a:off x="3067050" y="19392900"/>
          <a:ext cx="1962150" cy="20955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619125</xdr:colOff>
      <xdr:row>68</xdr:row>
      <xdr:rowOff>180976</xdr:rowOff>
    </xdr:from>
    <xdr:to>
      <xdr:col>5</xdr:col>
      <xdr:colOff>981075</xdr:colOff>
      <xdr:row>70</xdr:row>
      <xdr:rowOff>161925</xdr:rowOff>
    </xdr:to>
    <xdr:sp macro="" textlink="">
      <xdr:nvSpPr>
        <xdr:cNvPr id="63" name="62 Rectángulo">
          <a:extLst>
            <a:ext uri="{FF2B5EF4-FFF2-40B4-BE49-F238E27FC236}">
              <a16:creationId xmlns:a16="http://schemas.microsoft.com/office/drawing/2014/main" id="{B6D8BFA1-55BE-4B17-BB44-2BFCA9C95263}"/>
            </a:ext>
          </a:extLst>
        </xdr:cNvPr>
        <xdr:cNvSpPr/>
      </xdr:nvSpPr>
      <xdr:spPr>
        <a:xfrm>
          <a:off x="3067050" y="19659601"/>
          <a:ext cx="1962150" cy="657224"/>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70</xdr:row>
      <xdr:rowOff>238125</xdr:rowOff>
    </xdr:from>
    <xdr:to>
      <xdr:col>5</xdr:col>
      <xdr:colOff>971550</xdr:colOff>
      <xdr:row>71</xdr:row>
      <xdr:rowOff>123825</xdr:rowOff>
    </xdr:to>
    <xdr:sp macro="" textlink="">
      <xdr:nvSpPr>
        <xdr:cNvPr id="64" name="63 Rectángulo">
          <a:extLst>
            <a:ext uri="{FF2B5EF4-FFF2-40B4-BE49-F238E27FC236}">
              <a16:creationId xmlns:a16="http://schemas.microsoft.com/office/drawing/2014/main" id="{CF444C77-DDE5-44C5-A5C1-90D15EAAC66B}"/>
            </a:ext>
          </a:extLst>
        </xdr:cNvPr>
        <xdr:cNvSpPr/>
      </xdr:nvSpPr>
      <xdr:spPr>
        <a:xfrm>
          <a:off x="3057525" y="20393025"/>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619125</xdr:colOff>
      <xdr:row>71</xdr:row>
      <xdr:rowOff>180975</xdr:rowOff>
    </xdr:from>
    <xdr:to>
      <xdr:col>5</xdr:col>
      <xdr:colOff>981075</xdr:colOff>
      <xdr:row>71</xdr:row>
      <xdr:rowOff>390525</xdr:rowOff>
    </xdr:to>
    <xdr:sp macro="" textlink="">
      <xdr:nvSpPr>
        <xdr:cNvPr id="65" name="64 Rectángulo">
          <a:extLst>
            <a:ext uri="{FF2B5EF4-FFF2-40B4-BE49-F238E27FC236}">
              <a16:creationId xmlns:a16="http://schemas.microsoft.com/office/drawing/2014/main" id="{16CB66C7-5012-4C90-A30E-E1FEEC6A1C53}"/>
            </a:ext>
          </a:extLst>
        </xdr:cNvPr>
        <xdr:cNvSpPr/>
      </xdr:nvSpPr>
      <xdr:spPr>
        <a:xfrm>
          <a:off x="3067050" y="20669250"/>
          <a:ext cx="1962150" cy="20955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71</xdr:row>
      <xdr:rowOff>447675</xdr:rowOff>
    </xdr:from>
    <xdr:to>
      <xdr:col>5</xdr:col>
      <xdr:colOff>971550</xdr:colOff>
      <xdr:row>71</xdr:row>
      <xdr:rowOff>666750</xdr:rowOff>
    </xdr:to>
    <xdr:sp macro="" textlink="">
      <xdr:nvSpPr>
        <xdr:cNvPr id="66" name="65 Rectángulo">
          <a:extLst>
            <a:ext uri="{FF2B5EF4-FFF2-40B4-BE49-F238E27FC236}">
              <a16:creationId xmlns:a16="http://schemas.microsoft.com/office/drawing/2014/main" id="{DB9AB2FD-0F21-43BE-A6AF-A01A25739356}"/>
            </a:ext>
          </a:extLst>
        </xdr:cNvPr>
        <xdr:cNvSpPr/>
      </xdr:nvSpPr>
      <xdr:spPr>
        <a:xfrm>
          <a:off x="3057525" y="20935950"/>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590550</xdr:colOff>
      <xdr:row>71</xdr:row>
      <xdr:rowOff>714375</xdr:rowOff>
    </xdr:from>
    <xdr:to>
      <xdr:col>5</xdr:col>
      <xdr:colOff>952500</xdr:colOff>
      <xdr:row>71</xdr:row>
      <xdr:rowOff>942975</xdr:rowOff>
    </xdr:to>
    <xdr:sp macro="" textlink="">
      <xdr:nvSpPr>
        <xdr:cNvPr id="67" name="66 Rectángulo">
          <a:extLst>
            <a:ext uri="{FF2B5EF4-FFF2-40B4-BE49-F238E27FC236}">
              <a16:creationId xmlns:a16="http://schemas.microsoft.com/office/drawing/2014/main" id="{53CA8620-2A67-4A9E-9F2D-AACC78474296}"/>
            </a:ext>
          </a:extLst>
        </xdr:cNvPr>
        <xdr:cNvSpPr/>
      </xdr:nvSpPr>
      <xdr:spPr>
        <a:xfrm>
          <a:off x="3038475" y="21202650"/>
          <a:ext cx="1962150" cy="22860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600075</xdr:colOff>
      <xdr:row>71</xdr:row>
      <xdr:rowOff>990600</xdr:rowOff>
    </xdr:from>
    <xdr:to>
      <xdr:col>5</xdr:col>
      <xdr:colOff>962025</xdr:colOff>
      <xdr:row>71</xdr:row>
      <xdr:rowOff>1209675</xdr:rowOff>
    </xdr:to>
    <xdr:sp macro="" textlink="">
      <xdr:nvSpPr>
        <xdr:cNvPr id="68" name="67 Rectángulo">
          <a:extLst>
            <a:ext uri="{FF2B5EF4-FFF2-40B4-BE49-F238E27FC236}">
              <a16:creationId xmlns:a16="http://schemas.microsoft.com/office/drawing/2014/main" id="{EDE7AB9F-ED4C-4791-875D-A52A939B946F}"/>
            </a:ext>
          </a:extLst>
        </xdr:cNvPr>
        <xdr:cNvSpPr/>
      </xdr:nvSpPr>
      <xdr:spPr>
        <a:xfrm>
          <a:off x="3048000" y="21478875"/>
          <a:ext cx="1962150" cy="2190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71</xdr:row>
      <xdr:rowOff>1228725</xdr:rowOff>
    </xdr:from>
    <xdr:to>
      <xdr:col>5</xdr:col>
      <xdr:colOff>971550</xdr:colOff>
      <xdr:row>72</xdr:row>
      <xdr:rowOff>19050</xdr:rowOff>
    </xdr:to>
    <xdr:sp macro="" textlink="">
      <xdr:nvSpPr>
        <xdr:cNvPr id="69" name="68 Rectángulo">
          <a:extLst>
            <a:ext uri="{FF2B5EF4-FFF2-40B4-BE49-F238E27FC236}">
              <a16:creationId xmlns:a16="http://schemas.microsoft.com/office/drawing/2014/main" id="{BFB4D0A0-B3CB-450D-B6E7-149F1D586110}"/>
            </a:ext>
          </a:extLst>
        </xdr:cNvPr>
        <xdr:cNvSpPr/>
      </xdr:nvSpPr>
      <xdr:spPr>
        <a:xfrm>
          <a:off x="3057525" y="21717000"/>
          <a:ext cx="1962150" cy="31432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590550</xdr:colOff>
      <xdr:row>72</xdr:row>
      <xdr:rowOff>95250</xdr:rowOff>
    </xdr:from>
    <xdr:to>
      <xdr:col>5</xdr:col>
      <xdr:colOff>952500</xdr:colOff>
      <xdr:row>72</xdr:row>
      <xdr:rowOff>333375</xdr:rowOff>
    </xdr:to>
    <xdr:sp macro="" textlink="">
      <xdr:nvSpPr>
        <xdr:cNvPr id="70" name="69 Rectángulo">
          <a:extLst>
            <a:ext uri="{FF2B5EF4-FFF2-40B4-BE49-F238E27FC236}">
              <a16:creationId xmlns:a16="http://schemas.microsoft.com/office/drawing/2014/main" id="{B8B49E74-86C1-42AD-AA8C-33BA4C8213B6}"/>
            </a:ext>
          </a:extLst>
        </xdr:cNvPr>
        <xdr:cNvSpPr/>
      </xdr:nvSpPr>
      <xdr:spPr>
        <a:xfrm>
          <a:off x="3038475" y="22107525"/>
          <a:ext cx="1962150" cy="23812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590550</xdr:colOff>
      <xdr:row>72</xdr:row>
      <xdr:rowOff>390525</xdr:rowOff>
    </xdr:from>
    <xdr:to>
      <xdr:col>5</xdr:col>
      <xdr:colOff>952500</xdr:colOff>
      <xdr:row>72</xdr:row>
      <xdr:rowOff>676275</xdr:rowOff>
    </xdr:to>
    <xdr:sp macro="" textlink="">
      <xdr:nvSpPr>
        <xdr:cNvPr id="71" name="70 Rectángulo">
          <a:extLst>
            <a:ext uri="{FF2B5EF4-FFF2-40B4-BE49-F238E27FC236}">
              <a16:creationId xmlns:a16="http://schemas.microsoft.com/office/drawing/2014/main" id="{5FBC90AA-1BC5-4DC9-BF16-B72107CF7B35}"/>
            </a:ext>
          </a:extLst>
        </xdr:cNvPr>
        <xdr:cNvSpPr/>
      </xdr:nvSpPr>
      <xdr:spPr>
        <a:xfrm>
          <a:off x="3038475" y="22402800"/>
          <a:ext cx="1962150" cy="28575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619125</xdr:colOff>
      <xdr:row>72</xdr:row>
      <xdr:rowOff>733424</xdr:rowOff>
    </xdr:from>
    <xdr:to>
      <xdr:col>5</xdr:col>
      <xdr:colOff>981075</xdr:colOff>
      <xdr:row>74</xdr:row>
      <xdr:rowOff>66675</xdr:rowOff>
    </xdr:to>
    <xdr:sp macro="" textlink="">
      <xdr:nvSpPr>
        <xdr:cNvPr id="72" name="71 Rectángulo">
          <a:extLst>
            <a:ext uri="{FF2B5EF4-FFF2-40B4-BE49-F238E27FC236}">
              <a16:creationId xmlns:a16="http://schemas.microsoft.com/office/drawing/2014/main" id="{4F4FF0D8-7C51-4FC8-BF1D-6757AF8BB532}"/>
            </a:ext>
          </a:extLst>
        </xdr:cNvPr>
        <xdr:cNvSpPr/>
      </xdr:nvSpPr>
      <xdr:spPr>
        <a:xfrm>
          <a:off x="3067050" y="22745699"/>
          <a:ext cx="1962150" cy="495301"/>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74</xdr:row>
      <xdr:rowOff>123824</xdr:rowOff>
    </xdr:from>
    <xdr:to>
      <xdr:col>5</xdr:col>
      <xdr:colOff>971550</xdr:colOff>
      <xdr:row>75</xdr:row>
      <xdr:rowOff>771525</xdr:rowOff>
    </xdr:to>
    <xdr:sp macro="" textlink="">
      <xdr:nvSpPr>
        <xdr:cNvPr id="73" name="72 Rectángulo">
          <a:extLst>
            <a:ext uri="{FF2B5EF4-FFF2-40B4-BE49-F238E27FC236}">
              <a16:creationId xmlns:a16="http://schemas.microsoft.com/office/drawing/2014/main" id="{3D529F79-2450-4FDB-817D-7818765B8801}"/>
            </a:ext>
          </a:extLst>
        </xdr:cNvPr>
        <xdr:cNvSpPr/>
      </xdr:nvSpPr>
      <xdr:spPr>
        <a:xfrm>
          <a:off x="3057525" y="23298149"/>
          <a:ext cx="1962150" cy="838201"/>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619125</xdr:colOff>
      <xdr:row>76</xdr:row>
      <xdr:rowOff>19050</xdr:rowOff>
    </xdr:from>
    <xdr:to>
      <xdr:col>5</xdr:col>
      <xdr:colOff>981075</xdr:colOff>
      <xdr:row>76</xdr:row>
      <xdr:rowOff>304800</xdr:rowOff>
    </xdr:to>
    <xdr:sp macro="" textlink="">
      <xdr:nvSpPr>
        <xdr:cNvPr id="74" name="73 Rectángulo">
          <a:extLst>
            <a:ext uri="{FF2B5EF4-FFF2-40B4-BE49-F238E27FC236}">
              <a16:creationId xmlns:a16="http://schemas.microsoft.com/office/drawing/2014/main" id="{C085AF2F-15DC-4EF5-9D78-C5B037E8890D}"/>
            </a:ext>
          </a:extLst>
        </xdr:cNvPr>
        <xdr:cNvSpPr/>
      </xdr:nvSpPr>
      <xdr:spPr>
        <a:xfrm>
          <a:off x="3067050" y="24193500"/>
          <a:ext cx="1962150" cy="28575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628650</xdr:colOff>
      <xdr:row>77</xdr:row>
      <xdr:rowOff>38101</xdr:rowOff>
    </xdr:from>
    <xdr:to>
      <xdr:col>5</xdr:col>
      <xdr:colOff>990600</xdr:colOff>
      <xdr:row>78</xdr:row>
      <xdr:rowOff>57151</xdr:rowOff>
    </xdr:to>
    <xdr:sp macro="" textlink="">
      <xdr:nvSpPr>
        <xdr:cNvPr id="75" name="74 Rectángulo">
          <a:extLst>
            <a:ext uri="{FF2B5EF4-FFF2-40B4-BE49-F238E27FC236}">
              <a16:creationId xmlns:a16="http://schemas.microsoft.com/office/drawing/2014/main" id="{433C21E1-E2F9-4308-B22E-15004816DB61}"/>
            </a:ext>
          </a:extLst>
        </xdr:cNvPr>
        <xdr:cNvSpPr/>
      </xdr:nvSpPr>
      <xdr:spPr>
        <a:xfrm>
          <a:off x="3076575" y="24536401"/>
          <a:ext cx="1962150" cy="20955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619125</xdr:colOff>
      <xdr:row>78</xdr:row>
      <xdr:rowOff>114301</xdr:rowOff>
    </xdr:from>
    <xdr:to>
      <xdr:col>5</xdr:col>
      <xdr:colOff>981075</xdr:colOff>
      <xdr:row>81</xdr:row>
      <xdr:rowOff>76201</xdr:rowOff>
    </xdr:to>
    <xdr:sp macro="" textlink="">
      <xdr:nvSpPr>
        <xdr:cNvPr id="76" name="75 Rectángulo">
          <a:extLst>
            <a:ext uri="{FF2B5EF4-FFF2-40B4-BE49-F238E27FC236}">
              <a16:creationId xmlns:a16="http://schemas.microsoft.com/office/drawing/2014/main" id="{55AF4762-1898-4C55-964F-DE643BA9B94C}"/>
            </a:ext>
          </a:extLst>
        </xdr:cNvPr>
        <xdr:cNvSpPr/>
      </xdr:nvSpPr>
      <xdr:spPr>
        <a:xfrm>
          <a:off x="3067050" y="24803101"/>
          <a:ext cx="1962150" cy="66675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609600</xdr:colOff>
      <xdr:row>81</xdr:row>
      <xdr:rowOff>123825</xdr:rowOff>
    </xdr:from>
    <xdr:to>
      <xdr:col>5</xdr:col>
      <xdr:colOff>971550</xdr:colOff>
      <xdr:row>81</xdr:row>
      <xdr:rowOff>438150</xdr:rowOff>
    </xdr:to>
    <xdr:sp macro="" textlink="">
      <xdr:nvSpPr>
        <xdr:cNvPr id="77" name="76 Rectángulo">
          <a:extLst>
            <a:ext uri="{FF2B5EF4-FFF2-40B4-BE49-F238E27FC236}">
              <a16:creationId xmlns:a16="http://schemas.microsoft.com/office/drawing/2014/main" id="{F3D344B6-889B-4740-A8B8-221C0C6526A0}"/>
            </a:ext>
          </a:extLst>
        </xdr:cNvPr>
        <xdr:cNvSpPr/>
      </xdr:nvSpPr>
      <xdr:spPr>
        <a:xfrm>
          <a:off x="3057525" y="25517475"/>
          <a:ext cx="1962150" cy="31432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628650</xdr:colOff>
      <xdr:row>81</xdr:row>
      <xdr:rowOff>476250</xdr:rowOff>
    </xdr:from>
    <xdr:to>
      <xdr:col>5</xdr:col>
      <xdr:colOff>990600</xdr:colOff>
      <xdr:row>83</xdr:row>
      <xdr:rowOff>104775</xdr:rowOff>
    </xdr:to>
    <xdr:sp macro="" textlink="">
      <xdr:nvSpPr>
        <xdr:cNvPr id="78" name="77 Rectángulo">
          <a:extLst>
            <a:ext uri="{FF2B5EF4-FFF2-40B4-BE49-F238E27FC236}">
              <a16:creationId xmlns:a16="http://schemas.microsoft.com/office/drawing/2014/main" id="{E8C69652-3BD5-4B58-A292-D9229E9FEF14}"/>
            </a:ext>
          </a:extLst>
        </xdr:cNvPr>
        <xdr:cNvSpPr/>
      </xdr:nvSpPr>
      <xdr:spPr>
        <a:xfrm>
          <a:off x="3076575" y="25869900"/>
          <a:ext cx="1962150" cy="30480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600075</xdr:colOff>
      <xdr:row>83</xdr:row>
      <xdr:rowOff>142875</xdr:rowOff>
    </xdr:from>
    <xdr:to>
      <xdr:col>5</xdr:col>
      <xdr:colOff>962025</xdr:colOff>
      <xdr:row>84</xdr:row>
      <xdr:rowOff>114300</xdr:rowOff>
    </xdr:to>
    <xdr:sp macro="" textlink="">
      <xdr:nvSpPr>
        <xdr:cNvPr id="79" name="78 Rectángulo">
          <a:extLst>
            <a:ext uri="{FF2B5EF4-FFF2-40B4-BE49-F238E27FC236}">
              <a16:creationId xmlns:a16="http://schemas.microsoft.com/office/drawing/2014/main" id="{003E2224-CD47-44EC-AEFF-705763213B42}"/>
            </a:ext>
          </a:extLst>
        </xdr:cNvPr>
        <xdr:cNvSpPr/>
      </xdr:nvSpPr>
      <xdr:spPr>
        <a:xfrm>
          <a:off x="3048000" y="26212800"/>
          <a:ext cx="1962150" cy="30480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619125</xdr:colOff>
      <xdr:row>84</xdr:row>
      <xdr:rowOff>161925</xdr:rowOff>
    </xdr:from>
    <xdr:to>
      <xdr:col>5</xdr:col>
      <xdr:colOff>981075</xdr:colOff>
      <xdr:row>84</xdr:row>
      <xdr:rowOff>457200</xdr:rowOff>
    </xdr:to>
    <xdr:sp macro="" textlink="">
      <xdr:nvSpPr>
        <xdr:cNvPr id="80" name="79 Rectángulo">
          <a:extLst>
            <a:ext uri="{FF2B5EF4-FFF2-40B4-BE49-F238E27FC236}">
              <a16:creationId xmlns:a16="http://schemas.microsoft.com/office/drawing/2014/main" id="{79FC2C60-EBA7-408F-8383-B555BA64F7A9}"/>
            </a:ext>
          </a:extLst>
        </xdr:cNvPr>
        <xdr:cNvSpPr/>
      </xdr:nvSpPr>
      <xdr:spPr>
        <a:xfrm>
          <a:off x="3067050" y="26565225"/>
          <a:ext cx="1962150" cy="29527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619125</xdr:colOff>
      <xdr:row>84</xdr:row>
      <xdr:rowOff>504825</xdr:rowOff>
    </xdr:from>
    <xdr:to>
      <xdr:col>5</xdr:col>
      <xdr:colOff>981075</xdr:colOff>
      <xdr:row>85</xdr:row>
      <xdr:rowOff>152400</xdr:rowOff>
    </xdr:to>
    <xdr:sp macro="" textlink="">
      <xdr:nvSpPr>
        <xdr:cNvPr id="81" name="80 Rectángulo">
          <a:extLst>
            <a:ext uri="{FF2B5EF4-FFF2-40B4-BE49-F238E27FC236}">
              <a16:creationId xmlns:a16="http://schemas.microsoft.com/office/drawing/2014/main" id="{895A90F6-2179-42C1-B63E-0F3F21F8A717}"/>
            </a:ext>
          </a:extLst>
        </xdr:cNvPr>
        <xdr:cNvSpPr/>
      </xdr:nvSpPr>
      <xdr:spPr>
        <a:xfrm>
          <a:off x="3067050" y="26908125"/>
          <a:ext cx="1962150" cy="30480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628650</xdr:colOff>
      <xdr:row>85</xdr:row>
      <xdr:rowOff>190500</xdr:rowOff>
    </xdr:from>
    <xdr:to>
      <xdr:col>5</xdr:col>
      <xdr:colOff>990600</xdr:colOff>
      <xdr:row>85</xdr:row>
      <xdr:rowOff>495300</xdr:rowOff>
    </xdr:to>
    <xdr:sp macro="" textlink="">
      <xdr:nvSpPr>
        <xdr:cNvPr id="82" name="81 Rectángulo">
          <a:extLst>
            <a:ext uri="{FF2B5EF4-FFF2-40B4-BE49-F238E27FC236}">
              <a16:creationId xmlns:a16="http://schemas.microsoft.com/office/drawing/2014/main" id="{E3F06CD6-B75C-43BB-A4E3-99973CFF5C82}"/>
            </a:ext>
          </a:extLst>
        </xdr:cNvPr>
        <xdr:cNvSpPr/>
      </xdr:nvSpPr>
      <xdr:spPr>
        <a:xfrm>
          <a:off x="3076575" y="27251025"/>
          <a:ext cx="1962150" cy="30480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638175</xdr:colOff>
      <xdr:row>85</xdr:row>
      <xdr:rowOff>542925</xdr:rowOff>
    </xdr:from>
    <xdr:to>
      <xdr:col>5</xdr:col>
      <xdr:colOff>1000125</xdr:colOff>
      <xdr:row>86</xdr:row>
      <xdr:rowOff>142875</xdr:rowOff>
    </xdr:to>
    <xdr:sp macro="" textlink="">
      <xdr:nvSpPr>
        <xdr:cNvPr id="83" name="82 Rectángulo">
          <a:extLst>
            <a:ext uri="{FF2B5EF4-FFF2-40B4-BE49-F238E27FC236}">
              <a16:creationId xmlns:a16="http://schemas.microsoft.com/office/drawing/2014/main" id="{124130DA-0AEF-4AEC-8A10-BC88E143F0DD}"/>
            </a:ext>
          </a:extLst>
        </xdr:cNvPr>
        <xdr:cNvSpPr/>
      </xdr:nvSpPr>
      <xdr:spPr>
        <a:xfrm>
          <a:off x="3086100" y="27603450"/>
          <a:ext cx="1962150" cy="30480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619125</xdr:colOff>
      <xdr:row>86</xdr:row>
      <xdr:rowOff>190500</xdr:rowOff>
    </xdr:from>
    <xdr:to>
      <xdr:col>5</xdr:col>
      <xdr:colOff>981075</xdr:colOff>
      <xdr:row>86</xdr:row>
      <xdr:rowOff>495300</xdr:rowOff>
    </xdr:to>
    <xdr:sp macro="" textlink="">
      <xdr:nvSpPr>
        <xdr:cNvPr id="84" name="83 Rectángulo">
          <a:extLst>
            <a:ext uri="{FF2B5EF4-FFF2-40B4-BE49-F238E27FC236}">
              <a16:creationId xmlns:a16="http://schemas.microsoft.com/office/drawing/2014/main" id="{724606AE-A9D5-429B-8009-069F2330F50B}"/>
            </a:ext>
          </a:extLst>
        </xdr:cNvPr>
        <xdr:cNvSpPr/>
      </xdr:nvSpPr>
      <xdr:spPr>
        <a:xfrm>
          <a:off x="3067050" y="27955875"/>
          <a:ext cx="1962150" cy="304800"/>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638174</xdr:colOff>
      <xdr:row>86</xdr:row>
      <xdr:rowOff>581025</xdr:rowOff>
    </xdr:from>
    <xdr:to>
      <xdr:col>7</xdr:col>
      <xdr:colOff>57149</xdr:colOff>
      <xdr:row>89</xdr:row>
      <xdr:rowOff>123825</xdr:rowOff>
    </xdr:to>
    <xdr:sp macro="" textlink="">
      <xdr:nvSpPr>
        <xdr:cNvPr id="85" name="84 Rectángulo">
          <a:extLst>
            <a:ext uri="{FF2B5EF4-FFF2-40B4-BE49-F238E27FC236}">
              <a16:creationId xmlns:a16="http://schemas.microsoft.com/office/drawing/2014/main" id="{FCD66A41-DA3C-4E48-BA69-C3F7DD8F6C14}"/>
            </a:ext>
          </a:extLst>
        </xdr:cNvPr>
        <xdr:cNvSpPr/>
      </xdr:nvSpPr>
      <xdr:spPr>
        <a:xfrm>
          <a:off x="3086099" y="28346400"/>
          <a:ext cx="2962275" cy="58102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638174</xdr:colOff>
      <xdr:row>89</xdr:row>
      <xdr:rowOff>180974</xdr:rowOff>
    </xdr:from>
    <xdr:to>
      <xdr:col>7</xdr:col>
      <xdr:colOff>57149</xdr:colOff>
      <xdr:row>94</xdr:row>
      <xdr:rowOff>152399</xdr:rowOff>
    </xdr:to>
    <xdr:sp macro="" textlink="">
      <xdr:nvSpPr>
        <xdr:cNvPr id="86" name="85 Rectángulo">
          <a:extLst>
            <a:ext uri="{FF2B5EF4-FFF2-40B4-BE49-F238E27FC236}">
              <a16:creationId xmlns:a16="http://schemas.microsoft.com/office/drawing/2014/main" id="{05076260-D658-4BDA-A7D0-B00B57DA5D04}"/>
            </a:ext>
          </a:extLst>
        </xdr:cNvPr>
        <xdr:cNvSpPr/>
      </xdr:nvSpPr>
      <xdr:spPr>
        <a:xfrm>
          <a:off x="3086099" y="28984574"/>
          <a:ext cx="2962275" cy="923925"/>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619124</xdr:colOff>
      <xdr:row>95</xdr:row>
      <xdr:rowOff>19050</xdr:rowOff>
    </xdr:from>
    <xdr:to>
      <xdr:col>7</xdr:col>
      <xdr:colOff>38099</xdr:colOff>
      <xdr:row>97</xdr:row>
      <xdr:rowOff>47626</xdr:rowOff>
    </xdr:to>
    <xdr:sp macro="" textlink="">
      <xdr:nvSpPr>
        <xdr:cNvPr id="87" name="86 Rectángulo">
          <a:extLst>
            <a:ext uri="{FF2B5EF4-FFF2-40B4-BE49-F238E27FC236}">
              <a16:creationId xmlns:a16="http://schemas.microsoft.com/office/drawing/2014/main" id="{08DD8D3E-A23A-47F1-B202-3D2B83917ECE}"/>
            </a:ext>
          </a:extLst>
        </xdr:cNvPr>
        <xdr:cNvSpPr/>
      </xdr:nvSpPr>
      <xdr:spPr>
        <a:xfrm>
          <a:off x="3067049" y="29965650"/>
          <a:ext cx="2962275" cy="409576"/>
        </a:xfrm>
        <a:prstGeom prst="rect">
          <a:avLst/>
        </a:prstGeom>
        <a:solidFill>
          <a:schemeClr val="accent2">
            <a:alpha val="52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0</xdr:colOff>
      <xdr:row>3</xdr:row>
      <xdr:rowOff>0</xdr:rowOff>
    </xdr:from>
    <xdr:to>
      <xdr:col>9</xdr:col>
      <xdr:colOff>84952</xdr:colOff>
      <xdr:row>23</xdr:row>
      <xdr:rowOff>28095</xdr:rowOff>
    </xdr:to>
    <xdr:pic>
      <xdr:nvPicPr>
        <xdr:cNvPr id="2" name="Imagen 1">
          <a:extLst>
            <a:ext uri="{FF2B5EF4-FFF2-40B4-BE49-F238E27FC236}">
              <a16:creationId xmlns:a16="http://schemas.microsoft.com/office/drawing/2014/main" id="{74F4FC70-7864-5FC3-ABC5-14D72CD816F1}"/>
            </a:ext>
          </a:extLst>
        </xdr:cNvPr>
        <xdr:cNvPicPr>
          <a:picLocks noChangeAspect="1"/>
        </xdr:cNvPicPr>
      </xdr:nvPicPr>
      <xdr:blipFill>
        <a:blip xmlns:r="http://schemas.openxmlformats.org/officeDocument/2006/relationships" r:embed="rId1"/>
        <a:stretch>
          <a:fillRect/>
        </a:stretch>
      </xdr:blipFill>
      <xdr:spPr>
        <a:xfrm>
          <a:off x="762000" y="571500"/>
          <a:ext cx="6180952" cy="3838095"/>
        </a:xfrm>
        <a:prstGeom prst="rect">
          <a:avLst/>
        </a:prstGeom>
      </xdr:spPr>
    </xdr:pic>
    <xdr:clientData/>
  </xdr:twoCellAnchor>
  <xdr:twoCellAnchor editAs="oneCell">
    <xdr:from>
      <xdr:col>1</xdr:col>
      <xdr:colOff>0</xdr:colOff>
      <xdr:row>24</xdr:row>
      <xdr:rowOff>0</xdr:rowOff>
    </xdr:from>
    <xdr:to>
      <xdr:col>9</xdr:col>
      <xdr:colOff>8762</xdr:colOff>
      <xdr:row>40</xdr:row>
      <xdr:rowOff>152000</xdr:rowOff>
    </xdr:to>
    <xdr:pic>
      <xdr:nvPicPr>
        <xdr:cNvPr id="3" name="Imagen 2">
          <a:extLst>
            <a:ext uri="{FF2B5EF4-FFF2-40B4-BE49-F238E27FC236}">
              <a16:creationId xmlns:a16="http://schemas.microsoft.com/office/drawing/2014/main" id="{27AD1607-A7F7-6903-24F3-31848FE5C2A1}"/>
            </a:ext>
          </a:extLst>
        </xdr:cNvPr>
        <xdr:cNvPicPr>
          <a:picLocks noChangeAspect="1"/>
        </xdr:cNvPicPr>
      </xdr:nvPicPr>
      <xdr:blipFill>
        <a:blip xmlns:r="http://schemas.openxmlformats.org/officeDocument/2006/relationships" r:embed="rId2"/>
        <a:stretch>
          <a:fillRect/>
        </a:stretch>
      </xdr:blipFill>
      <xdr:spPr>
        <a:xfrm>
          <a:off x="762000" y="4572000"/>
          <a:ext cx="6104762" cy="3200000"/>
        </a:xfrm>
        <a:prstGeom prst="rect">
          <a:avLst/>
        </a:prstGeom>
      </xdr:spPr>
    </xdr:pic>
    <xdr:clientData/>
  </xdr:twoCellAnchor>
  <xdr:twoCellAnchor editAs="oneCell">
    <xdr:from>
      <xdr:col>11</xdr:col>
      <xdr:colOff>0</xdr:colOff>
      <xdr:row>7</xdr:row>
      <xdr:rowOff>0</xdr:rowOff>
    </xdr:from>
    <xdr:to>
      <xdr:col>19</xdr:col>
      <xdr:colOff>46857</xdr:colOff>
      <xdr:row>31</xdr:row>
      <xdr:rowOff>75619</xdr:rowOff>
    </xdr:to>
    <xdr:pic>
      <xdr:nvPicPr>
        <xdr:cNvPr id="4" name="Imagen 3">
          <a:extLst>
            <a:ext uri="{FF2B5EF4-FFF2-40B4-BE49-F238E27FC236}">
              <a16:creationId xmlns:a16="http://schemas.microsoft.com/office/drawing/2014/main" id="{045FB9FB-B80F-F28A-A092-019BCB492D7F}"/>
            </a:ext>
          </a:extLst>
        </xdr:cNvPr>
        <xdr:cNvPicPr>
          <a:picLocks noChangeAspect="1"/>
        </xdr:cNvPicPr>
      </xdr:nvPicPr>
      <xdr:blipFill>
        <a:blip xmlns:r="http://schemas.openxmlformats.org/officeDocument/2006/relationships" r:embed="rId3"/>
        <a:stretch>
          <a:fillRect/>
        </a:stretch>
      </xdr:blipFill>
      <xdr:spPr>
        <a:xfrm>
          <a:off x="8382000" y="1333500"/>
          <a:ext cx="6142857" cy="464761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3" Type="http://schemas.openxmlformats.org/officeDocument/2006/relationships/hyperlink" Target="https://www.ant.gov.co/sites/default/files/2025-04/documentos/archivos/circular-ndeg-45-tabla-de-honorarios-2024_0.pdf" TargetMode="External"/><Relationship Id="rId2" Type="http://schemas.openxmlformats.org/officeDocument/2006/relationships/hyperlink" Target="https://community.secop.gov.co/Public/Tendering/OpportunityDetail/Index?noticeUID=CO1.NTC.6636980&amp;isFromPublicArea=True&amp;isModal=true&amp;asPopupView=true" TargetMode="External"/><Relationship Id="rId1" Type="http://schemas.openxmlformats.org/officeDocument/2006/relationships/hyperlink" Target="https://community.secop.gov.co/Public/Tendering/OpportunityDetail/Index?noticeUID=CO1.NTC.6519283" TargetMode="External"/><Relationship Id="rId4" Type="http://schemas.openxmlformats.org/officeDocument/2006/relationships/drawing" Target="../drawings/drawing2.xml"/></Relationships>
</file>

<file path=xl/worksheets/_rels/sheet11.xml.rels><?xml version="1.0" encoding="UTF-8" standalone="yes"?>
<Relationships xmlns="http://schemas.openxmlformats.org/package/2006/relationships"><Relationship Id="rId2" Type="http://schemas.openxmlformats.org/officeDocument/2006/relationships/hyperlink" Target="https://community.secop.gov.co/Public/Tendering/OpportunityDetail/Index?noticeUID=CO1.NTC.7932794&amp;isFromPublicArea=True&amp;isModal=true&amp;asPopupView=true" TargetMode="External"/><Relationship Id="rId1" Type="http://schemas.openxmlformats.org/officeDocument/2006/relationships/hyperlink" Target="https://community.secop.gov.co/Public/Tendering/OpportunityDetail/Index?noticeUID=CO1.NTC.6749898&amp;isFromPublicArea=True&amp;isModal=true&amp;asPopupView=true" TargetMode="External"/></Relationships>
</file>

<file path=xl/worksheets/_rels/sheet14.xml.rels><?xml version="1.0" encoding="UTF-8" standalone="yes"?>
<Relationships xmlns="http://schemas.openxmlformats.org/package/2006/relationships"><Relationship Id="rId3" Type="http://schemas.openxmlformats.org/officeDocument/2006/relationships/hyperlink" Target="https://community.secop.gov.co/Public/Tendering/OpportunityDetail/Index?noticeUID=CO1.NTC.7932794&amp;isFromPublicArea=True&amp;isModal=true&amp;asPopupView=true" TargetMode="External"/><Relationship Id="rId2" Type="http://schemas.openxmlformats.org/officeDocument/2006/relationships/hyperlink" Target="https://community.secop.gov.co/Public/Tendering/OpportunityDetail/Index?noticeUID=CO1.NTC.7162524&amp;isFromPublicArea=True&amp;isModal=true&amp;asPopupView=true" TargetMode="External"/><Relationship Id="rId1" Type="http://schemas.openxmlformats.org/officeDocument/2006/relationships/hyperlink" Target="https://community.secop.gov.co/Public/Tendering/OpportunityDetail/Index?noticeUID=CO1.NTC.6749898&amp;isFromPublicArea=True&amp;isModal=true&amp;asPopupView=true" TargetMode="External"/><Relationship Id="rId5" Type="http://schemas.openxmlformats.org/officeDocument/2006/relationships/drawing" Target="../drawings/drawing3.xml"/><Relationship Id="rId4" Type="http://schemas.openxmlformats.org/officeDocument/2006/relationships/hyperlink" Target="https://community.secop.gov.co/Public/Tendering/OpportunityDetail/Index?noticeUID=CO1.NTC.4851374&amp;isFromPublicArea=True&amp;isModal=true&amp;asPopupView=true" TargetMode="External"/></Relationships>
</file>

<file path=xl/worksheets/_rels/sheet17.xml.rels><?xml version="1.0" encoding="UTF-8" standalone="yes"?>
<Relationships xmlns="http://schemas.openxmlformats.org/package/2006/relationships"><Relationship Id="rId8" Type="http://schemas.openxmlformats.org/officeDocument/2006/relationships/hyperlink" Target="https://community.secop.gov.co/Public/Tendering/OpportunityDetail/Index?noticeUID=CO1.NTC.4897887&amp;isFromPublicArea=True&amp;isModal=true&amp;asPopupView=true" TargetMode="External"/><Relationship Id="rId3" Type="http://schemas.openxmlformats.org/officeDocument/2006/relationships/hyperlink" Target="https://community.secop.gov.co/Public/Tendering/OpportunityDetail/Index?noticeUID=CO1.NTC.4481743&amp;isFromPublicArea=True&amp;isModal=true&amp;asPopupView=true" TargetMode="External"/><Relationship Id="rId7" Type="http://schemas.openxmlformats.org/officeDocument/2006/relationships/hyperlink" Target="https://community.secop.gov.co/Public/Tendering/OpportunityDetail/Index?noticeUID=CO1.NTC.6533500&amp;isFromPublicArea=True&amp;isModal=true&amp;asPopupView=true" TargetMode="External"/><Relationship Id="rId2" Type="http://schemas.openxmlformats.org/officeDocument/2006/relationships/hyperlink" Target="https://community.secop.gov.co/Public/Tendering/OpportunityDetail/Index?noticeUID=CO1.NTC.6392642&amp;isFromPublicArea=True&amp;isModal=true&amp;asPopupView=true" TargetMode="External"/><Relationship Id="rId1" Type="http://schemas.openxmlformats.org/officeDocument/2006/relationships/hyperlink" Target="https://community.secop.gov.co/Public/Tendering/OpportunityDetail/Index?noticeUID=CO1.NTC.6519283" TargetMode="External"/><Relationship Id="rId6" Type="http://schemas.openxmlformats.org/officeDocument/2006/relationships/hyperlink" Target="https://community.secop.gov.co/Public/Tendering/OpportunityDetail/Index?noticeUID=CO1.NTC.6840450&amp;isFromPublicArea=True&amp;isModal=true&amp;asPopupView=true" TargetMode="External"/><Relationship Id="rId5" Type="http://schemas.openxmlformats.org/officeDocument/2006/relationships/hyperlink" Target="https://community.secop.gov.co/Public/Tendering/OpportunityDetail/Index?noticeUID=CO1.NTC.7162524&amp;isFromPublicArea=True&amp;isModal=true&amp;asPopupView=true" TargetMode="External"/><Relationship Id="rId4" Type="http://schemas.openxmlformats.org/officeDocument/2006/relationships/hyperlink" Target="https://community.secop.gov.co/Public/Tendering/OpportunityDetail/Index?noticeUID=CO1.NTC.6749898&amp;isFromPublicArea=True&amp;isModal=true&amp;asPopupView=true" TargetMode="External"/><Relationship Id="rId9" Type="http://schemas.openxmlformats.org/officeDocument/2006/relationships/printerSettings" Target="../printerSettings/printerSettings2.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https://www.despegar.com.co/hoteles/hl/854/z183210/i1/hoteles-en-centro-bogota" TargetMode="External"/></Relationships>
</file>

<file path=xl/worksheets/_rels/sheet23.xml.rels><?xml version="1.0" encoding="UTF-8" standalone="yes"?>
<Relationships xmlns="http://schemas.openxmlformats.org/package/2006/relationships"><Relationship Id="rId8" Type="http://schemas.openxmlformats.org/officeDocument/2006/relationships/printerSettings" Target="../printerSettings/printerSettings3.bin"/><Relationship Id="rId3" Type="http://schemas.openxmlformats.org/officeDocument/2006/relationships/hyperlink" Target="https://community.secop.gov.co/Public/Tendering/OpportunityDetail/Index?noticeUID=CO1.NTC.4481743&amp;isFromPublicArea=True&amp;isModal=true&amp;asPopupView=true" TargetMode="External"/><Relationship Id="rId7" Type="http://schemas.openxmlformats.org/officeDocument/2006/relationships/hyperlink" Target="https://community.secop.gov.co/Public/Tendering/OpportunityDetail/Index?noticeUID=CO1.NTC.7932794&amp;isFromPublicArea=True&amp;isModal=true&amp;asPopupView=true" TargetMode="External"/><Relationship Id="rId2" Type="http://schemas.openxmlformats.org/officeDocument/2006/relationships/hyperlink" Target="https://community.secop.gov.co/Public/Tendering/OpportunityDetail/Index?noticeUID=CO1.NTC.6392642&amp;isFromPublicArea=True&amp;isModal=true&amp;asPopupView=true" TargetMode="External"/><Relationship Id="rId1" Type="http://schemas.openxmlformats.org/officeDocument/2006/relationships/hyperlink" Target="https://community.secop.gov.co/Public/Tendering/OpportunityDetail/Index?noticeUID=CO1.NTC.6519283" TargetMode="External"/><Relationship Id="rId6" Type="http://schemas.openxmlformats.org/officeDocument/2006/relationships/hyperlink" Target="https://community.secop.gov.co/Public/Tendering/OpportunityDetail/Index?noticeUID=CO1.NTC.6840450&amp;isFromPublicArea=True&amp;isModal=true&amp;asPopupView=true" TargetMode="External"/><Relationship Id="rId5" Type="http://schemas.openxmlformats.org/officeDocument/2006/relationships/hyperlink" Target="https://community.secop.gov.co/Public/Tendering/OpportunityDetail/Index?noticeUID=CO1.NTC.7162524&amp;isFromPublicArea=True&amp;isModal=true&amp;asPopupView=true" TargetMode="External"/><Relationship Id="rId4" Type="http://schemas.openxmlformats.org/officeDocument/2006/relationships/hyperlink" Target="https://community.secop.gov.co/Public/Tendering/OpportunityDetail/Index?noticeUID=CO1.NTC.6749898&amp;isFromPublicArea=True&amp;isModal=true&amp;asPopupView=true"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s://community.secop.gov.co/Public/Tendering/OpportunityDetail/Index?noticeUID=CO1.NTC.7053477&amp;isFromPublicArea=True&amp;isModal=true&amp;asPopupView=true" TargetMode="External"/><Relationship Id="rId2" Type="http://schemas.openxmlformats.org/officeDocument/2006/relationships/hyperlink" Target="https://community.secop.gov.co/Public/Tendering/OpportunityDetail/Index?noticeUID=CO1.NTC.5139485&amp;isFromPublicArea=True&amp;isModal=true&amp;asPopupView=true" TargetMode="External"/><Relationship Id="rId1" Type="http://schemas.openxmlformats.org/officeDocument/2006/relationships/hyperlink" Target="https://community.secop.gov.co/Public/Tendering/OpportunityDetail/Index?noticeUID=CO1.NTC.7162524&amp;isFromPublicArea=True&amp;isModal=true&amp;asPopupView=true" TargetMode="External"/><Relationship Id="rId6" Type="http://schemas.openxmlformats.org/officeDocument/2006/relationships/drawing" Target="../drawings/drawing5.xml"/><Relationship Id="rId5" Type="http://schemas.openxmlformats.org/officeDocument/2006/relationships/printerSettings" Target="../printerSettings/printerSettings4.bin"/><Relationship Id="rId4" Type="http://schemas.openxmlformats.org/officeDocument/2006/relationships/hyperlink" Target="https://community.secop.gov.co/Public/Tendering/OpportunityDetail/Index?noticeUID=CO1.NTC.7051632&amp;isFromPublicArea=True&amp;isModal=true&amp;asPopupView=true"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s://papeleriaempresarial.com/?product=carnet-impreso" TargetMode="External"/><Relationship Id="rId2" Type="http://schemas.openxmlformats.org/officeDocument/2006/relationships/hyperlink" Target="https://www.panamericana.com.co/boligrafo-faber-castell-poly-caja-x-12-unidades-626793/p" TargetMode="External"/><Relationship Id="rId1" Type="http://schemas.openxmlformats.org/officeDocument/2006/relationships/hyperlink" Target="https://publicitar.com.co/tienda/morrales/bolsos/bolsa-ecologica-recycled-rpet/?srsltid=AfmBOooxcgDa1C8CO8_HVKTay0CHFoF5ePjeIIJod-vCIZwaT_Dv_Rvc" TargetMode="External"/><Relationship Id="rId6" Type="http://schemas.openxmlformats.org/officeDocument/2006/relationships/drawing" Target="../drawings/drawing6.xml"/><Relationship Id="rId5" Type="http://schemas.openxmlformats.org/officeDocument/2006/relationships/printerSettings" Target="../printerSettings/printerSettings5.bin"/><Relationship Id="rId4" Type="http://schemas.openxmlformats.org/officeDocument/2006/relationships/hyperlink" Target="https://www.josimpresores.com/tienda/Impresi%C3%B3n-de-Planos-p303759296" TargetMode="External"/></Relationships>
</file>

<file path=xl/worksheets/_rels/sheet32.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community.secop.gov.co/Public/Tendering/OpportunityDetail/Index?noticeUID=CO1.NTC.6549237&amp;isFromPublicArea=True&amp;isModal=true&amp;asPopupView=true" TargetMode="External"/><Relationship Id="rId1" Type="http://schemas.openxmlformats.org/officeDocument/2006/relationships/hyperlink" Target="https://community.secop.gov.co/Public/Tendering/OpportunityDetail/Index?noticeUID=CO1.NTC.6840450&amp;isFromPublicArea=True&amp;isModal=true&amp;asPopupView=true" TargetMode="External"/></Relationships>
</file>

<file path=xl/worksheets/_rels/sheet35.xml.rels><?xml version="1.0" encoding="UTF-8" standalone="yes"?>
<Relationships xmlns="http://schemas.openxmlformats.org/package/2006/relationships"><Relationship Id="rId3" Type="http://schemas.openxmlformats.org/officeDocument/2006/relationships/hyperlink" Target="https://community.secop.gov.co/Public/Tendering/OpportunityDetail/Index?noticeUID=CO1.NTC.5139485&amp;isFromPublicArea=True&amp;isModal=true&amp;asPopupView=true" TargetMode="External"/><Relationship Id="rId2" Type="http://schemas.openxmlformats.org/officeDocument/2006/relationships/hyperlink" Target="https://community.secop.gov.co/Public/Tendering/OpportunityDetail/Index?noticeUID=CO1.NTC.5139485&amp;isFromPublicArea=True&amp;isModal=true&amp;asPopupView=true" TargetMode="External"/><Relationship Id="rId1" Type="http://schemas.openxmlformats.org/officeDocument/2006/relationships/hyperlink" Target="https://community.secop.gov.co/Public/Tendering/OpportunityDetail/Index?noticeUID=CO1.NTC.7162524&amp;isFromPublicArea=True&amp;isModal=true&amp;asPopupView=true" TargetMode="External"/><Relationship Id="rId4" Type="http://schemas.openxmlformats.org/officeDocument/2006/relationships/printerSettings" Target="../printerSettings/printerSettings6.bin"/></Relationships>
</file>

<file path=xl/worksheets/_rels/sheet37.xml.rels><?xml version="1.0" encoding="UTF-8" standalone="yes"?>
<Relationships xmlns="http://schemas.openxmlformats.org/package/2006/relationships"><Relationship Id="rId2" Type="http://schemas.openxmlformats.org/officeDocument/2006/relationships/hyperlink" Target="https://community.secop.gov.co/Public/Tendering/OpportunityDetail/Index?noticeUID=CO1.NTC.6840450&amp;isFromPublicArea=True&amp;isModal=true&amp;asPopupView=true" TargetMode="External"/><Relationship Id="rId1" Type="http://schemas.openxmlformats.org/officeDocument/2006/relationships/hyperlink" Target="https://community.secop.gov.co/Public/Tendering/OpportunityDetail/Index?noticeUID=CO1.NTC.6626664&amp;isFromPublicArea=True&amp;isModal=true&amp;asPopupView=true" TargetMode="External"/></Relationships>
</file>

<file path=xl/worksheets/_rels/sheet38.xml.rels><?xml version="1.0" encoding="UTF-8" standalone="yes"?>
<Relationships xmlns="http://schemas.openxmlformats.org/package/2006/relationships"><Relationship Id="rId8" Type="http://schemas.openxmlformats.org/officeDocument/2006/relationships/hyperlink" Target="https://community.secop.gov.co/Public/Tendering/OpportunityDetail/Index?noticeUID=CO1.NTC.6895112&amp;isFromPublicArea=True&amp;isModal=true&amp;asPopupView=true" TargetMode="External"/><Relationship Id="rId3" Type="http://schemas.openxmlformats.org/officeDocument/2006/relationships/hyperlink" Target="https://community.secop.gov.co/Public/Tendering/OpportunityDetail/Index?noticeUID=CO1.NTC.6445490&amp;isFromPublicArea=True&amp;isModal=true&amp;asPopupView=true" TargetMode="External"/><Relationship Id="rId7" Type="http://schemas.openxmlformats.org/officeDocument/2006/relationships/hyperlink" Target="https://community.secop.gov.co/Public/Tendering/OpportunityDetail/Index?noticeUID=CO1.NTC.8025548&amp;isFromPublicArea=True&amp;isModal=true&amp;asPopupView=true" TargetMode="External"/><Relationship Id="rId2" Type="http://schemas.openxmlformats.org/officeDocument/2006/relationships/hyperlink" Target="https://community.secop.gov.co/Public/Tendering/OpportunityDetail/Index?noticeUID=CO1.NTC.6749898&amp;isFromPublicArea=True&amp;isModal=true&amp;asPopupView=true" TargetMode="External"/><Relationship Id="rId1" Type="http://schemas.openxmlformats.org/officeDocument/2006/relationships/hyperlink" Target="https://community.secop.gov.co/Public/Tendering/OpportunityDetail/Index?noticeUID=CO1.NTC.4481743&amp;isFromPublicArea=True&amp;isModal=true&amp;asPopupView=true" TargetMode="External"/><Relationship Id="rId6" Type="http://schemas.openxmlformats.org/officeDocument/2006/relationships/hyperlink" Target="https://community.secop.gov.co/Public/Tendering/OpportunityDetail/Index?noticeUID=CO1.NTC.6618843&amp;isFromPublicArea=True&amp;isModal=true&amp;asPopupView=true" TargetMode="External"/><Relationship Id="rId5" Type="http://schemas.openxmlformats.org/officeDocument/2006/relationships/hyperlink" Target="https://community.secop.gov.co/Public/Tendering/OpportunityDetail/Index?noticeUID=CO1.NTC.4481743&amp;isFromPublicArea=True&amp;isModal=true&amp;asPopupView=true" TargetMode="External"/><Relationship Id="rId10" Type="http://schemas.openxmlformats.org/officeDocument/2006/relationships/drawing" Target="../drawings/drawing8.xml"/><Relationship Id="rId4" Type="http://schemas.openxmlformats.org/officeDocument/2006/relationships/hyperlink" Target="https://community.secop.gov.co/Public/Tendering/OpportunityDetail/Index?noticeUID=CO1.NTC.8386662&amp;isFromPublicArea=True&amp;isModal=true&amp;asPopupView=true" TargetMode="External"/><Relationship Id="rId9" Type="http://schemas.openxmlformats.org/officeDocument/2006/relationships/hyperlink" Target="https://community.secop.gov.co/Public/Tendering/OpportunityDetail/Index?noticeUID=CO1.NTC.8353483&amp;isFromPublicArea=True&amp;isModal=true&amp;asPopupView=true" TargetMode="External"/></Relationships>
</file>

<file path=xl/worksheets/_rels/sheet40.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7.bin"/><Relationship Id="rId1" Type="http://schemas.openxmlformats.org/officeDocument/2006/relationships/hyperlink" Target="mailto:licitaciones@century-media.net" TargetMode="External"/></Relationships>
</file>

<file path=xl/worksheets/_rels/sheet42.xml.rels><?xml version="1.0" encoding="UTF-8" standalone="yes"?>
<Relationships xmlns="http://schemas.openxmlformats.org/package/2006/relationships"><Relationship Id="rId2" Type="http://schemas.openxmlformats.org/officeDocument/2006/relationships/hyperlink" Target="https://community.secop.gov.co/Public/Tendering/OpportunityDetail/Index?noticeUID=CO1.NTC.7162524&amp;isFromPublicArea=True&amp;isModal=true&amp;asPopupView=true" TargetMode="External"/><Relationship Id="rId1" Type="http://schemas.openxmlformats.org/officeDocument/2006/relationships/hyperlink" Target="https://www.rentapc.com.co/port%C3%A1til-procesamiento-alto" TargetMode="External"/></Relationships>
</file>

<file path=xl/worksheets/_rels/sheet43.xml.rels><?xml version="1.0" encoding="UTF-8" standalone="yes"?>
<Relationships xmlns="http://schemas.openxmlformats.org/package/2006/relationships"><Relationship Id="rId1" Type="http://schemas.openxmlformats.org/officeDocument/2006/relationships/hyperlink" Target="https://community.secop.gov.co/Public/Tendering/OpportunityDetail/Index?noticeUID=CO1.NTC.6749898&amp;isFromPublicArea=True&amp;isModal=true&amp;asPopupView=true" TargetMode="External"/></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45.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9.bin"/><Relationship Id="rId1" Type="http://schemas.openxmlformats.org/officeDocument/2006/relationships/hyperlink" Target="https://community.secop.gov.co/Public/Tendering/OpportunityDetail/Index?noticeUID=CO1.NTC.5139485&amp;isFromPublicArea=True&amp;isModal=true&amp;asPopupView=true" TargetMode="External"/></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hyperlink" Target="https://community.secop.gov.co/Public/Tendering/OpportunityDetail/Index?noticeUID=CO1.NTC.7051632&amp;isFromPublicArea=True&amp;isModal=true&amp;asPopupView=true" TargetMode="External"/></Relationships>
</file>

<file path=xl/worksheets/_rels/sheet48.xml.rels><?xml version="1.0" encoding="UTF-8" standalone="yes"?>
<Relationships xmlns="http://schemas.openxmlformats.org/package/2006/relationships"><Relationship Id="rId1" Type="http://schemas.openxmlformats.org/officeDocument/2006/relationships/hyperlink" Target="https://community.secop.gov.co/Public/Tendering/OpportunityDetail/Index?noticeUID=CO1.NTC.4908805&amp;isFromPublicArea=True&amp;isModal=true&amp;asPopupView=tru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34A12F-C1D2-4843-A630-0DD26522857C}">
  <sheetPr>
    <tabColor theme="2" tint="-0.749992370372631"/>
  </sheetPr>
  <dimension ref="B2:F29"/>
  <sheetViews>
    <sheetView workbookViewId="0"/>
  </sheetViews>
  <sheetFormatPr baseColWidth="10" defaultColWidth="11.42578125" defaultRowHeight="12.75" x14ac:dyDescent="0.2"/>
  <cols>
    <col min="1" max="1" width="4.7109375" style="1" customWidth="1"/>
    <col min="2" max="3" width="12.7109375" style="1" customWidth="1"/>
    <col min="4" max="16384" width="11.42578125" style="1"/>
  </cols>
  <sheetData>
    <row r="2" spans="2:6" ht="18.75" customHeight="1" x14ac:dyDescent="0.2">
      <c r="B2" s="751" t="s">
        <v>152</v>
      </c>
      <c r="C2" s="751"/>
      <c r="E2" s="751" t="s">
        <v>211</v>
      </c>
      <c r="F2" s="751"/>
    </row>
    <row r="3" spans="2:6" ht="17.25" customHeight="1" x14ac:dyDescent="0.2">
      <c r="B3" s="3" t="s">
        <v>3</v>
      </c>
      <c r="C3" s="3" t="s">
        <v>0</v>
      </c>
      <c r="E3" s="3" t="s">
        <v>3</v>
      </c>
      <c r="F3" s="3" t="s">
        <v>212</v>
      </c>
    </row>
    <row r="4" spans="2:6" ht="17.25" customHeight="1" x14ac:dyDescent="0.2">
      <c r="B4" s="2">
        <v>2024</v>
      </c>
      <c r="C4" s="4">
        <v>5.1999999999999998E-2</v>
      </c>
      <c r="E4" s="2">
        <v>2025</v>
      </c>
      <c r="F4" s="4">
        <v>9.5299999999999996E-2</v>
      </c>
    </row>
    <row r="5" spans="2:6" ht="17.25" customHeight="1" x14ac:dyDescent="0.2">
      <c r="B5" s="2">
        <v>2023</v>
      </c>
      <c r="C5" s="4">
        <v>9.2799999999999994E-2</v>
      </c>
      <c r="E5" s="2">
        <v>2024</v>
      </c>
      <c r="F5" s="4">
        <v>0.12</v>
      </c>
    </row>
    <row r="6" spans="2:6" ht="17.25" customHeight="1" x14ac:dyDescent="0.2">
      <c r="B6" s="2">
        <v>2022</v>
      </c>
      <c r="C6" s="4">
        <v>0.13100000000000001</v>
      </c>
      <c r="E6" s="2">
        <v>2023</v>
      </c>
      <c r="F6" s="4">
        <v>0.16</v>
      </c>
    </row>
    <row r="7" spans="2:6" ht="17.25" customHeight="1" x14ac:dyDescent="0.2">
      <c r="E7" s="2">
        <v>2022</v>
      </c>
      <c r="F7" s="4">
        <v>0.107</v>
      </c>
    </row>
    <row r="8" spans="2:6" ht="17.25" customHeight="1" x14ac:dyDescent="0.2"/>
    <row r="9" spans="2:6" ht="17.25" customHeight="1" x14ac:dyDescent="0.2"/>
    <row r="10" spans="2:6" ht="17.25" customHeight="1" x14ac:dyDescent="0.2"/>
    <row r="11" spans="2:6" ht="17.25" customHeight="1" x14ac:dyDescent="0.2"/>
    <row r="12" spans="2:6" ht="17.25" customHeight="1" x14ac:dyDescent="0.2"/>
    <row r="13" spans="2:6" ht="17.25" customHeight="1" x14ac:dyDescent="0.2"/>
    <row r="14" spans="2:6" ht="17.25" customHeight="1" x14ac:dyDescent="0.2"/>
    <row r="15" spans="2:6" ht="17.25" customHeight="1" x14ac:dyDescent="0.2"/>
    <row r="16" spans="2:6" ht="17.25" customHeight="1" x14ac:dyDescent="0.2"/>
    <row r="17" ht="17.25" customHeight="1" x14ac:dyDescent="0.2"/>
    <row r="18" ht="17.25" customHeight="1" x14ac:dyDescent="0.2"/>
    <row r="19" ht="17.25" customHeight="1" x14ac:dyDescent="0.2"/>
    <row r="20" ht="17.25" customHeight="1" x14ac:dyDescent="0.2"/>
    <row r="21" ht="17.25" customHeight="1" x14ac:dyDescent="0.2"/>
    <row r="22" ht="17.25" customHeight="1" x14ac:dyDescent="0.2"/>
    <row r="23" ht="17.25" customHeight="1" x14ac:dyDescent="0.2"/>
    <row r="24" ht="17.25" customHeight="1" x14ac:dyDescent="0.2"/>
    <row r="25" ht="17.25" customHeight="1" x14ac:dyDescent="0.2"/>
    <row r="26" ht="17.25" customHeight="1" x14ac:dyDescent="0.2"/>
    <row r="27" ht="17.25" customHeight="1" x14ac:dyDescent="0.2"/>
    <row r="28" ht="17.25" customHeight="1" x14ac:dyDescent="0.2"/>
    <row r="29" ht="17.25" customHeight="1" x14ac:dyDescent="0.2"/>
  </sheetData>
  <mergeCells count="2">
    <mergeCell ref="B2:C2"/>
    <mergeCell ref="E2:F2"/>
  </mergeCells>
  <phoneticPr fontId="5"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C64BD3-09BB-408B-92E0-5BDCA0596F45}">
  <dimension ref="B3:E11"/>
  <sheetViews>
    <sheetView workbookViewId="0"/>
  </sheetViews>
  <sheetFormatPr baseColWidth="10" defaultColWidth="11.42578125" defaultRowHeight="12.75" x14ac:dyDescent="0.2"/>
  <cols>
    <col min="1" max="1" width="11.42578125" style="141"/>
    <col min="2" max="2" width="31.7109375" style="141" customWidth="1"/>
    <col min="3" max="3" width="11.42578125" style="141"/>
    <col min="4" max="4" width="13" style="141" bestFit="1" customWidth="1"/>
    <col min="5" max="5" width="11.5703125" style="141" bestFit="1" customWidth="1"/>
    <col min="6" max="16384" width="11.42578125" style="141"/>
  </cols>
  <sheetData>
    <row r="3" spans="2:5" x14ac:dyDescent="0.2">
      <c r="B3" s="752" t="s">
        <v>346</v>
      </c>
      <c r="C3" s="752"/>
      <c r="D3" s="142" t="s">
        <v>348</v>
      </c>
      <c r="E3" s="142" t="s">
        <v>347</v>
      </c>
    </row>
    <row r="4" spans="2:5" x14ac:dyDescent="0.2">
      <c r="B4" s="755" t="s">
        <v>219</v>
      </c>
      <c r="C4" s="755"/>
      <c r="D4" s="143">
        <v>239500000</v>
      </c>
      <c r="E4" s="144">
        <f t="shared" ref="E4:E10" si="0">D4/$D$11</f>
        <v>0.32121891391849461</v>
      </c>
    </row>
    <row r="5" spans="2:5" x14ac:dyDescent="0.2">
      <c r="B5" s="755" t="s">
        <v>236</v>
      </c>
      <c r="C5" s="755"/>
      <c r="D5" s="143">
        <v>7027440.3200000003</v>
      </c>
      <c r="E5" s="144">
        <f t="shared" si="0"/>
        <v>9.4252473787784473E-3</v>
      </c>
    </row>
    <row r="6" spans="2:5" x14ac:dyDescent="0.2">
      <c r="B6" s="755" t="s">
        <v>308</v>
      </c>
      <c r="C6" s="755"/>
      <c r="D6" s="143">
        <v>4410000</v>
      </c>
      <c r="E6" s="144">
        <f t="shared" si="0"/>
        <v>5.9147198763280211E-3</v>
      </c>
    </row>
    <row r="7" spans="2:5" x14ac:dyDescent="0.2">
      <c r="B7" s="755" t="s">
        <v>309</v>
      </c>
      <c r="C7" s="755"/>
      <c r="D7" s="143">
        <v>421380000</v>
      </c>
      <c r="E7" s="144">
        <f t="shared" si="0"/>
        <v>0.56515751961158767</v>
      </c>
    </row>
    <row r="8" spans="2:5" x14ac:dyDescent="0.2">
      <c r="B8" s="755" t="s">
        <v>310</v>
      </c>
      <c r="C8" s="755"/>
      <c r="D8" s="143">
        <v>28000000</v>
      </c>
      <c r="E8" s="144">
        <f t="shared" si="0"/>
        <v>3.7553776992558865E-2</v>
      </c>
    </row>
    <row r="9" spans="2:5" x14ac:dyDescent="0.2">
      <c r="B9" s="755" t="s">
        <v>311</v>
      </c>
      <c r="C9" s="755"/>
      <c r="D9" s="143">
        <v>24000000</v>
      </c>
      <c r="E9" s="144">
        <f t="shared" si="0"/>
        <v>3.2188951707907601E-2</v>
      </c>
    </row>
    <row r="10" spans="2:5" x14ac:dyDescent="0.2">
      <c r="B10" s="755" t="s">
        <v>313</v>
      </c>
      <c r="C10" s="755"/>
      <c r="D10" s="143">
        <v>21280000</v>
      </c>
      <c r="E10" s="144">
        <f t="shared" si="0"/>
        <v>2.8540870514344736E-2</v>
      </c>
    </row>
    <row r="11" spans="2:5" x14ac:dyDescent="0.2">
      <c r="B11" s="755" t="s">
        <v>314</v>
      </c>
      <c r="C11" s="755"/>
      <c r="D11" s="753">
        <v>745597440.32000005</v>
      </c>
      <c r="E11" s="754"/>
    </row>
  </sheetData>
  <mergeCells count="10">
    <mergeCell ref="B3:C3"/>
    <mergeCell ref="D11:E11"/>
    <mergeCell ref="B4:C4"/>
    <mergeCell ref="B5:C5"/>
    <mergeCell ref="B7:C7"/>
    <mergeCell ref="B10:C10"/>
    <mergeCell ref="B11:C11"/>
    <mergeCell ref="B8:C8"/>
    <mergeCell ref="B9:C9"/>
    <mergeCell ref="B6:C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636BC-60C4-4425-8B5B-99863DD5D1D8}">
  <dimension ref="B2:H975"/>
  <sheetViews>
    <sheetView showGridLines="0" topLeftCell="A9" workbookViewId="0">
      <selection activeCell="E27" sqref="E27"/>
    </sheetView>
  </sheetViews>
  <sheetFormatPr baseColWidth="10" defaultColWidth="14.42578125" defaultRowHeight="15" customHeight="1" x14ac:dyDescent="0.25"/>
  <cols>
    <col min="1" max="1" width="2.85546875" style="537" customWidth="1"/>
    <col min="2" max="2" width="40.7109375" style="537" customWidth="1"/>
    <col min="3" max="3" width="20.7109375" style="537" customWidth="1"/>
    <col min="4" max="4" width="15.7109375" style="537" customWidth="1"/>
    <col min="5" max="5" width="20.7109375" style="537" customWidth="1"/>
    <col min="6" max="6" width="16.28515625" style="537" customWidth="1"/>
    <col min="7" max="26" width="10.7109375" style="537" customWidth="1"/>
    <col min="27" max="16384" width="14.42578125" style="537"/>
  </cols>
  <sheetData>
    <row r="2" spans="2:8" x14ac:dyDescent="0.25">
      <c r="B2" s="756" t="s">
        <v>1325</v>
      </c>
      <c r="C2" s="757"/>
      <c r="D2" s="757"/>
      <c r="E2" s="758"/>
    </row>
    <row r="3" spans="2:8" x14ac:dyDescent="0.25">
      <c r="B3" s="759"/>
      <c r="C3" s="760"/>
      <c r="D3" s="760"/>
      <c r="E3" s="761"/>
    </row>
    <row r="4" spans="2:8" x14ac:dyDescent="0.25">
      <c r="B4" s="759"/>
      <c r="C4" s="760"/>
      <c r="D4" s="760"/>
      <c r="E4" s="761"/>
    </row>
    <row r="5" spans="2:8" x14ac:dyDescent="0.25">
      <c r="B5" s="759"/>
      <c r="C5" s="760"/>
      <c r="D5" s="760"/>
      <c r="E5" s="761"/>
    </row>
    <row r="6" spans="2:8" x14ac:dyDescent="0.25">
      <c r="B6" s="762"/>
      <c r="C6" s="763"/>
      <c r="D6" s="763"/>
      <c r="E6" s="764"/>
    </row>
    <row r="7" spans="2:8" ht="27" x14ac:dyDescent="0.25">
      <c r="B7" s="538" t="s">
        <v>1326</v>
      </c>
      <c r="C7" s="539" t="s">
        <v>1327</v>
      </c>
      <c r="D7" s="538" t="s">
        <v>1122</v>
      </c>
      <c r="E7" s="538" t="s">
        <v>299</v>
      </c>
    </row>
    <row r="8" spans="2:8" x14ac:dyDescent="0.25">
      <c r="B8" s="540" t="s">
        <v>1328</v>
      </c>
      <c r="C8" s="541">
        <v>552162212.765957</v>
      </c>
      <c r="D8" s="542">
        <v>5063829.7872340428</v>
      </c>
      <c r="E8" s="541">
        <v>557226042.55319154</v>
      </c>
    </row>
    <row r="9" spans="2:8" x14ac:dyDescent="0.25">
      <c r="B9" s="540" t="s">
        <v>1329</v>
      </c>
      <c r="C9" s="541">
        <v>6364418297.8723383</v>
      </c>
      <c r="D9" s="542">
        <v>27489361.70212765</v>
      </c>
      <c r="E9" s="541">
        <v>6391907659.5744686</v>
      </c>
    </row>
    <row r="10" spans="2:8" x14ac:dyDescent="0.25">
      <c r="B10" s="540" t="s">
        <v>312</v>
      </c>
      <c r="C10" s="541">
        <v>2083419489.361702</v>
      </c>
      <c r="D10" s="542">
        <v>1446808.5106382978</v>
      </c>
      <c r="E10" s="541">
        <v>2084866297.8723402</v>
      </c>
    </row>
    <row r="11" spans="2:8" x14ac:dyDescent="0.25">
      <c r="B11" s="543" t="s">
        <v>1330</v>
      </c>
      <c r="C11" s="541">
        <v>8999999999.9999981</v>
      </c>
      <c r="D11" s="541">
        <v>33999999.999999993</v>
      </c>
      <c r="E11" s="541">
        <v>9034000000</v>
      </c>
    </row>
    <row r="14" spans="2:8" ht="15.75" customHeight="1" thickBot="1" x14ac:dyDescent="0.3"/>
    <row r="15" spans="2:8" ht="15.75" customHeight="1" thickBot="1" x14ac:dyDescent="0.3">
      <c r="B15" s="544" t="s">
        <v>346</v>
      </c>
      <c r="C15" s="545" t="s">
        <v>1331</v>
      </c>
      <c r="D15" s="545" t="s">
        <v>1332</v>
      </c>
      <c r="E15" s="545" t="s">
        <v>299</v>
      </c>
    </row>
    <row r="16" spans="2:8" ht="15.75" customHeight="1" thickBot="1" x14ac:dyDescent="0.3">
      <c r="B16" s="546" t="s">
        <v>1333</v>
      </c>
      <c r="C16" s="547">
        <f>'PPTO Detallado PCA AJUSTADO'!J34</f>
        <v>417200000</v>
      </c>
      <c r="D16" s="547">
        <f>'PPTO Detallado PCA AJUSTADO'!I34</f>
        <v>0</v>
      </c>
      <c r="E16" s="547">
        <f>C16+D16</f>
        <v>417200000</v>
      </c>
      <c r="G16" s="553">
        <f>C16/C30</f>
        <v>8876595.7446808517</v>
      </c>
      <c r="H16" s="553">
        <f>D16/C30</f>
        <v>0</v>
      </c>
    </row>
    <row r="17" spans="2:8" ht="15.75" customHeight="1" thickBot="1" x14ac:dyDescent="0.3">
      <c r="B17" s="546" t="s">
        <v>236</v>
      </c>
      <c r="C17" s="547">
        <f>'PPTO Detallado PCA AJUSTADO'!J52</f>
        <v>112666000</v>
      </c>
      <c r="D17" s="547">
        <f>'PPTO Detallado PCA AJUSTADO'!I52</f>
        <v>34000000</v>
      </c>
      <c r="E17" s="547">
        <f t="shared" ref="E17:E20" si="0">C17+D17</f>
        <v>146666000</v>
      </c>
      <c r="G17" s="553">
        <f>C17/C30</f>
        <v>2397148.9361702129</v>
      </c>
      <c r="H17" s="553">
        <f>D17/C30</f>
        <v>723404.25531914888</v>
      </c>
    </row>
    <row r="18" spans="2:8" ht="15.75" customHeight="1" thickBot="1" x14ac:dyDescent="0.3">
      <c r="B18" s="546" t="s">
        <v>1334</v>
      </c>
      <c r="C18" s="547">
        <f>'PPTO Detallado PCA AJUSTADO'!J88</f>
        <v>473246000</v>
      </c>
      <c r="D18" s="547">
        <f>'PPTO Detallado PCA AJUSTADO'!I88</f>
        <v>0</v>
      </c>
      <c r="E18" s="547">
        <f t="shared" si="0"/>
        <v>473246000</v>
      </c>
    </row>
    <row r="19" spans="2:8" ht="15.75" customHeight="1" thickBot="1" x14ac:dyDescent="0.3">
      <c r="B19" s="546" t="s">
        <v>1335</v>
      </c>
      <c r="C19" s="547">
        <f>'PPTO Detallado PCA AJUSTADO'!J707</f>
        <v>5936016000</v>
      </c>
      <c r="D19" s="547">
        <f>'PPTO Detallado PCA AJUSTADO'!I707</f>
        <v>0</v>
      </c>
      <c r="E19" s="547">
        <f t="shared" si="0"/>
        <v>5936016000</v>
      </c>
    </row>
    <row r="20" spans="2:8" ht="15.75" customHeight="1" thickBot="1" x14ac:dyDescent="0.3">
      <c r="B20" s="546" t="s">
        <v>313</v>
      </c>
      <c r="C20" s="547">
        <f>'PPTO Detallado PCA AJUSTADO'!J741</f>
        <v>2060872000</v>
      </c>
      <c r="D20" s="547">
        <f>'PPTO Detallado PCA AJUSTADO'!I741</f>
        <v>0</v>
      </c>
      <c r="E20" s="547">
        <f t="shared" si="0"/>
        <v>2060872000</v>
      </c>
    </row>
    <row r="21" spans="2:8" ht="15.75" customHeight="1" thickBot="1" x14ac:dyDescent="0.3">
      <c r="B21" s="546" t="s">
        <v>314</v>
      </c>
      <c r="C21" s="765">
        <f>SUM(C16:D20)</f>
        <v>9034000000</v>
      </c>
      <c r="D21" s="766"/>
      <c r="E21" s="548"/>
    </row>
    <row r="22" spans="2:8" ht="15.75" customHeight="1" thickBot="1" x14ac:dyDescent="0.3"/>
    <row r="23" spans="2:8" ht="15.75" customHeight="1" thickBot="1" x14ac:dyDescent="0.3">
      <c r="B23" s="767" t="s">
        <v>1336</v>
      </c>
      <c r="C23" s="768"/>
      <c r="D23" s="768"/>
      <c r="E23" s="768"/>
      <c r="F23" s="769"/>
      <c r="G23" s="549"/>
    </row>
    <row r="24" spans="2:8" ht="15.75" customHeight="1" thickBot="1" x14ac:dyDescent="0.3">
      <c r="B24" s="767" t="s">
        <v>1337</v>
      </c>
      <c r="C24" s="768"/>
      <c r="D24" s="768"/>
      <c r="E24" s="768"/>
      <c r="F24" s="769"/>
      <c r="G24" s="549"/>
    </row>
    <row r="25" spans="2:8" ht="24.75" customHeight="1" x14ac:dyDescent="0.25">
      <c r="B25" s="770" t="s">
        <v>1338</v>
      </c>
      <c r="C25" s="772" t="s">
        <v>1339</v>
      </c>
      <c r="D25" s="772" t="s">
        <v>553</v>
      </c>
      <c r="E25" s="770" t="s">
        <v>1045</v>
      </c>
      <c r="F25" s="770" t="s">
        <v>299</v>
      </c>
      <c r="G25" s="549"/>
    </row>
    <row r="26" spans="2:8" ht="15.75" customHeight="1" thickBot="1" x14ac:dyDescent="0.3">
      <c r="B26" s="771"/>
      <c r="C26" s="773"/>
      <c r="D26" s="774"/>
      <c r="E26" s="775"/>
      <c r="F26" s="775"/>
      <c r="G26" s="549"/>
    </row>
    <row r="27" spans="2:8" ht="15.75" customHeight="1" thickBot="1" x14ac:dyDescent="0.3">
      <c r="B27" s="546" t="s">
        <v>1334</v>
      </c>
      <c r="C27" s="550">
        <v>7</v>
      </c>
      <c r="D27" s="551">
        <f>C18+G16*C27+G17*C27</f>
        <v>552162212.76595747</v>
      </c>
      <c r="E27" s="551">
        <f>D18+H16*C27+H17*C27</f>
        <v>5063829.7872340418</v>
      </c>
      <c r="F27" s="551">
        <f>E27+D27</f>
        <v>557226042.55319154</v>
      </c>
      <c r="G27" s="549"/>
    </row>
    <row r="28" spans="2:8" ht="15.75" customHeight="1" thickBot="1" x14ac:dyDescent="0.3">
      <c r="B28" s="546" t="s">
        <v>1335</v>
      </c>
      <c r="C28" s="550">
        <v>38</v>
      </c>
      <c r="D28" s="551">
        <f>C19+G16*C28+G17*C28</f>
        <v>6364418297.8723402</v>
      </c>
      <c r="E28" s="551">
        <f>D19+H16*C28+H17*C28</f>
        <v>27489361.702127658</v>
      </c>
      <c r="F28" s="551">
        <f t="shared" ref="F28:F29" si="1">E28+D28</f>
        <v>6391907659.5744677</v>
      </c>
      <c r="G28" s="549"/>
    </row>
    <row r="29" spans="2:8" ht="15.75" customHeight="1" thickBot="1" x14ac:dyDescent="0.3">
      <c r="B29" s="546" t="s">
        <v>313</v>
      </c>
      <c r="C29" s="550">
        <v>2</v>
      </c>
      <c r="D29" s="551">
        <f>C20+G16*C29+G17*C29</f>
        <v>2083419489.3617022</v>
      </c>
      <c r="E29" s="551">
        <f>D20+H16*C29+H17*C29</f>
        <v>1446808.5106382978</v>
      </c>
      <c r="F29" s="551">
        <f t="shared" si="1"/>
        <v>2084866297.8723404</v>
      </c>
      <c r="G29" s="549"/>
    </row>
    <row r="30" spans="2:8" ht="15.75" customHeight="1" thickBot="1" x14ac:dyDescent="0.3">
      <c r="B30" s="552" t="s">
        <v>1330</v>
      </c>
      <c r="C30" s="550">
        <f>C27+C28+C29</f>
        <v>47</v>
      </c>
      <c r="D30" s="551">
        <f t="shared" ref="D30:F30" si="2">D27+D28+D29</f>
        <v>9000000000</v>
      </c>
      <c r="E30" s="551">
        <f t="shared" si="2"/>
        <v>34000000</v>
      </c>
      <c r="F30" s="551">
        <f t="shared" si="2"/>
        <v>9034000000</v>
      </c>
      <c r="G30" s="549"/>
    </row>
    <row r="31" spans="2:8" ht="15.75" customHeight="1" x14ac:dyDescent="0.25"/>
    <row r="32" spans="2:8"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sheetData>
  <mergeCells count="9">
    <mergeCell ref="B2:E6"/>
    <mergeCell ref="C21:D21"/>
    <mergeCell ref="B23:F23"/>
    <mergeCell ref="B24:F24"/>
    <mergeCell ref="B25:B26"/>
    <mergeCell ref="C25:C26"/>
    <mergeCell ref="D25:D26"/>
    <mergeCell ref="E25:E26"/>
    <mergeCell ref="F25:F26"/>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98E62-1A53-4692-A82E-09B9708D3FDC}">
  <dimension ref="A1:Y941"/>
  <sheetViews>
    <sheetView showGridLines="0" topLeftCell="A42" zoomScaleNormal="100" workbookViewId="0">
      <selection activeCell="K71" sqref="K71"/>
    </sheetView>
  </sheetViews>
  <sheetFormatPr baseColWidth="10" defaultColWidth="14.42578125" defaultRowHeight="15" customHeight="1" x14ac:dyDescent="0.25"/>
  <cols>
    <col min="1" max="1" width="3.42578125" style="59" customWidth="1"/>
    <col min="2" max="2" width="5.28515625" style="59" customWidth="1"/>
    <col min="3" max="3" width="56.140625" style="59" customWidth="1"/>
    <col min="4" max="4" width="7.42578125" style="59" customWidth="1"/>
    <col min="5" max="5" width="6.140625" style="59" customWidth="1"/>
    <col min="6" max="6" width="13.42578125" style="59" customWidth="1"/>
    <col min="7" max="7" width="13.28515625" style="59" customWidth="1"/>
    <col min="8" max="8" width="20.7109375" style="59" customWidth="1"/>
    <col min="9" max="9" width="18.7109375" style="59" customWidth="1"/>
    <col min="10" max="10" width="20.85546875" style="59" customWidth="1"/>
    <col min="11" max="11" width="20.140625" style="59" customWidth="1"/>
    <col min="12" max="13" width="0.85546875" style="59" customWidth="1"/>
    <col min="14" max="14" width="16.5703125" style="59" customWidth="1"/>
    <col min="15" max="15" width="16" style="59" customWidth="1"/>
    <col min="16" max="16" width="12" style="59" customWidth="1"/>
    <col min="17" max="25" width="10.7109375" style="59" customWidth="1"/>
    <col min="26" max="16384" width="14.42578125" style="59"/>
  </cols>
  <sheetData>
    <row r="1" spans="2:17" ht="13.5" x14ac:dyDescent="0.25">
      <c r="C1" s="54"/>
    </row>
    <row r="2" spans="2:17" ht="13.5" x14ac:dyDescent="0.25">
      <c r="C2" s="54"/>
      <c r="F2" s="653"/>
      <c r="H2" s="653"/>
    </row>
    <row r="3" spans="2:17" ht="15" customHeight="1" x14ac:dyDescent="0.25">
      <c r="B3" s="789" t="s">
        <v>1357</v>
      </c>
      <c r="C3" s="786"/>
      <c r="D3" s="786"/>
      <c r="E3" s="786"/>
      <c r="F3" s="786"/>
      <c r="G3" s="786"/>
      <c r="H3" s="786"/>
      <c r="I3" s="786"/>
      <c r="J3" s="786"/>
      <c r="K3" s="787"/>
    </row>
    <row r="4" spans="2:17" ht="13.5" x14ac:dyDescent="0.25">
      <c r="B4" s="790"/>
      <c r="C4" s="791"/>
      <c r="D4" s="791"/>
      <c r="E4" s="791"/>
      <c r="F4" s="791"/>
      <c r="G4" s="791"/>
      <c r="H4" s="791"/>
      <c r="I4" s="791"/>
      <c r="J4" s="791"/>
      <c r="K4" s="792"/>
    </row>
    <row r="5" spans="2:17" ht="13.5" x14ac:dyDescent="0.25">
      <c r="B5" s="790"/>
      <c r="C5" s="791"/>
      <c r="D5" s="791"/>
      <c r="E5" s="791"/>
      <c r="F5" s="791"/>
      <c r="G5" s="791"/>
      <c r="H5" s="791"/>
      <c r="I5" s="791"/>
      <c r="J5" s="791"/>
      <c r="K5" s="792"/>
    </row>
    <row r="6" spans="2:17" ht="13.5" x14ac:dyDescent="0.25">
      <c r="B6" s="790"/>
      <c r="C6" s="791"/>
      <c r="D6" s="791"/>
      <c r="E6" s="791"/>
      <c r="F6" s="791"/>
      <c r="G6" s="791"/>
      <c r="H6" s="791"/>
      <c r="I6" s="791"/>
      <c r="J6" s="791"/>
      <c r="K6" s="792"/>
      <c r="N6" s="776" t="s">
        <v>1340</v>
      </c>
      <c r="O6" s="776"/>
      <c r="P6" s="776"/>
    </row>
    <row r="7" spans="2:17" ht="13.5" x14ac:dyDescent="0.25">
      <c r="B7" s="793"/>
      <c r="C7" s="794"/>
      <c r="D7" s="794"/>
      <c r="E7" s="794"/>
      <c r="F7" s="794"/>
      <c r="G7" s="794"/>
      <c r="H7" s="794"/>
      <c r="I7" s="794"/>
      <c r="J7" s="794"/>
      <c r="K7" s="795"/>
      <c r="N7" s="776"/>
      <c r="O7" s="776"/>
      <c r="P7" s="776"/>
    </row>
    <row r="8" spans="2:17" ht="19.5" customHeight="1" x14ac:dyDescent="0.25">
      <c r="B8" s="796" t="s">
        <v>213</v>
      </c>
      <c r="C8" s="798" t="s">
        <v>231</v>
      </c>
      <c r="D8" s="796" t="s">
        <v>232</v>
      </c>
      <c r="E8" s="796" t="s">
        <v>215</v>
      </c>
      <c r="F8" s="799" t="s">
        <v>233</v>
      </c>
      <c r="G8" s="798" t="s">
        <v>349</v>
      </c>
      <c r="H8" s="800" t="s">
        <v>299</v>
      </c>
      <c r="I8" s="801" t="s">
        <v>350</v>
      </c>
      <c r="J8" s="801" t="s">
        <v>351</v>
      </c>
      <c r="K8" s="779" t="s">
        <v>299</v>
      </c>
      <c r="N8" s="777" t="s">
        <v>1341</v>
      </c>
      <c r="O8" s="778" t="s">
        <v>299</v>
      </c>
      <c r="P8" s="777" t="s">
        <v>223</v>
      </c>
    </row>
    <row r="9" spans="2:17" ht="19.5" customHeight="1" x14ac:dyDescent="0.25">
      <c r="B9" s="797"/>
      <c r="C9" s="797"/>
      <c r="D9" s="797"/>
      <c r="E9" s="797"/>
      <c r="F9" s="797"/>
      <c r="G9" s="797"/>
      <c r="H9" s="790"/>
      <c r="I9" s="780"/>
      <c r="J9" s="780"/>
      <c r="K9" s="780"/>
      <c r="N9" s="777"/>
      <c r="O9" s="778"/>
      <c r="P9" s="777"/>
    </row>
    <row r="10" spans="2:17" ht="19.5" customHeight="1" x14ac:dyDescent="0.25">
      <c r="B10" s="781" t="s">
        <v>352</v>
      </c>
      <c r="C10" s="782"/>
      <c r="D10" s="782"/>
      <c r="E10" s="782"/>
      <c r="F10" s="782"/>
      <c r="G10" s="782"/>
      <c r="H10" s="782"/>
      <c r="I10" s="782"/>
      <c r="J10" s="782"/>
      <c r="K10" s="783"/>
    </row>
    <row r="11" spans="2:17" ht="13.5" x14ac:dyDescent="0.25">
      <c r="B11" s="784" t="s">
        <v>353</v>
      </c>
      <c r="C11" s="782"/>
      <c r="D11" s="782"/>
      <c r="E11" s="782"/>
      <c r="F11" s="782"/>
      <c r="G11" s="782"/>
      <c r="H11" s="782"/>
      <c r="I11" s="782"/>
      <c r="J11" s="782"/>
      <c r="K11" s="783"/>
    </row>
    <row r="12" spans="2:17" ht="13.5" x14ac:dyDescent="0.25">
      <c r="B12" s="564">
        <v>1</v>
      </c>
      <c r="C12" s="565" t="s">
        <v>354</v>
      </c>
      <c r="D12" s="131" t="s">
        <v>238</v>
      </c>
      <c r="E12" s="131">
        <v>1</v>
      </c>
      <c r="F12" s="566">
        <v>6500000</v>
      </c>
      <c r="G12" s="131">
        <v>4</v>
      </c>
      <c r="H12" s="567">
        <f t="shared" ref="H12:H16" si="0">F12*E12*G12</f>
        <v>26000000</v>
      </c>
      <c r="I12" s="654">
        <v>0</v>
      </c>
      <c r="J12" s="594">
        <f t="shared" ref="J12:J16" si="1">H12</f>
        <v>26000000</v>
      </c>
      <c r="K12" s="597">
        <f t="shared" ref="K12:K16" si="2">I12+J12</f>
        <v>26000000</v>
      </c>
      <c r="N12" s="568">
        <f>'1.1 Comparativo_Personal'!$R$7</f>
        <v>7166478</v>
      </c>
      <c r="O12" s="568">
        <f>N12*G12</f>
        <v>28665912</v>
      </c>
      <c r="P12" s="569">
        <f>K12/O12-1</f>
        <v>-9.2999378495266405E-2</v>
      </c>
      <c r="Q12" s="295">
        <f>+E12*F12*G12-H12</f>
        <v>0</v>
      </c>
    </row>
    <row r="13" spans="2:17" ht="13.5" x14ac:dyDescent="0.25">
      <c r="B13" s="570">
        <v>2</v>
      </c>
      <c r="C13" s="565" t="s">
        <v>355</v>
      </c>
      <c r="D13" s="134" t="s">
        <v>238</v>
      </c>
      <c r="E13" s="134">
        <v>1</v>
      </c>
      <c r="F13" s="566">
        <v>6500000</v>
      </c>
      <c r="G13" s="134">
        <v>4</v>
      </c>
      <c r="H13" s="571">
        <f t="shared" si="0"/>
        <v>26000000</v>
      </c>
      <c r="I13" s="654">
        <v>0</v>
      </c>
      <c r="J13" s="594">
        <f t="shared" si="1"/>
        <v>26000000</v>
      </c>
      <c r="K13" s="597">
        <f t="shared" si="2"/>
        <v>26000000</v>
      </c>
      <c r="N13" s="568">
        <f>'1.1 Comparativo_Personal'!$R$7</f>
        <v>7166478</v>
      </c>
      <c r="O13" s="568">
        <f t="shared" ref="O13:O16" si="3">N13*G13</f>
        <v>28665912</v>
      </c>
      <c r="P13" s="569">
        <f t="shared" ref="P13:P17" si="4">K13/O13-1</f>
        <v>-9.2999378495266405E-2</v>
      </c>
      <c r="Q13" s="295">
        <f t="shared" ref="Q13:Q76" si="5">+E13*F13*G13-H13</f>
        <v>0</v>
      </c>
    </row>
    <row r="14" spans="2:17" ht="13.5" x14ac:dyDescent="0.25">
      <c r="B14" s="570">
        <v>3</v>
      </c>
      <c r="C14" s="565" t="s">
        <v>356</v>
      </c>
      <c r="D14" s="134" t="s">
        <v>238</v>
      </c>
      <c r="E14" s="134">
        <v>1</v>
      </c>
      <c r="F14" s="566">
        <v>6500000</v>
      </c>
      <c r="G14" s="134">
        <v>4</v>
      </c>
      <c r="H14" s="571">
        <f t="shared" si="0"/>
        <v>26000000</v>
      </c>
      <c r="I14" s="654">
        <v>0</v>
      </c>
      <c r="J14" s="594">
        <f t="shared" si="1"/>
        <v>26000000</v>
      </c>
      <c r="K14" s="597">
        <f t="shared" si="2"/>
        <v>26000000</v>
      </c>
      <c r="N14" s="568">
        <f>'1.1 Comparativo_Personal'!$R$7</f>
        <v>7166478</v>
      </c>
      <c r="O14" s="568">
        <f t="shared" si="3"/>
        <v>28665912</v>
      </c>
      <c r="P14" s="569">
        <f t="shared" si="4"/>
        <v>-9.2999378495266405E-2</v>
      </c>
      <c r="Q14" s="295">
        <f t="shared" si="5"/>
        <v>0</v>
      </c>
    </row>
    <row r="15" spans="2:17" ht="13.5" x14ac:dyDescent="0.25">
      <c r="B15" s="570">
        <v>4</v>
      </c>
      <c r="C15" s="565" t="s">
        <v>357</v>
      </c>
      <c r="D15" s="134" t="s">
        <v>238</v>
      </c>
      <c r="E15" s="134">
        <v>1</v>
      </c>
      <c r="F15" s="566">
        <v>6500000</v>
      </c>
      <c r="G15" s="134">
        <v>4</v>
      </c>
      <c r="H15" s="571">
        <f t="shared" si="0"/>
        <v>26000000</v>
      </c>
      <c r="I15" s="654">
        <v>0</v>
      </c>
      <c r="J15" s="594">
        <f t="shared" si="1"/>
        <v>26000000</v>
      </c>
      <c r="K15" s="597">
        <f t="shared" si="2"/>
        <v>26000000</v>
      </c>
      <c r="N15" s="568">
        <f>'1.1 Comparativo_Personal'!$R$7</f>
        <v>7166478</v>
      </c>
      <c r="O15" s="568">
        <f t="shared" si="3"/>
        <v>28665912</v>
      </c>
      <c r="P15" s="569">
        <f t="shared" si="4"/>
        <v>-9.2999378495266405E-2</v>
      </c>
      <c r="Q15" s="295">
        <f t="shared" si="5"/>
        <v>0</v>
      </c>
    </row>
    <row r="16" spans="2:17" ht="13.5" x14ac:dyDescent="0.25">
      <c r="B16" s="570">
        <v>5</v>
      </c>
      <c r="C16" s="565" t="s">
        <v>358</v>
      </c>
      <c r="D16" s="134" t="s">
        <v>238</v>
      </c>
      <c r="E16" s="134">
        <v>1</v>
      </c>
      <c r="F16" s="566">
        <v>6500000</v>
      </c>
      <c r="G16" s="134">
        <v>4</v>
      </c>
      <c r="H16" s="571">
        <f t="shared" si="0"/>
        <v>26000000</v>
      </c>
      <c r="I16" s="654">
        <v>0</v>
      </c>
      <c r="J16" s="594">
        <f t="shared" si="1"/>
        <v>26000000</v>
      </c>
      <c r="K16" s="597">
        <f t="shared" si="2"/>
        <v>26000000</v>
      </c>
      <c r="N16" s="568">
        <f>'1.1 Comparativo_Personal'!$R$7</f>
        <v>7166478</v>
      </c>
      <c r="O16" s="568">
        <f t="shared" si="3"/>
        <v>28665912</v>
      </c>
      <c r="P16" s="569">
        <f t="shared" si="4"/>
        <v>-9.2999378495266405E-2</v>
      </c>
      <c r="Q16" s="295">
        <f t="shared" si="5"/>
        <v>0</v>
      </c>
    </row>
    <row r="17" spans="1:25" ht="13.5" x14ac:dyDescent="0.25">
      <c r="B17" s="785" t="s">
        <v>359</v>
      </c>
      <c r="C17" s="786"/>
      <c r="D17" s="787"/>
      <c r="E17" s="572">
        <f t="shared" ref="E17:F17" si="6">SUM(E12:E16)</f>
        <v>5</v>
      </c>
      <c r="F17" s="573">
        <f t="shared" si="6"/>
        <v>32500000</v>
      </c>
      <c r="G17" s="572"/>
      <c r="H17" s="574">
        <f t="shared" ref="H17:K17" si="7">SUM(H12:H16)</f>
        <v>130000000</v>
      </c>
      <c r="I17" s="655">
        <f t="shared" si="7"/>
        <v>0</v>
      </c>
      <c r="J17" s="603">
        <f t="shared" si="7"/>
        <v>130000000</v>
      </c>
      <c r="K17" s="603">
        <f t="shared" si="7"/>
        <v>130000000</v>
      </c>
      <c r="O17" s="656">
        <f t="shared" ref="O17" si="8">SUM(O12:O16)</f>
        <v>143329560</v>
      </c>
      <c r="P17" s="569">
        <f t="shared" si="4"/>
        <v>-9.2999378495266405E-2</v>
      </c>
      <c r="Q17" s="295"/>
    </row>
    <row r="18" spans="1:25" ht="13.5" x14ac:dyDescent="0.25">
      <c r="A18" s="657"/>
      <c r="B18" s="784" t="s">
        <v>360</v>
      </c>
      <c r="C18" s="782"/>
      <c r="D18" s="782"/>
      <c r="E18" s="782"/>
      <c r="F18" s="782"/>
      <c r="G18" s="782"/>
      <c r="H18" s="782"/>
      <c r="I18" s="782"/>
      <c r="J18" s="782"/>
      <c r="K18" s="783"/>
      <c r="L18" s="657"/>
      <c r="M18" s="657"/>
      <c r="N18" s="657"/>
      <c r="O18" s="657"/>
      <c r="P18" s="657"/>
      <c r="Q18" s="295">
        <f t="shared" si="5"/>
        <v>0</v>
      </c>
      <c r="R18" s="657"/>
      <c r="S18" s="657"/>
      <c r="T18" s="657"/>
      <c r="U18" s="657"/>
      <c r="V18" s="657"/>
      <c r="W18" s="657"/>
      <c r="X18" s="657"/>
      <c r="Y18" s="657"/>
    </row>
    <row r="19" spans="1:25" ht="13.5" x14ac:dyDescent="0.25">
      <c r="B19" s="575">
        <v>1</v>
      </c>
      <c r="C19" s="576" t="s">
        <v>361</v>
      </c>
      <c r="D19" s="131" t="s">
        <v>238</v>
      </c>
      <c r="E19" s="577">
        <v>1</v>
      </c>
      <c r="F19" s="578">
        <v>3500000</v>
      </c>
      <c r="G19" s="577">
        <v>4</v>
      </c>
      <c r="H19" s="579">
        <f t="shared" ref="H19:H23" si="9">F19*E19*G19</f>
        <v>14000000</v>
      </c>
      <c r="I19" s="654">
        <v>0</v>
      </c>
      <c r="J19" s="594">
        <f t="shared" ref="J19:J23" si="10">H19</f>
        <v>14000000</v>
      </c>
      <c r="K19" s="597">
        <f t="shared" ref="K19:K23" si="11">I19+J19</f>
        <v>14000000</v>
      </c>
      <c r="N19" s="568">
        <f>'1.1 Comparativo_Personal'!$R$10</f>
        <v>3829772</v>
      </c>
      <c r="O19" s="568">
        <f>N19*G19*E19</f>
        <v>15319088</v>
      </c>
      <c r="P19" s="569">
        <f t="shared" ref="P19" si="12">K19/O19-1</f>
        <v>-8.6107475849737214E-2</v>
      </c>
      <c r="Q19" s="295">
        <f t="shared" si="5"/>
        <v>0</v>
      </c>
    </row>
    <row r="20" spans="1:25" ht="13.5" x14ac:dyDescent="0.25">
      <c r="A20" s="59" t="s">
        <v>1060</v>
      </c>
      <c r="B20" s="580">
        <v>2</v>
      </c>
      <c r="C20" s="581" t="s">
        <v>362</v>
      </c>
      <c r="D20" s="134" t="s">
        <v>238</v>
      </c>
      <c r="E20" s="582">
        <v>1</v>
      </c>
      <c r="F20" s="578">
        <v>3500000</v>
      </c>
      <c r="G20" s="582">
        <v>4</v>
      </c>
      <c r="H20" s="583">
        <f t="shared" si="9"/>
        <v>14000000</v>
      </c>
      <c r="I20" s="607">
        <v>0</v>
      </c>
      <c r="J20" s="597">
        <f t="shared" si="10"/>
        <v>14000000</v>
      </c>
      <c r="K20" s="597">
        <f t="shared" si="11"/>
        <v>14000000</v>
      </c>
      <c r="N20" s="568">
        <f>'1.1 Comparativo_Personal'!$R$10</f>
        <v>3829772</v>
      </c>
      <c r="O20" s="568">
        <f t="shared" ref="O20:O23" si="13">N20*G20*E20</f>
        <v>15319088</v>
      </c>
      <c r="P20" s="569">
        <f t="shared" ref="P20:P25" si="14">K20/O20-1</f>
        <v>-8.6107475849737214E-2</v>
      </c>
      <c r="Q20" s="295">
        <f t="shared" si="5"/>
        <v>0</v>
      </c>
    </row>
    <row r="21" spans="1:25" ht="13.5" x14ac:dyDescent="0.25">
      <c r="B21" s="580">
        <v>3</v>
      </c>
      <c r="C21" s="581" t="s">
        <v>363</v>
      </c>
      <c r="D21" s="134" t="s">
        <v>238</v>
      </c>
      <c r="E21" s="582">
        <v>1</v>
      </c>
      <c r="F21" s="578">
        <v>3500000</v>
      </c>
      <c r="G21" s="582">
        <v>4</v>
      </c>
      <c r="H21" s="583">
        <f t="shared" si="9"/>
        <v>14000000</v>
      </c>
      <c r="I21" s="607">
        <v>0</v>
      </c>
      <c r="J21" s="597">
        <f t="shared" si="10"/>
        <v>14000000</v>
      </c>
      <c r="K21" s="597">
        <f t="shared" si="11"/>
        <v>14000000</v>
      </c>
      <c r="N21" s="568">
        <f>'1.1 Comparativo_Personal'!$R$10</f>
        <v>3829772</v>
      </c>
      <c r="O21" s="568">
        <f t="shared" si="13"/>
        <v>15319088</v>
      </c>
      <c r="P21" s="569">
        <f t="shared" si="14"/>
        <v>-8.6107475849737214E-2</v>
      </c>
      <c r="Q21" s="295">
        <f t="shared" si="5"/>
        <v>0</v>
      </c>
    </row>
    <row r="22" spans="1:25" ht="13.5" x14ac:dyDescent="0.25">
      <c r="B22" s="580">
        <v>4</v>
      </c>
      <c r="C22" s="581" t="s">
        <v>364</v>
      </c>
      <c r="D22" s="134" t="s">
        <v>238</v>
      </c>
      <c r="E22" s="582">
        <v>1</v>
      </c>
      <c r="F22" s="578">
        <v>3500000</v>
      </c>
      <c r="G22" s="582">
        <v>4</v>
      </c>
      <c r="H22" s="583">
        <f t="shared" si="9"/>
        <v>14000000</v>
      </c>
      <c r="I22" s="607">
        <v>0</v>
      </c>
      <c r="J22" s="597">
        <f t="shared" si="10"/>
        <v>14000000</v>
      </c>
      <c r="K22" s="597">
        <f t="shared" si="11"/>
        <v>14000000</v>
      </c>
      <c r="N22" s="568">
        <f>'1.1 Comparativo_Personal'!$R$10</f>
        <v>3829772</v>
      </c>
      <c r="O22" s="568">
        <f t="shared" si="13"/>
        <v>15319088</v>
      </c>
      <c r="P22" s="569">
        <f t="shared" si="14"/>
        <v>-8.6107475849737214E-2</v>
      </c>
      <c r="Q22" s="295">
        <f t="shared" si="5"/>
        <v>0</v>
      </c>
    </row>
    <row r="23" spans="1:25" ht="13.5" x14ac:dyDescent="0.25">
      <c r="B23" s="580">
        <v>5</v>
      </c>
      <c r="C23" s="581" t="s">
        <v>365</v>
      </c>
      <c r="D23" s="134" t="s">
        <v>238</v>
      </c>
      <c r="E23" s="582">
        <v>1</v>
      </c>
      <c r="F23" s="578">
        <v>3500000</v>
      </c>
      <c r="G23" s="582">
        <v>4</v>
      </c>
      <c r="H23" s="583">
        <f t="shared" si="9"/>
        <v>14000000</v>
      </c>
      <c r="I23" s="607">
        <v>0</v>
      </c>
      <c r="J23" s="597">
        <f t="shared" si="10"/>
        <v>14000000</v>
      </c>
      <c r="K23" s="597">
        <f t="shared" si="11"/>
        <v>14000000</v>
      </c>
      <c r="N23" s="568">
        <f>'1.1 Comparativo_Personal'!$R$10</f>
        <v>3829772</v>
      </c>
      <c r="O23" s="568">
        <f t="shared" si="13"/>
        <v>15319088</v>
      </c>
      <c r="P23" s="569">
        <f t="shared" si="14"/>
        <v>-8.6107475849737214E-2</v>
      </c>
      <c r="Q23" s="295">
        <f t="shared" si="5"/>
        <v>0</v>
      </c>
    </row>
    <row r="24" spans="1:25" ht="13.5" x14ac:dyDescent="0.25">
      <c r="B24" s="788" t="s">
        <v>366</v>
      </c>
      <c r="C24" s="782"/>
      <c r="D24" s="783"/>
      <c r="E24" s="584">
        <f t="shared" ref="E24:F24" si="15">SUM(E19:E23)</f>
        <v>5</v>
      </c>
      <c r="F24" s="585">
        <f t="shared" si="15"/>
        <v>17500000</v>
      </c>
      <c r="G24" s="584"/>
      <c r="H24" s="586">
        <f t="shared" ref="H24:K24" si="16">SUM(H19:H23)</f>
        <v>70000000</v>
      </c>
      <c r="I24" s="655">
        <f t="shared" si="16"/>
        <v>0</v>
      </c>
      <c r="J24" s="603">
        <f t="shared" si="16"/>
        <v>70000000</v>
      </c>
      <c r="K24" s="603">
        <f t="shared" si="16"/>
        <v>70000000</v>
      </c>
      <c r="O24" s="656">
        <f t="shared" ref="O24" si="17">SUM(O19:O23)</f>
        <v>76595440</v>
      </c>
      <c r="P24" s="569">
        <f t="shared" si="14"/>
        <v>-8.6107475849737214E-2</v>
      </c>
      <c r="Q24" s="295"/>
    </row>
    <row r="25" spans="1:25" ht="13.5" x14ac:dyDescent="0.25">
      <c r="B25" s="806" t="s">
        <v>367</v>
      </c>
      <c r="C25" s="807"/>
      <c r="D25" s="792"/>
      <c r="E25" s="587">
        <f t="shared" ref="E25:F25" si="18">E17+E24</f>
        <v>10</v>
      </c>
      <c r="F25" s="588">
        <f t="shared" si="18"/>
        <v>50000000</v>
      </c>
      <c r="G25" s="589">
        <v>4</v>
      </c>
      <c r="H25" s="590">
        <f t="shared" ref="H25:K25" si="19">H17+H24</f>
        <v>200000000</v>
      </c>
      <c r="I25" s="658">
        <f t="shared" si="19"/>
        <v>0</v>
      </c>
      <c r="J25" s="659">
        <f t="shared" si="19"/>
        <v>200000000</v>
      </c>
      <c r="K25" s="659">
        <f t="shared" si="19"/>
        <v>200000000</v>
      </c>
      <c r="O25" s="659">
        <f t="shared" ref="O25" si="20">O17+O24</f>
        <v>219925000</v>
      </c>
      <c r="P25" s="569">
        <f t="shared" si="14"/>
        <v>-9.0599067864044591E-2</v>
      </c>
      <c r="Q25" s="295"/>
    </row>
    <row r="26" spans="1:25" ht="13.5" x14ac:dyDescent="0.25">
      <c r="B26" s="784" t="s">
        <v>368</v>
      </c>
      <c r="C26" s="782"/>
      <c r="D26" s="782"/>
      <c r="E26" s="782"/>
      <c r="F26" s="782"/>
      <c r="G26" s="782"/>
      <c r="H26" s="782"/>
      <c r="I26" s="782"/>
      <c r="J26" s="782"/>
      <c r="K26" s="783"/>
      <c r="Q26" s="295">
        <f t="shared" si="5"/>
        <v>0</v>
      </c>
    </row>
    <row r="27" spans="1:25" ht="13.5" x14ac:dyDescent="0.25">
      <c r="B27" s="564">
        <v>1</v>
      </c>
      <c r="C27" s="591" t="s">
        <v>256</v>
      </c>
      <c r="D27" s="131" t="s">
        <v>238</v>
      </c>
      <c r="E27" s="131">
        <v>1</v>
      </c>
      <c r="F27" s="566">
        <v>10000000</v>
      </c>
      <c r="G27" s="131">
        <v>4</v>
      </c>
      <c r="H27" s="567">
        <f t="shared" ref="H27:H32" si="21">F27*E27*G27</f>
        <v>40000000</v>
      </c>
      <c r="I27" s="607">
        <v>0</v>
      </c>
      <c r="J27" s="597">
        <f t="shared" ref="J27:J32" si="22">H27</f>
        <v>40000000</v>
      </c>
      <c r="K27" s="660">
        <f t="shared" ref="K27:K32" si="23">I27+J27</f>
        <v>40000000</v>
      </c>
      <c r="N27" s="568">
        <f>'1.1 Comparativo_Personal'!R13</f>
        <v>10678343</v>
      </c>
      <c r="O27" s="568">
        <f t="shared" ref="O27:O32" si="24">N27*G27*E27</f>
        <v>42713372</v>
      </c>
      <c r="P27" s="569">
        <f t="shared" ref="P27" si="25">K27/O27-1</f>
        <v>-6.3525118082459087E-2</v>
      </c>
      <c r="Q27" s="295">
        <f t="shared" si="5"/>
        <v>0</v>
      </c>
    </row>
    <row r="28" spans="1:25" ht="13.5" x14ac:dyDescent="0.25">
      <c r="B28" s="570">
        <v>2</v>
      </c>
      <c r="C28" s="592" t="s">
        <v>369</v>
      </c>
      <c r="D28" s="134" t="s">
        <v>238</v>
      </c>
      <c r="E28" s="134">
        <v>1</v>
      </c>
      <c r="F28" s="566">
        <v>8000000</v>
      </c>
      <c r="G28" s="134">
        <v>4</v>
      </c>
      <c r="H28" s="571">
        <f t="shared" si="21"/>
        <v>32000000</v>
      </c>
      <c r="I28" s="607">
        <v>0</v>
      </c>
      <c r="J28" s="597">
        <f t="shared" si="22"/>
        <v>32000000</v>
      </c>
      <c r="K28" s="660">
        <f t="shared" si="23"/>
        <v>32000000</v>
      </c>
      <c r="N28" s="568">
        <f>'1.1 Comparativo_Personal'!R14</f>
        <v>8765666</v>
      </c>
      <c r="O28" s="568">
        <f t="shared" si="24"/>
        <v>35062664</v>
      </c>
      <c r="P28" s="569">
        <f t="shared" ref="P28:P34" si="26">K28/O28-1</f>
        <v>-8.7348297322759061E-2</v>
      </c>
      <c r="Q28" s="295">
        <f t="shared" si="5"/>
        <v>0</v>
      </c>
    </row>
    <row r="29" spans="1:25" ht="13.5" x14ac:dyDescent="0.25">
      <c r="B29" s="564">
        <v>3</v>
      </c>
      <c r="C29" s="591" t="s">
        <v>370</v>
      </c>
      <c r="D29" s="131" t="s">
        <v>238</v>
      </c>
      <c r="E29" s="131">
        <v>1</v>
      </c>
      <c r="F29" s="566">
        <v>3000000</v>
      </c>
      <c r="G29" s="131">
        <v>4</v>
      </c>
      <c r="H29" s="571">
        <f t="shared" si="21"/>
        <v>12000000</v>
      </c>
      <c r="I29" s="607">
        <v>0</v>
      </c>
      <c r="J29" s="597">
        <f t="shared" si="22"/>
        <v>12000000</v>
      </c>
      <c r="K29" s="660">
        <f t="shared" si="23"/>
        <v>12000000</v>
      </c>
      <c r="N29" s="568">
        <f>'1.1 Comparativo_Personal'!R15</f>
        <v>3829772</v>
      </c>
      <c r="O29" s="568">
        <f t="shared" si="24"/>
        <v>15319088</v>
      </c>
      <c r="P29" s="569">
        <f t="shared" si="26"/>
        <v>-0.2166635507283462</v>
      </c>
      <c r="Q29" s="295">
        <f t="shared" si="5"/>
        <v>0</v>
      </c>
    </row>
    <row r="30" spans="1:25" ht="13.5" x14ac:dyDescent="0.25">
      <c r="B30" s="570">
        <v>4</v>
      </c>
      <c r="C30" s="592" t="s">
        <v>371</v>
      </c>
      <c r="D30" s="134" t="s">
        <v>238</v>
      </c>
      <c r="E30" s="134">
        <v>2</v>
      </c>
      <c r="F30" s="566">
        <v>4500000</v>
      </c>
      <c r="G30" s="134">
        <v>4</v>
      </c>
      <c r="H30" s="571">
        <f t="shared" si="21"/>
        <v>36000000</v>
      </c>
      <c r="I30" s="607">
        <v>0</v>
      </c>
      <c r="J30" s="597">
        <f t="shared" si="22"/>
        <v>36000000</v>
      </c>
      <c r="K30" s="660">
        <f t="shared" si="23"/>
        <v>36000000</v>
      </c>
      <c r="N30" s="568">
        <f>'1.1 Comparativo_Personal'!R16</f>
        <v>5463502</v>
      </c>
      <c r="O30" s="568">
        <f t="shared" si="24"/>
        <v>43708016</v>
      </c>
      <c r="P30" s="569">
        <f t="shared" si="26"/>
        <v>-0.17635245672098221</v>
      </c>
      <c r="Q30" s="295">
        <f t="shared" si="5"/>
        <v>0</v>
      </c>
    </row>
    <row r="31" spans="1:25" ht="13.5" x14ac:dyDescent="0.25">
      <c r="B31" s="570">
        <v>5</v>
      </c>
      <c r="C31" s="592" t="s">
        <v>372</v>
      </c>
      <c r="D31" s="134" t="s">
        <v>238</v>
      </c>
      <c r="E31" s="134">
        <v>3</v>
      </c>
      <c r="F31" s="566">
        <v>4500000</v>
      </c>
      <c r="G31" s="134">
        <v>4</v>
      </c>
      <c r="H31" s="571">
        <f t="shared" si="21"/>
        <v>54000000</v>
      </c>
      <c r="I31" s="607">
        <v>0</v>
      </c>
      <c r="J31" s="597">
        <f t="shared" si="22"/>
        <v>54000000</v>
      </c>
      <c r="K31" s="660">
        <f t="shared" si="23"/>
        <v>54000000</v>
      </c>
      <c r="N31" s="568">
        <f>'1.1 Comparativo_Personal'!R17</f>
        <v>4569556</v>
      </c>
      <c r="O31" s="568">
        <f t="shared" si="24"/>
        <v>54834672</v>
      </c>
      <c r="P31" s="569">
        <f t="shared" si="26"/>
        <v>-1.5221610152058584E-2</v>
      </c>
      <c r="Q31" s="295">
        <f t="shared" si="5"/>
        <v>0</v>
      </c>
    </row>
    <row r="32" spans="1:25" ht="13.5" x14ac:dyDescent="0.25">
      <c r="B32" s="570">
        <v>6</v>
      </c>
      <c r="C32" s="592" t="s">
        <v>201</v>
      </c>
      <c r="D32" s="134" t="s">
        <v>238</v>
      </c>
      <c r="E32" s="134">
        <v>3</v>
      </c>
      <c r="F32" s="566">
        <v>3600000</v>
      </c>
      <c r="G32" s="134">
        <v>4</v>
      </c>
      <c r="H32" s="571">
        <f t="shared" si="21"/>
        <v>43200000</v>
      </c>
      <c r="I32" s="607">
        <v>0</v>
      </c>
      <c r="J32" s="597">
        <f t="shared" si="22"/>
        <v>43200000</v>
      </c>
      <c r="K32" s="660">
        <f t="shared" si="23"/>
        <v>43200000</v>
      </c>
      <c r="N32" s="568">
        <f>'1.1 Comparativo_Personal'!R18</f>
        <v>3829772</v>
      </c>
      <c r="O32" s="568">
        <f t="shared" si="24"/>
        <v>45957264</v>
      </c>
      <c r="P32" s="569">
        <f t="shared" si="26"/>
        <v>-5.9996260874015439E-2</v>
      </c>
      <c r="Q32" s="295">
        <f t="shared" si="5"/>
        <v>0</v>
      </c>
    </row>
    <row r="33" spans="2:17" ht="13.5" x14ac:dyDescent="0.25">
      <c r="B33" s="785" t="s">
        <v>218</v>
      </c>
      <c r="C33" s="786"/>
      <c r="D33" s="787"/>
      <c r="E33" s="572">
        <f t="shared" ref="E33:F33" si="27">SUM(E27:E32)</f>
        <v>11</v>
      </c>
      <c r="F33" s="661">
        <f t="shared" si="27"/>
        <v>33600000</v>
      </c>
      <c r="G33" s="572"/>
      <c r="H33" s="662">
        <f t="shared" ref="H33:K33" si="28">SUM(H27:H32)</f>
        <v>217200000</v>
      </c>
      <c r="I33" s="655">
        <f t="shared" si="28"/>
        <v>0</v>
      </c>
      <c r="J33" s="603">
        <f t="shared" si="28"/>
        <v>217200000</v>
      </c>
      <c r="K33" s="603">
        <f t="shared" si="28"/>
        <v>217200000</v>
      </c>
      <c r="O33" s="603">
        <f t="shared" ref="O33" si="29">SUM(O27:O32)</f>
        <v>237595076</v>
      </c>
      <c r="P33" s="569">
        <f t="shared" si="26"/>
        <v>-8.5839640885487012E-2</v>
      </c>
      <c r="Q33" s="295"/>
    </row>
    <row r="34" spans="2:17" ht="13.5" x14ac:dyDescent="0.25">
      <c r="B34" s="804" t="s">
        <v>373</v>
      </c>
      <c r="C34" s="782"/>
      <c r="D34" s="783"/>
      <c r="E34" s="663">
        <f t="shared" ref="E34:F34" si="30">E25+E33</f>
        <v>21</v>
      </c>
      <c r="F34" s="664">
        <f t="shared" si="30"/>
        <v>83600000</v>
      </c>
      <c r="G34" s="663"/>
      <c r="H34" s="665">
        <f t="shared" ref="H34:K34" si="31">H25+H33</f>
        <v>417200000</v>
      </c>
      <c r="I34" s="666">
        <f t="shared" si="31"/>
        <v>0</v>
      </c>
      <c r="J34" s="667">
        <f t="shared" si="31"/>
        <v>417200000</v>
      </c>
      <c r="K34" s="667">
        <f t="shared" si="31"/>
        <v>417200000</v>
      </c>
      <c r="O34" s="667">
        <f t="shared" ref="O34" si="32">O25+O33</f>
        <v>457520076</v>
      </c>
      <c r="P34" s="569">
        <f t="shared" si="26"/>
        <v>-8.8127446455486202E-2</v>
      </c>
      <c r="Q34" s="295"/>
    </row>
    <row r="35" spans="2:17" ht="15.75" customHeight="1" x14ac:dyDescent="0.25">
      <c r="B35" s="781" t="s">
        <v>235</v>
      </c>
      <c r="C35" s="782"/>
      <c r="D35" s="782"/>
      <c r="E35" s="782"/>
      <c r="F35" s="782"/>
      <c r="G35" s="782"/>
      <c r="H35" s="782"/>
      <c r="I35" s="782"/>
      <c r="J35" s="782"/>
      <c r="K35" s="783"/>
      <c r="Q35" s="295">
        <f t="shared" si="5"/>
        <v>0</v>
      </c>
    </row>
    <row r="36" spans="2:17" ht="15.75" customHeight="1" x14ac:dyDescent="0.25">
      <c r="B36" s="784" t="s">
        <v>374</v>
      </c>
      <c r="C36" s="782"/>
      <c r="D36" s="782"/>
      <c r="E36" s="782"/>
      <c r="F36" s="782"/>
      <c r="G36" s="782"/>
      <c r="H36" s="782"/>
      <c r="I36" s="782"/>
      <c r="J36" s="782"/>
      <c r="K36" s="783"/>
      <c r="Q36" s="295">
        <f t="shared" si="5"/>
        <v>0</v>
      </c>
    </row>
    <row r="37" spans="2:17" ht="15.75" customHeight="1" x14ac:dyDescent="0.25">
      <c r="B37" s="593">
        <v>1</v>
      </c>
      <c r="C37" s="591" t="s">
        <v>375</v>
      </c>
      <c r="D37" s="131" t="s">
        <v>4</v>
      </c>
      <c r="E37" s="131">
        <v>1</v>
      </c>
      <c r="F37" s="594">
        <v>4500000</v>
      </c>
      <c r="G37" s="131">
        <v>4</v>
      </c>
      <c r="H37" s="567">
        <f>F37*E37*G37</f>
        <v>18000000</v>
      </c>
      <c r="I37" s="597">
        <f t="shared" ref="I37:I40" si="33">H37</f>
        <v>18000000</v>
      </c>
      <c r="J37" s="607">
        <v>0</v>
      </c>
      <c r="K37" s="607">
        <f t="shared" ref="K37:K47" si="34">I37+J37</f>
        <v>18000000</v>
      </c>
      <c r="Q37" s="295">
        <f t="shared" si="5"/>
        <v>0</v>
      </c>
    </row>
    <row r="38" spans="2:17" ht="15.75" customHeight="1" x14ac:dyDescent="0.25">
      <c r="B38" s="595">
        <v>2</v>
      </c>
      <c r="C38" s="592" t="s">
        <v>376</v>
      </c>
      <c r="D38" s="134" t="s">
        <v>4</v>
      </c>
      <c r="E38" s="134">
        <v>1</v>
      </c>
      <c r="F38" s="596">
        <v>1600000</v>
      </c>
      <c r="G38" s="134">
        <v>4</v>
      </c>
      <c r="H38" s="571">
        <f t="shared" ref="H38:H47" si="35">F38*E38*G38</f>
        <v>6400000</v>
      </c>
      <c r="I38" s="597">
        <f t="shared" si="33"/>
        <v>6400000</v>
      </c>
      <c r="J38" s="607">
        <v>0</v>
      </c>
      <c r="K38" s="607">
        <f t="shared" si="34"/>
        <v>6400000</v>
      </c>
      <c r="Q38" s="295">
        <f t="shared" si="5"/>
        <v>0</v>
      </c>
    </row>
    <row r="39" spans="2:17" ht="18.75" customHeight="1" x14ac:dyDescent="0.25">
      <c r="B39" s="595">
        <v>3</v>
      </c>
      <c r="C39" s="592" t="s">
        <v>377</v>
      </c>
      <c r="D39" s="134" t="s">
        <v>4</v>
      </c>
      <c r="E39" s="134">
        <v>1</v>
      </c>
      <c r="F39" s="597">
        <v>1600000</v>
      </c>
      <c r="G39" s="134">
        <v>4</v>
      </c>
      <c r="H39" s="571">
        <f t="shared" si="35"/>
        <v>6400000</v>
      </c>
      <c r="I39" s="597">
        <f t="shared" si="33"/>
        <v>6400000</v>
      </c>
      <c r="J39" s="607">
        <v>0</v>
      </c>
      <c r="K39" s="607">
        <f t="shared" si="34"/>
        <v>6400000</v>
      </c>
      <c r="Q39" s="295">
        <f t="shared" si="5"/>
        <v>0</v>
      </c>
    </row>
    <row r="40" spans="2:17" ht="18.75" customHeight="1" x14ac:dyDescent="0.25">
      <c r="B40" s="595">
        <v>4</v>
      </c>
      <c r="C40" s="592" t="s">
        <v>378</v>
      </c>
      <c r="D40" s="134" t="s">
        <v>4</v>
      </c>
      <c r="E40" s="134">
        <v>1</v>
      </c>
      <c r="F40" s="597">
        <v>800000</v>
      </c>
      <c r="G40" s="134">
        <v>4</v>
      </c>
      <c r="H40" s="571">
        <f t="shared" si="35"/>
        <v>3200000</v>
      </c>
      <c r="I40" s="597">
        <f t="shared" si="33"/>
        <v>3200000</v>
      </c>
      <c r="J40" s="607">
        <v>0</v>
      </c>
      <c r="K40" s="607">
        <f t="shared" si="34"/>
        <v>3200000</v>
      </c>
      <c r="Q40" s="295">
        <f t="shared" si="5"/>
        <v>0</v>
      </c>
    </row>
    <row r="41" spans="2:17" ht="28.5" customHeight="1" x14ac:dyDescent="0.25">
      <c r="B41" s="593">
        <v>5</v>
      </c>
      <c r="C41" s="598" t="s">
        <v>379</v>
      </c>
      <c r="D41" s="599" t="s">
        <v>4</v>
      </c>
      <c r="E41" s="599">
        <v>1</v>
      </c>
      <c r="F41" s="600">
        <v>2966500</v>
      </c>
      <c r="G41" s="599">
        <v>4</v>
      </c>
      <c r="H41" s="601">
        <f t="shared" si="35"/>
        <v>11866000</v>
      </c>
      <c r="I41" s="668">
        <v>0</v>
      </c>
      <c r="J41" s="668">
        <f t="shared" ref="J41:J47" si="36">H41</f>
        <v>11866000</v>
      </c>
      <c r="K41" s="668">
        <f t="shared" si="34"/>
        <v>11866000</v>
      </c>
      <c r="Q41" s="295">
        <f t="shared" si="5"/>
        <v>0</v>
      </c>
    </row>
    <row r="42" spans="2:17" ht="67.5" x14ac:dyDescent="0.25">
      <c r="B42" s="595">
        <v>6</v>
      </c>
      <c r="C42" s="592" t="s">
        <v>1358</v>
      </c>
      <c r="D42" s="134" t="s">
        <v>4</v>
      </c>
      <c r="E42" s="134">
        <v>1</v>
      </c>
      <c r="F42" s="597">
        <v>5000000</v>
      </c>
      <c r="G42" s="134">
        <v>4</v>
      </c>
      <c r="H42" s="571">
        <f t="shared" si="35"/>
        <v>20000000</v>
      </c>
      <c r="I42" s="597">
        <v>0</v>
      </c>
      <c r="J42" s="607">
        <f t="shared" si="36"/>
        <v>20000000</v>
      </c>
      <c r="K42" s="607">
        <f t="shared" si="34"/>
        <v>20000000</v>
      </c>
      <c r="Q42" s="295">
        <f t="shared" si="5"/>
        <v>0</v>
      </c>
    </row>
    <row r="43" spans="2:17" ht="28.5" customHeight="1" x14ac:dyDescent="0.25">
      <c r="B43" s="595">
        <v>7</v>
      </c>
      <c r="C43" s="581" t="s">
        <v>380</v>
      </c>
      <c r="D43" s="134" t="s">
        <v>4</v>
      </c>
      <c r="E43" s="134">
        <v>1</v>
      </c>
      <c r="F43" s="597">
        <v>2000000</v>
      </c>
      <c r="G43" s="134">
        <v>4</v>
      </c>
      <c r="H43" s="571">
        <f t="shared" si="35"/>
        <v>8000000</v>
      </c>
      <c r="I43" s="607">
        <v>0</v>
      </c>
      <c r="J43" s="597">
        <f t="shared" si="36"/>
        <v>8000000</v>
      </c>
      <c r="K43" s="607">
        <f t="shared" si="34"/>
        <v>8000000</v>
      </c>
      <c r="Q43" s="295">
        <f t="shared" si="5"/>
        <v>0</v>
      </c>
    </row>
    <row r="44" spans="2:17" ht="18.75" customHeight="1" x14ac:dyDescent="0.25">
      <c r="B44" s="595">
        <v>8</v>
      </c>
      <c r="C44" s="592" t="s">
        <v>381</v>
      </c>
      <c r="D44" s="134" t="s">
        <v>4</v>
      </c>
      <c r="E44" s="134">
        <v>1</v>
      </c>
      <c r="F44" s="597">
        <v>1600000</v>
      </c>
      <c r="G44" s="134">
        <v>4</v>
      </c>
      <c r="H44" s="571">
        <f t="shared" si="35"/>
        <v>6400000</v>
      </c>
      <c r="I44" s="607">
        <v>0</v>
      </c>
      <c r="J44" s="597">
        <f t="shared" si="36"/>
        <v>6400000</v>
      </c>
      <c r="K44" s="607">
        <f t="shared" si="34"/>
        <v>6400000</v>
      </c>
      <c r="Q44" s="295">
        <f t="shared" si="5"/>
        <v>0</v>
      </c>
    </row>
    <row r="45" spans="2:17" ht="18.75" customHeight="1" x14ac:dyDescent="0.25">
      <c r="B45" s="593">
        <v>9</v>
      </c>
      <c r="C45" s="592" t="s">
        <v>382</v>
      </c>
      <c r="D45" s="134" t="s">
        <v>4</v>
      </c>
      <c r="E45" s="134">
        <v>1</v>
      </c>
      <c r="F45" s="597">
        <v>1000000</v>
      </c>
      <c r="G45" s="134">
        <v>4</v>
      </c>
      <c r="H45" s="571">
        <f t="shared" si="35"/>
        <v>4000000</v>
      </c>
      <c r="I45" s="607">
        <v>0</v>
      </c>
      <c r="J45" s="597">
        <f t="shared" si="36"/>
        <v>4000000</v>
      </c>
      <c r="K45" s="607">
        <f t="shared" si="34"/>
        <v>4000000</v>
      </c>
      <c r="Q45" s="295">
        <f t="shared" si="5"/>
        <v>0</v>
      </c>
    </row>
    <row r="46" spans="2:17" ht="18.75" customHeight="1" x14ac:dyDescent="0.25">
      <c r="B46" s="595">
        <v>10</v>
      </c>
      <c r="C46" s="592" t="s">
        <v>383</v>
      </c>
      <c r="D46" s="134" t="s">
        <v>4</v>
      </c>
      <c r="E46" s="134">
        <v>1</v>
      </c>
      <c r="F46" s="597">
        <v>1600000</v>
      </c>
      <c r="G46" s="134">
        <v>4</v>
      </c>
      <c r="H46" s="571">
        <f t="shared" si="35"/>
        <v>6400000</v>
      </c>
      <c r="I46" s="607">
        <v>0</v>
      </c>
      <c r="J46" s="597">
        <f t="shared" si="36"/>
        <v>6400000</v>
      </c>
      <c r="K46" s="607">
        <f t="shared" si="34"/>
        <v>6400000</v>
      </c>
      <c r="Q46" s="295">
        <f t="shared" si="5"/>
        <v>0</v>
      </c>
    </row>
    <row r="47" spans="2:17" ht="34.5" customHeight="1" x14ac:dyDescent="0.25">
      <c r="B47" s="602">
        <v>11</v>
      </c>
      <c r="C47" s="598" t="s">
        <v>384</v>
      </c>
      <c r="D47" s="599" t="s">
        <v>4</v>
      </c>
      <c r="E47" s="599">
        <v>1</v>
      </c>
      <c r="F47" s="600">
        <v>3000000</v>
      </c>
      <c r="G47" s="599">
        <v>4</v>
      </c>
      <c r="H47" s="601">
        <f t="shared" si="35"/>
        <v>12000000</v>
      </c>
      <c r="I47" s="668">
        <v>0</v>
      </c>
      <c r="J47" s="668">
        <f t="shared" si="36"/>
        <v>12000000</v>
      </c>
      <c r="K47" s="668">
        <f t="shared" si="34"/>
        <v>12000000</v>
      </c>
      <c r="Q47" s="295">
        <f t="shared" si="5"/>
        <v>0</v>
      </c>
    </row>
    <row r="48" spans="2:17" ht="20.25" customHeight="1" x14ac:dyDescent="0.25">
      <c r="B48" s="802" t="s">
        <v>385</v>
      </c>
      <c r="C48" s="782"/>
      <c r="D48" s="783"/>
      <c r="E48" s="584"/>
      <c r="F48" s="603">
        <f>SUM(F37:F47)</f>
        <v>25666500</v>
      </c>
      <c r="G48" s="584"/>
      <c r="H48" s="603">
        <f t="shared" ref="H48:K48" si="37">SUM(H37:H47)</f>
        <v>102666000</v>
      </c>
      <c r="I48" s="655">
        <f t="shared" si="37"/>
        <v>34000000</v>
      </c>
      <c r="J48" s="655">
        <f t="shared" si="37"/>
        <v>68666000</v>
      </c>
      <c r="K48" s="655">
        <f t="shared" si="37"/>
        <v>102666000</v>
      </c>
      <c r="L48" s="569"/>
      <c r="O48" s="603">
        <f>SUM(O37:O47)</f>
        <v>0</v>
      </c>
      <c r="Q48" s="295"/>
    </row>
    <row r="49" spans="2:17" ht="15.75" customHeight="1" x14ac:dyDescent="0.25">
      <c r="B49" s="803" t="s">
        <v>386</v>
      </c>
      <c r="C49" s="794"/>
      <c r="D49" s="794"/>
      <c r="E49" s="794"/>
      <c r="F49" s="794"/>
      <c r="G49" s="794"/>
      <c r="H49" s="794"/>
      <c r="I49" s="794"/>
      <c r="J49" s="794"/>
      <c r="K49" s="795"/>
      <c r="L49" s="569"/>
      <c r="Q49" s="295">
        <f t="shared" si="5"/>
        <v>0</v>
      </c>
    </row>
    <row r="50" spans="2:17" ht="18.75" customHeight="1" x14ac:dyDescent="0.25">
      <c r="B50" s="593">
        <v>1</v>
      </c>
      <c r="C50" s="591" t="s">
        <v>387</v>
      </c>
      <c r="D50" s="131" t="s">
        <v>4</v>
      </c>
      <c r="E50" s="131">
        <v>1</v>
      </c>
      <c r="F50" s="594">
        <v>11000000</v>
      </c>
      <c r="G50" s="131">
        <v>4</v>
      </c>
      <c r="H50" s="567">
        <f>F50*E50*G50</f>
        <v>44000000</v>
      </c>
      <c r="I50" s="654">
        <v>0</v>
      </c>
      <c r="J50" s="594">
        <f>H50</f>
        <v>44000000</v>
      </c>
      <c r="K50" s="654">
        <f>I50+J50</f>
        <v>44000000</v>
      </c>
      <c r="L50" s="569"/>
      <c r="Q50" s="295">
        <f t="shared" si="5"/>
        <v>0</v>
      </c>
    </row>
    <row r="51" spans="2:17" ht="13.5" x14ac:dyDescent="0.25">
      <c r="B51" s="802" t="s">
        <v>388</v>
      </c>
      <c r="C51" s="782"/>
      <c r="D51" s="783"/>
      <c r="E51" s="584"/>
      <c r="F51" s="603">
        <f>SUM(F50)</f>
        <v>11000000</v>
      </c>
      <c r="G51" s="584"/>
      <c r="H51" s="586">
        <f t="shared" ref="H51:K51" si="38">SUM(H50)</f>
        <v>44000000</v>
      </c>
      <c r="I51" s="655">
        <f t="shared" si="38"/>
        <v>0</v>
      </c>
      <c r="J51" s="655">
        <f t="shared" si="38"/>
        <v>44000000</v>
      </c>
      <c r="K51" s="655">
        <f t="shared" si="38"/>
        <v>44000000</v>
      </c>
      <c r="L51" s="569"/>
      <c r="O51" s="603">
        <f>SUM(O50)</f>
        <v>0</v>
      </c>
      <c r="Q51" s="295"/>
    </row>
    <row r="52" spans="2:17" ht="15.75" customHeight="1" x14ac:dyDescent="0.25">
      <c r="B52" s="804" t="s">
        <v>236</v>
      </c>
      <c r="C52" s="782"/>
      <c r="D52" s="783"/>
      <c r="E52" s="669"/>
      <c r="F52" s="667">
        <f>F48+F51</f>
        <v>36666500</v>
      </c>
      <c r="G52" s="669"/>
      <c r="H52" s="670">
        <f t="shared" ref="H52:K52" si="39">H48+H51</f>
        <v>146666000</v>
      </c>
      <c r="I52" s="667">
        <f t="shared" si="39"/>
        <v>34000000</v>
      </c>
      <c r="J52" s="666">
        <f t="shared" si="39"/>
        <v>112666000</v>
      </c>
      <c r="K52" s="666">
        <f t="shared" si="39"/>
        <v>146666000</v>
      </c>
      <c r="L52" s="569">
        <f>K52/K742</f>
        <v>1.6234890413991586E-2</v>
      </c>
      <c r="N52" s="671">
        <f>'10.1 Comparativo_Gastos Admon'!O25</f>
        <v>3.9657695833333333E-2</v>
      </c>
      <c r="O52" s="667">
        <f>N52*K742</f>
        <v>358267624.1583333</v>
      </c>
      <c r="P52" s="569">
        <f t="shared" ref="P52" si="40">K52/O52-1</f>
        <v>-0.59062446587363915</v>
      </c>
      <c r="Q52" s="295"/>
    </row>
    <row r="53" spans="2:17" ht="15.75" customHeight="1" x14ac:dyDescent="0.25">
      <c r="B53" s="781" t="s">
        <v>389</v>
      </c>
      <c r="C53" s="782"/>
      <c r="D53" s="782"/>
      <c r="E53" s="782"/>
      <c r="F53" s="782"/>
      <c r="G53" s="782"/>
      <c r="H53" s="782"/>
      <c r="I53" s="782"/>
      <c r="J53" s="782"/>
      <c r="K53" s="783"/>
      <c r="L53" s="569"/>
      <c r="Q53" s="295">
        <f t="shared" si="5"/>
        <v>0</v>
      </c>
    </row>
    <row r="54" spans="2:17" ht="15.75" customHeight="1" x14ac:dyDescent="0.25">
      <c r="B54" s="805" t="s">
        <v>1359</v>
      </c>
      <c r="C54" s="782"/>
      <c r="D54" s="782"/>
      <c r="E54" s="782"/>
      <c r="F54" s="782"/>
      <c r="G54" s="782"/>
      <c r="H54" s="782"/>
      <c r="I54" s="782"/>
      <c r="J54" s="782"/>
      <c r="K54" s="783"/>
      <c r="L54" s="569"/>
      <c r="Q54" s="295">
        <f t="shared" si="5"/>
        <v>0</v>
      </c>
    </row>
    <row r="55" spans="2:17" ht="15.75" customHeight="1" x14ac:dyDescent="0.25">
      <c r="B55" s="593">
        <v>1</v>
      </c>
      <c r="C55" s="672" t="s">
        <v>300</v>
      </c>
      <c r="D55" s="673"/>
      <c r="E55" s="673"/>
      <c r="F55" s="674">
        <v>0</v>
      </c>
      <c r="G55" s="673"/>
      <c r="H55" s="675">
        <f>F55*E55*G55</f>
        <v>0</v>
      </c>
      <c r="I55" s="607">
        <v>0</v>
      </c>
      <c r="J55" s="607">
        <v>0</v>
      </c>
      <c r="K55" s="607">
        <v>0</v>
      </c>
      <c r="Q55" s="295">
        <f t="shared" si="5"/>
        <v>0</v>
      </c>
    </row>
    <row r="56" spans="2:17" ht="15.75" customHeight="1" x14ac:dyDescent="0.25">
      <c r="B56" s="810" t="s">
        <v>301</v>
      </c>
      <c r="C56" s="782"/>
      <c r="D56" s="782"/>
      <c r="E56" s="783"/>
      <c r="F56" s="676">
        <f>SUM(F55)</f>
        <v>0</v>
      </c>
      <c r="G56" s="677"/>
      <c r="H56" s="678">
        <f t="shared" ref="H56:K56" si="41">SUM(H55)</f>
        <v>0</v>
      </c>
      <c r="I56" s="679">
        <f t="shared" si="41"/>
        <v>0</v>
      </c>
      <c r="J56" s="679">
        <f t="shared" si="41"/>
        <v>0</v>
      </c>
      <c r="K56" s="679">
        <f t="shared" si="41"/>
        <v>0</v>
      </c>
      <c r="Q56" s="295">
        <f t="shared" si="5"/>
        <v>0</v>
      </c>
    </row>
    <row r="57" spans="2:17" ht="15.75" customHeight="1" x14ac:dyDescent="0.25">
      <c r="B57" s="811" t="s">
        <v>1360</v>
      </c>
      <c r="C57" s="807"/>
      <c r="D57" s="807"/>
      <c r="E57" s="807"/>
      <c r="F57" s="807"/>
      <c r="G57" s="807"/>
      <c r="H57" s="807"/>
      <c r="I57" s="807"/>
      <c r="J57" s="807"/>
      <c r="K57" s="792"/>
      <c r="Q57" s="295">
        <f t="shared" si="5"/>
        <v>0</v>
      </c>
    </row>
    <row r="58" spans="2:17" ht="15.75" customHeight="1" x14ac:dyDescent="0.25">
      <c r="B58" s="595">
        <v>1</v>
      </c>
      <c r="C58" s="680" t="s">
        <v>300</v>
      </c>
      <c r="D58" s="681"/>
      <c r="E58" s="681"/>
      <c r="F58" s="638">
        <v>0</v>
      </c>
      <c r="G58" s="681"/>
      <c r="H58" s="636">
        <f>F58*E58*G58</f>
        <v>0</v>
      </c>
      <c r="I58" s="607">
        <v>0</v>
      </c>
      <c r="J58" s="607">
        <v>0</v>
      </c>
      <c r="K58" s="607">
        <v>0</v>
      </c>
      <c r="Q58" s="295">
        <f t="shared" si="5"/>
        <v>0</v>
      </c>
    </row>
    <row r="59" spans="2:17" ht="15.75" customHeight="1" x14ac:dyDescent="0.25">
      <c r="B59" s="810" t="s">
        <v>302</v>
      </c>
      <c r="C59" s="782"/>
      <c r="D59" s="782"/>
      <c r="E59" s="783"/>
      <c r="F59" s="676">
        <f>SUM(F58)</f>
        <v>0</v>
      </c>
      <c r="G59" s="677"/>
      <c r="H59" s="678">
        <f t="shared" ref="H59:K59" si="42">SUM(H58)</f>
        <v>0</v>
      </c>
      <c r="I59" s="679">
        <f t="shared" si="42"/>
        <v>0</v>
      </c>
      <c r="J59" s="679">
        <f t="shared" si="42"/>
        <v>0</v>
      </c>
      <c r="K59" s="679">
        <f t="shared" si="42"/>
        <v>0</v>
      </c>
      <c r="Q59" s="295">
        <f t="shared" si="5"/>
        <v>0</v>
      </c>
    </row>
    <row r="60" spans="2:17" ht="15.75" customHeight="1" x14ac:dyDescent="0.25">
      <c r="B60" s="811" t="s">
        <v>1361</v>
      </c>
      <c r="C60" s="807"/>
      <c r="D60" s="807"/>
      <c r="E60" s="807"/>
      <c r="F60" s="807"/>
      <c r="G60" s="807"/>
      <c r="H60" s="807"/>
      <c r="I60" s="807"/>
      <c r="J60" s="807"/>
      <c r="K60" s="792"/>
      <c r="Q60" s="295">
        <f t="shared" si="5"/>
        <v>0</v>
      </c>
    </row>
    <row r="61" spans="2:17" ht="15.75" customHeight="1" x14ac:dyDescent="0.25">
      <c r="B61" s="595">
        <v>1</v>
      </c>
      <c r="C61" s="680" t="s">
        <v>300</v>
      </c>
      <c r="D61" s="681"/>
      <c r="E61" s="681"/>
      <c r="F61" s="638">
        <v>0</v>
      </c>
      <c r="G61" s="681"/>
      <c r="H61" s="636">
        <f>F61*E61*G61</f>
        <v>0</v>
      </c>
      <c r="I61" s="607">
        <v>0</v>
      </c>
      <c r="J61" s="607">
        <v>0</v>
      </c>
      <c r="K61" s="607">
        <v>0</v>
      </c>
      <c r="Q61" s="295">
        <f t="shared" si="5"/>
        <v>0</v>
      </c>
    </row>
    <row r="62" spans="2:17" ht="15.75" customHeight="1" x14ac:dyDescent="0.25">
      <c r="B62" s="810" t="s">
        <v>303</v>
      </c>
      <c r="C62" s="782"/>
      <c r="D62" s="782"/>
      <c r="E62" s="783"/>
      <c r="F62" s="676">
        <f>SUM(F61)</f>
        <v>0</v>
      </c>
      <c r="G62" s="677"/>
      <c r="H62" s="678">
        <f t="shared" ref="H62:K62" si="43">SUM(H61)</f>
        <v>0</v>
      </c>
      <c r="I62" s="679">
        <f t="shared" si="43"/>
        <v>0</v>
      </c>
      <c r="J62" s="679">
        <f t="shared" si="43"/>
        <v>0</v>
      </c>
      <c r="K62" s="679">
        <f t="shared" si="43"/>
        <v>0</v>
      </c>
      <c r="Q62" s="295">
        <f t="shared" si="5"/>
        <v>0</v>
      </c>
    </row>
    <row r="63" spans="2:17" ht="21.75" customHeight="1" x14ac:dyDescent="0.25">
      <c r="B63" s="811" t="s">
        <v>1362</v>
      </c>
      <c r="C63" s="807"/>
      <c r="D63" s="807"/>
      <c r="E63" s="807"/>
      <c r="F63" s="807"/>
      <c r="G63" s="807"/>
      <c r="H63" s="807"/>
      <c r="I63" s="807"/>
      <c r="J63" s="807"/>
      <c r="K63" s="792"/>
      <c r="Q63" s="295">
        <f t="shared" si="5"/>
        <v>0</v>
      </c>
    </row>
    <row r="64" spans="2:17" ht="15.75" customHeight="1" x14ac:dyDescent="0.25">
      <c r="B64" s="595">
        <v>1</v>
      </c>
      <c r="C64" s="680" t="s">
        <v>300</v>
      </c>
      <c r="D64" s="681"/>
      <c r="E64" s="681"/>
      <c r="F64" s="638">
        <v>0</v>
      </c>
      <c r="G64" s="681"/>
      <c r="H64" s="636">
        <f>F64*E64*G64</f>
        <v>0</v>
      </c>
      <c r="I64" s="607">
        <v>0</v>
      </c>
      <c r="J64" s="607">
        <v>0</v>
      </c>
      <c r="K64" s="607">
        <v>0</v>
      </c>
      <c r="Q64" s="295">
        <f t="shared" si="5"/>
        <v>0</v>
      </c>
    </row>
    <row r="65" spans="2:17" ht="15.75" customHeight="1" x14ac:dyDescent="0.25">
      <c r="B65" s="808" t="s">
        <v>304</v>
      </c>
      <c r="C65" s="786"/>
      <c r="D65" s="786"/>
      <c r="E65" s="787"/>
      <c r="F65" s="682">
        <f>SUM(F64)</f>
        <v>0</v>
      </c>
      <c r="G65" s="641"/>
      <c r="H65" s="683">
        <f t="shared" ref="H65:K65" si="44">SUM(H64)</f>
        <v>0</v>
      </c>
      <c r="I65" s="642">
        <f t="shared" si="44"/>
        <v>0</v>
      </c>
      <c r="J65" s="642">
        <f t="shared" si="44"/>
        <v>0</v>
      </c>
      <c r="K65" s="642">
        <f t="shared" si="44"/>
        <v>0</v>
      </c>
      <c r="Q65" s="295">
        <f t="shared" si="5"/>
        <v>0</v>
      </c>
    </row>
    <row r="66" spans="2:17" ht="27.75" customHeight="1" x14ac:dyDescent="0.25">
      <c r="B66" s="784" t="s">
        <v>1363</v>
      </c>
      <c r="C66" s="782"/>
      <c r="D66" s="782"/>
      <c r="E66" s="782"/>
      <c r="F66" s="782"/>
      <c r="G66" s="782"/>
      <c r="H66" s="782"/>
      <c r="I66" s="782"/>
      <c r="J66" s="782"/>
      <c r="K66" s="783"/>
      <c r="Q66" s="295">
        <f t="shared" si="5"/>
        <v>0</v>
      </c>
    </row>
    <row r="67" spans="2:17" ht="135" x14ac:dyDescent="0.25">
      <c r="B67" s="604">
        <v>1</v>
      </c>
      <c r="C67" s="576" t="s">
        <v>1364</v>
      </c>
      <c r="D67" s="605" t="s">
        <v>1061</v>
      </c>
      <c r="E67" s="605">
        <v>1</v>
      </c>
      <c r="F67" s="606">
        <v>5000000</v>
      </c>
      <c r="G67" s="605">
        <v>3</v>
      </c>
      <c r="H67" s="567">
        <f t="shared" ref="H67:H80" si="45">E67*F67*G67</f>
        <v>15000000</v>
      </c>
      <c r="I67" s="607">
        <v>0</v>
      </c>
      <c r="J67" s="597">
        <f t="shared" ref="J67:J80" si="46">H67</f>
        <v>15000000</v>
      </c>
      <c r="K67" s="607">
        <f>I67+J67</f>
        <v>15000000</v>
      </c>
      <c r="N67" s="568">
        <f>'3.1 Comparativo_Logística'!M9</f>
        <v>4960599</v>
      </c>
      <c r="O67" s="568">
        <f t="shared" ref="O67" si="47">N67*G67*E67</f>
        <v>14881797</v>
      </c>
      <c r="P67" s="569">
        <f t="shared" ref="P67" si="48">K67/O67-1</f>
        <v>7.9427907799038966E-3</v>
      </c>
      <c r="Q67" s="295">
        <f t="shared" si="5"/>
        <v>0</v>
      </c>
    </row>
    <row r="68" spans="2:17" ht="54" x14ac:dyDescent="0.25">
      <c r="B68" s="604">
        <v>2</v>
      </c>
      <c r="C68" s="608" t="s">
        <v>1365</v>
      </c>
      <c r="D68" s="605" t="s">
        <v>396</v>
      </c>
      <c r="E68" s="605">
        <v>1</v>
      </c>
      <c r="F68" s="606">
        <v>900000</v>
      </c>
      <c r="G68" s="605">
        <v>3</v>
      </c>
      <c r="H68" s="571">
        <f t="shared" si="45"/>
        <v>2700000</v>
      </c>
      <c r="I68" s="607">
        <v>0</v>
      </c>
      <c r="J68" s="597">
        <f t="shared" si="46"/>
        <v>2700000</v>
      </c>
      <c r="K68" s="607">
        <f t="shared" ref="K68:K80" si="49">I68+J68</f>
        <v>2700000</v>
      </c>
      <c r="N68" s="568">
        <f>'3.1 Comparativo_Logística'!$M$20</f>
        <v>1176347</v>
      </c>
      <c r="O68" s="568">
        <f t="shared" ref="O68" si="50">N68*G68*E68</f>
        <v>3529041</v>
      </c>
      <c r="P68" s="569">
        <f t="shared" ref="P68" si="51">K68/O68-1</f>
        <v>-0.23491962830695368</v>
      </c>
      <c r="Q68" s="295">
        <f t="shared" si="5"/>
        <v>0</v>
      </c>
    </row>
    <row r="69" spans="2:17" ht="67.5" x14ac:dyDescent="0.25">
      <c r="B69" s="609">
        <v>3</v>
      </c>
      <c r="C69" s="608" t="s">
        <v>1366</v>
      </c>
      <c r="D69" s="605" t="s">
        <v>238</v>
      </c>
      <c r="E69" s="605">
        <v>4</v>
      </c>
      <c r="F69" s="606">
        <v>200000</v>
      </c>
      <c r="G69" s="605">
        <v>3</v>
      </c>
      <c r="H69" s="571">
        <f t="shared" si="45"/>
        <v>2400000</v>
      </c>
      <c r="I69" s="607">
        <v>0</v>
      </c>
      <c r="J69" s="597">
        <f t="shared" si="46"/>
        <v>2400000</v>
      </c>
      <c r="K69" s="607">
        <f t="shared" si="49"/>
        <v>2400000</v>
      </c>
      <c r="N69" s="568">
        <f>'3.1 Comparativo_Logística'!$M$29</f>
        <v>249230</v>
      </c>
      <c r="O69" s="568">
        <f t="shared" ref="O69" si="52">N69*G69*E69</f>
        <v>2990760</v>
      </c>
      <c r="P69" s="569">
        <f t="shared" ref="P69" si="53">K69/O69-1</f>
        <v>-0.19752838743329459</v>
      </c>
      <c r="Q69" s="295">
        <f t="shared" si="5"/>
        <v>0</v>
      </c>
    </row>
    <row r="70" spans="2:17" ht="94.5" customHeight="1" x14ac:dyDescent="0.25">
      <c r="B70" s="609">
        <v>4</v>
      </c>
      <c r="C70" s="581" t="s">
        <v>1367</v>
      </c>
      <c r="D70" s="605" t="s">
        <v>238</v>
      </c>
      <c r="E70" s="605">
        <v>1</v>
      </c>
      <c r="F70" s="606">
        <v>1600000</v>
      </c>
      <c r="G70" s="605">
        <v>3</v>
      </c>
      <c r="H70" s="571">
        <f t="shared" si="45"/>
        <v>4800000</v>
      </c>
      <c r="I70" s="607">
        <v>0</v>
      </c>
      <c r="J70" s="597">
        <f t="shared" si="46"/>
        <v>4800000</v>
      </c>
      <c r="K70" s="607">
        <f t="shared" si="49"/>
        <v>4800000</v>
      </c>
      <c r="N70" s="568">
        <f>'3.1 Comparativo_Logística'!$M$37</f>
        <v>2714721</v>
      </c>
      <c r="O70" s="568">
        <f t="shared" ref="O70" si="54">N70*G70*E70</f>
        <v>8144163</v>
      </c>
      <c r="P70" s="569">
        <f t="shared" ref="P70" si="55">K70/O70-1</f>
        <v>-0.41062083359579127</v>
      </c>
      <c r="Q70" s="295">
        <f t="shared" si="5"/>
        <v>0</v>
      </c>
    </row>
    <row r="71" spans="2:17" ht="108" x14ac:dyDescent="0.25">
      <c r="B71" s="609">
        <v>5</v>
      </c>
      <c r="C71" s="608" t="s">
        <v>1368</v>
      </c>
      <c r="D71" s="605" t="s">
        <v>396</v>
      </c>
      <c r="E71" s="605">
        <v>68</v>
      </c>
      <c r="F71" s="606">
        <v>32000</v>
      </c>
      <c r="G71" s="605">
        <v>3</v>
      </c>
      <c r="H71" s="571">
        <f t="shared" si="45"/>
        <v>6528000</v>
      </c>
      <c r="I71" s="607">
        <v>0</v>
      </c>
      <c r="J71" s="597">
        <f t="shared" si="46"/>
        <v>6528000</v>
      </c>
      <c r="K71" s="607">
        <f t="shared" si="49"/>
        <v>6528000</v>
      </c>
      <c r="N71" s="568">
        <f>'2.1 Comparativo_Alimentación'!$M$7</f>
        <v>33548</v>
      </c>
      <c r="O71" s="568">
        <f t="shared" ref="O71" si="56">N71*G71*E71</f>
        <v>6843792</v>
      </c>
      <c r="P71" s="569">
        <f t="shared" ref="P71" si="57">K71/O71-1</f>
        <v>-4.6142840109693606E-2</v>
      </c>
      <c r="Q71" s="295">
        <f t="shared" si="5"/>
        <v>0</v>
      </c>
    </row>
    <row r="72" spans="2:17" ht="108" x14ac:dyDescent="0.25">
      <c r="B72" s="609">
        <v>6</v>
      </c>
      <c r="C72" s="608" t="s">
        <v>1369</v>
      </c>
      <c r="D72" s="605" t="s">
        <v>396</v>
      </c>
      <c r="E72" s="605">
        <v>68</v>
      </c>
      <c r="F72" s="606">
        <v>70000</v>
      </c>
      <c r="G72" s="605">
        <v>3</v>
      </c>
      <c r="H72" s="571">
        <f t="shared" si="45"/>
        <v>14280000</v>
      </c>
      <c r="I72" s="607">
        <v>0</v>
      </c>
      <c r="J72" s="597">
        <f t="shared" si="46"/>
        <v>14280000</v>
      </c>
      <c r="K72" s="607">
        <f t="shared" si="49"/>
        <v>14280000</v>
      </c>
      <c r="N72" s="568">
        <f>'2.1 Comparativo_Alimentación'!$M$8</f>
        <v>70822</v>
      </c>
      <c r="O72" s="568">
        <f t="shared" ref="O72" si="58">N72*G72*E72</f>
        <v>14447688</v>
      </c>
      <c r="P72" s="569">
        <f t="shared" ref="P72" si="59">K72/O72-1</f>
        <v>-1.1606562932422126E-2</v>
      </c>
      <c r="Q72" s="295">
        <f t="shared" si="5"/>
        <v>0</v>
      </c>
    </row>
    <row r="73" spans="2:17" ht="108" x14ac:dyDescent="0.25">
      <c r="B73" s="609">
        <v>7</v>
      </c>
      <c r="C73" s="608" t="s">
        <v>1370</v>
      </c>
      <c r="D73" s="605" t="s">
        <v>396</v>
      </c>
      <c r="E73" s="605">
        <v>68</v>
      </c>
      <c r="F73" s="606">
        <v>32000</v>
      </c>
      <c r="G73" s="605">
        <v>3</v>
      </c>
      <c r="H73" s="571">
        <f t="shared" si="45"/>
        <v>6528000</v>
      </c>
      <c r="I73" s="607">
        <v>0</v>
      </c>
      <c r="J73" s="597">
        <f t="shared" si="46"/>
        <v>6528000</v>
      </c>
      <c r="K73" s="607">
        <f t="shared" si="49"/>
        <v>6528000</v>
      </c>
      <c r="N73" s="568">
        <f>'2.1 Comparativo_Alimentación'!$M$9</f>
        <v>33548</v>
      </c>
      <c r="O73" s="568">
        <f t="shared" ref="O73" si="60">N73*G73*E73</f>
        <v>6843792</v>
      </c>
      <c r="P73" s="569">
        <f t="shared" ref="P73" si="61">K73/O73-1</f>
        <v>-4.6142840109693606E-2</v>
      </c>
      <c r="Q73" s="295">
        <f t="shared" si="5"/>
        <v>0</v>
      </c>
    </row>
    <row r="74" spans="2:17" ht="52.5" customHeight="1" x14ac:dyDescent="0.25">
      <c r="B74" s="604">
        <v>8</v>
      </c>
      <c r="C74" s="608" t="s">
        <v>1371</v>
      </c>
      <c r="D74" s="605" t="s">
        <v>390</v>
      </c>
      <c r="E74" s="605">
        <v>1</v>
      </c>
      <c r="F74" s="606">
        <v>80010000</v>
      </c>
      <c r="G74" s="605">
        <v>1</v>
      </c>
      <c r="H74" s="571">
        <f t="shared" si="45"/>
        <v>80010000</v>
      </c>
      <c r="I74" s="607">
        <v>0</v>
      </c>
      <c r="J74" s="597">
        <f t="shared" si="46"/>
        <v>80010000</v>
      </c>
      <c r="K74" s="607">
        <f t="shared" si="49"/>
        <v>80010000</v>
      </c>
      <c r="N74" s="568">
        <f>'4.1 Comparativo_Transporte'!N8</f>
        <v>89079938</v>
      </c>
      <c r="O74" s="568">
        <f t="shared" ref="O74" si="62">N74*G74*E74</f>
        <v>89079938</v>
      </c>
      <c r="P74" s="569">
        <f t="shared" ref="P74" si="63">K74/O74-1</f>
        <v>-0.10181796489350947</v>
      </c>
      <c r="Q74" s="295">
        <f t="shared" si="5"/>
        <v>0</v>
      </c>
    </row>
    <row r="75" spans="2:17" ht="94.5" x14ac:dyDescent="0.25">
      <c r="B75" s="609">
        <v>9</v>
      </c>
      <c r="C75" s="608" t="s">
        <v>1372</v>
      </c>
      <c r="D75" s="605" t="s">
        <v>238</v>
      </c>
      <c r="E75" s="605">
        <v>48</v>
      </c>
      <c r="F75" s="606">
        <v>500000</v>
      </c>
      <c r="G75" s="605">
        <v>5</v>
      </c>
      <c r="H75" s="571">
        <f t="shared" si="45"/>
        <v>120000000</v>
      </c>
      <c r="I75" s="607">
        <v>0</v>
      </c>
      <c r="J75" s="597">
        <f t="shared" si="46"/>
        <v>120000000</v>
      </c>
      <c r="K75" s="607">
        <f t="shared" si="49"/>
        <v>120000000</v>
      </c>
      <c r="N75" s="568">
        <f>'5.1 Comparativo_Viáticos'!Q7</f>
        <v>120484488</v>
      </c>
      <c r="O75" s="568">
        <f>N75</f>
        <v>120484488</v>
      </c>
      <c r="P75" s="569">
        <f t="shared" ref="P75:P81" si="64">K75/O75-1</f>
        <v>-4.0211649486363577E-3</v>
      </c>
      <c r="Q75" s="295">
        <f t="shared" si="5"/>
        <v>0</v>
      </c>
    </row>
    <row r="76" spans="2:17" ht="108" x14ac:dyDescent="0.25">
      <c r="B76" s="609">
        <v>10</v>
      </c>
      <c r="C76" s="608" t="s">
        <v>1373</v>
      </c>
      <c r="D76" s="605" t="s">
        <v>238</v>
      </c>
      <c r="E76" s="605">
        <v>20</v>
      </c>
      <c r="F76" s="606">
        <v>400000</v>
      </c>
      <c r="G76" s="605">
        <v>5</v>
      </c>
      <c r="H76" s="571">
        <f t="shared" si="45"/>
        <v>40000000</v>
      </c>
      <c r="I76" s="607">
        <v>0</v>
      </c>
      <c r="J76" s="597">
        <f t="shared" si="46"/>
        <v>40000000</v>
      </c>
      <c r="K76" s="607">
        <f t="shared" si="49"/>
        <v>40000000</v>
      </c>
      <c r="N76" s="568">
        <f>'5.1 Comparativo_Viáticos'!Q8</f>
        <v>50201870</v>
      </c>
      <c r="O76" s="568">
        <f>N76</f>
        <v>50201870</v>
      </c>
      <c r="P76" s="569">
        <f t="shared" si="64"/>
        <v>-0.20321693195890911</v>
      </c>
      <c r="Q76" s="295">
        <f t="shared" si="5"/>
        <v>0</v>
      </c>
    </row>
    <row r="77" spans="2:17" ht="61.5" customHeight="1" x14ac:dyDescent="0.25">
      <c r="B77" s="610">
        <v>11</v>
      </c>
      <c r="C77" s="608" t="s">
        <v>1374</v>
      </c>
      <c r="D77" s="605" t="s">
        <v>238</v>
      </c>
      <c r="E77" s="605">
        <v>48</v>
      </c>
      <c r="F77" s="606">
        <v>1200000</v>
      </c>
      <c r="G77" s="605">
        <v>2</v>
      </c>
      <c r="H77" s="571">
        <f t="shared" si="45"/>
        <v>115200000</v>
      </c>
      <c r="I77" s="607">
        <v>0</v>
      </c>
      <c r="J77" s="597">
        <f t="shared" si="46"/>
        <v>115200000</v>
      </c>
      <c r="K77" s="607">
        <f t="shared" si="49"/>
        <v>115200000</v>
      </c>
      <c r="N77" s="568">
        <f>'4.1 Comparativo_Transporte'!$N$29</f>
        <v>1188475</v>
      </c>
      <c r="O77" s="568">
        <f t="shared" ref="O77:O80" si="65">N77*G77*E77</f>
        <v>114093600</v>
      </c>
      <c r="P77" s="569">
        <f t="shared" si="64"/>
        <v>9.6973011632555117E-3</v>
      </c>
      <c r="Q77" s="295">
        <f t="shared" ref="Q77:Q140" si="66">+E77*F77*G77-H77</f>
        <v>0</v>
      </c>
    </row>
    <row r="78" spans="2:17" ht="75.75" customHeight="1" x14ac:dyDescent="0.25">
      <c r="B78" s="610">
        <v>12</v>
      </c>
      <c r="C78" s="624" t="s">
        <v>1375</v>
      </c>
      <c r="D78" s="605" t="s">
        <v>238</v>
      </c>
      <c r="E78" s="605">
        <v>20</v>
      </c>
      <c r="F78" s="606">
        <v>1200000</v>
      </c>
      <c r="G78" s="605">
        <v>2</v>
      </c>
      <c r="H78" s="571">
        <f t="shared" si="45"/>
        <v>48000000</v>
      </c>
      <c r="I78" s="607">
        <v>0</v>
      </c>
      <c r="J78" s="597">
        <f t="shared" si="46"/>
        <v>48000000</v>
      </c>
      <c r="K78" s="607">
        <f t="shared" si="49"/>
        <v>48000000</v>
      </c>
      <c r="N78" s="568">
        <f>'4.1 Comparativo_Transporte'!$N$28</f>
        <v>1188475</v>
      </c>
      <c r="O78" s="568">
        <f t="shared" si="65"/>
        <v>47539000</v>
      </c>
      <c r="P78" s="569">
        <f t="shared" si="64"/>
        <v>9.6973011632555117E-3</v>
      </c>
      <c r="Q78" s="295">
        <f t="shared" si="66"/>
        <v>0</v>
      </c>
    </row>
    <row r="79" spans="2:17" ht="108" x14ac:dyDescent="0.25">
      <c r="B79" s="609">
        <v>13</v>
      </c>
      <c r="C79" s="608" t="s">
        <v>1376</v>
      </c>
      <c r="D79" s="605" t="s">
        <v>1062</v>
      </c>
      <c r="E79" s="605">
        <v>1</v>
      </c>
      <c r="F79" s="606">
        <v>4000000</v>
      </c>
      <c r="G79" s="605">
        <v>3</v>
      </c>
      <c r="H79" s="571">
        <f t="shared" si="45"/>
        <v>12000000</v>
      </c>
      <c r="I79" s="607">
        <v>0</v>
      </c>
      <c r="J79" s="597">
        <f t="shared" si="46"/>
        <v>12000000</v>
      </c>
      <c r="K79" s="607">
        <f t="shared" si="49"/>
        <v>12000000</v>
      </c>
      <c r="N79" s="568">
        <f>'6.1 Comparativo_Grupo_Armoniz'!$N$7</f>
        <v>6875473</v>
      </c>
      <c r="O79" s="568">
        <f t="shared" si="65"/>
        <v>20626419</v>
      </c>
      <c r="P79" s="569">
        <f t="shared" si="64"/>
        <v>-0.41822184451891531</v>
      </c>
      <c r="Q79" s="295">
        <f t="shared" si="66"/>
        <v>0</v>
      </c>
    </row>
    <row r="80" spans="2:17" ht="202.5" x14ac:dyDescent="0.25">
      <c r="B80" s="604">
        <v>14</v>
      </c>
      <c r="C80" s="608" t="s">
        <v>1377</v>
      </c>
      <c r="D80" s="605" t="s">
        <v>396</v>
      </c>
      <c r="E80" s="605">
        <v>58</v>
      </c>
      <c r="F80" s="606">
        <v>100000</v>
      </c>
      <c r="G80" s="605">
        <v>1</v>
      </c>
      <c r="H80" s="571">
        <f t="shared" si="45"/>
        <v>5800000</v>
      </c>
      <c r="I80" s="607">
        <v>0</v>
      </c>
      <c r="J80" s="597">
        <f t="shared" si="46"/>
        <v>5800000</v>
      </c>
      <c r="K80" s="607">
        <f t="shared" si="49"/>
        <v>5800000</v>
      </c>
      <c r="N80" s="568">
        <f>'7.1 Comparativo_Kit_Herrami'!$N$7</f>
        <v>102170</v>
      </c>
      <c r="O80" s="568">
        <f t="shared" si="65"/>
        <v>5925860</v>
      </c>
      <c r="P80" s="569">
        <f t="shared" si="64"/>
        <v>-2.1239111285113021E-2</v>
      </c>
      <c r="Q80" s="295">
        <f t="shared" si="66"/>
        <v>0</v>
      </c>
    </row>
    <row r="81" spans="2:17" ht="19.5" customHeight="1" x14ac:dyDescent="0.25">
      <c r="B81" s="809" t="s">
        <v>305</v>
      </c>
      <c r="C81" s="786"/>
      <c r="D81" s="786"/>
      <c r="E81" s="787"/>
      <c r="F81" s="643">
        <f>SUM(F67:F80)</f>
        <v>95244000</v>
      </c>
      <c r="G81" s="641"/>
      <c r="H81" s="684">
        <f t="shared" ref="H81:K81" si="67">SUM(H67:H80)</f>
        <v>473246000</v>
      </c>
      <c r="I81" s="679">
        <f t="shared" si="67"/>
        <v>0</v>
      </c>
      <c r="J81" s="685">
        <f t="shared" si="67"/>
        <v>473246000</v>
      </c>
      <c r="K81" s="679">
        <f t="shared" si="67"/>
        <v>473246000</v>
      </c>
      <c r="N81" s="643">
        <f>SUM(N67:N80)</f>
        <v>278359704</v>
      </c>
      <c r="O81" s="679">
        <f t="shared" ref="O81" si="68">SUM(O67:O80)</f>
        <v>505632208</v>
      </c>
      <c r="P81" s="569">
        <f t="shared" si="64"/>
        <v>-6.4050919794254924E-2</v>
      </c>
      <c r="Q81" s="295"/>
    </row>
    <row r="82" spans="2:17" ht="36.75" customHeight="1" x14ac:dyDescent="0.25">
      <c r="B82" s="805" t="s">
        <v>1378</v>
      </c>
      <c r="C82" s="782"/>
      <c r="D82" s="782"/>
      <c r="E82" s="782"/>
      <c r="F82" s="782"/>
      <c r="G82" s="782"/>
      <c r="H82" s="782"/>
      <c r="I82" s="782"/>
      <c r="J82" s="782"/>
      <c r="K82" s="783"/>
      <c r="Q82" s="295">
        <f t="shared" si="66"/>
        <v>0</v>
      </c>
    </row>
    <row r="83" spans="2:17" ht="16.5" customHeight="1" x14ac:dyDescent="0.25">
      <c r="B83" s="131">
        <v>1</v>
      </c>
      <c r="C83" s="672" t="s">
        <v>300</v>
      </c>
      <c r="D83" s="673"/>
      <c r="E83" s="673"/>
      <c r="F83" s="594">
        <v>0</v>
      </c>
      <c r="G83" s="673"/>
      <c r="H83" s="567">
        <f>F83*E83*G83</f>
        <v>0</v>
      </c>
      <c r="I83" s="607">
        <v>0</v>
      </c>
      <c r="J83" s="607">
        <v>0</v>
      </c>
      <c r="K83" s="607">
        <v>0</v>
      </c>
      <c r="Q83" s="295">
        <f t="shared" si="66"/>
        <v>0</v>
      </c>
    </row>
    <row r="84" spans="2:17" ht="15.75" customHeight="1" x14ac:dyDescent="0.25">
      <c r="B84" s="809" t="s">
        <v>306</v>
      </c>
      <c r="C84" s="786"/>
      <c r="D84" s="786"/>
      <c r="E84" s="787"/>
      <c r="F84" s="643">
        <f>SUM(F83)</f>
        <v>0</v>
      </c>
      <c r="G84" s="641"/>
      <c r="H84" s="644">
        <f t="shared" ref="H84:K84" si="69">SUM(H83)</f>
        <v>0</v>
      </c>
      <c r="I84" s="679">
        <f t="shared" si="69"/>
        <v>0</v>
      </c>
      <c r="J84" s="679">
        <f t="shared" si="69"/>
        <v>0</v>
      </c>
      <c r="K84" s="679">
        <f t="shared" si="69"/>
        <v>0</v>
      </c>
      <c r="Q84" s="295">
        <f t="shared" si="66"/>
        <v>0</v>
      </c>
    </row>
    <row r="85" spans="2:17" ht="15.75" customHeight="1" x14ac:dyDescent="0.25">
      <c r="B85" s="805" t="s">
        <v>1379</v>
      </c>
      <c r="C85" s="782"/>
      <c r="D85" s="782"/>
      <c r="E85" s="782"/>
      <c r="F85" s="782"/>
      <c r="G85" s="782"/>
      <c r="H85" s="782"/>
      <c r="I85" s="782"/>
      <c r="J85" s="782"/>
      <c r="K85" s="783"/>
      <c r="Q85" s="295">
        <f t="shared" si="66"/>
        <v>0</v>
      </c>
    </row>
    <row r="86" spans="2:17" ht="16.5" customHeight="1" x14ac:dyDescent="0.25">
      <c r="B86" s="131">
        <v>1</v>
      </c>
      <c r="C86" s="672" t="s">
        <v>300</v>
      </c>
      <c r="D86" s="673"/>
      <c r="E86" s="673"/>
      <c r="F86" s="594">
        <v>0</v>
      </c>
      <c r="G86" s="673"/>
      <c r="H86" s="567">
        <f>F86*E86*G86</f>
        <v>0</v>
      </c>
      <c r="I86" s="607">
        <v>0</v>
      </c>
      <c r="J86" s="607">
        <v>0</v>
      </c>
      <c r="K86" s="607">
        <v>0</v>
      </c>
      <c r="Q86" s="295">
        <f t="shared" si="66"/>
        <v>0</v>
      </c>
    </row>
    <row r="87" spans="2:17" ht="15.75" customHeight="1" x14ac:dyDescent="0.25">
      <c r="B87" s="809" t="s">
        <v>307</v>
      </c>
      <c r="C87" s="786"/>
      <c r="D87" s="786"/>
      <c r="E87" s="787"/>
      <c r="F87" s="643">
        <f>SUM(F86)</f>
        <v>0</v>
      </c>
      <c r="G87" s="641"/>
      <c r="H87" s="644">
        <f t="shared" ref="H87:K87" si="70">SUM(H86)</f>
        <v>0</v>
      </c>
      <c r="I87" s="642">
        <f t="shared" si="70"/>
        <v>0</v>
      </c>
      <c r="J87" s="642">
        <f t="shared" si="70"/>
        <v>0</v>
      </c>
      <c r="K87" s="679">
        <f t="shared" si="70"/>
        <v>0</v>
      </c>
      <c r="Q87" s="295">
        <f t="shared" si="66"/>
        <v>0</v>
      </c>
    </row>
    <row r="88" spans="2:17" ht="15.75" customHeight="1" x14ac:dyDescent="0.25">
      <c r="B88" s="804" t="s">
        <v>391</v>
      </c>
      <c r="C88" s="782"/>
      <c r="D88" s="782"/>
      <c r="E88" s="783"/>
      <c r="F88" s="667">
        <f>F81+F84+F87+F65+F62+F59+F56</f>
        <v>95244000</v>
      </c>
      <c r="G88" s="669"/>
      <c r="H88" s="667">
        <f>H81+H84+H87+H65+H62+H59+H56</f>
        <v>473246000</v>
      </c>
      <c r="I88" s="666">
        <f t="shared" ref="I88:K88" si="71">I56+I59+I62+I65+I81+I84+I87</f>
        <v>0</v>
      </c>
      <c r="J88" s="666">
        <f t="shared" si="71"/>
        <v>473246000</v>
      </c>
      <c r="K88" s="686">
        <f t="shared" si="71"/>
        <v>473246000</v>
      </c>
      <c r="N88" s="666">
        <f t="shared" ref="N88:O88" si="72">N56+N59+N62+N65+N81+N84+N87</f>
        <v>278359704</v>
      </c>
      <c r="O88" s="686">
        <f t="shared" si="72"/>
        <v>505632208</v>
      </c>
      <c r="P88" s="569">
        <f t="shared" ref="P88" si="73">K88/O88-1</f>
        <v>-6.4050919794254924E-2</v>
      </c>
      <c r="Q88" s="295"/>
    </row>
    <row r="89" spans="2:17" ht="30.75" customHeight="1" x14ac:dyDescent="0.25">
      <c r="B89" s="812" t="s">
        <v>1380</v>
      </c>
      <c r="C89" s="782"/>
      <c r="D89" s="782"/>
      <c r="E89" s="782"/>
      <c r="F89" s="782"/>
      <c r="G89" s="782"/>
      <c r="H89" s="782"/>
      <c r="I89" s="782"/>
      <c r="J89" s="782"/>
      <c r="K89" s="783"/>
      <c r="Q89" s="295">
        <f t="shared" si="66"/>
        <v>0</v>
      </c>
    </row>
    <row r="90" spans="2:17" ht="13.5" x14ac:dyDescent="0.25">
      <c r="B90" s="781" t="s">
        <v>392</v>
      </c>
      <c r="C90" s="782"/>
      <c r="D90" s="782"/>
      <c r="E90" s="782"/>
      <c r="F90" s="782"/>
      <c r="G90" s="782"/>
      <c r="H90" s="782"/>
      <c r="I90" s="782"/>
      <c r="J90" s="782"/>
      <c r="K90" s="783"/>
      <c r="Q90" s="295">
        <f t="shared" si="66"/>
        <v>0</v>
      </c>
    </row>
    <row r="91" spans="2:17" ht="13.5" x14ac:dyDescent="0.25">
      <c r="B91" s="813" t="s">
        <v>393</v>
      </c>
      <c r="C91" s="782"/>
      <c r="D91" s="782"/>
      <c r="E91" s="782"/>
      <c r="F91" s="782"/>
      <c r="G91" s="782"/>
      <c r="H91" s="782"/>
      <c r="I91" s="782"/>
      <c r="J91" s="782"/>
      <c r="K91" s="783"/>
      <c r="Q91" s="295">
        <f t="shared" si="66"/>
        <v>0</v>
      </c>
    </row>
    <row r="92" spans="2:17" ht="15.75" customHeight="1" x14ac:dyDescent="0.25">
      <c r="B92" s="784" t="s">
        <v>1381</v>
      </c>
      <c r="C92" s="782"/>
      <c r="D92" s="782"/>
      <c r="E92" s="782"/>
      <c r="F92" s="782"/>
      <c r="G92" s="782"/>
      <c r="H92" s="782"/>
      <c r="I92" s="782"/>
      <c r="J92" s="782"/>
      <c r="K92" s="783"/>
      <c r="Q92" s="295">
        <f t="shared" si="66"/>
        <v>0</v>
      </c>
    </row>
    <row r="93" spans="2:17" ht="63.75" customHeight="1" x14ac:dyDescent="0.25">
      <c r="B93" s="604">
        <v>1</v>
      </c>
      <c r="C93" s="608" t="s">
        <v>1382</v>
      </c>
      <c r="D93" s="605" t="s">
        <v>1061</v>
      </c>
      <c r="E93" s="131">
        <v>1</v>
      </c>
      <c r="F93" s="594">
        <v>5000000</v>
      </c>
      <c r="G93" s="131">
        <v>1</v>
      </c>
      <c r="H93" s="567">
        <f t="shared" ref="H93:H95" si="74">F93*E93*G93</f>
        <v>5000000</v>
      </c>
      <c r="I93" s="607">
        <v>0</v>
      </c>
      <c r="J93" s="597">
        <f t="shared" ref="J93:J107" si="75">H93</f>
        <v>5000000</v>
      </c>
      <c r="K93" s="607">
        <f t="shared" ref="K93:K107" si="76">I93+J93</f>
        <v>5000000</v>
      </c>
      <c r="N93" s="568">
        <f>'3.1 Comparativo_Logística'!$M$9</f>
        <v>4960599</v>
      </c>
      <c r="O93" s="568">
        <f t="shared" ref="O93:O96" si="77">N93*G93*E93</f>
        <v>4960599</v>
      </c>
      <c r="P93" s="569">
        <f t="shared" ref="P93:P96" si="78">K93/O93-1</f>
        <v>7.9427907799038966E-3</v>
      </c>
      <c r="Q93" s="295">
        <f t="shared" si="66"/>
        <v>0</v>
      </c>
    </row>
    <row r="94" spans="2:17" ht="29.25" customHeight="1" x14ac:dyDescent="0.25">
      <c r="B94" s="604">
        <v>2</v>
      </c>
      <c r="C94" s="608" t="s">
        <v>1383</v>
      </c>
      <c r="D94" s="611" t="s">
        <v>396</v>
      </c>
      <c r="E94" s="134">
        <v>1</v>
      </c>
      <c r="F94" s="597">
        <v>900000</v>
      </c>
      <c r="G94" s="134">
        <v>1</v>
      </c>
      <c r="H94" s="571">
        <f t="shared" si="74"/>
        <v>900000</v>
      </c>
      <c r="I94" s="607">
        <v>0</v>
      </c>
      <c r="J94" s="597">
        <f t="shared" si="75"/>
        <v>900000</v>
      </c>
      <c r="K94" s="607">
        <f t="shared" si="76"/>
        <v>900000</v>
      </c>
      <c r="N94" s="568">
        <f>'3.1 Comparativo_Logística'!$M$20</f>
        <v>1176347</v>
      </c>
      <c r="O94" s="568">
        <f t="shared" si="77"/>
        <v>1176347</v>
      </c>
      <c r="P94" s="569">
        <f t="shared" si="78"/>
        <v>-0.23491962830695368</v>
      </c>
      <c r="Q94" s="295">
        <f t="shared" si="66"/>
        <v>0</v>
      </c>
    </row>
    <row r="95" spans="2:17" ht="37.5" customHeight="1" x14ac:dyDescent="0.25">
      <c r="B95" s="609">
        <v>3</v>
      </c>
      <c r="C95" s="612" t="s">
        <v>1384</v>
      </c>
      <c r="D95" s="613" t="s">
        <v>238</v>
      </c>
      <c r="E95" s="614">
        <v>4</v>
      </c>
      <c r="F95" s="600">
        <v>200000</v>
      </c>
      <c r="G95" s="599">
        <v>1</v>
      </c>
      <c r="H95" s="601">
        <f t="shared" si="74"/>
        <v>800000</v>
      </c>
      <c r="I95" s="607">
        <v>0</v>
      </c>
      <c r="J95" s="597">
        <f t="shared" si="75"/>
        <v>800000</v>
      </c>
      <c r="K95" s="607">
        <f t="shared" si="76"/>
        <v>800000</v>
      </c>
      <c r="N95" s="568">
        <f>'3.1 Comparativo_Logística'!$M$29</f>
        <v>249230</v>
      </c>
      <c r="O95" s="568">
        <f t="shared" si="77"/>
        <v>996920</v>
      </c>
      <c r="P95" s="569">
        <f t="shared" si="78"/>
        <v>-0.19752838743329459</v>
      </c>
      <c r="Q95" s="295">
        <f t="shared" si="66"/>
        <v>0</v>
      </c>
    </row>
    <row r="96" spans="2:17" ht="108" x14ac:dyDescent="0.25">
      <c r="B96" s="609">
        <v>4</v>
      </c>
      <c r="C96" s="615" t="s">
        <v>1385</v>
      </c>
      <c r="D96" s="613" t="s">
        <v>238</v>
      </c>
      <c r="E96" s="616">
        <v>1</v>
      </c>
      <c r="F96" s="617">
        <v>1600000</v>
      </c>
      <c r="G96" s="613">
        <v>1</v>
      </c>
      <c r="H96" s="571">
        <f t="shared" ref="H96:H101" si="79">E96*F96*G96</f>
        <v>1600000</v>
      </c>
      <c r="I96" s="607">
        <v>0</v>
      </c>
      <c r="J96" s="597">
        <f t="shared" si="75"/>
        <v>1600000</v>
      </c>
      <c r="K96" s="607">
        <f t="shared" si="76"/>
        <v>1600000</v>
      </c>
      <c r="N96" s="568">
        <f>'3.1 Comparativo_Logística'!$M$37</f>
        <v>2714721</v>
      </c>
      <c r="O96" s="568">
        <f t="shared" si="77"/>
        <v>2714721</v>
      </c>
      <c r="P96" s="569">
        <f t="shared" si="78"/>
        <v>-0.41062083359579127</v>
      </c>
      <c r="Q96" s="295">
        <f t="shared" si="66"/>
        <v>0</v>
      </c>
    </row>
    <row r="97" spans="2:17" ht="94.5" x14ac:dyDescent="0.25">
      <c r="B97" s="604">
        <v>5</v>
      </c>
      <c r="C97" s="618" t="s">
        <v>1386</v>
      </c>
      <c r="D97" s="613" t="s">
        <v>238</v>
      </c>
      <c r="E97" s="616">
        <v>80</v>
      </c>
      <c r="F97" s="617">
        <v>500000</v>
      </c>
      <c r="G97" s="613">
        <v>3</v>
      </c>
      <c r="H97" s="571">
        <f t="shared" si="79"/>
        <v>120000000</v>
      </c>
      <c r="I97" s="607">
        <v>0</v>
      </c>
      <c r="J97" s="597">
        <f t="shared" si="75"/>
        <v>120000000</v>
      </c>
      <c r="K97" s="607">
        <f t="shared" si="76"/>
        <v>120000000</v>
      </c>
      <c r="N97" s="568">
        <f>'5.1 Comparativo_Viáticos'!$Q$21</f>
        <v>122579880</v>
      </c>
      <c r="O97" s="568">
        <f>N97</f>
        <v>122579880</v>
      </c>
      <c r="P97" s="569">
        <f t="shared" ref="P97" si="80">K97/O97-1</f>
        <v>-2.1046520848282735E-2</v>
      </c>
      <c r="Q97" s="295">
        <f t="shared" si="66"/>
        <v>0</v>
      </c>
    </row>
    <row r="98" spans="2:17" ht="81" x14ac:dyDescent="0.25">
      <c r="B98" s="609">
        <v>6</v>
      </c>
      <c r="C98" s="618" t="s">
        <v>1387</v>
      </c>
      <c r="D98" s="613" t="s">
        <v>396</v>
      </c>
      <c r="E98" s="613">
        <v>83</v>
      </c>
      <c r="F98" s="617">
        <v>32000</v>
      </c>
      <c r="G98" s="613">
        <v>1</v>
      </c>
      <c r="H98" s="571">
        <f t="shared" si="79"/>
        <v>2656000</v>
      </c>
      <c r="I98" s="607">
        <v>0</v>
      </c>
      <c r="J98" s="597">
        <f t="shared" si="75"/>
        <v>2656000</v>
      </c>
      <c r="K98" s="607">
        <f t="shared" si="76"/>
        <v>2656000</v>
      </c>
      <c r="N98" s="568">
        <f>'2.1 Comparativo_Alimentación'!$M$7</f>
        <v>33548</v>
      </c>
      <c r="O98" s="568">
        <f t="shared" ref="O98:O102" si="81">N98*G98*E98</f>
        <v>2784484</v>
      </c>
      <c r="P98" s="569">
        <f t="shared" ref="P98:P103" si="82">K98/O98-1</f>
        <v>-4.6142840109693606E-2</v>
      </c>
      <c r="Q98" s="295">
        <f t="shared" si="66"/>
        <v>0</v>
      </c>
    </row>
    <row r="99" spans="2:17" ht="67.5" x14ac:dyDescent="0.25">
      <c r="B99" s="609">
        <v>7</v>
      </c>
      <c r="C99" s="618" t="s">
        <v>1388</v>
      </c>
      <c r="D99" s="613" t="s">
        <v>396</v>
      </c>
      <c r="E99" s="613">
        <v>83</v>
      </c>
      <c r="F99" s="617">
        <v>70000</v>
      </c>
      <c r="G99" s="613">
        <v>1</v>
      </c>
      <c r="H99" s="571">
        <f t="shared" si="79"/>
        <v>5810000</v>
      </c>
      <c r="I99" s="607">
        <v>0</v>
      </c>
      <c r="J99" s="597">
        <f t="shared" si="75"/>
        <v>5810000</v>
      </c>
      <c r="K99" s="607">
        <f t="shared" si="76"/>
        <v>5810000</v>
      </c>
      <c r="N99" s="568">
        <f>'2.1 Comparativo_Alimentación'!$M$8</f>
        <v>70822</v>
      </c>
      <c r="O99" s="568">
        <f t="shared" si="81"/>
        <v>5878226</v>
      </c>
      <c r="P99" s="569">
        <f t="shared" si="82"/>
        <v>-1.1606562932422126E-2</v>
      </c>
      <c r="Q99" s="295">
        <f t="shared" si="66"/>
        <v>0</v>
      </c>
    </row>
    <row r="100" spans="2:17" ht="48.75" customHeight="1" x14ac:dyDescent="0.25">
      <c r="B100" s="609">
        <v>8</v>
      </c>
      <c r="C100" s="618" t="s">
        <v>1389</v>
      </c>
      <c r="D100" s="613" t="s">
        <v>396</v>
      </c>
      <c r="E100" s="613">
        <v>83</v>
      </c>
      <c r="F100" s="617">
        <v>32000</v>
      </c>
      <c r="G100" s="613">
        <v>1</v>
      </c>
      <c r="H100" s="571">
        <f t="shared" si="79"/>
        <v>2656000</v>
      </c>
      <c r="I100" s="607">
        <v>0</v>
      </c>
      <c r="J100" s="597">
        <f t="shared" si="75"/>
        <v>2656000</v>
      </c>
      <c r="K100" s="607">
        <f t="shared" si="76"/>
        <v>2656000</v>
      </c>
      <c r="N100" s="568">
        <f>'2.1 Comparativo_Alimentación'!$M$9</f>
        <v>33548</v>
      </c>
      <c r="O100" s="568">
        <f t="shared" si="81"/>
        <v>2784484</v>
      </c>
      <c r="P100" s="569">
        <f t="shared" si="82"/>
        <v>-4.6142840109693606E-2</v>
      </c>
      <c r="Q100" s="295">
        <f t="shared" si="66"/>
        <v>0</v>
      </c>
    </row>
    <row r="101" spans="2:17" ht="175.5" x14ac:dyDescent="0.25">
      <c r="B101" s="604">
        <v>9</v>
      </c>
      <c r="C101" s="618" t="s">
        <v>1390</v>
      </c>
      <c r="D101" s="619" t="s">
        <v>390</v>
      </c>
      <c r="E101" s="619">
        <v>1</v>
      </c>
      <c r="F101" s="620">
        <v>150000000</v>
      </c>
      <c r="G101" s="619">
        <v>1</v>
      </c>
      <c r="H101" s="601">
        <f t="shared" si="79"/>
        <v>150000000</v>
      </c>
      <c r="I101" s="607">
        <v>0</v>
      </c>
      <c r="J101" s="597">
        <f t="shared" si="75"/>
        <v>150000000</v>
      </c>
      <c r="K101" s="607">
        <f t="shared" si="76"/>
        <v>150000000</v>
      </c>
      <c r="N101" s="568">
        <f>'4.1 Comparativo_Transporte'!N10</f>
        <v>148466563</v>
      </c>
      <c r="O101" s="568">
        <f t="shared" si="81"/>
        <v>148466563</v>
      </c>
      <c r="P101" s="569">
        <f t="shared" si="82"/>
        <v>1.0328500700861554E-2</v>
      </c>
      <c r="Q101" s="295">
        <f t="shared" si="66"/>
        <v>0</v>
      </c>
    </row>
    <row r="102" spans="2:17" ht="148.5" x14ac:dyDescent="0.25">
      <c r="B102" s="604">
        <v>10</v>
      </c>
      <c r="C102" s="615" t="s">
        <v>1391</v>
      </c>
      <c r="D102" s="619" t="s">
        <v>238</v>
      </c>
      <c r="E102" s="621">
        <v>1</v>
      </c>
      <c r="F102" s="597">
        <v>2000000</v>
      </c>
      <c r="G102" s="134">
        <v>1</v>
      </c>
      <c r="H102" s="571">
        <f t="shared" ref="H102:H105" si="83">F102*E102*G102</f>
        <v>2000000</v>
      </c>
      <c r="I102" s="607">
        <v>0</v>
      </c>
      <c r="J102" s="597">
        <f t="shared" si="75"/>
        <v>2000000</v>
      </c>
      <c r="K102" s="607">
        <f t="shared" si="76"/>
        <v>2000000</v>
      </c>
      <c r="N102" s="568">
        <f>'8.1 Comparativo_Tallerista'!$N$7</f>
        <v>2455526</v>
      </c>
      <c r="O102" s="568">
        <f t="shared" si="81"/>
        <v>2455526</v>
      </c>
      <c r="P102" s="569">
        <f t="shared" si="82"/>
        <v>-0.18551055863387311</v>
      </c>
      <c r="Q102" s="295">
        <f t="shared" si="66"/>
        <v>0</v>
      </c>
    </row>
    <row r="103" spans="2:17" ht="81" x14ac:dyDescent="0.25">
      <c r="B103" s="609">
        <v>11</v>
      </c>
      <c r="C103" s="618" t="s">
        <v>1392</v>
      </c>
      <c r="D103" s="619" t="s">
        <v>238</v>
      </c>
      <c r="E103" s="621">
        <v>3</v>
      </c>
      <c r="F103" s="597">
        <v>400000</v>
      </c>
      <c r="G103" s="134">
        <v>3</v>
      </c>
      <c r="H103" s="622">
        <f t="shared" si="83"/>
        <v>3600000</v>
      </c>
      <c r="I103" s="607"/>
      <c r="J103" s="597">
        <f t="shared" si="75"/>
        <v>3600000</v>
      </c>
      <c r="K103" s="607">
        <f t="shared" si="76"/>
        <v>3600000</v>
      </c>
      <c r="N103" s="568">
        <f>'5.1 Comparativo_Viáticos'!$Q$13</f>
        <v>4596746</v>
      </c>
      <c r="O103" s="568">
        <f>N103</f>
        <v>4596746</v>
      </c>
      <c r="P103" s="569">
        <f t="shared" si="82"/>
        <v>-0.21683730186527606</v>
      </c>
      <c r="Q103" s="295">
        <f t="shared" si="66"/>
        <v>0</v>
      </c>
    </row>
    <row r="104" spans="2:17" ht="108" x14ac:dyDescent="0.25">
      <c r="B104" s="609">
        <v>12</v>
      </c>
      <c r="C104" s="612" t="s">
        <v>1393</v>
      </c>
      <c r="D104" s="619" t="s">
        <v>238</v>
      </c>
      <c r="E104" s="614">
        <v>1</v>
      </c>
      <c r="F104" s="620">
        <v>2500000</v>
      </c>
      <c r="G104" s="131">
        <v>1</v>
      </c>
      <c r="H104" s="571">
        <f t="shared" si="83"/>
        <v>2500000</v>
      </c>
      <c r="I104" s="607">
        <v>0</v>
      </c>
      <c r="J104" s="597">
        <f t="shared" si="75"/>
        <v>2500000</v>
      </c>
      <c r="K104" s="607">
        <f t="shared" si="76"/>
        <v>2500000</v>
      </c>
      <c r="N104" s="568">
        <f>'9.1 Comparativo_Sabedor'!$N$7</f>
        <v>2829639</v>
      </c>
      <c r="O104" s="568">
        <f t="shared" ref="O104" si="84">N104*G104*E104</f>
        <v>2829639</v>
      </c>
      <c r="P104" s="569">
        <f t="shared" ref="P104" si="85">K104/O104-1</f>
        <v>-0.11649507233961642</v>
      </c>
      <c r="Q104" s="295">
        <f t="shared" si="66"/>
        <v>0</v>
      </c>
    </row>
    <row r="105" spans="2:17" ht="94.5" x14ac:dyDescent="0.25">
      <c r="B105" s="609">
        <v>13</v>
      </c>
      <c r="C105" s="612" t="s">
        <v>1394</v>
      </c>
      <c r="D105" s="613" t="s">
        <v>1062</v>
      </c>
      <c r="E105" s="621">
        <v>1</v>
      </c>
      <c r="F105" s="597">
        <v>4000000</v>
      </c>
      <c r="G105" s="134">
        <v>1</v>
      </c>
      <c r="H105" s="571">
        <f t="shared" si="83"/>
        <v>4000000</v>
      </c>
      <c r="I105" s="607">
        <v>0</v>
      </c>
      <c r="J105" s="597">
        <f t="shared" si="75"/>
        <v>4000000</v>
      </c>
      <c r="K105" s="607">
        <f t="shared" si="76"/>
        <v>4000000</v>
      </c>
      <c r="N105" s="568">
        <f>'6.1 Comparativo_Grupo_Armoniz'!$N$7</f>
        <v>6875473</v>
      </c>
      <c r="O105" s="568">
        <f t="shared" ref="O105" si="86">N105*G105*E105</f>
        <v>6875473</v>
      </c>
      <c r="P105" s="569">
        <f t="shared" ref="P105" si="87">K105/O105-1</f>
        <v>-0.41822184451891531</v>
      </c>
      <c r="Q105" s="295">
        <f t="shared" si="66"/>
        <v>0</v>
      </c>
    </row>
    <row r="106" spans="2:17" ht="94.5" x14ac:dyDescent="0.25">
      <c r="B106" s="623">
        <v>14</v>
      </c>
      <c r="C106" s="624" t="s">
        <v>1395</v>
      </c>
      <c r="D106" s="605" t="s">
        <v>238</v>
      </c>
      <c r="E106" s="605">
        <v>3</v>
      </c>
      <c r="F106" s="606">
        <v>1000000</v>
      </c>
      <c r="G106" s="605">
        <v>2</v>
      </c>
      <c r="H106" s="571">
        <f t="shared" ref="H106:H107" si="88">E106*F106*G106</f>
        <v>6000000</v>
      </c>
      <c r="I106" s="607">
        <v>0</v>
      </c>
      <c r="J106" s="597">
        <f t="shared" si="75"/>
        <v>6000000</v>
      </c>
      <c r="K106" s="607">
        <f t="shared" si="76"/>
        <v>6000000</v>
      </c>
      <c r="N106" s="568">
        <f>'4.1 Comparativo_Transporte'!$N$27</f>
        <v>1188475</v>
      </c>
      <c r="O106" s="568">
        <f t="shared" ref="O106:O107" si="89">N106*G106*E106</f>
        <v>7130850</v>
      </c>
      <c r="P106" s="569">
        <f t="shared" ref="P106:P108" si="90">K106/O106-1</f>
        <v>-0.15858558236395381</v>
      </c>
      <c r="Q106" s="295">
        <f t="shared" si="66"/>
        <v>0</v>
      </c>
    </row>
    <row r="107" spans="2:17" ht="90" customHeight="1" x14ac:dyDescent="0.25">
      <c r="B107" s="625">
        <v>15</v>
      </c>
      <c r="C107" s="608" t="s">
        <v>1396</v>
      </c>
      <c r="D107" s="605" t="s">
        <v>396</v>
      </c>
      <c r="E107" s="605">
        <v>80</v>
      </c>
      <c r="F107" s="606">
        <v>100000</v>
      </c>
      <c r="G107" s="605">
        <v>1</v>
      </c>
      <c r="H107" s="571">
        <f t="shared" si="88"/>
        <v>8000000</v>
      </c>
      <c r="I107" s="607">
        <v>0</v>
      </c>
      <c r="J107" s="597">
        <f t="shared" si="75"/>
        <v>8000000</v>
      </c>
      <c r="K107" s="607">
        <f t="shared" si="76"/>
        <v>8000000</v>
      </c>
      <c r="N107" s="568">
        <f>'7.1 Comparativo_Kit_Herrami'!$N$7</f>
        <v>102170</v>
      </c>
      <c r="O107" s="568">
        <f t="shared" si="89"/>
        <v>8173600</v>
      </c>
      <c r="P107" s="569">
        <f t="shared" si="90"/>
        <v>-2.1239111285113021E-2</v>
      </c>
      <c r="Q107" s="295">
        <f t="shared" si="66"/>
        <v>0</v>
      </c>
    </row>
    <row r="108" spans="2:17" ht="15.75" customHeight="1" x14ac:dyDescent="0.25">
      <c r="B108" s="809" t="s">
        <v>394</v>
      </c>
      <c r="C108" s="786"/>
      <c r="D108" s="786"/>
      <c r="E108" s="787"/>
      <c r="F108" s="643">
        <f>SUM(F93:F107)</f>
        <v>168334000</v>
      </c>
      <c r="G108" s="641"/>
      <c r="H108" s="643">
        <f t="shared" ref="H108:K108" si="91">SUM(H93:H107)</f>
        <v>315522000</v>
      </c>
      <c r="I108" s="643">
        <f t="shared" si="91"/>
        <v>0</v>
      </c>
      <c r="J108" s="643">
        <f t="shared" si="91"/>
        <v>315522000</v>
      </c>
      <c r="K108" s="643">
        <f t="shared" si="91"/>
        <v>315522000</v>
      </c>
      <c r="N108" s="643">
        <f t="shared" ref="N108:O108" si="92">SUM(N93:N107)</f>
        <v>298333287</v>
      </c>
      <c r="O108" s="643">
        <f t="shared" si="92"/>
        <v>324404058</v>
      </c>
      <c r="P108" s="569">
        <f t="shared" si="90"/>
        <v>-2.7379614345021563E-2</v>
      </c>
      <c r="Q108" s="295"/>
    </row>
    <row r="109" spans="2:17" ht="15.75" customHeight="1" x14ac:dyDescent="0.25">
      <c r="B109" s="784" t="s">
        <v>1397</v>
      </c>
      <c r="C109" s="782"/>
      <c r="D109" s="782"/>
      <c r="E109" s="782"/>
      <c r="F109" s="782"/>
      <c r="G109" s="782"/>
      <c r="H109" s="782"/>
      <c r="I109" s="782"/>
      <c r="J109" s="782"/>
      <c r="K109" s="783"/>
      <c r="Q109" s="295">
        <f t="shared" si="66"/>
        <v>0</v>
      </c>
    </row>
    <row r="110" spans="2:17" ht="67.5" customHeight="1" x14ac:dyDescent="0.25">
      <c r="B110" s="604">
        <v>1</v>
      </c>
      <c r="C110" s="608" t="s">
        <v>1398</v>
      </c>
      <c r="D110" s="605" t="s">
        <v>1061</v>
      </c>
      <c r="E110" s="131">
        <v>1</v>
      </c>
      <c r="F110" s="594">
        <v>5000000</v>
      </c>
      <c r="G110" s="131">
        <v>1</v>
      </c>
      <c r="H110" s="567">
        <f t="shared" ref="H110:H112" si="93">F110*E110*G110</f>
        <v>5000000</v>
      </c>
      <c r="I110" s="607">
        <v>0</v>
      </c>
      <c r="J110" s="597">
        <f t="shared" ref="J110:J124" si="94">H110</f>
        <v>5000000</v>
      </c>
      <c r="K110" s="607">
        <f t="shared" ref="K110:K124" si="95">I110+J110</f>
        <v>5000000</v>
      </c>
      <c r="N110" s="568">
        <f>'3.1 Comparativo_Logística'!$M$9</f>
        <v>4960599</v>
      </c>
      <c r="O110" s="568">
        <f t="shared" ref="O110:O113" si="96">N110*G110*E110</f>
        <v>4960599</v>
      </c>
      <c r="P110" s="569">
        <f t="shared" ref="P110:P113" si="97">K110/O110-1</f>
        <v>7.9427907799038966E-3</v>
      </c>
      <c r="Q110" s="295">
        <f t="shared" si="66"/>
        <v>0</v>
      </c>
    </row>
    <row r="111" spans="2:17" ht="34.5" customHeight="1" x14ac:dyDescent="0.25">
      <c r="B111" s="604">
        <v>2</v>
      </c>
      <c r="C111" s="608" t="s">
        <v>1399</v>
      </c>
      <c r="D111" s="611" t="s">
        <v>396</v>
      </c>
      <c r="E111" s="134">
        <v>1</v>
      </c>
      <c r="F111" s="597">
        <v>900000</v>
      </c>
      <c r="G111" s="134">
        <v>1</v>
      </c>
      <c r="H111" s="571">
        <f t="shared" si="93"/>
        <v>900000</v>
      </c>
      <c r="I111" s="607">
        <v>0</v>
      </c>
      <c r="J111" s="597">
        <f t="shared" si="94"/>
        <v>900000</v>
      </c>
      <c r="K111" s="607">
        <f t="shared" si="95"/>
        <v>900000</v>
      </c>
      <c r="N111" s="568">
        <f>'3.1 Comparativo_Logística'!$M$20</f>
        <v>1176347</v>
      </c>
      <c r="O111" s="568">
        <f t="shared" si="96"/>
        <v>1176347</v>
      </c>
      <c r="P111" s="569">
        <f t="shared" si="97"/>
        <v>-0.23491962830695368</v>
      </c>
      <c r="Q111" s="295">
        <f t="shared" si="66"/>
        <v>0</v>
      </c>
    </row>
    <row r="112" spans="2:17" ht="35.25" customHeight="1" x14ac:dyDescent="0.25">
      <c r="B112" s="626">
        <v>3</v>
      </c>
      <c r="C112" s="612" t="s">
        <v>1400</v>
      </c>
      <c r="D112" s="613" t="s">
        <v>238</v>
      </c>
      <c r="E112" s="614">
        <v>3</v>
      </c>
      <c r="F112" s="600">
        <v>200000</v>
      </c>
      <c r="G112" s="599">
        <v>1</v>
      </c>
      <c r="H112" s="601">
        <f t="shared" si="93"/>
        <v>600000</v>
      </c>
      <c r="I112" s="607">
        <v>0</v>
      </c>
      <c r="J112" s="597">
        <f t="shared" si="94"/>
        <v>600000</v>
      </c>
      <c r="K112" s="607">
        <f t="shared" si="95"/>
        <v>600000</v>
      </c>
      <c r="N112" s="568">
        <f>'3.1 Comparativo_Logística'!$M$29</f>
        <v>249230</v>
      </c>
      <c r="O112" s="568">
        <f t="shared" si="96"/>
        <v>747690</v>
      </c>
      <c r="P112" s="569">
        <f t="shared" si="97"/>
        <v>-0.19752838743329459</v>
      </c>
      <c r="Q112" s="295">
        <f t="shared" si="66"/>
        <v>0</v>
      </c>
    </row>
    <row r="113" spans="2:17" ht="108" x14ac:dyDescent="0.25">
      <c r="B113" s="627">
        <v>4</v>
      </c>
      <c r="C113" s="615" t="s">
        <v>1385</v>
      </c>
      <c r="D113" s="613" t="s">
        <v>238</v>
      </c>
      <c r="E113" s="616">
        <v>1</v>
      </c>
      <c r="F113" s="617">
        <v>1600000</v>
      </c>
      <c r="G113" s="613">
        <v>1</v>
      </c>
      <c r="H113" s="571">
        <f t="shared" ref="H113:H118" si="98">E113*F113*G113</f>
        <v>1600000</v>
      </c>
      <c r="I113" s="607">
        <v>0</v>
      </c>
      <c r="J113" s="597">
        <f t="shared" si="94"/>
        <v>1600000</v>
      </c>
      <c r="K113" s="607">
        <f t="shared" si="95"/>
        <v>1600000</v>
      </c>
      <c r="N113" s="568">
        <f>'3.1 Comparativo_Logística'!$M$37</f>
        <v>2714721</v>
      </c>
      <c r="O113" s="568">
        <f t="shared" si="96"/>
        <v>2714721</v>
      </c>
      <c r="P113" s="569">
        <f t="shared" si="97"/>
        <v>-0.41062083359579127</v>
      </c>
      <c r="Q113" s="295">
        <f t="shared" si="66"/>
        <v>0</v>
      </c>
    </row>
    <row r="114" spans="2:17" ht="53.25" customHeight="1" x14ac:dyDescent="0.25">
      <c r="B114" s="625">
        <v>5</v>
      </c>
      <c r="C114" s="618" t="s">
        <v>1401</v>
      </c>
      <c r="D114" s="613" t="s">
        <v>238</v>
      </c>
      <c r="E114" s="616">
        <v>70</v>
      </c>
      <c r="F114" s="617">
        <v>500000</v>
      </c>
      <c r="G114" s="613">
        <v>3</v>
      </c>
      <c r="H114" s="571">
        <f t="shared" si="98"/>
        <v>105000000</v>
      </c>
      <c r="I114" s="607">
        <v>0</v>
      </c>
      <c r="J114" s="597">
        <f t="shared" si="94"/>
        <v>105000000</v>
      </c>
      <c r="K114" s="607">
        <f t="shared" si="95"/>
        <v>105000000</v>
      </c>
      <c r="N114" s="104">
        <f>'5.1 Comparativo_Viáticos'!$Q$19</f>
        <v>107257395</v>
      </c>
      <c r="O114" s="104">
        <f>N114</f>
        <v>107257395</v>
      </c>
      <c r="P114" s="438">
        <f>K114/O114-1</f>
        <v>-2.1046520848282735E-2</v>
      </c>
      <c r="Q114" s="295">
        <f t="shared" si="66"/>
        <v>0</v>
      </c>
    </row>
    <row r="115" spans="2:17" ht="48" customHeight="1" x14ac:dyDescent="0.25">
      <c r="B115" s="609">
        <v>6</v>
      </c>
      <c r="C115" s="618" t="s">
        <v>1402</v>
      </c>
      <c r="D115" s="613" t="s">
        <v>396</v>
      </c>
      <c r="E115" s="613">
        <v>73</v>
      </c>
      <c r="F115" s="617">
        <v>32000</v>
      </c>
      <c r="G115" s="619">
        <v>1</v>
      </c>
      <c r="H115" s="571">
        <f t="shared" si="98"/>
        <v>2336000</v>
      </c>
      <c r="I115" s="607">
        <v>0</v>
      </c>
      <c r="J115" s="597">
        <f t="shared" si="94"/>
        <v>2336000</v>
      </c>
      <c r="K115" s="607">
        <f t="shared" si="95"/>
        <v>2336000</v>
      </c>
      <c r="N115" s="568">
        <f>'2.1 Comparativo_Alimentación'!$M$7</f>
        <v>33548</v>
      </c>
      <c r="O115" s="568">
        <f t="shared" ref="O115:O118" si="99">N115*G115*E115</f>
        <v>2449004</v>
      </c>
      <c r="P115" s="569">
        <f t="shared" ref="P115:P118" si="100">K115/O115-1</f>
        <v>-4.6142840109693606E-2</v>
      </c>
      <c r="Q115" s="295">
        <f t="shared" si="66"/>
        <v>0</v>
      </c>
    </row>
    <row r="116" spans="2:17" ht="46.5" customHeight="1" x14ac:dyDescent="0.25">
      <c r="B116" s="609">
        <v>7</v>
      </c>
      <c r="C116" s="618" t="s">
        <v>1403</v>
      </c>
      <c r="D116" s="613" t="s">
        <v>396</v>
      </c>
      <c r="E116" s="613">
        <v>73</v>
      </c>
      <c r="F116" s="628">
        <v>70000</v>
      </c>
      <c r="G116" s="619">
        <v>1</v>
      </c>
      <c r="H116" s="571">
        <f t="shared" si="98"/>
        <v>5110000</v>
      </c>
      <c r="I116" s="607">
        <v>0</v>
      </c>
      <c r="J116" s="597">
        <f t="shared" si="94"/>
        <v>5110000</v>
      </c>
      <c r="K116" s="607">
        <f t="shared" si="95"/>
        <v>5110000</v>
      </c>
      <c r="N116" s="568">
        <f>'2.1 Comparativo_Alimentación'!$M$8</f>
        <v>70822</v>
      </c>
      <c r="O116" s="568">
        <f t="shared" si="99"/>
        <v>5170006</v>
      </c>
      <c r="P116" s="569">
        <f t="shared" si="100"/>
        <v>-1.1606562932422126E-2</v>
      </c>
      <c r="Q116" s="295">
        <f t="shared" si="66"/>
        <v>0</v>
      </c>
    </row>
    <row r="117" spans="2:17" ht="47.25" customHeight="1" x14ac:dyDescent="0.25">
      <c r="B117" s="626">
        <v>8</v>
      </c>
      <c r="C117" s="618" t="s">
        <v>1404</v>
      </c>
      <c r="D117" s="613" t="s">
        <v>396</v>
      </c>
      <c r="E117" s="613">
        <v>73</v>
      </c>
      <c r="F117" s="617">
        <v>32000</v>
      </c>
      <c r="G117" s="619">
        <v>1</v>
      </c>
      <c r="H117" s="571">
        <f t="shared" si="98"/>
        <v>2336000</v>
      </c>
      <c r="I117" s="607">
        <v>0</v>
      </c>
      <c r="J117" s="597">
        <f t="shared" si="94"/>
        <v>2336000</v>
      </c>
      <c r="K117" s="607">
        <f t="shared" si="95"/>
        <v>2336000</v>
      </c>
      <c r="N117" s="568">
        <f>'2.1 Comparativo_Alimentación'!$M$9</f>
        <v>33548</v>
      </c>
      <c r="O117" s="568">
        <f t="shared" si="99"/>
        <v>2449004</v>
      </c>
      <c r="P117" s="569">
        <f t="shared" si="100"/>
        <v>-4.6142840109693606E-2</v>
      </c>
      <c r="Q117" s="295">
        <f t="shared" si="66"/>
        <v>0</v>
      </c>
    </row>
    <row r="118" spans="2:17" ht="175.5" x14ac:dyDescent="0.25">
      <c r="B118" s="625">
        <v>9</v>
      </c>
      <c r="C118" s="618" t="s">
        <v>1405</v>
      </c>
      <c r="D118" s="619" t="s">
        <v>390</v>
      </c>
      <c r="E118" s="619">
        <v>1</v>
      </c>
      <c r="F118" s="620">
        <v>135000000</v>
      </c>
      <c r="G118" s="619">
        <v>1</v>
      </c>
      <c r="H118" s="601">
        <f t="shared" si="98"/>
        <v>135000000</v>
      </c>
      <c r="I118" s="607">
        <v>0</v>
      </c>
      <c r="J118" s="597">
        <f t="shared" si="94"/>
        <v>135000000</v>
      </c>
      <c r="K118" s="607">
        <f t="shared" si="95"/>
        <v>135000000</v>
      </c>
      <c r="N118" s="568">
        <f>'4.1 Comparativo_Transporte'!N12</f>
        <v>129908242</v>
      </c>
      <c r="O118" s="568">
        <f t="shared" si="99"/>
        <v>129908242</v>
      </c>
      <c r="P118" s="569">
        <f t="shared" si="100"/>
        <v>3.9195034291973574E-2</v>
      </c>
      <c r="Q118" s="295">
        <f t="shared" si="66"/>
        <v>0</v>
      </c>
    </row>
    <row r="119" spans="2:17" ht="148.5" x14ac:dyDescent="0.25">
      <c r="B119" s="625">
        <v>10</v>
      </c>
      <c r="C119" s="615" t="s">
        <v>1391</v>
      </c>
      <c r="D119" s="619" t="s">
        <v>238</v>
      </c>
      <c r="E119" s="621">
        <v>1</v>
      </c>
      <c r="F119" s="597">
        <v>2000000</v>
      </c>
      <c r="G119" s="134">
        <v>1</v>
      </c>
      <c r="H119" s="571">
        <f t="shared" ref="H119:H122" si="101">F119*E119*G119</f>
        <v>2000000</v>
      </c>
      <c r="I119" s="607">
        <v>0</v>
      </c>
      <c r="J119" s="597">
        <f t="shared" si="94"/>
        <v>2000000</v>
      </c>
      <c r="K119" s="607">
        <f t="shared" si="95"/>
        <v>2000000</v>
      </c>
      <c r="N119" s="568">
        <f>'8.1 Comparativo_Tallerista'!$N$7</f>
        <v>2455526</v>
      </c>
      <c r="O119" s="568">
        <f t="shared" ref="O119" si="102">N119*G119*E119</f>
        <v>2455526</v>
      </c>
      <c r="P119" s="569">
        <f t="shared" ref="P119:P120" si="103">K119/O119-1</f>
        <v>-0.18551055863387311</v>
      </c>
      <c r="Q119" s="295">
        <f t="shared" si="66"/>
        <v>0</v>
      </c>
    </row>
    <row r="120" spans="2:17" ht="48.75" customHeight="1" x14ac:dyDescent="0.25">
      <c r="B120" s="609">
        <v>11</v>
      </c>
      <c r="C120" s="618" t="s">
        <v>1406</v>
      </c>
      <c r="D120" s="619" t="s">
        <v>238</v>
      </c>
      <c r="E120" s="621">
        <v>3</v>
      </c>
      <c r="F120" s="597">
        <v>400000</v>
      </c>
      <c r="G120" s="134">
        <v>3</v>
      </c>
      <c r="H120" s="622">
        <f t="shared" si="101"/>
        <v>3600000</v>
      </c>
      <c r="I120" s="607"/>
      <c r="J120" s="597">
        <f t="shared" si="94"/>
        <v>3600000</v>
      </c>
      <c r="K120" s="607">
        <f t="shared" si="95"/>
        <v>3600000</v>
      </c>
      <c r="N120" s="568">
        <f>'5.1 Comparativo_Viáticos'!$Q$13</f>
        <v>4596746</v>
      </c>
      <c r="O120" s="568">
        <f>N120</f>
        <v>4596746</v>
      </c>
      <c r="P120" s="569">
        <f t="shared" si="103"/>
        <v>-0.21683730186527606</v>
      </c>
      <c r="Q120" s="295">
        <f t="shared" si="66"/>
        <v>0</v>
      </c>
    </row>
    <row r="121" spans="2:17" ht="108" x14ac:dyDescent="0.25">
      <c r="B121" s="609">
        <v>12</v>
      </c>
      <c r="C121" s="612" t="s">
        <v>1393</v>
      </c>
      <c r="D121" s="619" t="s">
        <v>238</v>
      </c>
      <c r="E121" s="614">
        <v>1</v>
      </c>
      <c r="F121" s="620">
        <v>2500000</v>
      </c>
      <c r="G121" s="131">
        <v>1</v>
      </c>
      <c r="H121" s="571">
        <f t="shared" si="101"/>
        <v>2500000</v>
      </c>
      <c r="I121" s="607">
        <v>0</v>
      </c>
      <c r="J121" s="597">
        <f t="shared" si="94"/>
        <v>2500000</v>
      </c>
      <c r="K121" s="607">
        <f t="shared" si="95"/>
        <v>2500000</v>
      </c>
      <c r="N121" s="568">
        <f>'9.1 Comparativo_Sabedor'!$N$7</f>
        <v>2829639</v>
      </c>
      <c r="O121" s="568">
        <f t="shared" ref="O121" si="104">N121*G121*E121</f>
        <v>2829639</v>
      </c>
      <c r="P121" s="569">
        <f t="shared" ref="P121" si="105">K121/O121-1</f>
        <v>-0.11649507233961642</v>
      </c>
      <c r="Q121" s="295">
        <f t="shared" si="66"/>
        <v>0</v>
      </c>
    </row>
    <row r="122" spans="2:17" ht="94.5" x14ac:dyDescent="0.25">
      <c r="B122" s="626">
        <v>13</v>
      </c>
      <c r="C122" s="612" t="s">
        <v>1394</v>
      </c>
      <c r="D122" s="613" t="s">
        <v>1062</v>
      </c>
      <c r="E122" s="621">
        <v>1</v>
      </c>
      <c r="F122" s="597">
        <v>4000000</v>
      </c>
      <c r="G122" s="134">
        <v>1</v>
      </c>
      <c r="H122" s="571">
        <f t="shared" si="101"/>
        <v>4000000</v>
      </c>
      <c r="I122" s="607">
        <v>0</v>
      </c>
      <c r="J122" s="597">
        <f t="shared" si="94"/>
        <v>4000000</v>
      </c>
      <c r="K122" s="607">
        <f t="shared" si="95"/>
        <v>4000000</v>
      </c>
      <c r="N122" s="568">
        <f>'6.1 Comparativo_Grupo_Armoniz'!$N$7</f>
        <v>6875473</v>
      </c>
      <c r="O122" s="568">
        <f t="shared" ref="O122" si="106">N122*G122*E122</f>
        <v>6875473</v>
      </c>
      <c r="P122" s="569">
        <f t="shared" ref="P122" si="107">K122/O122-1</f>
        <v>-0.41822184451891531</v>
      </c>
      <c r="Q122" s="295">
        <f t="shared" si="66"/>
        <v>0</v>
      </c>
    </row>
    <row r="123" spans="2:17" ht="94.5" x14ac:dyDescent="0.25">
      <c r="B123" s="629">
        <v>14</v>
      </c>
      <c r="C123" s="624" t="s">
        <v>1395</v>
      </c>
      <c r="D123" s="605" t="s">
        <v>238</v>
      </c>
      <c r="E123" s="605">
        <v>3</v>
      </c>
      <c r="F123" s="606">
        <v>1000000</v>
      </c>
      <c r="G123" s="605">
        <v>2</v>
      </c>
      <c r="H123" s="571">
        <f t="shared" ref="H123:H124" si="108">E123*F123*G123</f>
        <v>6000000</v>
      </c>
      <c r="I123" s="607">
        <v>0</v>
      </c>
      <c r="J123" s="597">
        <f t="shared" si="94"/>
        <v>6000000</v>
      </c>
      <c r="K123" s="607">
        <f t="shared" si="95"/>
        <v>6000000</v>
      </c>
      <c r="N123" s="568">
        <f>'4.1 Comparativo_Transporte'!$N$27</f>
        <v>1188475</v>
      </c>
      <c r="O123" s="568">
        <f t="shared" ref="O123:O124" si="109">N123*G123*E123</f>
        <v>7130850</v>
      </c>
      <c r="P123" s="569">
        <f t="shared" ref="P123:P125" si="110">K123/O123-1</f>
        <v>-0.15858558236395381</v>
      </c>
      <c r="Q123" s="295">
        <f t="shared" si="66"/>
        <v>0</v>
      </c>
    </row>
    <row r="124" spans="2:17" ht="94.5" customHeight="1" x14ac:dyDescent="0.25">
      <c r="B124" s="625">
        <v>15</v>
      </c>
      <c r="C124" s="608" t="s">
        <v>1407</v>
      </c>
      <c r="D124" s="605" t="s">
        <v>396</v>
      </c>
      <c r="E124" s="605">
        <v>70</v>
      </c>
      <c r="F124" s="606">
        <v>100000</v>
      </c>
      <c r="G124" s="605">
        <v>1</v>
      </c>
      <c r="H124" s="571">
        <f t="shared" si="108"/>
        <v>7000000</v>
      </c>
      <c r="I124" s="607">
        <v>0</v>
      </c>
      <c r="J124" s="597">
        <f t="shared" si="94"/>
        <v>7000000</v>
      </c>
      <c r="K124" s="607">
        <f t="shared" si="95"/>
        <v>7000000</v>
      </c>
      <c r="N124" s="568">
        <f>'7.1 Comparativo_Kit_Herrami'!$N$7</f>
        <v>102170</v>
      </c>
      <c r="O124" s="568">
        <f t="shared" si="109"/>
        <v>7151900</v>
      </c>
      <c r="P124" s="569">
        <f t="shared" si="110"/>
        <v>-2.1239111285113021E-2</v>
      </c>
      <c r="Q124" s="295">
        <f t="shared" si="66"/>
        <v>0</v>
      </c>
    </row>
    <row r="125" spans="2:17" ht="15.75" customHeight="1" x14ac:dyDescent="0.25">
      <c r="B125" s="809" t="s">
        <v>395</v>
      </c>
      <c r="C125" s="786"/>
      <c r="D125" s="786"/>
      <c r="E125" s="787"/>
      <c r="F125" s="643">
        <f>SUM(F110:F124)</f>
        <v>153334000</v>
      </c>
      <c r="G125" s="641"/>
      <c r="H125" s="590">
        <f t="shared" ref="H125:K125" si="111">SUM(H110:H124)</f>
        <v>282982000</v>
      </c>
      <c r="I125" s="642">
        <f t="shared" si="111"/>
        <v>0</v>
      </c>
      <c r="J125" s="643">
        <f t="shared" si="111"/>
        <v>282982000</v>
      </c>
      <c r="K125" s="642">
        <f t="shared" si="111"/>
        <v>282982000</v>
      </c>
      <c r="N125" s="643">
        <f t="shared" ref="N125:O125" si="112">SUM(N110:N124)</f>
        <v>264452481</v>
      </c>
      <c r="O125" s="642">
        <f t="shared" si="112"/>
        <v>287873142</v>
      </c>
      <c r="P125" s="569">
        <f t="shared" si="110"/>
        <v>-1.6990615956802291E-2</v>
      </c>
      <c r="Q125" s="295"/>
    </row>
    <row r="126" spans="2:17" ht="16.5" customHeight="1" x14ac:dyDescent="0.25">
      <c r="B126" s="784" t="s">
        <v>1408</v>
      </c>
      <c r="C126" s="782"/>
      <c r="D126" s="782"/>
      <c r="E126" s="782"/>
      <c r="F126" s="782"/>
      <c r="G126" s="782"/>
      <c r="H126" s="782"/>
      <c r="I126" s="782"/>
      <c r="J126" s="782"/>
      <c r="K126" s="783"/>
      <c r="Q126" s="295">
        <f t="shared" si="66"/>
        <v>0</v>
      </c>
    </row>
    <row r="127" spans="2:17" ht="84.75" customHeight="1" x14ac:dyDescent="0.25">
      <c r="B127" s="604">
        <v>1</v>
      </c>
      <c r="C127" s="608" t="s">
        <v>1409</v>
      </c>
      <c r="D127" s="605" t="s">
        <v>1061</v>
      </c>
      <c r="E127" s="131">
        <v>1</v>
      </c>
      <c r="F127" s="594">
        <v>5000000</v>
      </c>
      <c r="G127" s="131">
        <v>1</v>
      </c>
      <c r="H127" s="567">
        <f t="shared" ref="H127:H129" si="113">F127*E127*G127</f>
        <v>5000000</v>
      </c>
      <c r="I127" s="607">
        <v>0</v>
      </c>
      <c r="J127" s="597">
        <f t="shared" ref="J127:J141" si="114">H127</f>
        <v>5000000</v>
      </c>
      <c r="K127" s="607">
        <f>I127+J127</f>
        <v>5000000</v>
      </c>
      <c r="N127" s="568">
        <f>'3.1 Comparativo_Logística'!$M$9</f>
        <v>4960599</v>
      </c>
      <c r="O127" s="568">
        <f t="shared" ref="O127:O130" si="115">N127*G127*E127</f>
        <v>4960599</v>
      </c>
      <c r="P127" s="569">
        <f t="shared" ref="P127:P131" si="116">K127/O127-1</f>
        <v>7.9427907799038966E-3</v>
      </c>
      <c r="Q127" s="295">
        <f t="shared" si="66"/>
        <v>0</v>
      </c>
    </row>
    <row r="128" spans="2:17" ht="31.5" customHeight="1" x14ac:dyDescent="0.25">
      <c r="B128" s="604">
        <v>2</v>
      </c>
      <c r="C128" s="608" t="s">
        <v>1383</v>
      </c>
      <c r="D128" s="611" t="s">
        <v>396</v>
      </c>
      <c r="E128" s="134">
        <v>1</v>
      </c>
      <c r="F128" s="597">
        <v>900000</v>
      </c>
      <c r="G128" s="134">
        <v>1</v>
      </c>
      <c r="H128" s="571">
        <f t="shared" si="113"/>
        <v>900000</v>
      </c>
      <c r="I128" s="607">
        <v>0</v>
      </c>
      <c r="J128" s="597">
        <f t="shared" si="114"/>
        <v>900000</v>
      </c>
      <c r="K128" s="607">
        <f t="shared" ref="K128:K141" si="117">I128+J128</f>
        <v>900000</v>
      </c>
      <c r="N128" s="568">
        <f>'3.1 Comparativo_Logística'!$M$20</f>
        <v>1176347</v>
      </c>
      <c r="O128" s="568">
        <f t="shared" si="115"/>
        <v>1176347</v>
      </c>
      <c r="P128" s="569">
        <f t="shared" si="116"/>
        <v>-0.23491962830695368</v>
      </c>
      <c r="Q128" s="295">
        <f t="shared" si="66"/>
        <v>0</v>
      </c>
    </row>
    <row r="129" spans="2:17" ht="38.25" customHeight="1" x14ac:dyDescent="0.25">
      <c r="B129" s="609">
        <v>3</v>
      </c>
      <c r="C129" s="612" t="s">
        <v>1384</v>
      </c>
      <c r="D129" s="613" t="s">
        <v>238</v>
      </c>
      <c r="E129" s="614">
        <v>4</v>
      </c>
      <c r="F129" s="600">
        <v>200000</v>
      </c>
      <c r="G129" s="599">
        <v>1</v>
      </c>
      <c r="H129" s="601">
        <f t="shared" si="113"/>
        <v>800000</v>
      </c>
      <c r="I129" s="607">
        <v>0</v>
      </c>
      <c r="J129" s="597">
        <f t="shared" si="114"/>
        <v>800000</v>
      </c>
      <c r="K129" s="607">
        <f t="shared" si="117"/>
        <v>800000</v>
      </c>
      <c r="N129" s="568">
        <f>'3.1 Comparativo_Logística'!$M$29</f>
        <v>249230</v>
      </c>
      <c r="O129" s="568">
        <f t="shared" si="115"/>
        <v>996920</v>
      </c>
      <c r="P129" s="569">
        <f t="shared" si="116"/>
        <v>-0.19752838743329459</v>
      </c>
      <c r="Q129" s="295">
        <f t="shared" si="66"/>
        <v>0</v>
      </c>
    </row>
    <row r="130" spans="2:17" ht="108" x14ac:dyDescent="0.25">
      <c r="B130" s="609">
        <v>4</v>
      </c>
      <c r="C130" s="615" t="s">
        <v>1385</v>
      </c>
      <c r="D130" s="613" t="s">
        <v>238</v>
      </c>
      <c r="E130" s="616">
        <v>1</v>
      </c>
      <c r="F130" s="617">
        <v>1600000</v>
      </c>
      <c r="G130" s="613">
        <v>1</v>
      </c>
      <c r="H130" s="571">
        <f t="shared" ref="H130:H135" si="118">E130*F130*G130</f>
        <v>1600000</v>
      </c>
      <c r="I130" s="607">
        <v>0</v>
      </c>
      <c r="J130" s="597">
        <f t="shared" si="114"/>
        <v>1600000</v>
      </c>
      <c r="K130" s="607">
        <f t="shared" si="117"/>
        <v>1600000</v>
      </c>
      <c r="N130" s="568">
        <f>'3.1 Comparativo_Logística'!$M$37</f>
        <v>2714721</v>
      </c>
      <c r="O130" s="568">
        <f t="shared" si="115"/>
        <v>2714721</v>
      </c>
      <c r="P130" s="569">
        <f t="shared" si="116"/>
        <v>-0.41062083359579127</v>
      </c>
      <c r="Q130" s="295">
        <f t="shared" si="66"/>
        <v>0</v>
      </c>
    </row>
    <row r="131" spans="2:17" ht="52.5" customHeight="1" x14ac:dyDescent="0.25">
      <c r="B131" s="604">
        <v>5</v>
      </c>
      <c r="C131" s="618" t="s">
        <v>1386</v>
      </c>
      <c r="D131" s="613" t="s">
        <v>238</v>
      </c>
      <c r="E131" s="616">
        <v>80</v>
      </c>
      <c r="F131" s="617">
        <v>500000</v>
      </c>
      <c r="G131" s="613">
        <v>3</v>
      </c>
      <c r="H131" s="571">
        <f t="shared" si="118"/>
        <v>120000000</v>
      </c>
      <c r="I131" s="607">
        <v>0</v>
      </c>
      <c r="J131" s="597">
        <f t="shared" si="114"/>
        <v>120000000</v>
      </c>
      <c r="K131" s="607">
        <f t="shared" si="117"/>
        <v>120000000</v>
      </c>
      <c r="N131" s="568">
        <f>'5.1 Comparativo_Viáticos'!$Q$21</f>
        <v>122579880</v>
      </c>
      <c r="O131" s="568">
        <f>N131</f>
        <v>122579880</v>
      </c>
      <c r="P131" s="569">
        <f t="shared" si="116"/>
        <v>-2.1046520848282735E-2</v>
      </c>
      <c r="Q131" s="295">
        <f t="shared" si="66"/>
        <v>0</v>
      </c>
    </row>
    <row r="132" spans="2:17" ht="42.75" customHeight="1" x14ac:dyDescent="0.25">
      <c r="B132" s="609">
        <v>6</v>
      </c>
      <c r="C132" s="618" t="s">
        <v>1387</v>
      </c>
      <c r="D132" s="613" t="s">
        <v>396</v>
      </c>
      <c r="E132" s="613">
        <v>83</v>
      </c>
      <c r="F132" s="617">
        <v>32000</v>
      </c>
      <c r="G132" s="613">
        <v>1</v>
      </c>
      <c r="H132" s="571">
        <f t="shared" si="118"/>
        <v>2656000</v>
      </c>
      <c r="I132" s="607">
        <v>0</v>
      </c>
      <c r="J132" s="597">
        <f t="shared" si="114"/>
        <v>2656000</v>
      </c>
      <c r="K132" s="607">
        <f t="shared" si="117"/>
        <v>2656000</v>
      </c>
      <c r="N132" s="568">
        <f>'2.1 Comparativo_Alimentación'!$M$7</f>
        <v>33548</v>
      </c>
      <c r="O132" s="568">
        <f t="shared" ref="O132:O135" si="119">N132*G132*E132</f>
        <v>2784484</v>
      </c>
      <c r="P132" s="569">
        <f t="shared" ref="P132:P135" si="120">K132/O132-1</f>
        <v>-4.6142840109693606E-2</v>
      </c>
      <c r="Q132" s="295">
        <f t="shared" si="66"/>
        <v>0</v>
      </c>
    </row>
    <row r="133" spans="2:17" ht="42" customHeight="1" x14ac:dyDescent="0.25">
      <c r="B133" s="609">
        <v>7</v>
      </c>
      <c r="C133" s="618" t="s">
        <v>1388</v>
      </c>
      <c r="D133" s="613" t="s">
        <v>396</v>
      </c>
      <c r="E133" s="613">
        <v>83</v>
      </c>
      <c r="F133" s="617">
        <v>70000</v>
      </c>
      <c r="G133" s="613">
        <v>1</v>
      </c>
      <c r="H133" s="571">
        <f t="shared" si="118"/>
        <v>5810000</v>
      </c>
      <c r="I133" s="607">
        <v>0</v>
      </c>
      <c r="J133" s="597">
        <f t="shared" si="114"/>
        <v>5810000</v>
      </c>
      <c r="K133" s="607">
        <f t="shared" si="117"/>
        <v>5810000</v>
      </c>
      <c r="N133" s="568">
        <f>'2.1 Comparativo_Alimentación'!$M$8</f>
        <v>70822</v>
      </c>
      <c r="O133" s="568">
        <f t="shared" si="119"/>
        <v>5878226</v>
      </c>
      <c r="P133" s="569">
        <f t="shared" si="120"/>
        <v>-1.1606562932422126E-2</v>
      </c>
      <c r="Q133" s="295">
        <f t="shared" si="66"/>
        <v>0</v>
      </c>
    </row>
    <row r="134" spans="2:17" ht="45.75" customHeight="1" x14ac:dyDescent="0.25">
      <c r="B134" s="609">
        <v>8</v>
      </c>
      <c r="C134" s="618" t="s">
        <v>1389</v>
      </c>
      <c r="D134" s="613" t="s">
        <v>396</v>
      </c>
      <c r="E134" s="613">
        <v>83</v>
      </c>
      <c r="F134" s="617">
        <v>32000</v>
      </c>
      <c r="G134" s="613">
        <v>1</v>
      </c>
      <c r="H134" s="571">
        <f t="shared" si="118"/>
        <v>2656000</v>
      </c>
      <c r="I134" s="607">
        <v>0</v>
      </c>
      <c r="J134" s="597">
        <f t="shared" si="114"/>
        <v>2656000</v>
      </c>
      <c r="K134" s="607">
        <f t="shared" si="117"/>
        <v>2656000</v>
      </c>
      <c r="N134" s="568">
        <f>'2.1 Comparativo_Alimentación'!$M$9</f>
        <v>33548</v>
      </c>
      <c r="O134" s="568">
        <f t="shared" si="119"/>
        <v>2784484</v>
      </c>
      <c r="P134" s="569">
        <f t="shared" si="120"/>
        <v>-4.6142840109693606E-2</v>
      </c>
      <c r="Q134" s="295">
        <f t="shared" si="66"/>
        <v>0</v>
      </c>
    </row>
    <row r="135" spans="2:17" ht="175.5" x14ac:dyDescent="0.25">
      <c r="B135" s="604">
        <v>9</v>
      </c>
      <c r="C135" s="618" t="s">
        <v>1390</v>
      </c>
      <c r="D135" s="619" t="s">
        <v>390</v>
      </c>
      <c r="E135" s="619">
        <v>1</v>
      </c>
      <c r="F135" s="620">
        <v>150000000</v>
      </c>
      <c r="G135" s="619">
        <v>1</v>
      </c>
      <c r="H135" s="601">
        <f t="shared" si="118"/>
        <v>150000000</v>
      </c>
      <c r="I135" s="607">
        <v>0</v>
      </c>
      <c r="J135" s="597">
        <f t="shared" si="114"/>
        <v>150000000</v>
      </c>
      <c r="K135" s="607">
        <f t="shared" si="117"/>
        <v>150000000</v>
      </c>
      <c r="N135" s="568">
        <f>'4.1 Comparativo_Transporte'!N14</f>
        <v>148466563</v>
      </c>
      <c r="O135" s="568">
        <f t="shared" si="119"/>
        <v>148466563</v>
      </c>
      <c r="P135" s="569">
        <f t="shared" si="120"/>
        <v>1.0328500700861554E-2</v>
      </c>
      <c r="Q135" s="295">
        <f t="shared" si="66"/>
        <v>0</v>
      </c>
    </row>
    <row r="136" spans="2:17" ht="148.5" x14ac:dyDescent="0.25">
      <c r="B136" s="604">
        <v>10</v>
      </c>
      <c r="C136" s="615" t="s">
        <v>1391</v>
      </c>
      <c r="D136" s="619" t="s">
        <v>238</v>
      </c>
      <c r="E136" s="621">
        <v>1</v>
      </c>
      <c r="F136" s="597">
        <v>2000000</v>
      </c>
      <c r="G136" s="134">
        <v>1</v>
      </c>
      <c r="H136" s="571">
        <f t="shared" ref="H136:H139" si="121">F136*E136*G136</f>
        <v>2000000</v>
      </c>
      <c r="I136" s="607">
        <v>0</v>
      </c>
      <c r="J136" s="597">
        <f t="shared" si="114"/>
        <v>2000000</v>
      </c>
      <c r="K136" s="607">
        <f t="shared" si="117"/>
        <v>2000000</v>
      </c>
      <c r="N136" s="568">
        <f>'8.1 Comparativo_Tallerista'!$N$7</f>
        <v>2455526</v>
      </c>
      <c r="O136" s="568">
        <f t="shared" ref="O136" si="122">N136*G136*E136</f>
        <v>2455526</v>
      </c>
      <c r="P136" s="569">
        <f t="shared" ref="P136:P137" si="123">K136/O136-1</f>
        <v>-0.18551055863387311</v>
      </c>
      <c r="Q136" s="295">
        <f t="shared" si="66"/>
        <v>0</v>
      </c>
    </row>
    <row r="137" spans="2:17" ht="52.5" customHeight="1" x14ac:dyDescent="0.25">
      <c r="B137" s="609">
        <v>11</v>
      </c>
      <c r="C137" s="618" t="s">
        <v>1392</v>
      </c>
      <c r="D137" s="619" t="s">
        <v>238</v>
      </c>
      <c r="E137" s="621">
        <v>3</v>
      </c>
      <c r="F137" s="597">
        <v>400000</v>
      </c>
      <c r="G137" s="134">
        <v>3</v>
      </c>
      <c r="H137" s="622">
        <f t="shared" si="121"/>
        <v>3600000</v>
      </c>
      <c r="I137" s="607"/>
      <c r="J137" s="597">
        <f t="shared" si="114"/>
        <v>3600000</v>
      </c>
      <c r="K137" s="607">
        <f t="shared" si="117"/>
        <v>3600000</v>
      </c>
      <c r="N137" s="568">
        <f>'5.1 Comparativo_Viáticos'!$Q$13</f>
        <v>4596746</v>
      </c>
      <c r="O137" s="568">
        <f>N137</f>
        <v>4596746</v>
      </c>
      <c r="P137" s="569">
        <f t="shared" si="123"/>
        <v>-0.21683730186527606</v>
      </c>
      <c r="Q137" s="295">
        <f t="shared" si="66"/>
        <v>0</v>
      </c>
    </row>
    <row r="138" spans="2:17" ht="108" x14ac:dyDescent="0.25">
      <c r="B138" s="609">
        <v>12</v>
      </c>
      <c r="C138" s="612" t="s">
        <v>1393</v>
      </c>
      <c r="D138" s="619" t="s">
        <v>238</v>
      </c>
      <c r="E138" s="614">
        <v>1</v>
      </c>
      <c r="F138" s="620">
        <v>2500000</v>
      </c>
      <c r="G138" s="131">
        <v>1</v>
      </c>
      <c r="H138" s="571">
        <f t="shared" si="121"/>
        <v>2500000</v>
      </c>
      <c r="I138" s="607">
        <v>0</v>
      </c>
      <c r="J138" s="597">
        <f t="shared" si="114"/>
        <v>2500000</v>
      </c>
      <c r="K138" s="607">
        <f t="shared" si="117"/>
        <v>2500000</v>
      </c>
      <c r="N138" s="568">
        <f>'9.1 Comparativo_Sabedor'!$N$7</f>
        <v>2829639</v>
      </c>
      <c r="O138" s="568">
        <f t="shared" ref="O138" si="124">N138*G138*E138</f>
        <v>2829639</v>
      </c>
      <c r="P138" s="569">
        <f t="shared" ref="P138" si="125">K138/O138-1</f>
        <v>-0.11649507233961642</v>
      </c>
      <c r="Q138" s="295">
        <f t="shared" si="66"/>
        <v>0</v>
      </c>
    </row>
    <row r="139" spans="2:17" ht="94.5" x14ac:dyDescent="0.25">
      <c r="B139" s="609">
        <v>13</v>
      </c>
      <c r="C139" s="612" t="s">
        <v>1394</v>
      </c>
      <c r="D139" s="613" t="s">
        <v>1062</v>
      </c>
      <c r="E139" s="621">
        <v>1</v>
      </c>
      <c r="F139" s="597">
        <v>4000000</v>
      </c>
      <c r="G139" s="134">
        <v>1</v>
      </c>
      <c r="H139" s="571">
        <f t="shared" si="121"/>
        <v>4000000</v>
      </c>
      <c r="I139" s="607">
        <v>0</v>
      </c>
      <c r="J139" s="597">
        <f t="shared" si="114"/>
        <v>4000000</v>
      </c>
      <c r="K139" s="607">
        <f t="shared" si="117"/>
        <v>4000000</v>
      </c>
      <c r="N139" s="568">
        <f>'6.1 Comparativo_Grupo_Armoniz'!$N$7</f>
        <v>6875473</v>
      </c>
      <c r="O139" s="568">
        <f t="shared" ref="O139" si="126">N139*G139*E139</f>
        <v>6875473</v>
      </c>
      <c r="P139" s="569">
        <f t="shared" ref="P139" si="127">K139/O139-1</f>
        <v>-0.41822184451891531</v>
      </c>
      <c r="Q139" s="295">
        <f t="shared" si="66"/>
        <v>0</v>
      </c>
    </row>
    <row r="140" spans="2:17" ht="94.5" x14ac:dyDescent="0.25">
      <c r="B140" s="610">
        <v>14</v>
      </c>
      <c r="C140" s="624" t="s">
        <v>1395</v>
      </c>
      <c r="D140" s="605" t="s">
        <v>238</v>
      </c>
      <c r="E140" s="605">
        <v>3</v>
      </c>
      <c r="F140" s="606">
        <v>1000000</v>
      </c>
      <c r="G140" s="605">
        <v>2</v>
      </c>
      <c r="H140" s="571">
        <f t="shared" ref="H140:H141" si="128">E140*F140*G140</f>
        <v>6000000</v>
      </c>
      <c r="I140" s="607">
        <v>0</v>
      </c>
      <c r="J140" s="597">
        <f t="shared" si="114"/>
        <v>6000000</v>
      </c>
      <c r="K140" s="607">
        <f t="shared" si="117"/>
        <v>6000000</v>
      </c>
      <c r="N140" s="568">
        <f>'4.1 Comparativo_Transporte'!$N$27</f>
        <v>1188475</v>
      </c>
      <c r="O140" s="568">
        <f t="shared" ref="O140:O141" si="129">N140*G140*E140</f>
        <v>7130850</v>
      </c>
      <c r="P140" s="569">
        <f t="shared" ref="P140:P142" si="130">K140/O140-1</f>
        <v>-0.15858558236395381</v>
      </c>
      <c r="Q140" s="295">
        <f t="shared" si="66"/>
        <v>0</v>
      </c>
    </row>
    <row r="141" spans="2:17" ht="90" customHeight="1" x14ac:dyDescent="0.25">
      <c r="B141" s="604">
        <v>15</v>
      </c>
      <c r="C141" s="608" t="s">
        <v>1410</v>
      </c>
      <c r="D141" s="605" t="s">
        <v>396</v>
      </c>
      <c r="E141" s="605">
        <v>80</v>
      </c>
      <c r="F141" s="606">
        <v>100000</v>
      </c>
      <c r="G141" s="605">
        <v>1</v>
      </c>
      <c r="H141" s="571">
        <f t="shared" si="128"/>
        <v>8000000</v>
      </c>
      <c r="I141" s="607">
        <v>0</v>
      </c>
      <c r="J141" s="597">
        <f t="shared" si="114"/>
        <v>8000000</v>
      </c>
      <c r="K141" s="607">
        <f t="shared" si="117"/>
        <v>8000000</v>
      </c>
      <c r="N141" s="568">
        <f>'7.1 Comparativo_Kit_Herrami'!$N$7</f>
        <v>102170</v>
      </c>
      <c r="O141" s="568">
        <f t="shared" si="129"/>
        <v>8173600</v>
      </c>
      <c r="P141" s="569">
        <f t="shared" si="130"/>
        <v>-2.1239111285113021E-2</v>
      </c>
      <c r="Q141" s="295">
        <f t="shared" ref="Q141:Q204" si="131">+E141*F141*G141-H141</f>
        <v>0</v>
      </c>
    </row>
    <row r="142" spans="2:17" ht="15.75" customHeight="1" x14ac:dyDescent="0.25">
      <c r="B142" s="809" t="s">
        <v>397</v>
      </c>
      <c r="C142" s="786"/>
      <c r="D142" s="786"/>
      <c r="E142" s="787"/>
      <c r="F142" s="643">
        <f>SUM(F127:F141)</f>
        <v>168334000</v>
      </c>
      <c r="G142" s="641"/>
      <c r="H142" s="590">
        <f t="shared" ref="H142:K142" si="132">SUM(H127:H141)</f>
        <v>315522000</v>
      </c>
      <c r="I142" s="642">
        <f t="shared" si="132"/>
        <v>0</v>
      </c>
      <c r="J142" s="643">
        <f t="shared" si="132"/>
        <v>315522000</v>
      </c>
      <c r="K142" s="642">
        <f t="shared" si="132"/>
        <v>315522000</v>
      </c>
      <c r="N142" s="643">
        <f t="shared" ref="N142:O142" si="133">SUM(N127:N141)</f>
        <v>298333287</v>
      </c>
      <c r="O142" s="642">
        <f t="shared" si="133"/>
        <v>324404058</v>
      </c>
      <c r="P142" s="569">
        <f t="shared" si="130"/>
        <v>-2.7379614345021563E-2</v>
      </c>
      <c r="Q142" s="295"/>
    </row>
    <row r="143" spans="2:17" ht="15.75" customHeight="1" x14ac:dyDescent="0.25">
      <c r="B143" s="784" t="s">
        <v>1411</v>
      </c>
      <c r="C143" s="782"/>
      <c r="D143" s="782"/>
      <c r="E143" s="782"/>
      <c r="F143" s="782"/>
      <c r="G143" s="782"/>
      <c r="H143" s="782"/>
      <c r="I143" s="782"/>
      <c r="J143" s="782"/>
      <c r="K143" s="783"/>
      <c r="Q143" s="295">
        <f t="shared" si="131"/>
        <v>0</v>
      </c>
    </row>
    <row r="144" spans="2:17" ht="69.75" customHeight="1" x14ac:dyDescent="0.25">
      <c r="B144" s="604">
        <v>1</v>
      </c>
      <c r="C144" s="608" t="s">
        <v>1412</v>
      </c>
      <c r="D144" s="605" t="s">
        <v>1061</v>
      </c>
      <c r="E144" s="131">
        <v>1</v>
      </c>
      <c r="F144" s="594">
        <v>5000000</v>
      </c>
      <c r="G144" s="131">
        <v>1</v>
      </c>
      <c r="H144" s="567">
        <f t="shared" ref="H144:H146" si="134">F144*E144*G144</f>
        <v>5000000</v>
      </c>
      <c r="I144" s="607">
        <v>0</v>
      </c>
      <c r="J144" s="597">
        <f t="shared" ref="J144:J158" si="135">H144</f>
        <v>5000000</v>
      </c>
      <c r="K144" s="607">
        <f t="shared" ref="K144:K158" si="136">I144+J144</f>
        <v>5000000</v>
      </c>
      <c r="N144" s="568">
        <f>'3.1 Comparativo_Logística'!$M$9</f>
        <v>4960599</v>
      </c>
      <c r="O144" s="568">
        <f t="shared" ref="O144:O147" si="137">N144*G144*E144</f>
        <v>4960599</v>
      </c>
      <c r="P144" s="569">
        <f t="shared" ref="P144:P148" si="138">K144/O144-1</f>
        <v>7.9427907799038966E-3</v>
      </c>
      <c r="Q144" s="295">
        <f t="shared" si="131"/>
        <v>0</v>
      </c>
    </row>
    <row r="145" spans="2:17" ht="27.75" customHeight="1" x14ac:dyDescent="0.25">
      <c r="B145" s="604">
        <v>2</v>
      </c>
      <c r="C145" s="608" t="s">
        <v>1383</v>
      </c>
      <c r="D145" s="611" t="s">
        <v>396</v>
      </c>
      <c r="E145" s="134">
        <v>1</v>
      </c>
      <c r="F145" s="597">
        <v>900000</v>
      </c>
      <c r="G145" s="134">
        <v>1</v>
      </c>
      <c r="H145" s="571">
        <f t="shared" si="134"/>
        <v>900000</v>
      </c>
      <c r="I145" s="607">
        <v>0</v>
      </c>
      <c r="J145" s="597">
        <f t="shared" si="135"/>
        <v>900000</v>
      </c>
      <c r="K145" s="607">
        <f t="shared" si="136"/>
        <v>900000</v>
      </c>
      <c r="N145" s="568">
        <f>'3.1 Comparativo_Logística'!$M$20</f>
        <v>1176347</v>
      </c>
      <c r="O145" s="568">
        <f t="shared" si="137"/>
        <v>1176347</v>
      </c>
      <c r="P145" s="569">
        <f t="shared" si="138"/>
        <v>-0.23491962830695368</v>
      </c>
      <c r="Q145" s="295">
        <f t="shared" si="131"/>
        <v>0</v>
      </c>
    </row>
    <row r="146" spans="2:17" ht="43.5" customHeight="1" x14ac:dyDescent="0.25">
      <c r="B146" s="609">
        <v>3</v>
      </c>
      <c r="C146" s="612" t="s">
        <v>1384</v>
      </c>
      <c r="D146" s="613" t="s">
        <v>238</v>
      </c>
      <c r="E146" s="614">
        <v>4</v>
      </c>
      <c r="F146" s="600">
        <v>200000</v>
      </c>
      <c r="G146" s="599">
        <v>1</v>
      </c>
      <c r="H146" s="601">
        <f t="shared" si="134"/>
        <v>800000</v>
      </c>
      <c r="I146" s="607">
        <v>0</v>
      </c>
      <c r="J146" s="597">
        <f t="shared" si="135"/>
        <v>800000</v>
      </c>
      <c r="K146" s="607">
        <f t="shared" si="136"/>
        <v>800000</v>
      </c>
      <c r="N146" s="568">
        <f>'3.1 Comparativo_Logística'!$M$29</f>
        <v>249230</v>
      </c>
      <c r="O146" s="568">
        <f t="shared" si="137"/>
        <v>996920</v>
      </c>
      <c r="P146" s="569">
        <f t="shared" si="138"/>
        <v>-0.19752838743329459</v>
      </c>
      <c r="Q146" s="295">
        <f t="shared" si="131"/>
        <v>0</v>
      </c>
    </row>
    <row r="147" spans="2:17" ht="108" x14ac:dyDescent="0.25">
      <c r="B147" s="609">
        <v>4</v>
      </c>
      <c r="C147" s="615" t="s">
        <v>1385</v>
      </c>
      <c r="D147" s="613" t="s">
        <v>238</v>
      </c>
      <c r="E147" s="616">
        <v>1</v>
      </c>
      <c r="F147" s="617">
        <v>1600000</v>
      </c>
      <c r="G147" s="613">
        <v>1</v>
      </c>
      <c r="H147" s="571">
        <f t="shared" ref="H147:H152" si="139">E147*F147*G147</f>
        <v>1600000</v>
      </c>
      <c r="I147" s="607">
        <v>0</v>
      </c>
      <c r="J147" s="597">
        <f t="shared" si="135"/>
        <v>1600000</v>
      </c>
      <c r="K147" s="607">
        <f t="shared" si="136"/>
        <v>1600000</v>
      </c>
      <c r="N147" s="568">
        <f>'3.1 Comparativo_Logística'!$M$37</f>
        <v>2714721</v>
      </c>
      <c r="O147" s="568">
        <f t="shared" si="137"/>
        <v>2714721</v>
      </c>
      <c r="P147" s="569">
        <f t="shared" si="138"/>
        <v>-0.41062083359579127</v>
      </c>
      <c r="Q147" s="295">
        <f t="shared" si="131"/>
        <v>0</v>
      </c>
    </row>
    <row r="148" spans="2:17" ht="94.5" x14ac:dyDescent="0.25">
      <c r="B148" s="604">
        <v>5</v>
      </c>
      <c r="C148" s="618" t="s">
        <v>1386</v>
      </c>
      <c r="D148" s="613" t="s">
        <v>238</v>
      </c>
      <c r="E148" s="616">
        <v>80</v>
      </c>
      <c r="F148" s="617">
        <v>500000</v>
      </c>
      <c r="G148" s="613">
        <v>3</v>
      </c>
      <c r="H148" s="571">
        <f t="shared" si="139"/>
        <v>120000000</v>
      </c>
      <c r="I148" s="607">
        <v>0</v>
      </c>
      <c r="J148" s="597">
        <f t="shared" si="135"/>
        <v>120000000</v>
      </c>
      <c r="K148" s="607">
        <f t="shared" si="136"/>
        <v>120000000</v>
      </c>
      <c r="N148" s="568">
        <f>'5.1 Comparativo_Viáticos'!$Q$21</f>
        <v>122579880</v>
      </c>
      <c r="O148" s="568">
        <f>N148</f>
        <v>122579880</v>
      </c>
      <c r="P148" s="569">
        <f t="shared" si="138"/>
        <v>-2.1046520848282735E-2</v>
      </c>
      <c r="Q148" s="295">
        <f t="shared" si="131"/>
        <v>0</v>
      </c>
    </row>
    <row r="149" spans="2:17" ht="81" x14ac:dyDescent="0.25">
      <c r="B149" s="609">
        <v>6</v>
      </c>
      <c r="C149" s="618" t="s">
        <v>1387</v>
      </c>
      <c r="D149" s="613" t="s">
        <v>396</v>
      </c>
      <c r="E149" s="613">
        <v>83</v>
      </c>
      <c r="F149" s="617">
        <v>32000</v>
      </c>
      <c r="G149" s="613">
        <v>1</v>
      </c>
      <c r="H149" s="571">
        <f t="shared" si="139"/>
        <v>2656000</v>
      </c>
      <c r="I149" s="607">
        <v>0</v>
      </c>
      <c r="J149" s="597">
        <f t="shared" si="135"/>
        <v>2656000</v>
      </c>
      <c r="K149" s="607">
        <f t="shared" si="136"/>
        <v>2656000</v>
      </c>
      <c r="N149" s="568">
        <f>'2.1 Comparativo_Alimentación'!$M$7</f>
        <v>33548</v>
      </c>
      <c r="O149" s="568">
        <f t="shared" ref="O149:O152" si="140">N149*G149*E149</f>
        <v>2784484</v>
      </c>
      <c r="P149" s="569">
        <f t="shared" ref="P149:P152" si="141">K149/O149-1</f>
        <v>-4.6142840109693606E-2</v>
      </c>
      <c r="Q149" s="295">
        <f t="shared" si="131"/>
        <v>0</v>
      </c>
    </row>
    <row r="150" spans="2:17" ht="67.5" x14ac:dyDescent="0.25">
      <c r="B150" s="609">
        <v>7</v>
      </c>
      <c r="C150" s="618" t="s">
        <v>1388</v>
      </c>
      <c r="D150" s="613" t="s">
        <v>396</v>
      </c>
      <c r="E150" s="613">
        <v>83</v>
      </c>
      <c r="F150" s="617">
        <v>70000</v>
      </c>
      <c r="G150" s="613">
        <v>1</v>
      </c>
      <c r="H150" s="571">
        <f t="shared" si="139"/>
        <v>5810000</v>
      </c>
      <c r="I150" s="607">
        <v>0</v>
      </c>
      <c r="J150" s="597">
        <f t="shared" si="135"/>
        <v>5810000</v>
      </c>
      <c r="K150" s="607">
        <f t="shared" si="136"/>
        <v>5810000</v>
      </c>
      <c r="N150" s="568">
        <f>'2.1 Comparativo_Alimentación'!$M$8</f>
        <v>70822</v>
      </c>
      <c r="O150" s="568">
        <f t="shared" si="140"/>
        <v>5878226</v>
      </c>
      <c r="P150" s="569">
        <f t="shared" si="141"/>
        <v>-1.1606562932422126E-2</v>
      </c>
      <c r="Q150" s="295">
        <f t="shared" si="131"/>
        <v>0</v>
      </c>
    </row>
    <row r="151" spans="2:17" ht="81" x14ac:dyDescent="0.25">
      <c r="B151" s="609">
        <v>8</v>
      </c>
      <c r="C151" s="618" t="s">
        <v>1413</v>
      </c>
      <c r="D151" s="613" t="s">
        <v>396</v>
      </c>
      <c r="E151" s="613">
        <v>83</v>
      </c>
      <c r="F151" s="617">
        <v>32000</v>
      </c>
      <c r="G151" s="613">
        <v>1</v>
      </c>
      <c r="H151" s="571">
        <f t="shared" si="139"/>
        <v>2656000</v>
      </c>
      <c r="I151" s="607">
        <v>0</v>
      </c>
      <c r="J151" s="597">
        <f t="shared" si="135"/>
        <v>2656000</v>
      </c>
      <c r="K151" s="607">
        <f t="shared" si="136"/>
        <v>2656000</v>
      </c>
      <c r="N151" s="568">
        <f>'2.1 Comparativo_Alimentación'!$M$9</f>
        <v>33548</v>
      </c>
      <c r="O151" s="568">
        <f t="shared" si="140"/>
        <v>2784484</v>
      </c>
      <c r="P151" s="569">
        <f t="shared" si="141"/>
        <v>-4.6142840109693606E-2</v>
      </c>
      <c r="Q151" s="295">
        <f t="shared" si="131"/>
        <v>0</v>
      </c>
    </row>
    <row r="152" spans="2:17" ht="175.5" x14ac:dyDescent="0.25">
      <c r="B152" s="604">
        <v>9</v>
      </c>
      <c r="C152" s="618" t="s">
        <v>1390</v>
      </c>
      <c r="D152" s="619" t="s">
        <v>390</v>
      </c>
      <c r="E152" s="619">
        <v>1</v>
      </c>
      <c r="F152" s="620">
        <v>150000000</v>
      </c>
      <c r="G152" s="619">
        <v>1</v>
      </c>
      <c r="H152" s="601">
        <f t="shared" si="139"/>
        <v>150000000</v>
      </c>
      <c r="I152" s="607">
        <v>0</v>
      </c>
      <c r="J152" s="597">
        <f t="shared" si="135"/>
        <v>150000000</v>
      </c>
      <c r="K152" s="607">
        <f t="shared" si="136"/>
        <v>150000000</v>
      </c>
      <c r="N152" s="568">
        <f>'4.1 Comparativo_Transporte'!N16</f>
        <v>148466563</v>
      </c>
      <c r="O152" s="568">
        <f t="shared" si="140"/>
        <v>148466563</v>
      </c>
      <c r="P152" s="569">
        <f t="shared" si="141"/>
        <v>1.0328500700861554E-2</v>
      </c>
      <c r="Q152" s="295">
        <f t="shared" si="131"/>
        <v>0</v>
      </c>
    </row>
    <row r="153" spans="2:17" ht="148.5" x14ac:dyDescent="0.25">
      <c r="B153" s="604">
        <v>10</v>
      </c>
      <c r="C153" s="615" t="s">
        <v>1391</v>
      </c>
      <c r="D153" s="619" t="s">
        <v>238</v>
      </c>
      <c r="E153" s="621">
        <v>1</v>
      </c>
      <c r="F153" s="597">
        <v>2000000</v>
      </c>
      <c r="G153" s="134">
        <v>1</v>
      </c>
      <c r="H153" s="571">
        <f t="shared" ref="H153:H156" si="142">F153*E153*G153</f>
        <v>2000000</v>
      </c>
      <c r="I153" s="607">
        <v>0</v>
      </c>
      <c r="J153" s="597">
        <f t="shared" si="135"/>
        <v>2000000</v>
      </c>
      <c r="K153" s="607">
        <f t="shared" si="136"/>
        <v>2000000</v>
      </c>
      <c r="N153" s="568">
        <f>'8.1 Comparativo_Tallerista'!$N$7</f>
        <v>2455526</v>
      </c>
      <c r="O153" s="568">
        <f t="shared" ref="O153" si="143">N153*G153*E153</f>
        <v>2455526</v>
      </c>
      <c r="P153" s="569">
        <f t="shared" ref="P153:P154" si="144">K153/O153-1</f>
        <v>-0.18551055863387311</v>
      </c>
      <c r="Q153" s="295">
        <f t="shared" si="131"/>
        <v>0</v>
      </c>
    </row>
    <row r="154" spans="2:17" ht="48" customHeight="1" x14ac:dyDescent="0.25">
      <c r="B154" s="609">
        <v>11</v>
      </c>
      <c r="C154" s="618" t="s">
        <v>1392</v>
      </c>
      <c r="D154" s="619" t="s">
        <v>238</v>
      </c>
      <c r="E154" s="621">
        <v>3</v>
      </c>
      <c r="F154" s="597">
        <v>400000</v>
      </c>
      <c r="G154" s="134">
        <v>3</v>
      </c>
      <c r="H154" s="622">
        <f t="shared" si="142"/>
        <v>3600000</v>
      </c>
      <c r="I154" s="607"/>
      <c r="J154" s="597">
        <f t="shared" si="135"/>
        <v>3600000</v>
      </c>
      <c r="K154" s="607">
        <f t="shared" si="136"/>
        <v>3600000</v>
      </c>
      <c r="N154" s="568">
        <f>'5.1 Comparativo_Viáticos'!$Q$13</f>
        <v>4596746</v>
      </c>
      <c r="O154" s="568">
        <f>N154</f>
        <v>4596746</v>
      </c>
      <c r="P154" s="569">
        <f t="shared" si="144"/>
        <v>-0.21683730186527606</v>
      </c>
      <c r="Q154" s="295">
        <f t="shared" si="131"/>
        <v>0</v>
      </c>
    </row>
    <row r="155" spans="2:17" ht="108" x14ac:dyDescent="0.25">
      <c r="B155" s="609">
        <v>12</v>
      </c>
      <c r="C155" s="612" t="s">
        <v>1393</v>
      </c>
      <c r="D155" s="619" t="s">
        <v>238</v>
      </c>
      <c r="E155" s="614">
        <v>1</v>
      </c>
      <c r="F155" s="620">
        <v>2500000</v>
      </c>
      <c r="G155" s="131">
        <v>1</v>
      </c>
      <c r="H155" s="571">
        <f t="shared" si="142"/>
        <v>2500000</v>
      </c>
      <c r="I155" s="607">
        <v>0</v>
      </c>
      <c r="J155" s="597">
        <f t="shared" si="135"/>
        <v>2500000</v>
      </c>
      <c r="K155" s="607">
        <f t="shared" si="136"/>
        <v>2500000</v>
      </c>
      <c r="N155" s="568">
        <f>'9.1 Comparativo_Sabedor'!$N$7</f>
        <v>2829639</v>
      </c>
      <c r="O155" s="568">
        <f t="shared" ref="O155" si="145">N155*G155*E155</f>
        <v>2829639</v>
      </c>
      <c r="P155" s="569">
        <f t="shared" ref="P155" si="146">K155/O155-1</f>
        <v>-0.11649507233961642</v>
      </c>
      <c r="Q155" s="295">
        <f t="shared" si="131"/>
        <v>0</v>
      </c>
    </row>
    <row r="156" spans="2:17" ht="94.5" x14ac:dyDescent="0.25">
      <c r="B156" s="609">
        <v>13</v>
      </c>
      <c r="C156" s="612" t="s">
        <v>1394</v>
      </c>
      <c r="D156" s="613" t="s">
        <v>1062</v>
      </c>
      <c r="E156" s="621">
        <v>1</v>
      </c>
      <c r="F156" s="597">
        <v>4000000</v>
      </c>
      <c r="G156" s="134">
        <v>1</v>
      </c>
      <c r="H156" s="571">
        <f t="shared" si="142"/>
        <v>4000000</v>
      </c>
      <c r="I156" s="607">
        <v>0</v>
      </c>
      <c r="J156" s="597">
        <f t="shared" si="135"/>
        <v>4000000</v>
      </c>
      <c r="K156" s="607">
        <f t="shared" si="136"/>
        <v>4000000</v>
      </c>
      <c r="N156" s="568">
        <f>'6.1 Comparativo_Grupo_Armoniz'!$N$7</f>
        <v>6875473</v>
      </c>
      <c r="O156" s="568">
        <f t="shared" ref="O156" si="147">N156*G156*E156</f>
        <v>6875473</v>
      </c>
      <c r="P156" s="569">
        <f t="shared" ref="P156" si="148">K156/O156-1</f>
        <v>-0.41822184451891531</v>
      </c>
      <c r="Q156" s="295">
        <f t="shared" si="131"/>
        <v>0</v>
      </c>
    </row>
    <row r="157" spans="2:17" ht="94.5" x14ac:dyDescent="0.25">
      <c r="B157" s="610">
        <v>14</v>
      </c>
      <c r="C157" s="624" t="s">
        <v>1395</v>
      </c>
      <c r="D157" s="605" t="s">
        <v>238</v>
      </c>
      <c r="E157" s="605">
        <v>3</v>
      </c>
      <c r="F157" s="606">
        <v>1000000</v>
      </c>
      <c r="G157" s="605">
        <v>2</v>
      </c>
      <c r="H157" s="571">
        <f t="shared" ref="H157:H158" si="149">E157*F157*G157</f>
        <v>6000000</v>
      </c>
      <c r="I157" s="607">
        <v>0</v>
      </c>
      <c r="J157" s="597">
        <f t="shared" si="135"/>
        <v>6000000</v>
      </c>
      <c r="K157" s="607">
        <f t="shared" si="136"/>
        <v>6000000</v>
      </c>
      <c r="N157" s="568">
        <f>'4.1 Comparativo_Transporte'!$N$27</f>
        <v>1188475</v>
      </c>
      <c r="O157" s="568">
        <f t="shared" ref="O157:O158" si="150">N157*G157*E157</f>
        <v>7130850</v>
      </c>
      <c r="P157" s="569">
        <f t="shared" ref="P157:P160" si="151">K157/O157-1</f>
        <v>-0.15858558236395381</v>
      </c>
      <c r="Q157" s="295">
        <f t="shared" si="131"/>
        <v>0</v>
      </c>
    </row>
    <row r="158" spans="2:17" ht="93" customHeight="1" x14ac:dyDescent="0.25">
      <c r="B158" s="604">
        <v>15</v>
      </c>
      <c r="C158" s="608" t="s">
        <v>1410</v>
      </c>
      <c r="D158" s="605" t="s">
        <v>396</v>
      </c>
      <c r="E158" s="605">
        <v>80</v>
      </c>
      <c r="F158" s="606">
        <v>100000</v>
      </c>
      <c r="G158" s="605">
        <v>1</v>
      </c>
      <c r="H158" s="571">
        <f t="shared" si="149"/>
        <v>8000000</v>
      </c>
      <c r="I158" s="607">
        <v>0</v>
      </c>
      <c r="J158" s="597">
        <f t="shared" si="135"/>
        <v>8000000</v>
      </c>
      <c r="K158" s="607">
        <f t="shared" si="136"/>
        <v>8000000</v>
      </c>
      <c r="N158" s="568">
        <f>'7.1 Comparativo_Kit_Herrami'!$N$7</f>
        <v>102170</v>
      </c>
      <c r="O158" s="568">
        <f t="shared" si="150"/>
        <v>8173600</v>
      </c>
      <c r="P158" s="569">
        <f t="shared" si="151"/>
        <v>-2.1239111285113021E-2</v>
      </c>
      <c r="Q158" s="295">
        <f t="shared" si="131"/>
        <v>0</v>
      </c>
    </row>
    <row r="159" spans="2:17" ht="15.75" customHeight="1" x14ac:dyDescent="0.25">
      <c r="B159" s="814" t="s">
        <v>398</v>
      </c>
      <c r="C159" s="782"/>
      <c r="D159" s="782"/>
      <c r="E159" s="783"/>
      <c r="F159" s="685">
        <f>SUM(F144:F158)</f>
        <v>168334000</v>
      </c>
      <c r="G159" s="677"/>
      <c r="H159" s="687">
        <f t="shared" ref="H159:K159" si="152">SUM(H144:H158)</f>
        <v>315522000</v>
      </c>
      <c r="I159" s="679">
        <f t="shared" si="152"/>
        <v>0</v>
      </c>
      <c r="J159" s="685">
        <f t="shared" si="152"/>
        <v>315522000</v>
      </c>
      <c r="K159" s="679">
        <f t="shared" si="152"/>
        <v>315522000</v>
      </c>
      <c r="N159" s="643">
        <f t="shared" ref="N159:O159" si="153">SUM(N144:N158)</f>
        <v>298333287</v>
      </c>
      <c r="O159" s="642">
        <f t="shared" si="153"/>
        <v>324404058</v>
      </c>
      <c r="P159" s="569">
        <f t="shared" si="151"/>
        <v>-2.7379614345021563E-2</v>
      </c>
      <c r="Q159" s="295"/>
    </row>
    <row r="160" spans="2:17" ht="15.75" customHeight="1" x14ac:dyDescent="0.25">
      <c r="B160" s="785" t="s">
        <v>399</v>
      </c>
      <c r="C160" s="786"/>
      <c r="D160" s="786"/>
      <c r="E160" s="787"/>
      <c r="F160" s="688">
        <f>F108+F125+F142+F159</f>
        <v>658336000</v>
      </c>
      <c r="G160" s="689"/>
      <c r="H160" s="690">
        <f t="shared" ref="H160:K160" si="154">H108+H125+H142+H159</f>
        <v>1229548000</v>
      </c>
      <c r="I160" s="691">
        <f t="shared" si="154"/>
        <v>0</v>
      </c>
      <c r="J160" s="688">
        <f t="shared" si="154"/>
        <v>1229548000</v>
      </c>
      <c r="K160" s="691">
        <f t="shared" si="154"/>
        <v>1229548000</v>
      </c>
      <c r="N160" s="688">
        <f t="shared" ref="N160:O160" si="155">N108+N125+N142+N159</f>
        <v>1159452342</v>
      </c>
      <c r="O160" s="691">
        <f t="shared" si="155"/>
        <v>1261085316</v>
      </c>
      <c r="P160" s="569">
        <f t="shared" si="151"/>
        <v>-2.5008074870011443E-2</v>
      </c>
      <c r="Q160" s="295"/>
    </row>
    <row r="161" spans="2:17" ht="13.5" x14ac:dyDescent="0.25">
      <c r="B161" s="813" t="s">
        <v>400</v>
      </c>
      <c r="C161" s="782"/>
      <c r="D161" s="782"/>
      <c r="E161" s="782"/>
      <c r="F161" s="782"/>
      <c r="G161" s="782"/>
      <c r="H161" s="782"/>
      <c r="I161" s="782"/>
      <c r="J161" s="782"/>
      <c r="K161" s="783"/>
      <c r="Q161" s="295">
        <f t="shared" si="131"/>
        <v>0</v>
      </c>
    </row>
    <row r="162" spans="2:17" ht="20.25" customHeight="1" x14ac:dyDescent="0.25">
      <c r="B162" s="805" t="s">
        <v>1414</v>
      </c>
      <c r="C162" s="782"/>
      <c r="D162" s="782"/>
      <c r="E162" s="782"/>
      <c r="F162" s="782"/>
      <c r="G162" s="782"/>
      <c r="H162" s="782"/>
      <c r="I162" s="782"/>
      <c r="J162" s="782"/>
      <c r="K162" s="783"/>
      <c r="Q162" s="295">
        <f t="shared" si="131"/>
        <v>0</v>
      </c>
    </row>
    <row r="163" spans="2:17" ht="50.25" customHeight="1" x14ac:dyDescent="0.25">
      <c r="B163" s="593">
        <v>1</v>
      </c>
      <c r="C163" s="608" t="s">
        <v>1415</v>
      </c>
      <c r="D163" s="131" t="s">
        <v>1061</v>
      </c>
      <c r="E163" s="131">
        <v>1</v>
      </c>
      <c r="F163" s="594">
        <v>3500000</v>
      </c>
      <c r="G163" s="630">
        <v>1</v>
      </c>
      <c r="H163" s="567">
        <f t="shared" ref="H163:H165" si="156">F163*E163*G163</f>
        <v>3500000</v>
      </c>
      <c r="I163" s="607">
        <v>0</v>
      </c>
      <c r="J163" s="597">
        <f t="shared" ref="J163:J176" si="157">H163</f>
        <v>3500000</v>
      </c>
      <c r="K163" s="607">
        <f t="shared" ref="K163:K176" si="158">I163+J163</f>
        <v>3500000</v>
      </c>
      <c r="N163" s="568">
        <f>'3.1 Comparativo_Logística'!$M$7</f>
        <v>3585068</v>
      </c>
      <c r="O163" s="568">
        <f t="shared" ref="O163:O171" si="159">N163*G163*E163</f>
        <v>3585068</v>
      </c>
      <c r="P163" s="569">
        <f t="shared" ref="P163:P171" si="160">K163/O163-1</f>
        <v>-2.3728420214065626E-2</v>
      </c>
      <c r="Q163" s="295">
        <f t="shared" si="131"/>
        <v>0</v>
      </c>
    </row>
    <row r="164" spans="2:17" ht="27.75" customHeight="1" x14ac:dyDescent="0.25">
      <c r="B164" s="595">
        <v>2</v>
      </c>
      <c r="C164" s="608" t="s">
        <v>1416</v>
      </c>
      <c r="D164" s="631" t="s">
        <v>396</v>
      </c>
      <c r="E164" s="134">
        <v>1</v>
      </c>
      <c r="F164" s="597">
        <v>900000</v>
      </c>
      <c r="G164" s="632">
        <v>1</v>
      </c>
      <c r="H164" s="571">
        <f t="shared" si="156"/>
        <v>900000</v>
      </c>
      <c r="I164" s="607">
        <v>0</v>
      </c>
      <c r="J164" s="597">
        <f t="shared" si="157"/>
        <v>900000</v>
      </c>
      <c r="K164" s="607">
        <f t="shared" si="158"/>
        <v>900000</v>
      </c>
      <c r="N164" s="568">
        <f>'3.1 Comparativo_Logística'!$M$20</f>
        <v>1176347</v>
      </c>
      <c r="O164" s="568">
        <f t="shared" si="159"/>
        <v>1176347</v>
      </c>
      <c r="P164" s="569">
        <f t="shared" si="160"/>
        <v>-0.23491962830695368</v>
      </c>
      <c r="Q164" s="295">
        <f t="shared" si="131"/>
        <v>0</v>
      </c>
    </row>
    <row r="165" spans="2:17" ht="39" customHeight="1" x14ac:dyDescent="0.25">
      <c r="B165" s="570">
        <v>3</v>
      </c>
      <c r="C165" s="608" t="s">
        <v>1417</v>
      </c>
      <c r="D165" s="611" t="s">
        <v>238</v>
      </c>
      <c r="E165" s="599">
        <v>2</v>
      </c>
      <c r="F165" s="600">
        <v>200000</v>
      </c>
      <c r="G165" s="633">
        <v>1</v>
      </c>
      <c r="H165" s="571">
        <f t="shared" si="156"/>
        <v>400000</v>
      </c>
      <c r="I165" s="607">
        <v>0</v>
      </c>
      <c r="J165" s="597">
        <f t="shared" si="157"/>
        <v>400000</v>
      </c>
      <c r="K165" s="607">
        <f t="shared" si="158"/>
        <v>400000</v>
      </c>
      <c r="N165" s="568">
        <f>'3.1 Comparativo_Logística'!$M$29</f>
        <v>249230</v>
      </c>
      <c r="O165" s="568">
        <f t="shared" si="159"/>
        <v>498460</v>
      </c>
      <c r="P165" s="569">
        <f t="shared" si="160"/>
        <v>-0.19752838743329459</v>
      </c>
      <c r="Q165" s="295">
        <f t="shared" si="131"/>
        <v>0</v>
      </c>
    </row>
    <row r="166" spans="2:17" ht="108" x14ac:dyDescent="0.25">
      <c r="B166" s="570">
        <v>4</v>
      </c>
      <c r="C166" s="615" t="s">
        <v>1385</v>
      </c>
      <c r="D166" s="613" t="s">
        <v>238</v>
      </c>
      <c r="E166" s="613">
        <v>1</v>
      </c>
      <c r="F166" s="617">
        <v>1600000</v>
      </c>
      <c r="G166" s="634">
        <v>1</v>
      </c>
      <c r="H166" s="571">
        <f t="shared" ref="H166:H170" si="161">E166*F166*G166</f>
        <v>1600000</v>
      </c>
      <c r="I166" s="607">
        <v>0</v>
      </c>
      <c r="J166" s="597">
        <f t="shared" si="157"/>
        <v>1600000</v>
      </c>
      <c r="K166" s="607">
        <f t="shared" si="158"/>
        <v>1600000</v>
      </c>
      <c r="N166" s="568">
        <f>'3.1 Comparativo_Logística'!$M$37</f>
        <v>2714721</v>
      </c>
      <c r="O166" s="568">
        <f t="shared" si="159"/>
        <v>2714721</v>
      </c>
      <c r="P166" s="569">
        <f t="shared" si="160"/>
        <v>-0.41062083359579127</v>
      </c>
      <c r="Q166" s="295">
        <f t="shared" si="131"/>
        <v>0</v>
      </c>
    </row>
    <row r="167" spans="2:17" ht="47.25" customHeight="1" x14ac:dyDescent="0.25">
      <c r="B167" s="570">
        <v>5</v>
      </c>
      <c r="C167" s="618" t="s">
        <v>1418</v>
      </c>
      <c r="D167" s="613" t="s">
        <v>396</v>
      </c>
      <c r="E167" s="613">
        <v>53</v>
      </c>
      <c r="F167" s="617">
        <v>32000</v>
      </c>
      <c r="G167" s="634">
        <v>1</v>
      </c>
      <c r="H167" s="571">
        <f t="shared" si="161"/>
        <v>1696000</v>
      </c>
      <c r="I167" s="607">
        <v>0</v>
      </c>
      <c r="J167" s="597">
        <f t="shared" si="157"/>
        <v>1696000</v>
      </c>
      <c r="K167" s="607">
        <f t="shared" si="158"/>
        <v>1696000</v>
      </c>
      <c r="N167" s="568">
        <f>'2.1 Comparativo_Alimentación'!$M$7</f>
        <v>33548</v>
      </c>
      <c r="O167" s="568">
        <f t="shared" si="159"/>
        <v>1778044</v>
      </c>
      <c r="P167" s="569">
        <f t="shared" si="160"/>
        <v>-4.6142840109693606E-2</v>
      </c>
      <c r="Q167" s="295">
        <f t="shared" si="131"/>
        <v>0</v>
      </c>
    </row>
    <row r="168" spans="2:17" ht="67.5" x14ac:dyDescent="0.25">
      <c r="B168" s="570">
        <v>6</v>
      </c>
      <c r="C168" s="618" t="s">
        <v>1419</v>
      </c>
      <c r="D168" s="613" t="s">
        <v>396</v>
      </c>
      <c r="E168" s="613">
        <v>53</v>
      </c>
      <c r="F168" s="617">
        <v>70000</v>
      </c>
      <c r="G168" s="634">
        <v>1</v>
      </c>
      <c r="H168" s="571">
        <f t="shared" si="161"/>
        <v>3710000</v>
      </c>
      <c r="I168" s="607">
        <v>0</v>
      </c>
      <c r="J168" s="597">
        <f t="shared" si="157"/>
        <v>3710000</v>
      </c>
      <c r="K168" s="607">
        <f t="shared" si="158"/>
        <v>3710000</v>
      </c>
      <c r="N168" s="568">
        <f>'2.1 Comparativo_Alimentación'!$M$8</f>
        <v>70822</v>
      </c>
      <c r="O168" s="568">
        <f t="shared" si="159"/>
        <v>3753566</v>
      </c>
      <c r="P168" s="569">
        <f t="shared" si="160"/>
        <v>-1.1606562932422126E-2</v>
      </c>
      <c r="Q168" s="295">
        <f t="shared" si="131"/>
        <v>0</v>
      </c>
    </row>
    <row r="169" spans="2:17" ht="53.25" customHeight="1" x14ac:dyDescent="0.25">
      <c r="B169" s="570">
        <v>7</v>
      </c>
      <c r="C169" s="618" t="s">
        <v>1420</v>
      </c>
      <c r="D169" s="613" t="s">
        <v>396</v>
      </c>
      <c r="E169" s="613">
        <v>53</v>
      </c>
      <c r="F169" s="617">
        <v>32000</v>
      </c>
      <c r="G169" s="634">
        <v>1</v>
      </c>
      <c r="H169" s="571">
        <f t="shared" si="161"/>
        <v>1696000</v>
      </c>
      <c r="I169" s="607">
        <v>0</v>
      </c>
      <c r="J169" s="597">
        <f t="shared" si="157"/>
        <v>1696000</v>
      </c>
      <c r="K169" s="607">
        <f t="shared" si="158"/>
        <v>1696000</v>
      </c>
      <c r="N169" s="568">
        <f>'2.1 Comparativo_Alimentación'!$M$9</f>
        <v>33548</v>
      </c>
      <c r="O169" s="568">
        <f t="shared" si="159"/>
        <v>1778044</v>
      </c>
      <c r="P169" s="569">
        <f t="shared" si="160"/>
        <v>-4.6142840109693606E-2</v>
      </c>
      <c r="Q169" s="295">
        <f t="shared" si="131"/>
        <v>0</v>
      </c>
    </row>
    <row r="170" spans="2:17" ht="148.5" x14ac:dyDescent="0.25">
      <c r="B170" s="595">
        <v>8</v>
      </c>
      <c r="C170" s="615" t="s">
        <v>1391</v>
      </c>
      <c r="D170" s="619" t="s">
        <v>238</v>
      </c>
      <c r="E170" s="614">
        <v>1</v>
      </c>
      <c r="F170" s="600">
        <v>2000000</v>
      </c>
      <c r="G170" s="632">
        <v>1</v>
      </c>
      <c r="H170" s="571">
        <f t="shared" si="161"/>
        <v>2000000</v>
      </c>
      <c r="I170" s="607">
        <v>0</v>
      </c>
      <c r="J170" s="597">
        <f t="shared" si="157"/>
        <v>2000000</v>
      </c>
      <c r="K170" s="607">
        <f t="shared" si="158"/>
        <v>2000000</v>
      </c>
      <c r="N170" s="568">
        <f>'8.1 Comparativo_Tallerista'!$N$7</f>
        <v>2455526</v>
      </c>
      <c r="O170" s="568">
        <f t="shared" si="159"/>
        <v>2455526</v>
      </c>
      <c r="P170" s="569">
        <f t="shared" si="160"/>
        <v>-0.18551055863387311</v>
      </c>
      <c r="Q170" s="295">
        <f t="shared" si="131"/>
        <v>0</v>
      </c>
    </row>
    <row r="171" spans="2:17" ht="108" x14ac:dyDescent="0.25">
      <c r="B171" s="564">
        <v>9</v>
      </c>
      <c r="C171" s="618" t="s">
        <v>1393</v>
      </c>
      <c r="D171" s="619" t="s">
        <v>238</v>
      </c>
      <c r="E171" s="614">
        <v>1</v>
      </c>
      <c r="F171" s="620">
        <v>2500000</v>
      </c>
      <c r="G171" s="131">
        <v>1</v>
      </c>
      <c r="H171" s="571">
        <f>F171*E171*G171</f>
        <v>2500000</v>
      </c>
      <c r="I171" s="607">
        <v>0</v>
      </c>
      <c r="J171" s="597">
        <f t="shared" si="157"/>
        <v>2500000</v>
      </c>
      <c r="K171" s="607">
        <f t="shared" si="158"/>
        <v>2500000</v>
      </c>
      <c r="N171" s="568">
        <f>'9.1 Comparativo_Sabedor'!$N$7</f>
        <v>2829639</v>
      </c>
      <c r="O171" s="568">
        <f t="shared" si="159"/>
        <v>2829639</v>
      </c>
      <c r="P171" s="569">
        <f t="shared" si="160"/>
        <v>-0.11649507233961642</v>
      </c>
      <c r="Q171" s="295">
        <f t="shared" si="131"/>
        <v>0</v>
      </c>
    </row>
    <row r="172" spans="2:17" ht="94.5" x14ac:dyDescent="0.25">
      <c r="B172" s="564">
        <v>10</v>
      </c>
      <c r="C172" s="612" t="s">
        <v>1394</v>
      </c>
      <c r="D172" s="599" t="s">
        <v>1062</v>
      </c>
      <c r="E172" s="614">
        <v>1</v>
      </c>
      <c r="F172" s="635">
        <v>4000000</v>
      </c>
      <c r="G172" s="632">
        <v>1</v>
      </c>
      <c r="H172" s="636">
        <f>E172*F172*G172</f>
        <v>4000000</v>
      </c>
      <c r="I172" s="637">
        <v>0</v>
      </c>
      <c r="J172" s="638">
        <f t="shared" si="157"/>
        <v>4000000</v>
      </c>
      <c r="K172" s="637">
        <f t="shared" si="158"/>
        <v>4000000</v>
      </c>
      <c r="N172" s="568">
        <f>'6.1 Comparativo_Grupo_Armoniz'!$N$7</f>
        <v>6875473</v>
      </c>
      <c r="O172" s="568">
        <f t="shared" ref="O172" si="162">N172*G172*E172</f>
        <v>6875473</v>
      </c>
      <c r="P172" s="569">
        <f t="shared" ref="P172" si="163">K172/O172-1</f>
        <v>-0.41822184451891531</v>
      </c>
      <c r="Q172" s="295">
        <f t="shared" si="131"/>
        <v>0</v>
      </c>
    </row>
    <row r="173" spans="2:17" ht="94.5" x14ac:dyDescent="0.25">
      <c r="B173" s="593">
        <v>11</v>
      </c>
      <c r="C173" s="618" t="s">
        <v>1421</v>
      </c>
      <c r="D173" s="619" t="s">
        <v>1063</v>
      </c>
      <c r="E173" s="621">
        <v>50</v>
      </c>
      <c r="F173" s="597">
        <v>500000</v>
      </c>
      <c r="G173" s="134">
        <v>3</v>
      </c>
      <c r="H173" s="622">
        <f t="shared" ref="H173:H175" si="164">F173*E173*G173</f>
        <v>75000000</v>
      </c>
      <c r="I173" s="607">
        <v>0</v>
      </c>
      <c r="J173" s="597">
        <f t="shared" si="157"/>
        <v>75000000</v>
      </c>
      <c r="K173" s="607">
        <f t="shared" si="158"/>
        <v>75000000</v>
      </c>
      <c r="N173" s="104">
        <f>'5.1 Comparativo_Viáticos'!$Q$15</f>
        <v>76612425</v>
      </c>
      <c r="O173" s="104">
        <f>N173</f>
        <v>76612425</v>
      </c>
      <c r="P173" s="438">
        <f>K173/O173-1</f>
        <v>-2.1046520848282735E-2</v>
      </c>
      <c r="Q173" s="295">
        <f t="shared" si="131"/>
        <v>0</v>
      </c>
    </row>
    <row r="174" spans="2:17" ht="81" x14ac:dyDescent="0.25">
      <c r="B174" s="570">
        <v>12</v>
      </c>
      <c r="C174" s="618" t="s">
        <v>1392</v>
      </c>
      <c r="D174" s="613" t="s">
        <v>238</v>
      </c>
      <c r="E174" s="621">
        <v>3</v>
      </c>
      <c r="F174" s="617">
        <v>400000</v>
      </c>
      <c r="G174" s="134">
        <v>3</v>
      </c>
      <c r="H174" s="622">
        <f t="shared" si="164"/>
        <v>3600000</v>
      </c>
      <c r="I174" s="607">
        <v>0</v>
      </c>
      <c r="J174" s="597">
        <f t="shared" si="157"/>
        <v>3600000</v>
      </c>
      <c r="K174" s="607">
        <f t="shared" si="158"/>
        <v>3600000</v>
      </c>
      <c r="N174" s="568">
        <f>'5.1 Comparativo_Viáticos'!$Q$13</f>
        <v>4596746</v>
      </c>
      <c r="O174" s="568">
        <f>N174</f>
        <v>4596746</v>
      </c>
      <c r="P174" s="569">
        <f t="shared" ref="P174" si="165">K174/O174-1</f>
        <v>-0.21683730186527606</v>
      </c>
      <c r="Q174" s="295">
        <f t="shared" si="131"/>
        <v>0</v>
      </c>
    </row>
    <row r="175" spans="2:17" ht="94.5" x14ac:dyDescent="0.25">
      <c r="B175" s="629">
        <v>13</v>
      </c>
      <c r="C175" s="624" t="s">
        <v>1395</v>
      </c>
      <c r="D175" s="613" t="s">
        <v>238</v>
      </c>
      <c r="E175" s="639">
        <v>3</v>
      </c>
      <c r="F175" s="617">
        <v>1000000</v>
      </c>
      <c r="G175" s="621">
        <v>2</v>
      </c>
      <c r="H175" s="622">
        <f t="shared" si="164"/>
        <v>6000000</v>
      </c>
      <c r="I175" s="607">
        <v>0</v>
      </c>
      <c r="J175" s="597">
        <f t="shared" si="157"/>
        <v>6000000</v>
      </c>
      <c r="K175" s="607">
        <f t="shared" si="158"/>
        <v>6000000</v>
      </c>
      <c r="N175" s="568">
        <f>'4.1 Comparativo_Transporte'!$N$27</f>
        <v>1188475</v>
      </c>
      <c r="O175" s="568">
        <f t="shared" ref="O175:O176" si="166">N175*G175*E175</f>
        <v>7130850</v>
      </c>
      <c r="P175" s="569">
        <f t="shared" ref="P175:P177" si="167">K175/O175-1</f>
        <v>-0.15858558236395381</v>
      </c>
      <c r="Q175" s="295">
        <f t="shared" si="131"/>
        <v>0</v>
      </c>
    </row>
    <row r="176" spans="2:17" ht="90.75" customHeight="1" x14ac:dyDescent="0.25">
      <c r="B176" s="593">
        <v>14</v>
      </c>
      <c r="C176" s="608" t="s">
        <v>1422</v>
      </c>
      <c r="D176" s="605" t="s">
        <v>396</v>
      </c>
      <c r="E176" s="640">
        <v>50</v>
      </c>
      <c r="F176" s="617">
        <v>100000</v>
      </c>
      <c r="G176" s="640">
        <v>1</v>
      </c>
      <c r="H176" s="567">
        <f>E176*F176*G176</f>
        <v>5000000</v>
      </c>
      <c r="I176" s="607">
        <v>0</v>
      </c>
      <c r="J176" s="597">
        <f t="shared" si="157"/>
        <v>5000000</v>
      </c>
      <c r="K176" s="607">
        <f t="shared" si="158"/>
        <v>5000000</v>
      </c>
      <c r="N176" s="568">
        <f>'7.1 Comparativo_Kit_Herrami'!$N$7</f>
        <v>102170</v>
      </c>
      <c r="O176" s="568">
        <f t="shared" si="166"/>
        <v>5108500</v>
      </c>
      <c r="P176" s="569">
        <f t="shared" si="167"/>
        <v>-2.1239111285113021E-2</v>
      </c>
      <c r="Q176" s="295">
        <f t="shared" si="131"/>
        <v>0</v>
      </c>
    </row>
    <row r="177" spans="2:17" ht="15.75" customHeight="1" x14ac:dyDescent="0.25">
      <c r="B177" s="809" t="s">
        <v>401</v>
      </c>
      <c r="C177" s="786"/>
      <c r="D177" s="786"/>
      <c r="E177" s="787"/>
      <c r="F177" s="588">
        <f>SUM(F163:F176)</f>
        <v>16834000</v>
      </c>
      <c r="G177" s="641"/>
      <c r="H177" s="590">
        <f t="shared" ref="H177:K177" si="168">SUM(H163:H176)</f>
        <v>111602000</v>
      </c>
      <c r="I177" s="642">
        <f t="shared" si="168"/>
        <v>0</v>
      </c>
      <c r="J177" s="643">
        <f t="shared" si="168"/>
        <v>111602000</v>
      </c>
      <c r="K177" s="642">
        <f t="shared" si="168"/>
        <v>111602000</v>
      </c>
      <c r="N177" s="643">
        <f t="shared" ref="N177:O177" si="169">SUM(N163:N176)</f>
        <v>102523738</v>
      </c>
      <c r="O177" s="642">
        <f t="shared" si="169"/>
        <v>120893409</v>
      </c>
      <c r="P177" s="569">
        <f t="shared" si="167"/>
        <v>-7.6856208099814638E-2</v>
      </c>
      <c r="Q177" s="295"/>
    </row>
    <row r="178" spans="2:17" ht="15.75" customHeight="1" x14ac:dyDescent="0.25">
      <c r="B178" s="784" t="s">
        <v>1423</v>
      </c>
      <c r="C178" s="782"/>
      <c r="D178" s="782"/>
      <c r="E178" s="782"/>
      <c r="F178" s="782"/>
      <c r="G178" s="782"/>
      <c r="H178" s="782"/>
      <c r="I178" s="782"/>
      <c r="J178" s="782"/>
      <c r="K178" s="783"/>
      <c r="Q178" s="295">
        <f t="shared" si="131"/>
        <v>0</v>
      </c>
    </row>
    <row r="179" spans="2:17" ht="54.75" customHeight="1" x14ac:dyDescent="0.25">
      <c r="B179" s="593">
        <v>1</v>
      </c>
      <c r="C179" s="608" t="s">
        <v>1424</v>
      </c>
      <c r="D179" s="131" t="s">
        <v>1061</v>
      </c>
      <c r="E179" s="131">
        <v>1</v>
      </c>
      <c r="F179" s="594">
        <v>3500000</v>
      </c>
      <c r="G179" s="630">
        <v>1</v>
      </c>
      <c r="H179" s="567">
        <f t="shared" ref="H179:H181" si="170">F179*E179*G179</f>
        <v>3500000</v>
      </c>
      <c r="I179" s="607">
        <v>0</v>
      </c>
      <c r="J179" s="597">
        <f t="shared" ref="J179:J192" si="171">H179</f>
        <v>3500000</v>
      </c>
      <c r="K179" s="607">
        <f t="shared" ref="K179:K192" si="172">I179+J179</f>
        <v>3500000</v>
      </c>
      <c r="N179" s="568">
        <f>'3.1 Comparativo_Logística'!$M$7</f>
        <v>3585068</v>
      </c>
      <c r="O179" s="568">
        <f t="shared" ref="O179:O187" si="173">N179*G179*E179</f>
        <v>3585068</v>
      </c>
      <c r="P179" s="569">
        <f t="shared" ref="P179:P187" si="174">K179/O179-1</f>
        <v>-2.3728420214065626E-2</v>
      </c>
      <c r="Q179" s="295">
        <f t="shared" si="131"/>
        <v>0</v>
      </c>
    </row>
    <row r="180" spans="2:17" ht="28.5" customHeight="1" x14ac:dyDescent="0.25">
      <c r="B180" s="595">
        <v>2</v>
      </c>
      <c r="C180" s="608" t="s">
        <v>1416</v>
      </c>
      <c r="D180" s="631" t="s">
        <v>396</v>
      </c>
      <c r="E180" s="134">
        <v>1</v>
      </c>
      <c r="F180" s="597">
        <v>900000</v>
      </c>
      <c r="G180" s="632">
        <v>1</v>
      </c>
      <c r="H180" s="571">
        <f t="shared" si="170"/>
        <v>900000</v>
      </c>
      <c r="I180" s="607">
        <v>0</v>
      </c>
      <c r="J180" s="597">
        <f t="shared" si="171"/>
        <v>900000</v>
      </c>
      <c r="K180" s="607">
        <f t="shared" si="172"/>
        <v>900000</v>
      </c>
      <c r="N180" s="568">
        <f>'3.1 Comparativo_Logística'!$M$20</f>
        <v>1176347</v>
      </c>
      <c r="O180" s="568">
        <f t="shared" si="173"/>
        <v>1176347</v>
      </c>
      <c r="P180" s="569">
        <f t="shared" si="174"/>
        <v>-0.23491962830695368</v>
      </c>
      <c r="Q180" s="295">
        <f t="shared" si="131"/>
        <v>0</v>
      </c>
    </row>
    <row r="181" spans="2:17" ht="36.75" customHeight="1" x14ac:dyDescent="0.25">
      <c r="B181" s="570">
        <v>3</v>
      </c>
      <c r="C181" s="608" t="s">
        <v>1417</v>
      </c>
      <c r="D181" s="611" t="s">
        <v>238</v>
      </c>
      <c r="E181" s="599">
        <v>2</v>
      </c>
      <c r="F181" s="600">
        <v>200000</v>
      </c>
      <c r="G181" s="633">
        <v>1</v>
      </c>
      <c r="H181" s="571">
        <f t="shared" si="170"/>
        <v>400000</v>
      </c>
      <c r="I181" s="607">
        <v>0</v>
      </c>
      <c r="J181" s="597">
        <f t="shared" si="171"/>
        <v>400000</v>
      </c>
      <c r="K181" s="607">
        <f t="shared" si="172"/>
        <v>400000</v>
      </c>
      <c r="N181" s="568">
        <f>'3.1 Comparativo_Logística'!$M$29</f>
        <v>249230</v>
      </c>
      <c r="O181" s="568">
        <f t="shared" si="173"/>
        <v>498460</v>
      </c>
      <c r="P181" s="569">
        <f t="shared" si="174"/>
        <v>-0.19752838743329459</v>
      </c>
      <c r="Q181" s="295">
        <f t="shared" si="131"/>
        <v>0</v>
      </c>
    </row>
    <row r="182" spans="2:17" ht="108" x14ac:dyDescent="0.25">
      <c r="B182" s="564">
        <v>4</v>
      </c>
      <c r="C182" s="615" t="s">
        <v>1385</v>
      </c>
      <c r="D182" s="613" t="s">
        <v>238</v>
      </c>
      <c r="E182" s="613">
        <v>1</v>
      </c>
      <c r="F182" s="617">
        <v>1600000</v>
      </c>
      <c r="G182" s="634">
        <v>1</v>
      </c>
      <c r="H182" s="571">
        <f t="shared" ref="H182:H186" si="175">E182*F182*G182</f>
        <v>1600000</v>
      </c>
      <c r="I182" s="607">
        <v>0</v>
      </c>
      <c r="J182" s="597">
        <f t="shared" si="171"/>
        <v>1600000</v>
      </c>
      <c r="K182" s="607">
        <f t="shared" si="172"/>
        <v>1600000</v>
      </c>
      <c r="N182" s="568">
        <f>'3.1 Comparativo_Logística'!$M$37</f>
        <v>2714721</v>
      </c>
      <c r="O182" s="568">
        <f t="shared" si="173"/>
        <v>2714721</v>
      </c>
      <c r="P182" s="569">
        <f t="shared" si="174"/>
        <v>-0.41062083359579127</v>
      </c>
      <c r="Q182" s="295">
        <f t="shared" si="131"/>
        <v>0</v>
      </c>
    </row>
    <row r="183" spans="2:17" ht="44.25" customHeight="1" x14ac:dyDescent="0.25">
      <c r="B183" s="570">
        <v>5</v>
      </c>
      <c r="C183" s="618" t="s">
        <v>1418</v>
      </c>
      <c r="D183" s="613" t="s">
        <v>396</v>
      </c>
      <c r="E183" s="613">
        <v>53</v>
      </c>
      <c r="F183" s="617">
        <v>32000</v>
      </c>
      <c r="G183" s="634">
        <v>1</v>
      </c>
      <c r="H183" s="571">
        <f t="shared" si="175"/>
        <v>1696000</v>
      </c>
      <c r="I183" s="607">
        <v>0</v>
      </c>
      <c r="J183" s="597">
        <f t="shared" si="171"/>
        <v>1696000</v>
      </c>
      <c r="K183" s="607">
        <f t="shared" si="172"/>
        <v>1696000</v>
      </c>
      <c r="N183" s="568">
        <f>'2.1 Comparativo_Alimentación'!$M$7</f>
        <v>33548</v>
      </c>
      <c r="O183" s="568">
        <f t="shared" si="173"/>
        <v>1778044</v>
      </c>
      <c r="P183" s="569">
        <f t="shared" si="174"/>
        <v>-4.6142840109693606E-2</v>
      </c>
      <c r="Q183" s="295">
        <f t="shared" si="131"/>
        <v>0</v>
      </c>
    </row>
    <row r="184" spans="2:17" ht="37.5" customHeight="1" x14ac:dyDescent="0.25">
      <c r="B184" s="564">
        <v>6</v>
      </c>
      <c r="C184" s="618" t="s">
        <v>1419</v>
      </c>
      <c r="D184" s="613" t="s">
        <v>396</v>
      </c>
      <c r="E184" s="613">
        <v>53</v>
      </c>
      <c r="F184" s="617">
        <v>70000</v>
      </c>
      <c r="G184" s="634">
        <v>1</v>
      </c>
      <c r="H184" s="571">
        <f t="shared" si="175"/>
        <v>3710000</v>
      </c>
      <c r="I184" s="607">
        <v>0</v>
      </c>
      <c r="J184" s="597">
        <f t="shared" si="171"/>
        <v>3710000</v>
      </c>
      <c r="K184" s="607">
        <f t="shared" si="172"/>
        <v>3710000</v>
      </c>
      <c r="N184" s="568">
        <f>'2.1 Comparativo_Alimentación'!$M$8</f>
        <v>70822</v>
      </c>
      <c r="O184" s="568">
        <f t="shared" si="173"/>
        <v>3753566</v>
      </c>
      <c r="P184" s="569">
        <f t="shared" si="174"/>
        <v>-1.1606562932422126E-2</v>
      </c>
      <c r="Q184" s="295">
        <f t="shared" si="131"/>
        <v>0</v>
      </c>
    </row>
    <row r="185" spans="2:17" ht="43.5" customHeight="1" x14ac:dyDescent="0.25">
      <c r="B185" s="570">
        <v>7</v>
      </c>
      <c r="C185" s="618" t="s">
        <v>1420</v>
      </c>
      <c r="D185" s="613" t="s">
        <v>396</v>
      </c>
      <c r="E185" s="613">
        <v>53</v>
      </c>
      <c r="F185" s="617">
        <v>32000</v>
      </c>
      <c r="G185" s="634">
        <v>1</v>
      </c>
      <c r="H185" s="571">
        <f t="shared" si="175"/>
        <v>1696000</v>
      </c>
      <c r="I185" s="607">
        <v>0</v>
      </c>
      <c r="J185" s="597">
        <f t="shared" si="171"/>
        <v>1696000</v>
      </c>
      <c r="K185" s="607">
        <f t="shared" si="172"/>
        <v>1696000</v>
      </c>
      <c r="N185" s="568">
        <f>'2.1 Comparativo_Alimentación'!$M$9</f>
        <v>33548</v>
      </c>
      <c r="O185" s="568">
        <f t="shared" si="173"/>
        <v>1778044</v>
      </c>
      <c r="P185" s="569">
        <f t="shared" si="174"/>
        <v>-4.6142840109693606E-2</v>
      </c>
      <c r="Q185" s="295">
        <f t="shared" si="131"/>
        <v>0</v>
      </c>
    </row>
    <row r="186" spans="2:17" ht="148.5" x14ac:dyDescent="0.25">
      <c r="B186" s="595">
        <v>8</v>
      </c>
      <c r="C186" s="615" t="s">
        <v>1391</v>
      </c>
      <c r="D186" s="619" t="s">
        <v>238</v>
      </c>
      <c r="E186" s="614">
        <v>1</v>
      </c>
      <c r="F186" s="600">
        <v>2000000</v>
      </c>
      <c r="G186" s="632">
        <v>1</v>
      </c>
      <c r="H186" s="571">
        <f t="shared" si="175"/>
        <v>2000000</v>
      </c>
      <c r="I186" s="607">
        <v>0</v>
      </c>
      <c r="J186" s="597">
        <f t="shared" si="171"/>
        <v>2000000</v>
      </c>
      <c r="K186" s="607">
        <f t="shared" si="172"/>
        <v>2000000</v>
      </c>
      <c r="N186" s="568">
        <f>'8.1 Comparativo_Tallerista'!$N$7</f>
        <v>2455526</v>
      </c>
      <c r="O186" s="568">
        <f t="shared" si="173"/>
        <v>2455526</v>
      </c>
      <c r="P186" s="569">
        <f t="shared" si="174"/>
        <v>-0.18551055863387311</v>
      </c>
      <c r="Q186" s="295">
        <f t="shared" si="131"/>
        <v>0</v>
      </c>
    </row>
    <row r="187" spans="2:17" ht="108" x14ac:dyDescent="0.25">
      <c r="B187" s="570">
        <v>9</v>
      </c>
      <c r="C187" s="618" t="s">
        <v>1393</v>
      </c>
      <c r="D187" s="619" t="s">
        <v>238</v>
      </c>
      <c r="E187" s="614">
        <v>1</v>
      </c>
      <c r="F187" s="620">
        <v>2500000</v>
      </c>
      <c r="G187" s="131">
        <v>1</v>
      </c>
      <c r="H187" s="571">
        <f>F187*E187*G187</f>
        <v>2500000</v>
      </c>
      <c r="I187" s="607">
        <v>0</v>
      </c>
      <c r="J187" s="597">
        <f t="shared" si="171"/>
        <v>2500000</v>
      </c>
      <c r="K187" s="607">
        <f t="shared" si="172"/>
        <v>2500000</v>
      </c>
      <c r="N187" s="568">
        <f>'9.1 Comparativo_Sabedor'!$N$7</f>
        <v>2829639</v>
      </c>
      <c r="O187" s="568">
        <f t="shared" si="173"/>
        <v>2829639</v>
      </c>
      <c r="P187" s="569">
        <f t="shared" si="174"/>
        <v>-0.11649507233961642</v>
      </c>
      <c r="Q187" s="295">
        <f t="shared" si="131"/>
        <v>0</v>
      </c>
    </row>
    <row r="188" spans="2:17" ht="94.5" x14ac:dyDescent="0.25">
      <c r="B188" s="570">
        <v>10</v>
      </c>
      <c r="C188" s="612" t="s">
        <v>1394</v>
      </c>
      <c r="D188" s="599" t="s">
        <v>1062</v>
      </c>
      <c r="E188" s="614">
        <v>1</v>
      </c>
      <c r="F188" s="600">
        <v>4000000</v>
      </c>
      <c r="G188" s="632">
        <v>1</v>
      </c>
      <c r="H188" s="571">
        <f>E188*F188*G188</f>
        <v>4000000</v>
      </c>
      <c r="I188" s="607">
        <v>0</v>
      </c>
      <c r="J188" s="597">
        <f t="shared" si="171"/>
        <v>4000000</v>
      </c>
      <c r="K188" s="607">
        <f t="shared" si="172"/>
        <v>4000000</v>
      </c>
      <c r="N188" s="568">
        <f>'6.1 Comparativo_Grupo_Armoniz'!$N$7</f>
        <v>6875473</v>
      </c>
      <c r="O188" s="568">
        <f t="shared" ref="O188" si="176">N188*G188*E188</f>
        <v>6875473</v>
      </c>
      <c r="P188" s="569">
        <f t="shared" ref="P188" si="177">K188/O188-1</f>
        <v>-0.41822184451891531</v>
      </c>
      <c r="Q188" s="295">
        <f t="shared" si="131"/>
        <v>0</v>
      </c>
    </row>
    <row r="189" spans="2:17" ht="54.75" customHeight="1" x14ac:dyDescent="0.25">
      <c r="B189" s="595">
        <v>11</v>
      </c>
      <c r="C189" s="618" t="s">
        <v>1421</v>
      </c>
      <c r="D189" s="613" t="s">
        <v>238</v>
      </c>
      <c r="E189" s="621">
        <v>50</v>
      </c>
      <c r="F189" s="597">
        <v>500000</v>
      </c>
      <c r="G189" s="134">
        <v>3</v>
      </c>
      <c r="H189" s="622">
        <f t="shared" ref="H189:H191" si="178">F189*E189*G189</f>
        <v>75000000</v>
      </c>
      <c r="I189" s="607">
        <v>0</v>
      </c>
      <c r="J189" s="597">
        <f t="shared" si="171"/>
        <v>75000000</v>
      </c>
      <c r="K189" s="607">
        <f t="shared" si="172"/>
        <v>75000000</v>
      </c>
      <c r="N189" s="104">
        <f>'5.1 Comparativo_Viáticos'!$Q$15</f>
        <v>76612425</v>
      </c>
      <c r="O189" s="104">
        <f>N189</f>
        <v>76612425</v>
      </c>
      <c r="P189" s="438">
        <f>K189/O189-1</f>
        <v>-2.1046520848282735E-2</v>
      </c>
      <c r="Q189" s="295">
        <f t="shared" si="131"/>
        <v>0</v>
      </c>
    </row>
    <row r="190" spans="2:17" ht="45" customHeight="1" x14ac:dyDescent="0.25">
      <c r="B190" s="570">
        <v>12</v>
      </c>
      <c r="C190" s="618" t="s">
        <v>1392</v>
      </c>
      <c r="D190" s="613" t="s">
        <v>238</v>
      </c>
      <c r="E190" s="621">
        <v>3</v>
      </c>
      <c r="F190" s="617">
        <v>400000</v>
      </c>
      <c r="G190" s="134">
        <v>3</v>
      </c>
      <c r="H190" s="622">
        <f t="shared" si="178"/>
        <v>3600000</v>
      </c>
      <c r="I190" s="607">
        <v>0</v>
      </c>
      <c r="J190" s="597">
        <f t="shared" si="171"/>
        <v>3600000</v>
      </c>
      <c r="K190" s="607">
        <f t="shared" si="172"/>
        <v>3600000</v>
      </c>
      <c r="N190" s="568">
        <f>'5.1 Comparativo_Viáticos'!$Q$13</f>
        <v>4596746</v>
      </c>
      <c r="O190" s="568">
        <f>N190</f>
        <v>4596746</v>
      </c>
      <c r="P190" s="569">
        <f t="shared" ref="P190" si="179">K190/O190-1</f>
        <v>-0.21683730186527606</v>
      </c>
      <c r="Q190" s="295">
        <f t="shared" si="131"/>
        <v>0</v>
      </c>
    </row>
    <row r="191" spans="2:17" ht="94.5" x14ac:dyDescent="0.25">
      <c r="B191" s="629">
        <v>13</v>
      </c>
      <c r="C191" s="624" t="s">
        <v>1425</v>
      </c>
      <c r="D191" s="613" t="s">
        <v>238</v>
      </c>
      <c r="E191" s="639">
        <v>3</v>
      </c>
      <c r="F191" s="617">
        <v>1000000</v>
      </c>
      <c r="G191" s="621">
        <v>2</v>
      </c>
      <c r="H191" s="622">
        <f t="shared" si="178"/>
        <v>6000000</v>
      </c>
      <c r="I191" s="607">
        <v>0</v>
      </c>
      <c r="J191" s="597">
        <f t="shared" si="171"/>
        <v>6000000</v>
      </c>
      <c r="K191" s="607">
        <f t="shared" si="172"/>
        <v>6000000</v>
      </c>
      <c r="N191" s="568">
        <f>'4.1 Comparativo_Transporte'!$N$27</f>
        <v>1188475</v>
      </c>
      <c r="O191" s="568">
        <f t="shared" ref="O191:O192" si="180">N191*G191*E191</f>
        <v>7130850</v>
      </c>
      <c r="P191" s="569">
        <f t="shared" ref="P191:P193" si="181">K191/O191-1</f>
        <v>-0.15858558236395381</v>
      </c>
      <c r="Q191" s="295">
        <f t="shared" si="131"/>
        <v>0</v>
      </c>
    </row>
    <row r="192" spans="2:17" ht="90" customHeight="1" x14ac:dyDescent="0.25">
      <c r="B192" s="595">
        <v>14</v>
      </c>
      <c r="C192" s="608" t="s">
        <v>1426</v>
      </c>
      <c r="D192" s="605" t="s">
        <v>396</v>
      </c>
      <c r="E192" s="640">
        <v>50</v>
      </c>
      <c r="F192" s="617">
        <v>100000</v>
      </c>
      <c r="G192" s="640">
        <v>1</v>
      </c>
      <c r="H192" s="567">
        <f>E192*F192*G192</f>
        <v>5000000</v>
      </c>
      <c r="I192" s="607">
        <v>0</v>
      </c>
      <c r="J192" s="597">
        <f t="shared" si="171"/>
        <v>5000000</v>
      </c>
      <c r="K192" s="607">
        <f t="shared" si="172"/>
        <v>5000000</v>
      </c>
      <c r="N192" s="568">
        <f>'7.1 Comparativo_Kit_Herrami'!$N$7</f>
        <v>102170</v>
      </c>
      <c r="O192" s="568">
        <f t="shared" si="180"/>
        <v>5108500</v>
      </c>
      <c r="P192" s="569">
        <f t="shared" si="181"/>
        <v>-2.1239111285113021E-2</v>
      </c>
      <c r="Q192" s="295">
        <f t="shared" si="131"/>
        <v>0</v>
      </c>
    </row>
    <row r="193" spans="2:17" ht="15.75" customHeight="1" x14ac:dyDescent="0.25">
      <c r="B193" s="809" t="s">
        <v>402</v>
      </c>
      <c r="C193" s="786"/>
      <c r="D193" s="786"/>
      <c r="E193" s="787"/>
      <c r="F193" s="643">
        <f>SUM(F179:F192)</f>
        <v>16834000</v>
      </c>
      <c r="G193" s="641"/>
      <c r="H193" s="644">
        <f t="shared" ref="H193:K193" si="182">SUM(H179:H192)</f>
        <v>111602000</v>
      </c>
      <c r="I193" s="642">
        <f t="shared" si="182"/>
        <v>0</v>
      </c>
      <c r="J193" s="642">
        <f t="shared" si="182"/>
        <v>111602000</v>
      </c>
      <c r="K193" s="642">
        <f t="shared" si="182"/>
        <v>111602000</v>
      </c>
      <c r="N193" s="642">
        <f t="shared" ref="N193:O193" si="183">SUM(N179:N192)</f>
        <v>102523738</v>
      </c>
      <c r="O193" s="642">
        <f t="shared" si="183"/>
        <v>120893409</v>
      </c>
      <c r="P193" s="569">
        <f t="shared" si="181"/>
        <v>-7.6856208099814638E-2</v>
      </c>
      <c r="Q193" s="295"/>
    </row>
    <row r="194" spans="2:17" ht="15.75" customHeight="1" x14ac:dyDescent="0.25">
      <c r="B194" s="784" t="s">
        <v>1427</v>
      </c>
      <c r="C194" s="782"/>
      <c r="D194" s="782"/>
      <c r="E194" s="782"/>
      <c r="F194" s="782"/>
      <c r="G194" s="782"/>
      <c r="H194" s="782"/>
      <c r="I194" s="782"/>
      <c r="J194" s="782"/>
      <c r="K194" s="783"/>
      <c r="Q194" s="295">
        <f t="shared" si="131"/>
        <v>0</v>
      </c>
    </row>
    <row r="195" spans="2:17" ht="44.25" customHeight="1" x14ac:dyDescent="0.25">
      <c r="B195" s="593">
        <v>1</v>
      </c>
      <c r="C195" s="608" t="s">
        <v>1428</v>
      </c>
      <c r="D195" s="131" t="s">
        <v>1061</v>
      </c>
      <c r="E195" s="131">
        <v>1</v>
      </c>
      <c r="F195" s="594">
        <v>3500000</v>
      </c>
      <c r="G195" s="630">
        <v>1</v>
      </c>
      <c r="H195" s="567">
        <f t="shared" ref="H195:H197" si="184">F195*E195*G195</f>
        <v>3500000</v>
      </c>
      <c r="I195" s="607">
        <v>0</v>
      </c>
      <c r="J195" s="597">
        <f t="shared" ref="J195:J208" si="185">H195</f>
        <v>3500000</v>
      </c>
      <c r="K195" s="607">
        <f t="shared" ref="K195:K208" si="186">I195+J195</f>
        <v>3500000</v>
      </c>
      <c r="N195" s="568">
        <f>'3.1 Comparativo_Logística'!$M$7</f>
        <v>3585068</v>
      </c>
      <c r="O195" s="568">
        <f t="shared" ref="O195:O203" si="187">N195*G195*E195</f>
        <v>3585068</v>
      </c>
      <c r="P195" s="569">
        <f t="shared" ref="P195:P203" si="188">K195/O195-1</f>
        <v>-2.3728420214065626E-2</v>
      </c>
      <c r="Q195" s="295">
        <f t="shared" si="131"/>
        <v>0</v>
      </c>
    </row>
    <row r="196" spans="2:17" ht="34.5" customHeight="1" x14ac:dyDescent="0.25">
      <c r="B196" s="595">
        <v>2</v>
      </c>
      <c r="C196" s="608" t="s">
        <v>1416</v>
      </c>
      <c r="D196" s="631" t="s">
        <v>396</v>
      </c>
      <c r="E196" s="134">
        <v>1</v>
      </c>
      <c r="F196" s="597">
        <v>900000</v>
      </c>
      <c r="G196" s="632">
        <v>1</v>
      </c>
      <c r="H196" s="571">
        <f t="shared" si="184"/>
        <v>900000</v>
      </c>
      <c r="I196" s="607">
        <v>0</v>
      </c>
      <c r="J196" s="597">
        <f t="shared" si="185"/>
        <v>900000</v>
      </c>
      <c r="K196" s="607">
        <f t="shared" si="186"/>
        <v>900000</v>
      </c>
      <c r="N196" s="568">
        <f>'3.1 Comparativo_Logística'!$M$20</f>
        <v>1176347</v>
      </c>
      <c r="O196" s="568">
        <f t="shared" si="187"/>
        <v>1176347</v>
      </c>
      <c r="P196" s="569">
        <f t="shared" si="188"/>
        <v>-0.23491962830695368</v>
      </c>
      <c r="Q196" s="295">
        <f t="shared" si="131"/>
        <v>0</v>
      </c>
    </row>
    <row r="197" spans="2:17" ht="34.5" customHeight="1" x14ac:dyDescent="0.25">
      <c r="B197" s="570">
        <v>3</v>
      </c>
      <c r="C197" s="608" t="s">
        <v>1417</v>
      </c>
      <c r="D197" s="611" t="s">
        <v>238</v>
      </c>
      <c r="E197" s="599">
        <v>2</v>
      </c>
      <c r="F197" s="600">
        <v>200000</v>
      </c>
      <c r="G197" s="633">
        <v>1</v>
      </c>
      <c r="H197" s="571">
        <f t="shared" si="184"/>
        <v>400000</v>
      </c>
      <c r="I197" s="607">
        <v>0</v>
      </c>
      <c r="J197" s="597">
        <f t="shared" si="185"/>
        <v>400000</v>
      </c>
      <c r="K197" s="607">
        <f t="shared" si="186"/>
        <v>400000</v>
      </c>
      <c r="N197" s="568">
        <f>'3.1 Comparativo_Logística'!$M$29</f>
        <v>249230</v>
      </c>
      <c r="O197" s="568">
        <f t="shared" si="187"/>
        <v>498460</v>
      </c>
      <c r="P197" s="569">
        <f t="shared" si="188"/>
        <v>-0.19752838743329459</v>
      </c>
      <c r="Q197" s="295">
        <f t="shared" si="131"/>
        <v>0</v>
      </c>
    </row>
    <row r="198" spans="2:17" ht="108" x14ac:dyDescent="0.25">
      <c r="B198" s="564">
        <v>4</v>
      </c>
      <c r="C198" s="615" t="s">
        <v>1385</v>
      </c>
      <c r="D198" s="613" t="s">
        <v>238</v>
      </c>
      <c r="E198" s="613">
        <v>1</v>
      </c>
      <c r="F198" s="617">
        <v>1600000</v>
      </c>
      <c r="G198" s="634">
        <v>1</v>
      </c>
      <c r="H198" s="571">
        <f t="shared" ref="H198:H202" si="189">E198*F198*G198</f>
        <v>1600000</v>
      </c>
      <c r="I198" s="607">
        <v>0</v>
      </c>
      <c r="J198" s="597">
        <f t="shared" si="185"/>
        <v>1600000</v>
      </c>
      <c r="K198" s="607">
        <f t="shared" si="186"/>
        <v>1600000</v>
      </c>
      <c r="N198" s="568">
        <f>'3.1 Comparativo_Logística'!$M$37</f>
        <v>2714721</v>
      </c>
      <c r="O198" s="568">
        <f t="shared" si="187"/>
        <v>2714721</v>
      </c>
      <c r="P198" s="569">
        <f t="shared" si="188"/>
        <v>-0.41062083359579127</v>
      </c>
      <c r="Q198" s="295">
        <f t="shared" si="131"/>
        <v>0</v>
      </c>
    </row>
    <row r="199" spans="2:17" ht="46.5" customHeight="1" x14ac:dyDescent="0.25">
      <c r="B199" s="570">
        <v>5</v>
      </c>
      <c r="C199" s="618" t="s">
        <v>1418</v>
      </c>
      <c r="D199" s="613" t="s">
        <v>396</v>
      </c>
      <c r="E199" s="613">
        <v>53</v>
      </c>
      <c r="F199" s="617">
        <v>32000</v>
      </c>
      <c r="G199" s="634">
        <v>1</v>
      </c>
      <c r="H199" s="571">
        <f t="shared" si="189"/>
        <v>1696000</v>
      </c>
      <c r="I199" s="607">
        <v>0</v>
      </c>
      <c r="J199" s="597">
        <f t="shared" si="185"/>
        <v>1696000</v>
      </c>
      <c r="K199" s="607">
        <f t="shared" si="186"/>
        <v>1696000</v>
      </c>
      <c r="N199" s="568">
        <f>'2.1 Comparativo_Alimentación'!$M$7</f>
        <v>33548</v>
      </c>
      <c r="O199" s="568">
        <f t="shared" si="187"/>
        <v>1778044</v>
      </c>
      <c r="P199" s="569">
        <f t="shared" si="188"/>
        <v>-4.6142840109693606E-2</v>
      </c>
      <c r="Q199" s="295">
        <f t="shared" si="131"/>
        <v>0</v>
      </c>
    </row>
    <row r="200" spans="2:17" ht="39" customHeight="1" x14ac:dyDescent="0.25">
      <c r="B200" s="564">
        <v>6</v>
      </c>
      <c r="C200" s="618" t="s">
        <v>1419</v>
      </c>
      <c r="D200" s="613" t="s">
        <v>396</v>
      </c>
      <c r="E200" s="613">
        <v>53</v>
      </c>
      <c r="F200" s="617">
        <v>70000</v>
      </c>
      <c r="G200" s="634">
        <v>1</v>
      </c>
      <c r="H200" s="571">
        <f t="shared" si="189"/>
        <v>3710000</v>
      </c>
      <c r="I200" s="607">
        <v>0</v>
      </c>
      <c r="J200" s="597">
        <f t="shared" si="185"/>
        <v>3710000</v>
      </c>
      <c r="K200" s="607">
        <f t="shared" si="186"/>
        <v>3710000</v>
      </c>
      <c r="N200" s="568">
        <f>'2.1 Comparativo_Alimentación'!$M$8</f>
        <v>70822</v>
      </c>
      <c r="O200" s="568">
        <f t="shared" si="187"/>
        <v>3753566</v>
      </c>
      <c r="P200" s="569">
        <f t="shared" si="188"/>
        <v>-1.1606562932422126E-2</v>
      </c>
      <c r="Q200" s="295">
        <f t="shared" si="131"/>
        <v>0</v>
      </c>
    </row>
    <row r="201" spans="2:17" ht="43.5" customHeight="1" x14ac:dyDescent="0.25">
      <c r="B201" s="570">
        <v>7</v>
      </c>
      <c r="C201" s="618" t="s">
        <v>1420</v>
      </c>
      <c r="D201" s="613" t="s">
        <v>396</v>
      </c>
      <c r="E201" s="613">
        <v>53</v>
      </c>
      <c r="F201" s="617">
        <v>32000</v>
      </c>
      <c r="G201" s="634">
        <v>1</v>
      </c>
      <c r="H201" s="571">
        <f t="shared" si="189"/>
        <v>1696000</v>
      </c>
      <c r="I201" s="607">
        <v>0</v>
      </c>
      <c r="J201" s="597">
        <f t="shared" si="185"/>
        <v>1696000</v>
      </c>
      <c r="K201" s="607">
        <f t="shared" si="186"/>
        <v>1696000</v>
      </c>
      <c r="N201" s="568">
        <f>'2.1 Comparativo_Alimentación'!$M$9</f>
        <v>33548</v>
      </c>
      <c r="O201" s="568">
        <f t="shared" si="187"/>
        <v>1778044</v>
      </c>
      <c r="P201" s="569">
        <f t="shared" si="188"/>
        <v>-4.6142840109693606E-2</v>
      </c>
      <c r="Q201" s="295">
        <f t="shared" si="131"/>
        <v>0</v>
      </c>
    </row>
    <row r="202" spans="2:17" ht="148.5" x14ac:dyDescent="0.25">
      <c r="B202" s="595">
        <v>8</v>
      </c>
      <c r="C202" s="615" t="s">
        <v>1391</v>
      </c>
      <c r="D202" s="619" t="s">
        <v>238</v>
      </c>
      <c r="E202" s="614">
        <v>1</v>
      </c>
      <c r="F202" s="600">
        <v>2000000</v>
      </c>
      <c r="G202" s="632">
        <v>1</v>
      </c>
      <c r="H202" s="571">
        <f t="shared" si="189"/>
        <v>2000000</v>
      </c>
      <c r="I202" s="607">
        <v>0</v>
      </c>
      <c r="J202" s="597">
        <f t="shared" si="185"/>
        <v>2000000</v>
      </c>
      <c r="K202" s="607">
        <f t="shared" si="186"/>
        <v>2000000</v>
      </c>
      <c r="N202" s="568">
        <f>'8.1 Comparativo_Tallerista'!$N$7</f>
        <v>2455526</v>
      </c>
      <c r="O202" s="568">
        <f t="shared" si="187"/>
        <v>2455526</v>
      </c>
      <c r="P202" s="569">
        <f t="shared" si="188"/>
        <v>-0.18551055863387311</v>
      </c>
      <c r="Q202" s="295">
        <f t="shared" si="131"/>
        <v>0</v>
      </c>
    </row>
    <row r="203" spans="2:17" ht="108" x14ac:dyDescent="0.25">
      <c r="B203" s="570">
        <v>9</v>
      </c>
      <c r="C203" s="618" t="s">
        <v>1393</v>
      </c>
      <c r="D203" s="619" t="s">
        <v>238</v>
      </c>
      <c r="E203" s="614">
        <v>1</v>
      </c>
      <c r="F203" s="620">
        <v>2500000</v>
      </c>
      <c r="G203" s="131">
        <v>1</v>
      </c>
      <c r="H203" s="571">
        <f>F203*E203*G203</f>
        <v>2500000</v>
      </c>
      <c r="I203" s="607">
        <v>0</v>
      </c>
      <c r="J203" s="597">
        <f t="shared" si="185"/>
        <v>2500000</v>
      </c>
      <c r="K203" s="607">
        <f t="shared" si="186"/>
        <v>2500000</v>
      </c>
      <c r="N203" s="568">
        <f>'9.1 Comparativo_Sabedor'!$N$7</f>
        <v>2829639</v>
      </c>
      <c r="O203" s="568">
        <f t="shared" si="187"/>
        <v>2829639</v>
      </c>
      <c r="P203" s="569">
        <f t="shared" si="188"/>
        <v>-0.11649507233961642</v>
      </c>
      <c r="Q203" s="295">
        <f t="shared" si="131"/>
        <v>0</v>
      </c>
    </row>
    <row r="204" spans="2:17" ht="94.5" x14ac:dyDescent="0.25">
      <c r="B204" s="570">
        <v>10</v>
      </c>
      <c r="C204" s="612" t="s">
        <v>1394</v>
      </c>
      <c r="D204" s="599" t="s">
        <v>1062</v>
      </c>
      <c r="E204" s="614">
        <v>1</v>
      </c>
      <c r="F204" s="600">
        <v>4000000</v>
      </c>
      <c r="G204" s="632">
        <v>1</v>
      </c>
      <c r="H204" s="571">
        <f>E204*F204*G204</f>
        <v>4000000</v>
      </c>
      <c r="I204" s="607">
        <v>0</v>
      </c>
      <c r="J204" s="597">
        <f t="shared" si="185"/>
        <v>4000000</v>
      </c>
      <c r="K204" s="607">
        <f t="shared" si="186"/>
        <v>4000000</v>
      </c>
      <c r="N204" s="568">
        <f>'6.1 Comparativo_Grupo_Armoniz'!$N$7</f>
        <v>6875473</v>
      </c>
      <c r="O204" s="568">
        <f t="shared" ref="O204" si="190">N204*G204*E204</f>
        <v>6875473</v>
      </c>
      <c r="P204" s="569">
        <f t="shared" ref="P204" si="191">K204/O204-1</f>
        <v>-0.41822184451891531</v>
      </c>
      <c r="Q204" s="295">
        <f t="shared" si="131"/>
        <v>0</v>
      </c>
    </row>
    <row r="205" spans="2:17" ht="51.75" customHeight="1" x14ac:dyDescent="0.25">
      <c r="B205" s="595">
        <v>11</v>
      </c>
      <c r="C205" s="618" t="s">
        <v>1429</v>
      </c>
      <c r="D205" s="613" t="s">
        <v>238</v>
      </c>
      <c r="E205" s="621">
        <v>50</v>
      </c>
      <c r="F205" s="597">
        <v>500000</v>
      </c>
      <c r="G205" s="134">
        <v>3</v>
      </c>
      <c r="H205" s="622">
        <f t="shared" ref="H205:H207" si="192">F205*E205*G205</f>
        <v>75000000</v>
      </c>
      <c r="I205" s="607">
        <v>0</v>
      </c>
      <c r="J205" s="597">
        <f t="shared" si="185"/>
        <v>75000000</v>
      </c>
      <c r="K205" s="607">
        <f t="shared" si="186"/>
        <v>75000000</v>
      </c>
      <c r="N205" s="104">
        <f>'5.1 Comparativo_Viáticos'!$Q$15</f>
        <v>76612425</v>
      </c>
      <c r="O205" s="104">
        <f>N205</f>
        <v>76612425</v>
      </c>
      <c r="P205" s="438">
        <f>K205/O205-1</f>
        <v>-2.1046520848282735E-2</v>
      </c>
      <c r="Q205" s="295">
        <f t="shared" ref="Q205:Q268" si="193">+E205*F205*G205-H205</f>
        <v>0</v>
      </c>
    </row>
    <row r="206" spans="2:17" ht="47.25" customHeight="1" x14ac:dyDescent="0.25">
      <c r="B206" s="570">
        <v>12</v>
      </c>
      <c r="C206" s="618" t="s">
        <v>1392</v>
      </c>
      <c r="D206" s="613" t="s">
        <v>238</v>
      </c>
      <c r="E206" s="621">
        <v>3</v>
      </c>
      <c r="F206" s="617">
        <v>400000</v>
      </c>
      <c r="G206" s="134">
        <v>3</v>
      </c>
      <c r="H206" s="622">
        <f t="shared" si="192"/>
        <v>3600000</v>
      </c>
      <c r="I206" s="607">
        <v>0</v>
      </c>
      <c r="J206" s="597">
        <f t="shared" si="185"/>
        <v>3600000</v>
      </c>
      <c r="K206" s="607">
        <f t="shared" si="186"/>
        <v>3600000</v>
      </c>
      <c r="N206" s="568">
        <f>'5.1 Comparativo_Viáticos'!$Q$13</f>
        <v>4596746</v>
      </c>
      <c r="O206" s="568">
        <f>N206</f>
        <v>4596746</v>
      </c>
      <c r="P206" s="569">
        <f t="shared" ref="P206" si="194">K206/O206-1</f>
        <v>-0.21683730186527606</v>
      </c>
      <c r="Q206" s="295">
        <f t="shared" si="193"/>
        <v>0</v>
      </c>
    </row>
    <row r="207" spans="2:17" ht="94.5" x14ac:dyDescent="0.25">
      <c r="B207" s="629">
        <v>13</v>
      </c>
      <c r="C207" s="624" t="s">
        <v>1425</v>
      </c>
      <c r="D207" s="613" t="s">
        <v>238</v>
      </c>
      <c r="E207" s="639">
        <v>3</v>
      </c>
      <c r="F207" s="617">
        <v>1000000</v>
      </c>
      <c r="G207" s="621">
        <v>2</v>
      </c>
      <c r="H207" s="622">
        <f t="shared" si="192"/>
        <v>6000000</v>
      </c>
      <c r="I207" s="607">
        <v>0</v>
      </c>
      <c r="J207" s="597">
        <f t="shared" si="185"/>
        <v>6000000</v>
      </c>
      <c r="K207" s="607">
        <f t="shared" si="186"/>
        <v>6000000</v>
      </c>
      <c r="N207" s="568">
        <f>'4.1 Comparativo_Transporte'!$N$27</f>
        <v>1188475</v>
      </c>
      <c r="O207" s="568">
        <f t="shared" ref="O207:O208" si="195">N207*G207*E207</f>
        <v>7130850</v>
      </c>
      <c r="P207" s="569">
        <f t="shared" ref="P207:P209" si="196">K207/O207-1</f>
        <v>-0.15858558236395381</v>
      </c>
      <c r="Q207" s="295">
        <f t="shared" si="193"/>
        <v>0</v>
      </c>
    </row>
    <row r="208" spans="2:17" ht="93" customHeight="1" x14ac:dyDescent="0.25">
      <c r="B208" s="595">
        <v>14</v>
      </c>
      <c r="C208" s="608" t="s">
        <v>1426</v>
      </c>
      <c r="D208" s="605" t="s">
        <v>396</v>
      </c>
      <c r="E208" s="640">
        <v>50</v>
      </c>
      <c r="F208" s="617">
        <v>100000</v>
      </c>
      <c r="G208" s="640">
        <v>1</v>
      </c>
      <c r="H208" s="567">
        <f>E208*F208*G208</f>
        <v>5000000</v>
      </c>
      <c r="I208" s="607">
        <v>0</v>
      </c>
      <c r="J208" s="597">
        <f t="shared" si="185"/>
        <v>5000000</v>
      </c>
      <c r="K208" s="607">
        <f t="shared" si="186"/>
        <v>5000000</v>
      </c>
      <c r="N208" s="568">
        <f>'7.1 Comparativo_Kit_Herrami'!$N$7</f>
        <v>102170</v>
      </c>
      <c r="O208" s="568">
        <f t="shared" si="195"/>
        <v>5108500</v>
      </c>
      <c r="P208" s="569">
        <f t="shared" si="196"/>
        <v>-2.1239111285113021E-2</v>
      </c>
      <c r="Q208" s="295">
        <f t="shared" si="193"/>
        <v>0</v>
      </c>
    </row>
    <row r="209" spans="2:17" ht="15.75" customHeight="1" x14ac:dyDescent="0.25">
      <c r="B209" s="809" t="s">
        <v>403</v>
      </c>
      <c r="C209" s="786"/>
      <c r="D209" s="786"/>
      <c r="E209" s="787"/>
      <c r="F209" s="643">
        <f>SUM(F195:F208)</f>
        <v>16834000</v>
      </c>
      <c r="G209" s="641"/>
      <c r="H209" s="644">
        <f t="shared" ref="H209:K209" si="197">SUM(H195:H208)</f>
        <v>111602000</v>
      </c>
      <c r="I209" s="642">
        <f t="shared" si="197"/>
        <v>0</v>
      </c>
      <c r="J209" s="642">
        <f t="shared" si="197"/>
        <v>111602000</v>
      </c>
      <c r="K209" s="642">
        <f t="shared" si="197"/>
        <v>111602000</v>
      </c>
      <c r="N209" s="642">
        <f t="shared" ref="N209:O209" si="198">SUM(N195:N208)</f>
        <v>102523738</v>
      </c>
      <c r="O209" s="642">
        <f t="shared" si="198"/>
        <v>120893409</v>
      </c>
      <c r="P209" s="569">
        <f t="shared" si="196"/>
        <v>-7.6856208099814638E-2</v>
      </c>
      <c r="Q209" s="295"/>
    </row>
    <row r="210" spans="2:17" ht="15.75" customHeight="1" x14ac:dyDescent="0.25">
      <c r="B210" s="784" t="s">
        <v>1430</v>
      </c>
      <c r="C210" s="782"/>
      <c r="D210" s="782"/>
      <c r="E210" s="782"/>
      <c r="F210" s="782"/>
      <c r="G210" s="782"/>
      <c r="H210" s="782"/>
      <c r="I210" s="782"/>
      <c r="J210" s="782"/>
      <c r="K210" s="783"/>
      <c r="Q210" s="295">
        <f t="shared" si="193"/>
        <v>0</v>
      </c>
    </row>
    <row r="211" spans="2:17" ht="49.5" customHeight="1" x14ac:dyDescent="0.25">
      <c r="B211" s="593">
        <v>1</v>
      </c>
      <c r="C211" s="608" t="s">
        <v>1431</v>
      </c>
      <c r="D211" s="131" t="s">
        <v>1061</v>
      </c>
      <c r="E211" s="131">
        <v>1</v>
      </c>
      <c r="F211" s="594">
        <v>3500000</v>
      </c>
      <c r="G211" s="630">
        <v>1</v>
      </c>
      <c r="H211" s="567">
        <f t="shared" ref="H211:H213" si="199">F211*E211*G211</f>
        <v>3500000</v>
      </c>
      <c r="I211" s="607">
        <v>0</v>
      </c>
      <c r="J211" s="597">
        <f t="shared" ref="J211:J224" si="200">H211</f>
        <v>3500000</v>
      </c>
      <c r="K211" s="607">
        <f t="shared" ref="K211:K224" si="201">I211+J211</f>
        <v>3500000</v>
      </c>
      <c r="N211" s="568">
        <f>'3.1 Comparativo_Logística'!$M$7</f>
        <v>3585068</v>
      </c>
      <c r="O211" s="568">
        <f t="shared" ref="O211:O219" si="202">N211*G211*E211</f>
        <v>3585068</v>
      </c>
      <c r="P211" s="569">
        <f t="shared" ref="P211:P219" si="203">K211/O211-1</f>
        <v>-2.3728420214065626E-2</v>
      </c>
      <c r="Q211" s="295">
        <f t="shared" si="193"/>
        <v>0</v>
      </c>
    </row>
    <row r="212" spans="2:17" ht="32.25" customHeight="1" x14ac:dyDescent="0.25">
      <c r="B212" s="595">
        <v>2</v>
      </c>
      <c r="C212" s="608" t="s">
        <v>1432</v>
      </c>
      <c r="D212" s="631" t="s">
        <v>396</v>
      </c>
      <c r="E212" s="134">
        <v>1</v>
      </c>
      <c r="F212" s="597">
        <v>900000</v>
      </c>
      <c r="G212" s="632">
        <v>1</v>
      </c>
      <c r="H212" s="571">
        <f t="shared" si="199"/>
        <v>900000</v>
      </c>
      <c r="I212" s="607">
        <v>0</v>
      </c>
      <c r="J212" s="597">
        <f t="shared" si="200"/>
        <v>900000</v>
      </c>
      <c r="K212" s="607">
        <f t="shared" si="201"/>
        <v>900000</v>
      </c>
      <c r="N212" s="568">
        <f>'3.1 Comparativo_Logística'!$M$20</f>
        <v>1176347</v>
      </c>
      <c r="O212" s="568">
        <f t="shared" si="202"/>
        <v>1176347</v>
      </c>
      <c r="P212" s="569">
        <f t="shared" si="203"/>
        <v>-0.23491962830695368</v>
      </c>
      <c r="Q212" s="295">
        <f t="shared" si="193"/>
        <v>0</v>
      </c>
    </row>
    <row r="213" spans="2:17" ht="38.25" customHeight="1" x14ac:dyDescent="0.25">
      <c r="B213" s="570">
        <v>3</v>
      </c>
      <c r="C213" s="608" t="s">
        <v>1433</v>
      </c>
      <c r="D213" s="611" t="s">
        <v>238</v>
      </c>
      <c r="E213" s="599">
        <v>3</v>
      </c>
      <c r="F213" s="600">
        <v>200000</v>
      </c>
      <c r="G213" s="633">
        <v>1</v>
      </c>
      <c r="H213" s="571">
        <f t="shared" si="199"/>
        <v>600000</v>
      </c>
      <c r="I213" s="607">
        <v>0</v>
      </c>
      <c r="J213" s="597">
        <f t="shared" si="200"/>
        <v>600000</v>
      </c>
      <c r="K213" s="607">
        <f t="shared" si="201"/>
        <v>600000</v>
      </c>
      <c r="N213" s="568">
        <f>'3.1 Comparativo_Logística'!$M$29</f>
        <v>249230</v>
      </c>
      <c r="O213" s="568">
        <f t="shared" si="202"/>
        <v>747690</v>
      </c>
      <c r="P213" s="569">
        <f t="shared" si="203"/>
        <v>-0.19752838743329459</v>
      </c>
      <c r="Q213" s="295">
        <f t="shared" si="193"/>
        <v>0</v>
      </c>
    </row>
    <row r="214" spans="2:17" ht="108" x14ac:dyDescent="0.25">
      <c r="B214" s="564">
        <v>4</v>
      </c>
      <c r="C214" s="615" t="s">
        <v>1385</v>
      </c>
      <c r="D214" s="613" t="s">
        <v>238</v>
      </c>
      <c r="E214" s="613">
        <v>1</v>
      </c>
      <c r="F214" s="617">
        <v>1600000</v>
      </c>
      <c r="G214" s="634">
        <v>1</v>
      </c>
      <c r="H214" s="571">
        <f t="shared" ref="H214:H218" si="204">E214*F214*G214</f>
        <v>1600000</v>
      </c>
      <c r="I214" s="607">
        <v>0</v>
      </c>
      <c r="J214" s="597">
        <f t="shared" si="200"/>
        <v>1600000</v>
      </c>
      <c r="K214" s="607">
        <f t="shared" si="201"/>
        <v>1600000</v>
      </c>
      <c r="N214" s="568">
        <f>'3.1 Comparativo_Logística'!$M$37</f>
        <v>2714721</v>
      </c>
      <c r="O214" s="568">
        <f t="shared" si="202"/>
        <v>2714721</v>
      </c>
      <c r="P214" s="569">
        <f t="shared" si="203"/>
        <v>-0.41062083359579127</v>
      </c>
      <c r="Q214" s="295">
        <f t="shared" si="193"/>
        <v>0</v>
      </c>
    </row>
    <row r="215" spans="2:17" ht="42.75" customHeight="1" x14ac:dyDescent="0.25">
      <c r="B215" s="570">
        <v>5</v>
      </c>
      <c r="C215" s="618" t="s">
        <v>1434</v>
      </c>
      <c r="D215" s="613" t="s">
        <v>396</v>
      </c>
      <c r="E215" s="613">
        <v>63</v>
      </c>
      <c r="F215" s="617">
        <v>32000</v>
      </c>
      <c r="G215" s="634">
        <v>1</v>
      </c>
      <c r="H215" s="571">
        <f t="shared" si="204"/>
        <v>2016000</v>
      </c>
      <c r="I215" s="607">
        <v>0</v>
      </c>
      <c r="J215" s="597">
        <f t="shared" si="200"/>
        <v>2016000</v>
      </c>
      <c r="K215" s="607">
        <f t="shared" si="201"/>
        <v>2016000</v>
      </c>
      <c r="N215" s="568">
        <f>'2.1 Comparativo_Alimentación'!$M$7</f>
        <v>33548</v>
      </c>
      <c r="O215" s="568">
        <f t="shared" si="202"/>
        <v>2113524</v>
      </c>
      <c r="P215" s="569">
        <f t="shared" si="203"/>
        <v>-4.6142840109693606E-2</v>
      </c>
      <c r="Q215" s="295">
        <f t="shared" si="193"/>
        <v>0</v>
      </c>
    </row>
    <row r="216" spans="2:17" ht="40.5" customHeight="1" x14ac:dyDescent="0.25">
      <c r="B216" s="564">
        <v>6</v>
      </c>
      <c r="C216" s="618" t="s">
        <v>1435</v>
      </c>
      <c r="D216" s="613" t="s">
        <v>396</v>
      </c>
      <c r="E216" s="613">
        <v>63</v>
      </c>
      <c r="F216" s="617">
        <v>70000</v>
      </c>
      <c r="G216" s="634">
        <v>1</v>
      </c>
      <c r="H216" s="571">
        <f t="shared" si="204"/>
        <v>4410000</v>
      </c>
      <c r="I216" s="607">
        <v>0</v>
      </c>
      <c r="J216" s="597">
        <f t="shared" si="200"/>
        <v>4410000</v>
      </c>
      <c r="K216" s="607">
        <f t="shared" si="201"/>
        <v>4410000</v>
      </c>
      <c r="N216" s="568">
        <f>'2.1 Comparativo_Alimentación'!$M$8</f>
        <v>70822</v>
      </c>
      <c r="O216" s="568">
        <f t="shared" si="202"/>
        <v>4461786</v>
      </c>
      <c r="P216" s="569">
        <f t="shared" si="203"/>
        <v>-1.1606562932422126E-2</v>
      </c>
      <c r="Q216" s="295">
        <f t="shared" si="193"/>
        <v>0</v>
      </c>
    </row>
    <row r="217" spans="2:17" ht="43.5" customHeight="1" x14ac:dyDescent="0.25">
      <c r="B217" s="570">
        <v>7</v>
      </c>
      <c r="C217" s="618" t="s">
        <v>1436</v>
      </c>
      <c r="D217" s="613" t="s">
        <v>396</v>
      </c>
      <c r="E217" s="613">
        <v>63</v>
      </c>
      <c r="F217" s="617">
        <v>32000</v>
      </c>
      <c r="G217" s="634">
        <v>1</v>
      </c>
      <c r="H217" s="571">
        <f t="shared" si="204"/>
        <v>2016000</v>
      </c>
      <c r="I217" s="607">
        <v>0</v>
      </c>
      <c r="J217" s="597">
        <f t="shared" si="200"/>
        <v>2016000</v>
      </c>
      <c r="K217" s="607">
        <f t="shared" si="201"/>
        <v>2016000</v>
      </c>
      <c r="N217" s="568">
        <f>'2.1 Comparativo_Alimentación'!$M$9</f>
        <v>33548</v>
      </c>
      <c r="O217" s="568">
        <f t="shared" si="202"/>
        <v>2113524</v>
      </c>
      <c r="P217" s="569">
        <f t="shared" si="203"/>
        <v>-4.6142840109693606E-2</v>
      </c>
      <c r="Q217" s="295">
        <f t="shared" si="193"/>
        <v>0</v>
      </c>
    </row>
    <row r="218" spans="2:17" ht="148.5" x14ac:dyDescent="0.25">
      <c r="B218" s="595">
        <v>8</v>
      </c>
      <c r="C218" s="615" t="s">
        <v>1391</v>
      </c>
      <c r="D218" s="619" t="s">
        <v>238</v>
      </c>
      <c r="E218" s="614">
        <v>1</v>
      </c>
      <c r="F218" s="600">
        <v>2000000</v>
      </c>
      <c r="G218" s="632">
        <v>1</v>
      </c>
      <c r="H218" s="571">
        <f t="shared" si="204"/>
        <v>2000000</v>
      </c>
      <c r="I218" s="607">
        <v>0</v>
      </c>
      <c r="J218" s="597">
        <f t="shared" si="200"/>
        <v>2000000</v>
      </c>
      <c r="K218" s="607">
        <f t="shared" si="201"/>
        <v>2000000</v>
      </c>
      <c r="N218" s="568">
        <f>'8.1 Comparativo_Tallerista'!$N$7</f>
        <v>2455526</v>
      </c>
      <c r="O218" s="568">
        <f t="shared" si="202"/>
        <v>2455526</v>
      </c>
      <c r="P218" s="569">
        <f t="shared" si="203"/>
        <v>-0.18551055863387311</v>
      </c>
      <c r="Q218" s="295">
        <f t="shared" si="193"/>
        <v>0</v>
      </c>
    </row>
    <row r="219" spans="2:17" ht="108" x14ac:dyDescent="0.25">
      <c r="B219" s="570">
        <v>9</v>
      </c>
      <c r="C219" s="618" t="s">
        <v>1393</v>
      </c>
      <c r="D219" s="619" t="s">
        <v>238</v>
      </c>
      <c r="E219" s="614">
        <v>1</v>
      </c>
      <c r="F219" s="620">
        <v>2500000</v>
      </c>
      <c r="G219" s="131">
        <v>1</v>
      </c>
      <c r="H219" s="571">
        <f>F219*E219*G219</f>
        <v>2500000</v>
      </c>
      <c r="I219" s="607">
        <v>0</v>
      </c>
      <c r="J219" s="597">
        <f t="shared" si="200"/>
        <v>2500000</v>
      </c>
      <c r="K219" s="607">
        <f t="shared" si="201"/>
        <v>2500000</v>
      </c>
      <c r="N219" s="568">
        <f>'9.1 Comparativo_Sabedor'!$N$7</f>
        <v>2829639</v>
      </c>
      <c r="O219" s="568">
        <f t="shared" si="202"/>
        <v>2829639</v>
      </c>
      <c r="P219" s="569">
        <f t="shared" si="203"/>
        <v>-0.11649507233961642</v>
      </c>
      <c r="Q219" s="295">
        <f t="shared" si="193"/>
        <v>0</v>
      </c>
    </row>
    <row r="220" spans="2:17" ht="94.5" x14ac:dyDescent="0.25">
      <c r="B220" s="570">
        <v>10</v>
      </c>
      <c r="C220" s="612" t="s">
        <v>1394</v>
      </c>
      <c r="D220" s="599" t="s">
        <v>1062</v>
      </c>
      <c r="E220" s="614">
        <v>1</v>
      </c>
      <c r="F220" s="600">
        <v>4000000</v>
      </c>
      <c r="G220" s="632">
        <v>1</v>
      </c>
      <c r="H220" s="571">
        <f>E220*F220*G220</f>
        <v>4000000</v>
      </c>
      <c r="I220" s="607">
        <v>0</v>
      </c>
      <c r="J220" s="597">
        <f t="shared" si="200"/>
        <v>4000000</v>
      </c>
      <c r="K220" s="607">
        <f t="shared" si="201"/>
        <v>4000000</v>
      </c>
      <c r="N220" s="568">
        <f>'6.1 Comparativo_Grupo_Armoniz'!$N$7</f>
        <v>6875473</v>
      </c>
      <c r="O220" s="568">
        <f t="shared" ref="O220" si="205">N220*G220*E220</f>
        <v>6875473</v>
      </c>
      <c r="P220" s="569">
        <f t="shared" ref="P220" si="206">K220/O220-1</f>
        <v>-0.41822184451891531</v>
      </c>
      <c r="Q220" s="295">
        <f t="shared" si="193"/>
        <v>0</v>
      </c>
    </row>
    <row r="221" spans="2:17" ht="94.5" x14ac:dyDescent="0.25">
      <c r="B221" s="595">
        <v>11</v>
      </c>
      <c r="C221" s="618" t="s">
        <v>1437</v>
      </c>
      <c r="D221" s="613" t="s">
        <v>238</v>
      </c>
      <c r="E221" s="621">
        <v>60</v>
      </c>
      <c r="F221" s="597">
        <v>500000</v>
      </c>
      <c r="G221" s="134">
        <v>3</v>
      </c>
      <c r="H221" s="622">
        <f t="shared" ref="H221:H223" si="207">F221*E221*G221</f>
        <v>90000000</v>
      </c>
      <c r="I221" s="607">
        <v>0</v>
      </c>
      <c r="J221" s="597">
        <f t="shared" si="200"/>
        <v>90000000</v>
      </c>
      <c r="K221" s="607">
        <f t="shared" si="201"/>
        <v>90000000</v>
      </c>
      <c r="N221" s="104">
        <f>'5.1 Comparativo_Viáticos'!$Q$17</f>
        <v>91934910</v>
      </c>
      <c r="O221" s="104">
        <f>N221</f>
        <v>91934910</v>
      </c>
      <c r="P221" s="438">
        <f>K221/O221-1</f>
        <v>-2.1046520848282735E-2</v>
      </c>
      <c r="Q221" s="295">
        <f t="shared" si="193"/>
        <v>0</v>
      </c>
    </row>
    <row r="222" spans="2:17" ht="81" x14ac:dyDescent="0.25">
      <c r="B222" s="570">
        <v>12</v>
      </c>
      <c r="C222" s="618" t="s">
        <v>1392</v>
      </c>
      <c r="D222" s="613" t="s">
        <v>238</v>
      </c>
      <c r="E222" s="621">
        <v>3</v>
      </c>
      <c r="F222" s="617">
        <v>400000</v>
      </c>
      <c r="G222" s="134">
        <v>3</v>
      </c>
      <c r="H222" s="622">
        <f t="shared" si="207"/>
        <v>3600000</v>
      </c>
      <c r="I222" s="607">
        <v>0</v>
      </c>
      <c r="J222" s="597">
        <f t="shared" si="200"/>
        <v>3600000</v>
      </c>
      <c r="K222" s="607">
        <f t="shared" si="201"/>
        <v>3600000</v>
      </c>
      <c r="N222" s="568">
        <f>'5.1 Comparativo_Viáticos'!$Q$13</f>
        <v>4596746</v>
      </c>
      <c r="O222" s="568">
        <f>N222</f>
        <v>4596746</v>
      </c>
      <c r="P222" s="569">
        <f t="shared" ref="P222" si="208">K222/O222-1</f>
        <v>-0.21683730186527606</v>
      </c>
      <c r="Q222" s="295">
        <f t="shared" si="193"/>
        <v>0</v>
      </c>
    </row>
    <row r="223" spans="2:17" ht="94.5" x14ac:dyDescent="0.25">
      <c r="B223" s="629">
        <v>13</v>
      </c>
      <c r="C223" s="624" t="s">
        <v>1425</v>
      </c>
      <c r="D223" s="613" t="s">
        <v>238</v>
      </c>
      <c r="E223" s="639">
        <v>3</v>
      </c>
      <c r="F223" s="617">
        <v>1000000</v>
      </c>
      <c r="G223" s="621">
        <v>2</v>
      </c>
      <c r="H223" s="622">
        <f t="shared" si="207"/>
        <v>6000000</v>
      </c>
      <c r="I223" s="607">
        <v>0</v>
      </c>
      <c r="J223" s="597">
        <f t="shared" si="200"/>
        <v>6000000</v>
      </c>
      <c r="K223" s="607">
        <f t="shared" si="201"/>
        <v>6000000</v>
      </c>
      <c r="N223" s="568">
        <f>'4.1 Comparativo_Transporte'!$N$27</f>
        <v>1188475</v>
      </c>
      <c r="O223" s="568">
        <f t="shared" ref="O223:O224" si="209">N223*G223*E223</f>
        <v>7130850</v>
      </c>
      <c r="P223" s="569">
        <f t="shared" ref="P223:P225" si="210">K223/O223-1</f>
        <v>-0.15858558236395381</v>
      </c>
      <c r="Q223" s="295">
        <f t="shared" si="193"/>
        <v>0</v>
      </c>
    </row>
    <row r="224" spans="2:17" ht="93" customHeight="1" x14ac:dyDescent="0.25">
      <c r="B224" s="595">
        <v>14</v>
      </c>
      <c r="C224" s="608" t="s">
        <v>1438</v>
      </c>
      <c r="D224" s="605" t="s">
        <v>396</v>
      </c>
      <c r="E224" s="640">
        <v>60</v>
      </c>
      <c r="F224" s="617">
        <v>100000</v>
      </c>
      <c r="G224" s="640">
        <v>1</v>
      </c>
      <c r="H224" s="567">
        <f>E224*F224*G224</f>
        <v>6000000</v>
      </c>
      <c r="I224" s="607">
        <v>0</v>
      </c>
      <c r="J224" s="597">
        <f t="shared" si="200"/>
        <v>6000000</v>
      </c>
      <c r="K224" s="607">
        <f t="shared" si="201"/>
        <v>6000000</v>
      </c>
      <c r="N224" s="568">
        <f>'7.1 Comparativo_Kit_Herrami'!$N$7</f>
        <v>102170</v>
      </c>
      <c r="O224" s="568">
        <f t="shared" si="209"/>
        <v>6130200</v>
      </c>
      <c r="P224" s="569">
        <f t="shared" si="210"/>
        <v>-2.1239111285113021E-2</v>
      </c>
      <c r="Q224" s="295">
        <f t="shared" si="193"/>
        <v>0</v>
      </c>
    </row>
    <row r="225" spans="2:17" ht="15.75" customHeight="1" x14ac:dyDescent="0.25">
      <c r="B225" s="809" t="s">
        <v>404</v>
      </c>
      <c r="C225" s="786"/>
      <c r="D225" s="786"/>
      <c r="E225" s="787"/>
      <c r="F225" s="643">
        <f>SUM(F211:F224)</f>
        <v>16834000</v>
      </c>
      <c r="G225" s="641"/>
      <c r="H225" s="644">
        <f t="shared" ref="H225:K225" si="211">SUM(H211:H224)</f>
        <v>129142000</v>
      </c>
      <c r="I225" s="642">
        <f t="shared" si="211"/>
        <v>0</v>
      </c>
      <c r="J225" s="642">
        <f t="shared" si="211"/>
        <v>129142000</v>
      </c>
      <c r="K225" s="642">
        <f t="shared" si="211"/>
        <v>129142000</v>
      </c>
      <c r="N225" s="642">
        <f t="shared" ref="N225:O225" si="212">SUM(N211:N224)</f>
        <v>117846223</v>
      </c>
      <c r="O225" s="642">
        <f t="shared" si="212"/>
        <v>138866004</v>
      </c>
      <c r="P225" s="569">
        <f t="shared" si="210"/>
        <v>-7.0024366798946747E-2</v>
      </c>
      <c r="Q225" s="295"/>
    </row>
    <row r="226" spans="2:17" ht="15.75" customHeight="1" x14ac:dyDescent="0.25">
      <c r="B226" s="784" t="s">
        <v>1439</v>
      </c>
      <c r="C226" s="782"/>
      <c r="D226" s="782"/>
      <c r="E226" s="782"/>
      <c r="F226" s="782"/>
      <c r="G226" s="782"/>
      <c r="H226" s="782"/>
      <c r="I226" s="782"/>
      <c r="J226" s="782"/>
      <c r="K226" s="783"/>
      <c r="Q226" s="295">
        <f t="shared" si="193"/>
        <v>0</v>
      </c>
    </row>
    <row r="227" spans="2:17" ht="57.75" customHeight="1" x14ac:dyDescent="0.25">
      <c r="B227" s="593">
        <v>1</v>
      </c>
      <c r="C227" s="608" t="s">
        <v>1440</v>
      </c>
      <c r="D227" s="131" t="s">
        <v>1061</v>
      </c>
      <c r="E227" s="131">
        <v>1</v>
      </c>
      <c r="F227" s="594">
        <v>3500000</v>
      </c>
      <c r="G227" s="630">
        <v>1</v>
      </c>
      <c r="H227" s="567">
        <f t="shared" ref="H227:H229" si="213">F227*E227*G227</f>
        <v>3500000</v>
      </c>
      <c r="I227" s="607">
        <v>0</v>
      </c>
      <c r="J227" s="597">
        <f t="shared" ref="J227:J240" si="214">H227</f>
        <v>3500000</v>
      </c>
      <c r="K227" s="607">
        <f t="shared" ref="K227:K240" si="215">I227+J227</f>
        <v>3500000</v>
      </c>
      <c r="N227" s="568">
        <f>'3.1 Comparativo_Logística'!$M$7</f>
        <v>3585068</v>
      </c>
      <c r="O227" s="568">
        <f t="shared" ref="O227:O235" si="216">N227*G227*E227</f>
        <v>3585068</v>
      </c>
      <c r="P227" s="569">
        <f t="shared" ref="P227:P235" si="217">K227/O227-1</f>
        <v>-2.3728420214065626E-2</v>
      </c>
      <c r="Q227" s="295">
        <f t="shared" si="193"/>
        <v>0</v>
      </c>
    </row>
    <row r="228" spans="2:17" ht="54" x14ac:dyDescent="0.25">
      <c r="B228" s="595">
        <v>2</v>
      </c>
      <c r="C228" s="608" t="s">
        <v>1432</v>
      </c>
      <c r="D228" s="631" t="s">
        <v>396</v>
      </c>
      <c r="E228" s="134">
        <v>1</v>
      </c>
      <c r="F228" s="597">
        <v>900000</v>
      </c>
      <c r="G228" s="632">
        <v>1</v>
      </c>
      <c r="H228" s="571">
        <f t="shared" si="213"/>
        <v>900000</v>
      </c>
      <c r="I228" s="607">
        <v>0</v>
      </c>
      <c r="J228" s="597">
        <f t="shared" si="214"/>
        <v>900000</v>
      </c>
      <c r="K228" s="607">
        <f t="shared" si="215"/>
        <v>900000</v>
      </c>
      <c r="N228" s="568">
        <f>'3.1 Comparativo_Logística'!$M$20</f>
        <v>1176347</v>
      </c>
      <c r="O228" s="568">
        <f t="shared" si="216"/>
        <v>1176347</v>
      </c>
      <c r="P228" s="569">
        <f t="shared" si="217"/>
        <v>-0.23491962830695368</v>
      </c>
      <c r="Q228" s="295">
        <f t="shared" si="193"/>
        <v>0</v>
      </c>
    </row>
    <row r="229" spans="2:17" ht="67.5" x14ac:dyDescent="0.25">
      <c r="B229" s="570">
        <v>3</v>
      </c>
      <c r="C229" s="608" t="s">
        <v>1433</v>
      </c>
      <c r="D229" s="611" t="s">
        <v>238</v>
      </c>
      <c r="E229" s="599">
        <v>3</v>
      </c>
      <c r="F229" s="600">
        <v>200000</v>
      </c>
      <c r="G229" s="633">
        <v>1</v>
      </c>
      <c r="H229" s="571">
        <f t="shared" si="213"/>
        <v>600000</v>
      </c>
      <c r="I229" s="607">
        <v>0</v>
      </c>
      <c r="J229" s="597">
        <f t="shared" si="214"/>
        <v>600000</v>
      </c>
      <c r="K229" s="607">
        <f t="shared" si="215"/>
        <v>600000</v>
      </c>
      <c r="N229" s="568">
        <f>'3.1 Comparativo_Logística'!$M$29</f>
        <v>249230</v>
      </c>
      <c r="O229" s="568">
        <f t="shared" si="216"/>
        <v>747690</v>
      </c>
      <c r="P229" s="569">
        <f t="shared" si="217"/>
        <v>-0.19752838743329459</v>
      </c>
      <c r="Q229" s="295">
        <f t="shared" si="193"/>
        <v>0</v>
      </c>
    </row>
    <row r="230" spans="2:17" ht="108" x14ac:dyDescent="0.25">
      <c r="B230" s="564">
        <v>4</v>
      </c>
      <c r="C230" s="618" t="s">
        <v>1385</v>
      </c>
      <c r="D230" s="613" t="s">
        <v>238</v>
      </c>
      <c r="E230" s="613">
        <v>1</v>
      </c>
      <c r="F230" s="617">
        <v>1600000</v>
      </c>
      <c r="G230" s="634">
        <v>1</v>
      </c>
      <c r="H230" s="571">
        <f t="shared" ref="H230:H234" si="218">E230*F230*G230</f>
        <v>1600000</v>
      </c>
      <c r="I230" s="607">
        <v>0</v>
      </c>
      <c r="J230" s="597">
        <f t="shared" si="214"/>
        <v>1600000</v>
      </c>
      <c r="K230" s="607">
        <f t="shared" si="215"/>
        <v>1600000</v>
      </c>
      <c r="N230" s="568">
        <f>'3.1 Comparativo_Logística'!$M$37</f>
        <v>2714721</v>
      </c>
      <c r="O230" s="568">
        <f t="shared" si="216"/>
        <v>2714721</v>
      </c>
      <c r="P230" s="569">
        <f t="shared" si="217"/>
        <v>-0.41062083359579127</v>
      </c>
      <c r="Q230" s="295">
        <f t="shared" si="193"/>
        <v>0</v>
      </c>
    </row>
    <row r="231" spans="2:17" ht="81" x14ac:dyDescent="0.25">
      <c r="B231" s="570">
        <v>5</v>
      </c>
      <c r="C231" s="618" t="s">
        <v>1434</v>
      </c>
      <c r="D231" s="613" t="s">
        <v>396</v>
      </c>
      <c r="E231" s="613">
        <v>63</v>
      </c>
      <c r="F231" s="617">
        <v>32000</v>
      </c>
      <c r="G231" s="634">
        <v>1</v>
      </c>
      <c r="H231" s="571">
        <f t="shared" si="218"/>
        <v>2016000</v>
      </c>
      <c r="I231" s="607">
        <v>0</v>
      </c>
      <c r="J231" s="597">
        <f t="shared" si="214"/>
        <v>2016000</v>
      </c>
      <c r="K231" s="607">
        <f t="shared" si="215"/>
        <v>2016000</v>
      </c>
      <c r="N231" s="568">
        <f>'2.1 Comparativo_Alimentación'!$M$7</f>
        <v>33548</v>
      </c>
      <c r="O231" s="568">
        <f t="shared" si="216"/>
        <v>2113524</v>
      </c>
      <c r="P231" s="569">
        <f t="shared" si="217"/>
        <v>-4.6142840109693606E-2</v>
      </c>
      <c r="Q231" s="295">
        <f t="shared" si="193"/>
        <v>0</v>
      </c>
    </row>
    <row r="232" spans="2:17" ht="67.5" x14ac:dyDescent="0.25">
      <c r="B232" s="564">
        <v>6</v>
      </c>
      <c r="C232" s="618" t="s">
        <v>1435</v>
      </c>
      <c r="D232" s="613" t="s">
        <v>396</v>
      </c>
      <c r="E232" s="613">
        <v>63</v>
      </c>
      <c r="F232" s="617">
        <v>70000</v>
      </c>
      <c r="G232" s="634">
        <v>1</v>
      </c>
      <c r="H232" s="571">
        <f t="shared" si="218"/>
        <v>4410000</v>
      </c>
      <c r="I232" s="607">
        <v>0</v>
      </c>
      <c r="J232" s="597">
        <f t="shared" si="214"/>
        <v>4410000</v>
      </c>
      <c r="K232" s="607">
        <f t="shared" si="215"/>
        <v>4410000</v>
      </c>
      <c r="N232" s="568">
        <f>'2.1 Comparativo_Alimentación'!$M$8</f>
        <v>70822</v>
      </c>
      <c r="O232" s="568">
        <f t="shared" si="216"/>
        <v>4461786</v>
      </c>
      <c r="P232" s="569">
        <f t="shared" si="217"/>
        <v>-1.1606562932422126E-2</v>
      </c>
      <c r="Q232" s="295">
        <f t="shared" si="193"/>
        <v>0</v>
      </c>
    </row>
    <row r="233" spans="2:17" ht="45" customHeight="1" x14ac:dyDescent="0.25">
      <c r="B233" s="570">
        <v>7</v>
      </c>
      <c r="C233" s="618" t="s">
        <v>1436</v>
      </c>
      <c r="D233" s="613" t="s">
        <v>396</v>
      </c>
      <c r="E233" s="613">
        <v>63</v>
      </c>
      <c r="F233" s="617">
        <v>32000</v>
      </c>
      <c r="G233" s="634">
        <v>1</v>
      </c>
      <c r="H233" s="571">
        <f t="shared" si="218"/>
        <v>2016000</v>
      </c>
      <c r="I233" s="607">
        <v>0</v>
      </c>
      <c r="J233" s="597">
        <f t="shared" si="214"/>
        <v>2016000</v>
      </c>
      <c r="K233" s="607">
        <f t="shared" si="215"/>
        <v>2016000</v>
      </c>
      <c r="N233" s="568">
        <f>'2.1 Comparativo_Alimentación'!$M$9</f>
        <v>33548</v>
      </c>
      <c r="O233" s="568">
        <f t="shared" si="216"/>
        <v>2113524</v>
      </c>
      <c r="P233" s="569">
        <f t="shared" si="217"/>
        <v>-4.6142840109693606E-2</v>
      </c>
      <c r="Q233" s="295">
        <f t="shared" si="193"/>
        <v>0</v>
      </c>
    </row>
    <row r="234" spans="2:17" ht="148.5" x14ac:dyDescent="0.25">
      <c r="B234" s="595">
        <v>8</v>
      </c>
      <c r="C234" s="615" t="s">
        <v>1391</v>
      </c>
      <c r="D234" s="619" t="s">
        <v>238</v>
      </c>
      <c r="E234" s="614">
        <v>1</v>
      </c>
      <c r="F234" s="600">
        <v>2000000</v>
      </c>
      <c r="G234" s="632">
        <v>1</v>
      </c>
      <c r="H234" s="571">
        <f t="shared" si="218"/>
        <v>2000000</v>
      </c>
      <c r="I234" s="607">
        <v>0</v>
      </c>
      <c r="J234" s="597">
        <f t="shared" si="214"/>
        <v>2000000</v>
      </c>
      <c r="K234" s="607">
        <f t="shared" si="215"/>
        <v>2000000</v>
      </c>
      <c r="N234" s="568">
        <f>'8.1 Comparativo_Tallerista'!$N$7</f>
        <v>2455526</v>
      </c>
      <c r="O234" s="568">
        <f t="shared" si="216"/>
        <v>2455526</v>
      </c>
      <c r="P234" s="569">
        <f t="shared" si="217"/>
        <v>-0.18551055863387311</v>
      </c>
      <c r="Q234" s="295">
        <f t="shared" si="193"/>
        <v>0</v>
      </c>
    </row>
    <row r="235" spans="2:17" ht="108" x14ac:dyDescent="0.25">
      <c r="B235" s="570">
        <v>9</v>
      </c>
      <c r="C235" s="618" t="s">
        <v>1393</v>
      </c>
      <c r="D235" s="619" t="s">
        <v>238</v>
      </c>
      <c r="E235" s="614">
        <v>1</v>
      </c>
      <c r="F235" s="620">
        <v>2500000</v>
      </c>
      <c r="G235" s="131">
        <v>1</v>
      </c>
      <c r="H235" s="571">
        <f>F235*E235*G235</f>
        <v>2500000</v>
      </c>
      <c r="I235" s="607">
        <v>0</v>
      </c>
      <c r="J235" s="597">
        <f t="shared" si="214"/>
        <v>2500000</v>
      </c>
      <c r="K235" s="607">
        <f t="shared" si="215"/>
        <v>2500000</v>
      </c>
      <c r="N235" s="568">
        <f>'9.1 Comparativo_Sabedor'!$N$7</f>
        <v>2829639</v>
      </c>
      <c r="O235" s="568">
        <f t="shared" si="216"/>
        <v>2829639</v>
      </c>
      <c r="P235" s="569">
        <f t="shared" si="217"/>
        <v>-0.11649507233961642</v>
      </c>
      <c r="Q235" s="295">
        <f t="shared" si="193"/>
        <v>0</v>
      </c>
    </row>
    <row r="236" spans="2:17" ht="94.5" x14ac:dyDescent="0.25">
      <c r="B236" s="570">
        <v>10</v>
      </c>
      <c r="C236" s="618" t="s">
        <v>1394</v>
      </c>
      <c r="D236" s="599" t="s">
        <v>1062</v>
      </c>
      <c r="E236" s="614">
        <v>1</v>
      </c>
      <c r="F236" s="600">
        <v>4000000</v>
      </c>
      <c r="G236" s="632">
        <v>1</v>
      </c>
      <c r="H236" s="571">
        <f>E236*F236*G236</f>
        <v>4000000</v>
      </c>
      <c r="I236" s="607">
        <v>0</v>
      </c>
      <c r="J236" s="597">
        <f t="shared" si="214"/>
        <v>4000000</v>
      </c>
      <c r="K236" s="607">
        <f t="shared" si="215"/>
        <v>4000000</v>
      </c>
      <c r="N236" s="568">
        <f>'6.1 Comparativo_Grupo_Armoniz'!$N$7</f>
        <v>6875473</v>
      </c>
      <c r="O236" s="568">
        <f t="shared" ref="O236" si="219">N236*G236*E236</f>
        <v>6875473</v>
      </c>
      <c r="P236" s="569">
        <f t="shared" ref="P236" si="220">K236/O236-1</f>
        <v>-0.41822184451891531</v>
      </c>
      <c r="Q236" s="295">
        <f t="shared" si="193"/>
        <v>0</v>
      </c>
    </row>
    <row r="237" spans="2:17" ht="60" customHeight="1" x14ac:dyDescent="0.25">
      <c r="B237" s="595">
        <v>11</v>
      </c>
      <c r="C237" s="618" t="s">
        <v>1437</v>
      </c>
      <c r="D237" s="613" t="s">
        <v>238</v>
      </c>
      <c r="E237" s="621">
        <v>60</v>
      </c>
      <c r="F237" s="597">
        <v>500000</v>
      </c>
      <c r="G237" s="134">
        <v>3</v>
      </c>
      <c r="H237" s="622">
        <f t="shared" ref="H237:H239" si="221">F237*E237*G237</f>
        <v>90000000</v>
      </c>
      <c r="I237" s="607">
        <v>0</v>
      </c>
      <c r="J237" s="597">
        <f t="shared" si="214"/>
        <v>90000000</v>
      </c>
      <c r="K237" s="607">
        <f t="shared" si="215"/>
        <v>90000000</v>
      </c>
      <c r="N237" s="104">
        <f>'5.1 Comparativo_Viáticos'!$Q$17</f>
        <v>91934910</v>
      </c>
      <c r="O237" s="104">
        <f>N237</f>
        <v>91934910</v>
      </c>
      <c r="P237" s="438">
        <f>K237/O237-1</f>
        <v>-2.1046520848282735E-2</v>
      </c>
      <c r="Q237" s="295">
        <f t="shared" si="193"/>
        <v>0</v>
      </c>
    </row>
    <row r="238" spans="2:17" ht="81" x14ac:dyDescent="0.25">
      <c r="B238" s="570">
        <v>12</v>
      </c>
      <c r="C238" s="618" t="s">
        <v>1392</v>
      </c>
      <c r="D238" s="613" t="s">
        <v>238</v>
      </c>
      <c r="E238" s="621">
        <v>3</v>
      </c>
      <c r="F238" s="617">
        <v>400000</v>
      </c>
      <c r="G238" s="134">
        <v>3</v>
      </c>
      <c r="H238" s="622">
        <f t="shared" si="221"/>
        <v>3600000</v>
      </c>
      <c r="I238" s="607">
        <v>0</v>
      </c>
      <c r="J238" s="597">
        <f t="shared" si="214"/>
        <v>3600000</v>
      </c>
      <c r="K238" s="607">
        <f t="shared" si="215"/>
        <v>3600000</v>
      </c>
      <c r="N238" s="568">
        <f>'5.1 Comparativo_Viáticos'!$Q$13</f>
        <v>4596746</v>
      </c>
      <c r="O238" s="568">
        <f>N238</f>
        <v>4596746</v>
      </c>
      <c r="P238" s="569">
        <f t="shared" ref="P238" si="222">K238/O238-1</f>
        <v>-0.21683730186527606</v>
      </c>
      <c r="Q238" s="295">
        <f t="shared" si="193"/>
        <v>0</v>
      </c>
    </row>
    <row r="239" spans="2:17" ht="94.5" x14ac:dyDescent="0.25">
      <c r="B239" s="629">
        <v>13</v>
      </c>
      <c r="C239" s="624" t="s">
        <v>1425</v>
      </c>
      <c r="D239" s="613" t="s">
        <v>238</v>
      </c>
      <c r="E239" s="639">
        <v>3</v>
      </c>
      <c r="F239" s="617">
        <v>1000000</v>
      </c>
      <c r="G239" s="621">
        <v>2</v>
      </c>
      <c r="H239" s="622">
        <f t="shared" si="221"/>
        <v>6000000</v>
      </c>
      <c r="I239" s="607">
        <v>0</v>
      </c>
      <c r="J239" s="597">
        <f t="shared" si="214"/>
        <v>6000000</v>
      </c>
      <c r="K239" s="607">
        <f t="shared" si="215"/>
        <v>6000000</v>
      </c>
      <c r="N239" s="568">
        <f>'4.1 Comparativo_Transporte'!$N$27</f>
        <v>1188475</v>
      </c>
      <c r="O239" s="568">
        <f t="shared" ref="O239:O240" si="223">N239*G239*E239</f>
        <v>7130850</v>
      </c>
      <c r="P239" s="569">
        <f t="shared" ref="P239:P241" si="224">K239/O239-1</f>
        <v>-0.15858558236395381</v>
      </c>
      <c r="Q239" s="295">
        <f t="shared" si="193"/>
        <v>0</v>
      </c>
    </row>
    <row r="240" spans="2:17" ht="93" customHeight="1" x14ac:dyDescent="0.25">
      <c r="B240" s="595">
        <v>14</v>
      </c>
      <c r="C240" s="608" t="s">
        <v>1438</v>
      </c>
      <c r="D240" s="605" t="s">
        <v>396</v>
      </c>
      <c r="E240" s="640">
        <v>60</v>
      </c>
      <c r="F240" s="617">
        <v>100000</v>
      </c>
      <c r="G240" s="640">
        <v>1</v>
      </c>
      <c r="H240" s="567">
        <f>E240*F240*G240</f>
        <v>6000000</v>
      </c>
      <c r="I240" s="607">
        <v>0</v>
      </c>
      <c r="J240" s="597">
        <f t="shared" si="214"/>
        <v>6000000</v>
      </c>
      <c r="K240" s="607">
        <f t="shared" si="215"/>
        <v>6000000</v>
      </c>
      <c r="N240" s="568">
        <f>'7.1 Comparativo_Kit_Herrami'!$N$7</f>
        <v>102170</v>
      </c>
      <c r="O240" s="568">
        <f t="shared" si="223"/>
        <v>6130200</v>
      </c>
      <c r="P240" s="569">
        <f t="shared" si="224"/>
        <v>-2.1239111285113021E-2</v>
      </c>
      <c r="Q240" s="295">
        <f t="shared" si="193"/>
        <v>0</v>
      </c>
    </row>
    <row r="241" spans="2:17" ht="15.75" customHeight="1" x14ac:dyDescent="0.25">
      <c r="B241" s="809" t="s">
        <v>405</v>
      </c>
      <c r="C241" s="786"/>
      <c r="D241" s="786"/>
      <c r="E241" s="787"/>
      <c r="F241" s="643">
        <f>SUM(F227:F240)</f>
        <v>16834000</v>
      </c>
      <c r="G241" s="641"/>
      <c r="H241" s="644">
        <f>SUM(H227:H240)</f>
        <v>129142000</v>
      </c>
      <c r="I241" s="642">
        <v>0</v>
      </c>
      <c r="J241" s="642">
        <f t="shared" ref="J241:K241" si="225">SUM(J227:J240)</f>
        <v>129142000</v>
      </c>
      <c r="K241" s="642">
        <f t="shared" si="225"/>
        <v>129142000</v>
      </c>
      <c r="N241" s="642">
        <f t="shared" ref="N241:O241" si="226">SUM(N227:N240)</f>
        <v>117846223</v>
      </c>
      <c r="O241" s="642">
        <f t="shared" si="226"/>
        <v>138866004</v>
      </c>
      <c r="P241" s="569">
        <f t="shared" si="224"/>
        <v>-7.0024366798946747E-2</v>
      </c>
      <c r="Q241" s="295"/>
    </row>
    <row r="242" spans="2:17" ht="15.75" customHeight="1" x14ac:dyDescent="0.25">
      <c r="B242" s="784" t="s">
        <v>1441</v>
      </c>
      <c r="C242" s="782"/>
      <c r="D242" s="782"/>
      <c r="E242" s="782"/>
      <c r="F242" s="782"/>
      <c r="G242" s="782"/>
      <c r="H242" s="782"/>
      <c r="I242" s="782"/>
      <c r="J242" s="782"/>
      <c r="K242" s="783"/>
      <c r="Q242" s="295">
        <f t="shared" si="193"/>
        <v>0</v>
      </c>
    </row>
    <row r="243" spans="2:17" ht="53.25" customHeight="1" x14ac:dyDescent="0.25">
      <c r="B243" s="593">
        <v>1</v>
      </c>
      <c r="C243" s="608" t="s">
        <v>1442</v>
      </c>
      <c r="D243" s="131" t="s">
        <v>1061</v>
      </c>
      <c r="E243" s="131">
        <v>1</v>
      </c>
      <c r="F243" s="594">
        <v>3500000</v>
      </c>
      <c r="G243" s="630">
        <v>1</v>
      </c>
      <c r="H243" s="567">
        <f t="shared" ref="H243:H245" si="227">F243*E243*G243</f>
        <v>3500000</v>
      </c>
      <c r="I243" s="607">
        <v>0</v>
      </c>
      <c r="J243" s="597">
        <f t="shared" ref="J243:J256" si="228">H243</f>
        <v>3500000</v>
      </c>
      <c r="K243" s="607">
        <f t="shared" ref="K243:K256" si="229">I243+J243</f>
        <v>3500000</v>
      </c>
      <c r="N243" s="568">
        <f>'3.1 Comparativo_Logística'!$M$7</f>
        <v>3585068</v>
      </c>
      <c r="O243" s="568">
        <f t="shared" ref="O243:O251" si="230">N243*G243*E243</f>
        <v>3585068</v>
      </c>
      <c r="P243" s="569">
        <f t="shared" ref="P243:P251" si="231">K243/O243-1</f>
        <v>-2.3728420214065626E-2</v>
      </c>
      <c r="Q243" s="295">
        <f t="shared" si="193"/>
        <v>0</v>
      </c>
    </row>
    <row r="244" spans="2:17" ht="33.75" customHeight="1" x14ac:dyDescent="0.25">
      <c r="B244" s="595">
        <v>2</v>
      </c>
      <c r="C244" s="608" t="s">
        <v>1416</v>
      </c>
      <c r="D244" s="631" t="s">
        <v>396</v>
      </c>
      <c r="E244" s="134">
        <v>1</v>
      </c>
      <c r="F244" s="597">
        <v>900000</v>
      </c>
      <c r="G244" s="632">
        <v>1</v>
      </c>
      <c r="H244" s="571">
        <f t="shared" si="227"/>
        <v>900000</v>
      </c>
      <c r="I244" s="607">
        <v>0</v>
      </c>
      <c r="J244" s="597">
        <f t="shared" si="228"/>
        <v>900000</v>
      </c>
      <c r="K244" s="607">
        <f t="shared" si="229"/>
        <v>900000</v>
      </c>
      <c r="N244" s="568">
        <f>'3.1 Comparativo_Logística'!$M$20</f>
        <v>1176347</v>
      </c>
      <c r="O244" s="568">
        <f t="shared" si="230"/>
        <v>1176347</v>
      </c>
      <c r="P244" s="569">
        <f t="shared" si="231"/>
        <v>-0.23491962830695368</v>
      </c>
      <c r="Q244" s="295">
        <f t="shared" si="193"/>
        <v>0</v>
      </c>
    </row>
    <row r="245" spans="2:17" ht="35.25" customHeight="1" x14ac:dyDescent="0.25">
      <c r="B245" s="570">
        <v>3</v>
      </c>
      <c r="C245" s="608" t="s">
        <v>1417</v>
      </c>
      <c r="D245" s="611" t="s">
        <v>238</v>
      </c>
      <c r="E245" s="599">
        <v>2</v>
      </c>
      <c r="F245" s="600">
        <v>200000</v>
      </c>
      <c r="G245" s="633">
        <v>1</v>
      </c>
      <c r="H245" s="571">
        <f t="shared" si="227"/>
        <v>400000</v>
      </c>
      <c r="I245" s="607">
        <v>0</v>
      </c>
      <c r="J245" s="597">
        <f t="shared" si="228"/>
        <v>400000</v>
      </c>
      <c r="K245" s="607">
        <f t="shared" si="229"/>
        <v>400000</v>
      </c>
      <c r="N245" s="568">
        <f>'3.1 Comparativo_Logística'!$M$29</f>
        <v>249230</v>
      </c>
      <c r="O245" s="568">
        <f t="shared" si="230"/>
        <v>498460</v>
      </c>
      <c r="P245" s="569">
        <f t="shared" si="231"/>
        <v>-0.19752838743329459</v>
      </c>
      <c r="Q245" s="295">
        <f t="shared" si="193"/>
        <v>0</v>
      </c>
    </row>
    <row r="246" spans="2:17" ht="108" x14ac:dyDescent="0.25">
      <c r="B246" s="564">
        <v>4</v>
      </c>
      <c r="C246" s="618" t="s">
        <v>1385</v>
      </c>
      <c r="D246" s="613" t="s">
        <v>238</v>
      </c>
      <c r="E246" s="613">
        <v>1</v>
      </c>
      <c r="F246" s="617">
        <v>1600000</v>
      </c>
      <c r="G246" s="634">
        <v>1</v>
      </c>
      <c r="H246" s="571">
        <f t="shared" ref="H246:H250" si="232">E246*F246*G246</f>
        <v>1600000</v>
      </c>
      <c r="I246" s="607">
        <v>0</v>
      </c>
      <c r="J246" s="597">
        <f t="shared" si="228"/>
        <v>1600000</v>
      </c>
      <c r="K246" s="607">
        <f t="shared" si="229"/>
        <v>1600000</v>
      </c>
      <c r="N246" s="568">
        <f>'3.1 Comparativo_Logística'!$M$37</f>
        <v>2714721</v>
      </c>
      <c r="O246" s="568">
        <f t="shared" si="230"/>
        <v>2714721</v>
      </c>
      <c r="P246" s="569">
        <f t="shared" si="231"/>
        <v>-0.41062083359579127</v>
      </c>
      <c r="Q246" s="295">
        <f t="shared" si="193"/>
        <v>0</v>
      </c>
    </row>
    <row r="247" spans="2:17" ht="45" customHeight="1" x14ac:dyDescent="0.25">
      <c r="B247" s="570">
        <v>5</v>
      </c>
      <c r="C247" s="618" t="s">
        <v>1418</v>
      </c>
      <c r="D247" s="613" t="s">
        <v>396</v>
      </c>
      <c r="E247" s="613">
        <v>53</v>
      </c>
      <c r="F247" s="617">
        <v>32000</v>
      </c>
      <c r="G247" s="634">
        <v>1</v>
      </c>
      <c r="H247" s="571">
        <f t="shared" si="232"/>
        <v>1696000</v>
      </c>
      <c r="I247" s="607">
        <v>0</v>
      </c>
      <c r="J247" s="597">
        <f t="shared" si="228"/>
        <v>1696000</v>
      </c>
      <c r="K247" s="607">
        <f t="shared" si="229"/>
        <v>1696000</v>
      </c>
      <c r="N247" s="568">
        <f>'2.1 Comparativo_Alimentación'!$M$7</f>
        <v>33548</v>
      </c>
      <c r="O247" s="568">
        <f t="shared" si="230"/>
        <v>1778044</v>
      </c>
      <c r="P247" s="569">
        <f t="shared" si="231"/>
        <v>-4.6142840109693606E-2</v>
      </c>
      <c r="Q247" s="295">
        <f t="shared" si="193"/>
        <v>0</v>
      </c>
    </row>
    <row r="248" spans="2:17" ht="37.5" customHeight="1" x14ac:dyDescent="0.25">
      <c r="B248" s="564">
        <v>6</v>
      </c>
      <c r="C248" s="618" t="s">
        <v>1419</v>
      </c>
      <c r="D248" s="613" t="s">
        <v>396</v>
      </c>
      <c r="E248" s="613">
        <v>53</v>
      </c>
      <c r="F248" s="617">
        <v>70000</v>
      </c>
      <c r="G248" s="634">
        <v>1</v>
      </c>
      <c r="H248" s="571">
        <f t="shared" si="232"/>
        <v>3710000</v>
      </c>
      <c r="I248" s="607">
        <v>0</v>
      </c>
      <c r="J248" s="597">
        <f t="shared" si="228"/>
        <v>3710000</v>
      </c>
      <c r="K248" s="607">
        <f t="shared" si="229"/>
        <v>3710000</v>
      </c>
      <c r="N248" s="568">
        <f>'2.1 Comparativo_Alimentación'!$M$8</f>
        <v>70822</v>
      </c>
      <c r="O248" s="568">
        <f t="shared" si="230"/>
        <v>3753566</v>
      </c>
      <c r="P248" s="569">
        <f t="shared" si="231"/>
        <v>-1.1606562932422126E-2</v>
      </c>
      <c r="Q248" s="295">
        <f t="shared" si="193"/>
        <v>0</v>
      </c>
    </row>
    <row r="249" spans="2:17" ht="45" customHeight="1" x14ac:dyDescent="0.25">
      <c r="B249" s="570">
        <v>7</v>
      </c>
      <c r="C249" s="618" t="s">
        <v>1420</v>
      </c>
      <c r="D249" s="613" t="s">
        <v>396</v>
      </c>
      <c r="E249" s="613">
        <v>53</v>
      </c>
      <c r="F249" s="617">
        <v>32000</v>
      </c>
      <c r="G249" s="634">
        <v>1</v>
      </c>
      <c r="H249" s="571">
        <f t="shared" si="232"/>
        <v>1696000</v>
      </c>
      <c r="I249" s="607">
        <v>0</v>
      </c>
      <c r="J249" s="597">
        <f t="shared" si="228"/>
        <v>1696000</v>
      </c>
      <c r="K249" s="607">
        <f t="shared" si="229"/>
        <v>1696000</v>
      </c>
      <c r="N249" s="568">
        <f>'2.1 Comparativo_Alimentación'!$M$9</f>
        <v>33548</v>
      </c>
      <c r="O249" s="568">
        <f t="shared" si="230"/>
        <v>1778044</v>
      </c>
      <c r="P249" s="569">
        <f t="shared" si="231"/>
        <v>-4.6142840109693606E-2</v>
      </c>
      <c r="Q249" s="295">
        <f t="shared" si="193"/>
        <v>0</v>
      </c>
    </row>
    <row r="250" spans="2:17" ht="148.5" x14ac:dyDescent="0.25">
      <c r="B250" s="595">
        <v>8</v>
      </c>
      <c r="C250" s="615" t="s">
        <v>1391</v>
      </c>
      <c r="D250" s="619" t="s">
        <v>238</v>
      </c>
      <c r="E250" s="614">
        <v>1</v>
      </c>
      <c r="F250" s="600">
        <v>2000000</v>
      </c>
      <c r="G250" s="632">
        <v>1</v>
      </c>
      <c r="H250" s="571">
        <f t="shared" si="232"/>
        <v>2000000</v>
      </c>
      <c r="I250" s="607">
        <v>0</v>
      </c>
      <c r="J250" s="597">
        <f t="shared" si="228"/>
        <v>2000000</v>
      </c>
      <c r="K250" s="607">
        <f t="shared" si="229"/>
        <v>2000000</v>
      </c>
      <c r="L250" s="59">
        <f>115000*8</f>
        <v>920000</v>
      </c>
      <c r="N250" s="568">
        <f>'8.1 Comparativo_Tallerista'!$N$7</f>
        <v>2455526</v>
      </c>
      <c r="O250" s="568">
        <f t="shared" si="230"/>
        <v>2455526</v>
      </c>
      <c r="P250" s="569">
        <f t="shared" si="231"/>
        <v>-0.18551055863387311</v>
      </c>
      <c r="Q250" s="295">
        <f t="shared" si="193"/>
        <v>0</v>
      </c>
    </row>
    <row r="251" spans="2:17" ht="108" x14ac:dyDescent="0.25">
      <c r="B251" s="570">
        <v>9</v>
      </c>
      <c r="C251" s="618" t="s">
        <v>1393</v>
      </c>
      <c r="D251" s="619" t="s">
        <v>238</v>
      </c>
      <c r="E251" s="614">
        <v>1</v>
      </c>
      <c r="F251" s="620">
        <v>2500000</v>
      </c>
      <c r="G251" s="131">
        <v>1</v>
      </c>
      <c r="H251" s="571">
        <f>F251*E251*G251</f>
        <v>2500000</v>
      </c>
      <c r="I251" s="607">
        <v>0</v>
      </c>
      <c r="J251" s="597">
        <f t="shared" si="228"/>
        <v>2500000</v>
      </c>
      <c r="K251" s="607">
        <f t="shared" si="229"/>
        <v>2500000</v>
      </c>
      <c r="N251" s="568">
        <f>'9.1 Comparativo_Sabedor'!$N$7</f>
        <v>2829639</v>
      </c>
      <c r="O251" s="568">
        <f t="shared" si="230"/>
        <v>2829639</v>
      </c>
      <c r="P251" s="569">
        <f t="shared" si="231"/>
        <v>-0.11649507233961642</v>
      </c>
      <c r="Q251" s="295">
        <f t="shared" si="193"/>
        <v>0</v>
      </c>
    </row>
    <row r="252" spans="2:17" ht="94.5" x14ac:dyDescent="0.25">
      <c r="B252" s="570">
        <v>10</v>
      </c>
      <c r="C252" s="618" t="s">
        <v>1394</v>
      </c>
      <c r="D252" s="599" t="s">
        <v>1062</v>
      </c>
      <c r="E252" s="614">
        <v>1</v>
      </c>
      <c r="F252" s="600">
        <v>4000000</v>
      </c>
      <c r="G252" s="632">
        <v>1</v>
      </c>
      <c r="H252" s="571">
        <f>E252*F252*G252</f>
        <v>4000000</v>
      </c>
      <c r="I252" s="607">
        <v>0</v>
      </c>
      <c r="J252" s="597">
        <f t="shared" si="228"/>
        <v>4000000</v>
      </c>
      <c r="K252" s="607">
        <f t="shared" si="229"/>
        <v>4000000</v>
      </c>
      <c r="N252" s="568">
        <f>'6.1 Comparativo_Grupo_Armoniz'!$N$7</f>
        <v>6875473</v>
      </c>
      <c r="O252" s="568">
        <f t="shared" ref="O252" si="233">N252*G252*E252</f>
        <v>6875473</v>
      </c>
      <c r="P252" s="569">
        <f t="shared" ref="P252" si="234">K252/O252-1</f>
        <v>-0.41822184451891531</v>
      </c>
      <c r="Q252" s="295">
        <f t="shared" si="193"/>
        <v>0</v>
      </c>
    </row>
    <row r="253" spans="2:17" ht="51.75" customHeight="1" x14ac:dyDescent="0.25">
      <c r="B253" s="595">
        <v>11</v>
      </c>
      <c r="C253" s="618" t="s">
        <v>1429</v>
      </c>
      <c r="D253" s="613" t="s">
        <v>238</v>
      </c>
      <c r="E253" s="621">
        <v>50</v>
      </c>
      <c r="F253" s="597">
        <v>500000</v>
      </c>
      <c r="G253" s="134">
        <v>3</v>
      </c>
      <c r="H253" s="622">
        <f t="shared" ref="H253:H255" si="235">F253*E253*G253</f>
        <v>75000000</v>
      </c>
      <c r="I253" s="607">
        <v>0</v>
      </c>
      <c r="J253" s="597">
        <f t="shared" si="228"/>
        <v>75000000</v>
      </c>
      <c r="K253" s="607">
        <f t="shared" si="229"/>
        <v>75000000</v>
      </c>
      <c r="N253" s="104">
        <f>'5.1 Comparativo_Viáticos'!$Q$15</f>
        <v>76612425</v>
      </c>
      <c r="O253" s="104">
        <f>N253</f>
        <v>76612425</v>
      </c>
      <c r="P253" s="438">
        <f>K253/O253-1</f>
        <v>-2.1046520848282735E-2</v>
      </c>
      <c r="Q253" s="295">
        <f t="shared" si="193"/>
        <v>0</v>
      </c>
    </row>
    <row r="254" spans="2:17" ht="33.75" customHeight="1" x14ac:dyDescent="0.25">
      <c r="B254" s="570">
        <v>12</v>
      </c>
      <c r="C254" s="618" t="s">
        <v>1392</v>
      </c>
      <c r="D254" s="613" t="s">
        <v>238</v>
      </c>
      <c r="E254" s="621">
        <v>3</v>
      </c>
      <c r="F254" s="617">
        <v>400000</v>
      </c>
      <c r="G254" s="134">
        <v>3</v>
      </c>
      <c r="H254" s="622">
        <f t="shared" si="235"/>
        <v>3600000</v>
      </c>
      <c r="I254" s="607">
        <v>0</v>
      </c>
      <c r="J254" s="597">
        <f t="shared" si="228"/>
        <v>3600000</v>
      </c>
      <c r="K254" s="607">
        <f t="shared" si="229"/>
        <v>3600000</v>
      </c>
      <c r="N254" s="568">
        <f>'5.1 Comparativo_Viáticos'!$Q$13</f>
        <v>4596746</v>
      </c>
      <c r="O254" s="568">
        <f>N254</f>
        <v>4596746</v>
      </c>
      <c r="P254" s="569">
        <f t="shared" ref="P254" si="236">K254/O254-1</f>
        <v>-0.21683730186527606</v>
      </c>
      <c r="Q254" s="295">
        <f t="shared" si="193"/>
        <v>0</v>
      </c>
    </row>
    <row r="255" spans="2:17" ht="94.5" x14ac:dyDescent="0.25">
      <c r="B255" s="629">
        <v>13</v>
      </c>
      <c r="C255" s="624" t="s">
        <v>1425</v>
      </c>
      <c r="D255" s="613" t="s">
        <v>238</v>
      </c>
      <c r="E255" s="639">
        <v>3</v>
      </c>
      <c r="F255" s="617">
        <v>1000000</v>
      </c>
      <c r="G255" s="621">
        <v>2</v>
      </c>
      <c r="H255" s="622">
        <f t="shared" si="235"/>
        <v>6000000</v>
      </c>
      <c r="I255" s="607">
        <v>0</v>
      </c>
      <c r="J255" s="597">
        <f t="shared" si="228"/>
        <v>6000000</v>
      </c>
      <c r="K255" s="607">
        <f t="shared" si="229"/>
        <v>6000000</v>
      </c>
      <c r="N255" s="568">
        <f>'4.1 Comparativo_Transporte'!$N$27</f>
        <v>1188475</v>
      </c>
      <c r="O255" s="568">
        <f t="shared" ref="O255:O256" si="237">N255*G255*E255</f>
        <v>7130850</v>
      </c>
      <c r="P255" s="569">
        <f t="shared" ref="P255:P257" si="238">K255/O255-1</f>
        <v>-0.15858558236395381</v>
      </c>
      <c r="Q255" s="295">
        <f t="shared" si="193"/>
        <v>0</v>
      </c>
    </row>
    <row r="256" spans="2:17" ht="93" customHeight="1" x14ac:dyDescent="0.25">
      <c r="B256" s="595">
        <v>14</v>
      </c>
      <c r="C256" s="608" t="s">
        <v>1443</v>
      </c>
      <c r="D256" s="605" t="s">
        <v>396</v>
      </c>
      <c r="E256" s="640">
        <v>50</v>
      </c>
      <c r="F256" s="617">
        <v>100000</v>
      </c>
      <c r="G256" s="640">
        <v>1</v>
      </c>
      <c r="H256" s="567">
        <f>E256*F256*G256</f>
        <v>5000000</v>
      </c>
      <c r="I256" s="607">
        <v>0</v>
      </c>
      <c r="J256" s="597">
        <f t="shared" si="228"/>
        <v>5000000</v>
      </c>
      <c r="K256" s="607">
        <f t="shared" si="229"/>
        <v>5000000</v>
      </c>
      <c r="N256" s="568">
        <f>'7.1 Comparativo_Kit_Herrami'!$N$7</f>
        <v>102170</v>
      </c>
      <c r="O256" s="568">
        <f t="shared" si="237"/>
        <v>5108500</v>
      </c>
      <c r="P256" s="569">
        <f t="shared" si="238"/>
        <v>-2.1239111285113021E-2</v>
      </c>
      <c r="Q256" s="295">
        <f t="shared" si="193"/>
        <v>0</v>
      </c>
    </row>
    <row r="257" spans="2:17" ht="15.75" customHeight="1" x14ac:dyDescent="0.25">
      <c r="B257" s="809" t="s">
        <v>406</v>
      </c>
      <c r="C257" s="786"/>
      <c r="D257" s="786"/>
      <c r="E257" s="787"/>
      <c r="F257" s="643">
        <f>SUM(F243:F256)</f>
        <v>16834000</v>
      </c>
      <c r="G257" s="641"/>
      <c r="H257" s="644">
        <f t="shared" ref="H257:K257" si="239">SUM(H243:H256)</f>
        <v>111602000</v>
      </c>
      <c r="I257" s="642">
        <f t="shared" si="239"/>
        <v>0</v>
      </c>
      <c r="J257" s="642">
        <f t="shared" si="239"/>
        <v>111602000</v>
      </c>
      <c r="K257" s="642">
        <f t="shared" si="239"/>
        <v>111602000</v>
      </c>
      <c r="N257" s="642">
        <f t="shared" ref="N257:O257" si="240">SUM(N243:N256)</f>
        <v>102523738</v>
      </c>
      <c r="O257" s="642">
        <f t="shared" si="240"/>
        <v>120893409</v>
      </c>
      <c r="P257" s="569">
        <f t="shared" si="238"/>
        <v>-7.6856208099814638E-2</v>
      </c>
      <c r="Q257" s="295"/>
    </row>
    <row r="258" spans="2:17" ht="15.75" customHeight="1" x14ac:dyDescent="0.25">
      <c r="B258" s="784" t="s">
        <v>1444</v>
      </c>
      <c r="C258" s="782"/>
      <c r="D258" s="782"/>
      <c r="E258" s="782"/>
      <c r="F258" s="782"/>
      <c r="G258" s="782"/>
      <c r="H258" s="782"/>
      <c r="I258" s="782"/>
      <c r="J258" s="782"/>
      <c r="K258" s="783"/>
      <c r="Q258" s="295">
        <f t="shared" si="193"/>
        <v>0</v>
      </c>
    </row>
    <row r="259" spans="2:17" ht="49.5" customHeight="1" x14ac:dyDescent="0.25">
      <c r="B259" s="593">
        <v>1</v>
      </c>
      <c r="C259" s="608" t="s">
        <v>1445</v>
      </c>
      <c r="D259" s="131" t="s">
        <v>1061</v>
      </c>
      <c r="E259" s="131">
        <v>1</v>
      </c>
      <c r="F259" s="594">
        <v>3500000</v>
      </c>
      <c r="G259" s="630">
        <v>1</v>
      </c>
      <c r="H259" s="567">
        <f t="shared" ref="H259:H261" si="241">F259*E259*G259</f>
        <v>3500000</v>
      </c>
      <c r="I259" s="607">
        <v>0</v>
      </c>
      <c r="J259" s="597">
        <f t="shared" ref="J259:J272" si="242">H259</f>
        <v>3500000</v>
      </c>
      <c r="K259" s="607">
        <f t="shared" ref="K259:K272" si="243">I259+J259</f>
        <v>3500000</v>
      </c>
      <c r="N259" s="568">
        <f>'3.1 Comparativo_Logística'!$M$7</f>
        <v>3585068</v>
      </c>
      <c r="O259" s="568">
        <f t="shared" ref="O259:O267" si="244">N259*G259*E259</f>
        <v>3585068</v>
      </c>
      <c r="P259" s="569">
        <f t="shared" ref="P259:P267" si="245">K259/O259-1</f>
        <v>-2.3728420214065626E-2</v>
      </c>
      <c r="Q259" s="295">
        <f t="shared" si="193"/>
        <v>0</v>
      </c>
    </row>
    <row r="260" spans="2:17" ht="27" customHeight="1" x14ac:dyDescent="0.25">
      <c r="B260" s="595">
        <v>2</v>
      </c>
      <c r="C260" s="608" t="s">
        <v>1416</v>
      </c>
      <c r="D260" s="631" t="s">
        <v>396</v>
      </c>
      <c r="E260" s="134">
        <v>1</v>
      </c>
      <c r="F260" s="597">
        <v>900000</v>
      </c>
      <c r="G260" s="632">
        <v>1</v>
      </c>
      <c r="H260" s="571">
        <f t="shared" si="241"/>
        <v>900000</v>
      </c>
      <c r="I260" s="607">
        <v>0</v>
      </c>
      <c r="J260" s="597">
        <f t="shared" si="242"/>
        <v>900000</v>
      </c>
      <c r="K260" s="607">
        <f t="shared" si="243"/>
        <v>900000</v>
      </c>
      <c r="N260" s="568">
        <f>'3.1 Comparativo_Logística'!$M$20</f>
        <v>1176347</v>
      </c>
      <c r="O260" s="568">
        <f t="shared" si="244"/>
        <v>1176347</v>
      </c>
      <c r="P260" s="569">
        <f t="shared" si="245"/>
        <v>-0.23491962830695368</v>
      </c>
      <c r="Q260" s="295">
        <f t="shared" si="193"/>
        <v>0</v>
      </c>
    </row>
    <row r="261" spans="2:17" ht="33" customHeight="1" x14ac:dyDescent="0.25">
      <c r="B261" s="570">
        <v>3</v>
      </c>
      <c r="C261" s="608" t="s">
        <v>1417</v>
      </c>
      <c r="D261" s="611" t="s">
        <v>238</v>
      </c>
      <c r="E261" s="599">
        <v>2</v>
      </c>
      <c r="F261" s="600">
        <v>200000</v>
      </c>
      <c r="G261" s="633">
        <v>1</v>
      </c>
      <c r="H261" s="571">
        <f t="shared" si="241"/>
        <v>400000</v>
      </c>
      <c r="I261" s="607">
        <v>0</v>
      </c>
      <c r="J261" s="597">
        <f t="shared" si="242"/>
        <v>400000</v>
      </c>
      <c r="K261" s="607">
        <f t="shared" si="243"/>
        <v>400000</v>
      </c>
      <c r="N261" s="568">
        <f>'3.1 Comparativo_Logística'!$M$29</f>
        <v>249230</v>
      </c>
      <c r="O261" s="568">
        <f t="shared" si="244"/>
        <v>498460</v>
      </c>
      <c r="P261" s="569">
        <f t="shared" si="245"/>
        <v>-0.19752838743329459</v>
      </c>
      <c r="Q261" s="295">
        <f t="shared" si="193"/>
        <v>0</v>
      </c>
    </row>
    <row r="262" spans="2:17" ht="108" x14ac:dyDescent="0.25">
      <c r="B262" s="564">
        <v>4</v>
      </c>
      <c r="C262" s="618" t="s">
        <v>1385</v>
      </c>
      <c r="D262" s="613" t="s">
        <v>238</v>
      </c>
      <c r="E262" s="613">
        <v>1</v>
      </c>
      <c r="F262" s="617">
        <v>1600000</v>
      </c>
      <c r="G262" s="634">
        <v>1</v>
      </c>
      <c r="H262" s="571">
        <f t="shared" ref="H262:H266" si="246">E262*F262*G262</f>
        <v>1600000</v>
      </c>
      <c r="I262" s="607">
        <v>0</v>
      </c>
      <c r="J262" s="597">
        <f t="shared" si="242"/>
        <v>1600000</v>
      </c>
      <c r="K262" s="607">
        <f t="shared" si="243"/>
        <v>1600000</v>
      </c>
      <c r="N262" s="568">
        <f>'3.1 Comparativo_Logística'!$M$37</f>
        <v>2714721</v>
      </c>
      <c r="O262" s="568">
        <f t="shared" si="244"/>
        <v>2714721</v>
      </c>
      <c r="P262" s="569">
        <f t="shared" si="245"/>
        <v>-0.41062083359579127</v>
      </c>
      <c r="Q262" s="295">
        <f t="shared" si="193"/>
        <v>0</v>
      </c>
    </row>
    <row r="263" spans="2:17" ht="81" x14ac:dyDescent="0.25">
      <c r="B263" s="570">
        <v>5</v>
      </c>
      <c r="C263" s="618" t="s">
        <v>1418</v>
      </c>
      <c r="D263" s="613" t="s">
        <v>396</v>
      </c>
      <c r="E263" s="613">
        <v>53</v>
      </c>
      <c r="F263" s="617">
        <v>32000</v>
      </c>
      <c r="G263" s="634">
        <v>1</v>
      </c>
      <c r="H263" s="571">
        <f t="shared" si="246"/>
        <v>1696000</v>
      </c>
      <c r="I263" s="607">
        <v>0</v>
      </c>
      <c r="J263" s="597">
        <f t="shared" si="242"/>
        <v>1696000</v>
      </c>
      <c r="K263" s="607">
        <f t="shared" si="243"/>
        <v>1696000</v>
      </c>
      <c r="N263" s="568">
        <f>'2.1 Comparativo_Alimentación'!$M$7</f>
        <v>33548</v>
      </c>
      <c r="O263" s="568">
        <f t="shared" si="244"/>
        <v>1778044</v>
      </c>
      <c r="P263" s="569">
        <f t="shared" si="245"/>
        <v>-4.6142840109693606E-2</v>
      </c>
      <c r="Q263" s="295">
        <f t="shared" si="193"/>
        <v>0</v>
      </c>
    </row>
    <row r="264" spans="2:17" ht="38.25" customHeight="1" x14ac:dyDescent="0.25">
      <c r="B264" s="564">
        <v>6</v>
      </c>
      <c r="C264" s="618" t="s">
        <v>1419</v>
      </c>
      <c r="D264" s="613" t="s">
        <v>396</v>
      </c>
      <c r="E264" s="613">
        <v>53</v>
      </c>
      <c r="F264" s="617">
        <v>70000</v>
      </c>
      <c r="G264" s="634">
        <v>1</v>
      </c>
      <c r="H264" s="571">
        <f t="shared" si="246"/>
        <v>3710000</v>
      </c>
      <c r="I264" s="607">
        <v>0</v>
      </c>
      <c r="J264" s="597">
        <f t="shared" si="242"/>
        <v>3710000</v>
      </c>
      <c r="K264" s="607">
        <f t="shared" si="243"/>
        <v>3710000</v>
      </c>
      <c r="N264" s="568">
        <f>'2.1 Comparativo_Alimentación'!$M$8</f>
        <v>70822</v>
      </c>
      <c r="O264" s="568">
        <f t="shared" si="244"/>
        <v>3753566</v>
      </c>
      <c r="P264" s="569">
        <f t="shared" si="245"/>
        <v>-1.1606562932422126E-2</v>
      </c>
      <c r="Q264" s="295">
        <f t="shared" si="193"/>
        <v>0</v>
      </c>
    </row>
    <row r="265" spans="2:17" ht="45" customHeight="1" x14ac:dyDescent="0.25">
      <c r="B265" s="570">
        <v>7</v>
      </c>
      <c r="C265" s="618" t="s">
        <v>1420</v>
      </c>
      <c r="D265" s="613" t="s">
        <v>396</v>
      </c>
      <c r="E265" s="613">
        <v>53</v>
      </c>
      <c r="F265" s="617">
        <v>32000</v>
      </c>
      <c r="G265" s="634">
        <v>1</v>
      </c>
      <c r="H265" s="571">
        <f t="shared" si="246"/>
        <v>1696000</v>
      </c>
      <c r="I265" s="607">
        <v>0</v>
      </c>
      <c r="J265" s="597">
        <f t="shared" si="242"/>
        <v>1696000</v>
      </c>
      <c r="K265" s="607">
        <f t="shared" si="243"/>
        <v>1696000</v>
      </c>
      <c r="N265" s="568">
        <f>'2.1 Comparativo_Alimentación'!$M$9</f>
        <v>33548</v>
      </c>
      <c r="O265" s="568">
        <f t="shared" si="244"/>
        <v>1778044</v>
      </c>
      <c r="P265" s="569">
        <f t="shared" si="245"/>
        <v>-4.6142840109693606E-2</v>
      </c>
      <c r="Q265" s="295">
        <f t="shared" si="193"/>
        <v>0</v>
      </c>
    </row>
    <row r="266" spans="2:17" ht="148.5" x14ac:dyDescent="0.25">
      <c r="B266" s="595">
        <v>8</v>
      </c>
      <c r="C266" s="615" t="s">
        <v>1391</v>
      </c>
      <c r="D266" s="619" t="s">
        <v>238</v>
      </c>
      <c r="E266" s="614">
        <v>1</v>
      </c>
      <c r="F266" s="600">
        <v>2000000</v>
      </c>
      <c r="G266" s="632">
        <v>1</v>
      </c>
      <c r="H266" s="571">
        <f t="shared" si="246"/>
        <v>2000000</v>
      </c>
      <c r="I266" s="607">
        <v>0</v>
      </c>
      <c r="J266" s="597">
        <f t="shared" si="242"/>
        <v>2000000</v>
      </c>
      <c r="K266" s="607">
        <f t="shared" si="243"/>
        <v>2000000</v>
      </c>
      <c r="N266" s="568">
        <f>'8.1 Comparativo_Tallerista'!$N$7</f>
        <v>2455526</v>
      </c>
      <c r="O266" s="568">
        <f t="shared" si="244"/>
        <v>2455526</v>
      </c>
      <c r="P266" s="569">
        <f t="shared" si="245"/>
        <v>-0.18551055863387311</v>
      </c>
      <c r="Q266" s="295">
        <f t="shared" si="193"/>
        <v>0</v>
      </c>
    </row>
    <row r="267" spans="2:17" ht="108" x14ac:dyDescent="0.25">
      <c r="B267" s="570">
        <v>9</v>
      </c>
      <c r="C267" s="618" t="s">
        <v>1393</v>
      </c>
      <c r="D267" s="619" t="s">
        <v>238</v>
      </c>
      <c r="E267" s="614">
        <v>1</v>
      </c>
      <c r="F267" s="620">
        <v>2500000</v>
      </c>
      <c r="G267" s="131">
        <v>1</v>
      </c>
      <c r="H267" s="571">
        <f>F267*E267*G267</f>
        <v>2500000</v>
      </c>
      <c r="I267" s="607">
        <v>0</v>
      </c>
      <c r="J267" s="597">
        <f t="shared" si="242"/>
        <v>2500000</v>
      </c>
      <c r="K267" s="607">
        <f t="shared" si="243"/>
        <v>2500000</v>
      </c>
      <c r="N267" s="568">
        <f>'9.1 Comparativo_Sabedor'!$N$7</f>
        <v>2829639</v>
      </c>
      <c r="O267" s="568">
        <f t="shared" si="244"/>
        <v>2829639</v>
      </c>
      <c r="P267" s="569">
        <f t="shared" si="245"/>
        <v>-0.11649507233961642</v>
      </c>
      <c r="Q267" s="295">
        <f t="shared" si="193"/>
        <v>0</v>
      </c>
    </row>
    <row r="268" spans="2:17" ht="94.5" x14ac:dyDescent="0.25">
      <c r="B268" s="570">
        <v>10</v>
      </c>
      <c r="C268" s="618" t="s">
        <v>1394</v>
      </c>
      <c r="D268" s="599" t="s">
        <v>1062</v>
      </c>
      <c r="E268" s="614">
        <v>1</v>
      </c>
      <c r="F268" s="600">
        <v>4000000</v>
      </c>
      <c r="G268" s="632">
        <v>1</v>
      </c>
      <c r="H268" s="571">
        <f>E268*F268*G268</f>
        <v>4000000</v>
      </c>
      <c r="I268" s="607">
        <v>0</v>
      </c>
      <c r="J268" s="597">
        <f t="shared" si="242"/>
        <v>4000000</v>
      </c>
      <c r="K268" s="607">
        <f t="shared" si="243"/>
        <v>4000000</v>
      </c>
      <c r="N268" s="568">
        <f>'6.1 Comparativo_Grupo_Armoniz'!$N$7</f>
        <v>6875473</v>
      </c>
      <c r="O268" s="568">
        <f t="shared" ref="O268" si="247">N268*G268*E268</f>
        <v>6875473</v>
      </c>
      <c r="P268" s="569">
        <f t="shared" ref="P268" si="248">K268/O268-1</f>
        <v>-0.41822184451891531</v>
      </c>
      <c r="Q268" s="295">
        <f t="shared" si="193"/>
        <v>0</v>
      </c>
    </row>
    <row r="269" spans="2:17" ht="45" customHeight="1" x14ac:dyDescent="0.25">
      <c r="B269" s="595">
        <v>11</v>
      </c>
      <c r="C269" s="618" t="s">
        <v>1429</v>
      </c>
      <c r="D269" s="613" t="s">
        <v>238</v>
      </c>
      <c r="E269" s="621">
        <v>50</v>
      </c>
      <c r="F269" s="597">
        <v>500000</v>
      </c>
      <c r="G269" s="134">
        <v>3</v>
      </c>
      <c r="H269" s="622">
        <f t="shared" ref="H269:H271" si="249">F269*E269*G269</f>
        <v>75000000</v>
      </c>
      <c r="I269" s="607">
        <v>0</v>
      </c>
      <c r="J269" s="597">
        <f t="shared" si="242"/>
        <v>75000000</v>
      </c>
      <c r="K269" s="607">
        <f t="shared" si="243"/>
        <v>75000000</v>
      </c>
      <c r="N269" s="104">
        <f>'5.1 Comparativo_Viáticos'!$Q$15</f>
        <v>76612425</v>
      </c>
      <c r="O269" s="104">
        <f>N269</f>
        <v>76612425</v>
      </c>
      <c r="P269" s="438">
        <f>K269/O269-1</f>
        <v>-2.1046520848282735E-2</v>
      </c>
      <c r="Q269" s="295">
        <f t="shared" ref="Q269:Q332" si="250">+E269*F269*G269-H269</f>
        <v>0</v>
      </c>
    </row>
    <row r="270" spans="2:17" ht="46.5" customHeight="1" x14ac:dyDescent="0.25">
      <c r="B270" s="570">
        <v>12</v>
      </c>
      <c r="C270" s="618" t="s">
        <v>1392</v>
      </c>
      <c r="D270" s="613" t="s">
        <v>238</v>
      </c>
      <c r="E270" s="621">
        <v>3</v>
      </c>
      <c r="F270" s="617">
        <v>400000</v>
      </c>
      <c r="G270" s="134">
        <v>3</v>
      </c>
      <c r="H270" s="622">
        <f t="shared" si="249"/>
        <v>3600000</v>
      </c>
      <c r="I270" s="607">
        <v>0</v>
      </c>
      <c r="J270" s="597">
        <f t="shared" si="242"/>
        <v>3600000</v>
      </c>
      <c r="K270" s="607">
        <f t="shared" si="243"/>
        <v>3600000</v>
      </c>
      <c r="N270" s="568">
        <f>'5.1 Comparativo_Viáticos'!$Q$13</f>
        <v>4596746</v>
      </c>
      <c r="O270" s="568">
        <f>N270</f>
        <v>4596746</v>
      </c>
      <c r="P270" s="569">
        <f t="shared" ref="P270" si="251">K270/O270-1</f>
        <v>-0.21683730186527606</v>
      </c>
      <c r="Q270" s="295">
        <f t="shared" si="250"/>
        <v>0</v>
      </c>
    </row>
    <row r="271" spans="2:17" ht="94.5" x14ac:dyDescent="0.25">
      <c r="B271" s="629">
        <v>13</v>
      </c>
      <c r="C271" s="624" t="s">
        <v>1425</v>
      </c>
      <c r="D271" s="613" t="s">
        <v>238</v>
      </c>
      <c r="E271" s="639">
        <v>3</v>
      </c>
      <c r="F271" s="617">
        <v>1000000</v>
      </c>
      <c r="G271" s="621">
        <v>2</v>
      </c>
      <c r="H271" s="622">
        <f t="shared" si="249"/>
        <v>6000000</v>
      </c>
      <c r="I271" s="607">
        <v>0</v>
      </c>
      <c r="J271" s="597">
        <f t="shared" si="242"/>
        <v>6000000</v>
      </c>
      <c r="K271" s="607">
        <f t="shared" si="243"/>
        <v>6000000</v>
      </c>
      <c r="N271" s="568">
        <f>'4.1 Comparativo_Transporte'!$N$27</f>
        <v>1188475</v>
      </c>
      <c r="O271" s="568">
        <f t="shared" ref="O271:O272" si="252">N271*G271*E271</f>
        <v>7130850</v>
      </c>
      <c r="P271" s="569">
        <f t="shared" ref="P271:P273" si="253">K271/O271-1</f>
        <v>-0.15858558236395381</v>
      </c>
      <c r="Q271" s="295">
        <f t="shared" si="250"/>
        <v>0</v>
      </c>
    </row>
    <row r="272" spans="2:17" ht="93" customHeight="1" x14ac:dyDescent="0.25">
      <c r="B272" s="595">
        <v>14</v>
      </c>
      <c r="C272" s="608" t="s">
        <v>1443</v>
      </c>
      <c r="D272" s="605" t="s">
        <v>396</v>
      </c>
      <c r="E272" s="640">
        <v>50</v>
      </c>
      <c r="F272" s="617">
        <v>100000</v>
      </c>
      <c r="G272" s="640">
        <v>1</v>
      </c>
      <c r="H272" s="567">
        <f>E272*F272*G272</f>
        <v>5000000</v>
      </c>
      <c r="I272" s="607">
        <v>0</v>
      </c>
      <c r="J272" s="597">
        <f t="shared" si="242"/>
        <v>5000000</v>
      </c>
      <c r="K272" s="607">
        <f t="shared" si="243"/>
        <v>5000000</v>
      </c>
      <c r="N272" s="568">
        <f>'7.1 Comparativo_Kit_Herrami'!$N$7</f>
        <v>102170</v>
      </c>
      <c r="O272" s="568">
        <f t="shared" si="252"/>
        <v>5108500</v>
      </c>
      <c r="P272" s="569">
        <f t="shared" si="253"/>
        <v>-2.1239111285113021E-2</v>
      </c>
      <c r="Q272" s="295">
        <f t="shared" si="250"/>
        <v>0</v>
      </c>
    </row>
    <row r="273" spans="2:17" ht="15.75" customHeight="1" x14ac:dyDescent="0.25">
      <c r="B273" s="809" t="s">
        <v>407</v>
      </c>
      <c r="C273" s="786"/>
      <c r="D273" s="786"/>
      <c r="E273" s="787"/>
      <c r="F273" s="643">
        <f>SUM(F259:F272)</f>
        <v>16834000</v>
      </c>
      <c r="G273" s="641"/>
      <c r="H273" s="644">
        <f t="shared" ref="H273:K273" si="254">SUM(H259:H272)</f>
        <v>111602000</v>
      </c>
      <c r="I273" s="642">
        <f t="shared" si="254"/>
        <v>0</v>
      </c>
      <c r="J273" s="642">
        <f t="shared" si="254"/>
        <v>111602000</v>
      </c>
      <c r="K273" s="642">
        <f t="shared" si="254"/>
        <v>111602000</v>
      </c>
      <c r="N273" s="642">
        <f t="shared" ref="N273:O273" si="255">SUM(N259:N272)</f>
        <v>102523738</v>
      </c>
      <c r="O273" s="642">
        <f t="shared" si="255"/>
        <v>120893409</v>
      </c>
      <c r="P273" s="569">
        <f t="shared" si="253"/>
        <v>-7.6856208099814638E-2</v>
      </c>
      <c r="Q273" s="295"/>
    </row>
    <row r="274" spans="2:17" ht="15.75" customHeight="1" x14ac:dyDescent="0.25">
      <c r="B274" s="784" t="s">
        <v>1446</v>
      </c>
      <c r="C274" s="782"/>
      <c r="D274" s="782"/>
      <c r="E274" s="782"/>
      <c r="F274" s="782"/>
      <c r="G274" s="782"/>
      <c r="H274" s="782"/>
      <c r="I274" s="782"/>
      <c r="J274" s="782"/>
      <c r="K274" s="783"/>
      <c r="Q274" s="295">
        <f t="shared" si="250"/>
        <v>0</v>
      </c>
    </row>
    <row r="275" spans="2:17" ht="53.25" customHeight="1" x14ac:dyDescent="0.25">
      <c r="B275" s="593">
        <v>1</v>
      </c>
      <c r="C275" s="608" t="s">
        <v>1447</v>
      </c>
      <c r="D275" s="131" t="s">
        <v>1061</v>
      </c>
      <c r="E275" s="131">
        <v>1</v>
      </c>
      <c r="F275" s="594">
        <v>3500000</v>
      </c>
      <c r="G275" s="630">
        <v>1</v>
      </c>
      <c r="H275" s="567">
        <f t="shared" ref="H275:H277" si="256">F275*E275*G275</f>
        <v>3500000</v>
      </c>
      <c r="I275" s="607">
        <v>0</v>
      </c>
      <c r="J275" s="597">
        <f t="shared" ref="J275:J288" si="257">H275</f>
        <v>3500000</v>
      </c>
      <c r="K275" s="607">
        <f t="shared" ref="K275:K288" si="258">I275+J275</f>
        <v>3500000</v>
      </c>
      <c r="N275" s="568">
        <f>'3.1 Comparativo_Logística'!$M$7</f>
        <v>3585068</v>
      </c>
      <c r="O275" s="568">
        <f t="shared" ref="O275:O283" si="259">N275*G275*E275</f>
        <v>3585068</v>
      </c>
      <c r="P275" s="569">
        <f t="shared" ref="P275:P283" si="260">K275/O275-1</f>
        <v>-2.3728420214065626E-2</v>
      </c>
      <c r="Q275" s="295">
        <f t="shared" si="250"/>
        <v>0</v>
      </c>
    </row>
    <row r="276" spans="2:17" ht="29.25" customHeight="1" x14ac:dyDescent="0.25">
      <c r="B276" s="595">
        <v>2</v>
      </c>
      <c r="C276" s="608" t="s">
        <v>1416</v>
      </c>
      <c r="D276" s="631" t="s">
        <v>396</v>
      </c>
      <c r="E276" s="134">
        <v>1</v>
      </c>
      <c r="F276" s="597">
        <v>900000</v>
      </c>
      <c r="G276" s="632">
        <v>1</v>
      </c>
      <c r="H276" s="571">
        <f t="shared" si="256"/>
        <v>900000</v>
      </c>
      <c r="I276" s="607">
        <v>0</v>
      </c>
      <c r="J276" s="597">
        <f t="shared" si="257"/>
        <v>900000</v>
      </c>
      <c r="K276" s="607">
        <f t="shared" si="258"/>
        <v>900000</v>
      </c>
      <c r="N276" s="568">
        <f>'3.1 Comparativo_Logística'!$M$20</f>
        <v>1176347</v>
      </c>
      <c r="O276" s="568">
        <f t="shared" si="259"/>
        <v>1176347</v>
      </c>
      <c r="P276" s="569">
        <f t="shared" si="260"/>
        <v>-0.23491962830695368</v>
      </c>
      <c r="Q276" s="295">
        <f t="shared" si="250"/>
        <v>0</v>
      </c>
    </row>
    <row r="277" spans="2:17" ht="38.25" customHeight="1" x14ac:dyDescent="0.25">
      <c r="B277" s="570">
        <v>3</v>
      </c>
      <c r="C277" s="608" t="s">
        <v>1417</v>
      </c>
      <c r="D277" s="611" t="s">
        <v>238</v>
      </c>
      <c r="E277" s="599">
        <v>2</v>
      </c>
      <c r="F277" s="600">
        <v>200000</v>
      </c>
      <c r="G277" s="633">
        <v>1</v>
      </c>
      <c r="H277" s="571">
        <f t="shared" si="256"/>
        <v>400000</v>
      </c>
      <c r="I277" s="607">
        <v>0</v>
      </c>
      <c r="J277" s="597">
        <f t="shared" si="257"/>
        <v>400000</v>
      </c>
      <c r="K277" s="607">
        <f t="shared" si="258"/>
        <v>400000</v>
      </c>
      <c r="N277" s="568">
        <f>'3.1 Comparativo_Logística'!$M$29</f>
        <v>249230</v>
      </c>
      <c r="O277" s="568">
        <f t="shared" si="259"/>
        <v>498460</v>
      </c>
      <c r="P277" s="569">
        <f t="shared" si="260"/>
        <v>-0.19752838743329459</v>
      </c>
      <c r="Q277" s="295">
        <f t="shared" si="250"/>
        <v>0</v>
      </c>
    </row>
    <row r="278" spans="2:17" ht="108" x14ac:dyDescent="0.25">
      <c r="B278" s="564">
        <v>4</v>
      </c>
      <c r="C278" s="618" t="s">
        <v>1385</v>
      </c>
      <c r="D278" s="613" t="s">
        <v>238</v>
      </c>
      <c r="E278" s="613">
        <v>1</v>
      </c>
      <c r="F278" s="617">
        <v>1600000</v>
      </c>
      <c r="G278" s="634">
        <v>1</v>
      </c>
      <c r="H278" s="571">
        <f t="shared" ref="H278:H282" si="261">E278*F278*G278</f>
        <v>1600000</v>
      </c>
      <c r="I278" s="607">
        <v>0</v>
      </c>
      <c r="J278" s="597">
        <f t="shared" si="257"/>
        <v>1600000</v>
      </c>
      <c r="K278" s="607">
        <f t="shared" si="258"/>
        <v>1600000</v>
      </c>
      <c r="N278" s="568">
        <f>'3.1 Comparativo_Logística'!$M$37</f>
        <v>2714721</v>
      </c>
      <c r="O278" s="568">
        <f t="shared" si="259"/>
        <v>2714721</v>
      </c>
      <c r="P278" s="569">
        <f t="shared" si="260"/>
        <v>-0.41062083359579127</v>
      </c>
      <c r="Q278" s="295">
        <f t="shared" si="250"/>
        <v>0</v>
      </c>
    </row>
    <row r="279" spans="2:17" ht="45.75" customHeight="1" x14ac:dyDescent="0.25">
      <c r="B279" s="570">
        <v>5</v>
      </c>
      <c r="C279" s="618" t="s">
        <v>1418</v>
      </c>
      <c r="D279" s="613" t="s">
        <v>396</v>
      </c>
      <c r="E279" s="613">
        <v>53</v>
      </c>
      <c r="F279" s="617">
        <v>32000</v>
      </c>
      <c r="G279" s="634">
        <v>1</v>
      </c>
      <c r="H279" s="571">
        <f t="shared" si="261"/>
        <v>1696000</v>
      </c>
      <c r="I279" s="607">
        <v>0</v>
      </c>
      <c r="J279" s="597">
        <f t="shared" si="257"/>
        <v>1696000</v>
      </c>
      <c r="K279" s="607">
        <f t="shared" si="258"/>
        <v>1696000</v>
      </c>
      <c r="N279" s="568">
        <f>'2.1 Comparativo_Alimentación'!$M$7</f>
        <v>33548</v>
      </c>
      <c r="O279" s="568">
        <f t="shared" si="259"/>
        <v>1778044</v>
      </c>
      <c r="P279" s="569">
        <f t="shared" si="260"/>
        <v>-4.6142840109693606E-2</v>
      </c>
      <c r="Q279" s="295">
        <f t="shared" si="250"/>
        <v>0</v>
      </c>
    </row>
    <row r="280" spans="2:17" ht="36.75" customHeight="1" x14ac:dyDescent="0.25">
      <c r="B280" s="564">
        <v>6</v>
      </c>
      <c r="C280" s="618" t="s">
        <v>1419</v>
      </c>
      <c r="D280" s="613" t="s">
        <v>396</v>
      </c>
      <c r="E280" s="613">
        <v>53</v>
      </c>
      <c r="F280" s="617">
        <v>70000</v>
      </c>
      <c r="G280" s="634">
        <v>1</v>
      </c>
      <c r="H280" s="571">
        <f t="shared" si="261"/>
        <v>3710000</v>
      </c>
      <c r="I280" s="607">
        <v>0</v>
      </c>
      <c r="J280" s="597">
        <f t="shared" si="257"/>
        <v>3710000</v>
      </c>
      <c r="K280" s="607">
        <f t="shared" si="258"/>
        <v>3710000</v>
      </c>
      <c r="N280" s="568">
        <f>'2.1 Comparativo_Alimentación'!$M$8</f>
        <v>70822</v>
      </c>
      <c r="O280" s="568">
        <f t="shared" si="259"/>
        <v>3753566</v>
      </c>
      <c r="P280" s="569">
        <f t="shared" si="260"/>
        <v>-1.1606562932422126E-2</v>
      </c>
      <c r="Q280" s="295">
        <f t="shared" si="250"/>
        <v>0</v>
      </c>
    </row>
    <row r="281" spans="2:17" ht="45" customHeight="1" x14ac:dyDescent="0.25">
      <c r="B281" s="570">
        <v>7</v>
      </c>
      <c r="C281" s="618" t="s">
        <v>1420</v>
      </c>
      <c r="D281" s="613" t="s">
        <v>396</v>
      </c>
      <c r="E281" s="613">
        <v>53</v>
      </c>
      <c r="F281" s="617">
        <v>32000</v>
      </c>
      <c r="G281" s="634">
        <v>1</v>
      </c>
      <c r="H281" s="571">
        <f t="shared" si="261"/>
        <v>1696000</v>
      </c>
      <c r="I281" s="607">
        <v>0</v>
      </c>
      <c r="J281" s="597">
        <f t="shared" si="257"/>
        <v>1696000</v>
      </c>
      <c r="K281" s="607">
        <f t="shared" si="258"/>
        <v>1696000</v>
      </c>
      <c r="N281" s="568">
        <f>'2.1 Comparativo_Alimentación'!$M$9</f>
        <v>33548</v>
      </c>
      <c r="O281" s="568">
        <f t="shared" si="259"/>
        <v>1778044</v>
      </c>
      <c r="P281" s="569">
        <f t="shared" si="260"/>
        <v>-4.6142840109693606E-2</v>
      </c>
      <c r="Q281" s="295">
        <f t="shared" si="250"/>
        <v>0</v>
      </c>
    </row>
    <row r="282" spans="2:17" ht="148.5" x14ac:dyDescent="0.25">
      <c r="B282" s="595">
        <v>8</v>
      </c>
      <c r="C282" s="615" t="s">
        <v>1391</v>
      </c>
      <c r="D282" s="619" t="s">
        <v>238</v>
      </c>
      <c r="E282" s="614">
        <v>1</v>
      </c>
      <c r="F282" s="600">
        <v>2000000</v>
      </c>
      <c r="G282" s="632">
        <v>1</v>
      </c>
      <c r="H282" s="571">
        <f t="shared" si="261"/>
        <v>2000000</v>
      </c>
      <c r="I282" s="607">
        <v>0</v>
      </c>
      <c r="J282" s="597">
        <f t="shared" si="257"/>
        <v>2000000</v>
      </c>
      <c r="K282" s="607">
        <f t="shared" si="258"/>
        <v>2000000</v>
      </c>
      <c r="N282" s="568">
        <f>'8.1 Comparativo_Tallerista'!$N$7</f>
        <v>2455526</v>
      </c>
      <c r="O282" s="568">
        <f t="shared" si="259"/>
        <v>2455526</v>
      </c>
      <c r="P282" s="569">
        <f t="shared" si="260"/>
        <v>-0.18551055863387311</v>
      </c>
      <c r="Q282" s="295">
        <f t="shared" si="250"/>
        <v>0</v>
      </c>
    </row>
    <row r="283" spans="2:17" ht="108" x14ac:dyDescent="0.25">
      <c r="B283" s="570">
        <v>9</v>
      </c>
      <c r="C283" s="618" t="s">
        <v>1393</v>
      </c>
      <c r="D283" s="619" t="s">
        <v>238</v>
      </c>
      <c r="E283" s="614">
        <v>1</v>
      </c>
      <c r="F283" s="620">
        <v>2500000</v>
      </c>
      <c r="G283" s="131">
        <v>1</v>
      </c>
      <c r="H283" s="571">
        <f>F283*E283*G283</f>
        <v>2500000</v>
      </c>
      <c r="I283" s="607">
        <v>0</v>
      </c>
      <c r="J283" s="597">
        <f t="shared" si="257"/>
        <v>2500000</v>
      </c>
      <c r="K283" s="607">
        <f t="shared" si="258"/>
        <v>2500000</v>
      </c>
      <c r="N283" s="568">
        <f>'9.1 Comparativo_Sabedor'!$N$7</f>
        <v>2829639</v>
      </c>
      <c r="O283" s="568">
        <f t="shared" si="259"/>
        <v>2829639</v>
      </c>
      <c r="P283" s="569">
        <f t="shared" si="260"/>
        <v>-0.11649507233961642</v>
      </c>
      <c r="Q283" s="295">
        <f t="shared" si="250"/>
        <v>0</v>
      </c>
    </row>
    <row r="284" spans="2:17" ht="94.5" x14ac:dyDescent="0.25">
      <c r="B284" s="570">
        <v>10</v>
      </c>
      <c r="C284" s="618" t="s">
        <v>1394</v>
      </c>
      <c r="D284" s="599" t="s">
        <v>1062</v>
      </c>
      <c r="E284" s="614">
        <v>1</v>
      </c>
      <c r="F284" s="600">
        <v>4000000</v>
      </c>
      <c r="G284" s="632">
        <v>1</v>
      </c>
      <c r="H284" s="571">
        <f>E284*F284*G284</f>
        <v>4000000</v>
      </c>
      <c r="I284" s="607">
        <v>0</v>
      </c>
      <c r="J284" s="597">
        <f t="shared" si="257"/>
        <v>4000000</v>
      </c>
      <c r="K284" s="607">
        <f t="shared" si="258"/>
        <v>4000000</v>
      </c>
      <c r="N284" s="568">
        <f>'6.1 Comparativo_Grupo_Armoniz'!$N$7</f>
        <v>6875473</v>
      </c>
      <c r="O284" s="568">
        <f t="shared" ref="O284" si="262">N284*G284*E284</f>
        <v>6875473</v>
      </c>
      <c r="P284" s="569">
        <f t="shared" ref="P284" si="263">K284/O284-1</f>
        <v>-0.41822184451891531</v>
      </c>
      <c r="Q284" s="295">
        <f t="shared" si="250"/>
        <v>0</v>
      </c>
    </row>
    <row r="285" spans="2:17" ht="50.25" customHeight="1" x14ac:dyDescent="0.25">
      <c r="B285" s="595">
        <v>11</v>
      </c>
      <c r="C285" s="618" t="s">
        <v>1429</v>
      </c>
      <c r="D285" s="613" t="s">
        <v>238</v>
      </c>
      <c r="E285" s="621">
        <v>50</v>
      </c>
      <c r="F285" s="597">
        <v>500000</v>
      </c>
      <c r="G285" s="134">
        <v>3</v>
      </c>
      <c r="H285" s="622">
        <f t="shared" ref="H285:H287" si="264">F285*E285*G285</f>
        <v>75000000</v>
      </c>
      <c r="I285" s="607">
        <v>0</v>
      </c>
      <c r="J285" s="597">
        <f t="shared" si="257"/>
        <v>75000000</v>
      </c>
      <c r="K285" s="607">
        <f t="shared" si="258"/>
        <v>75000000</v>
      </c>
      <c r="N285" s="104">
        <f>'5.1 Comparativo_Viáticos'!$Q$15</f>
        <v>76612425</v>
      </c>
      <c r="O285" s="104">
        <f>N285</f>
        <v>76612425</v>
      </c>
      <c r="P285" s="438">
        <f>K285/O285-1</f>
        <v>-2.1046520848282735E-2</v>
      </c>
      <c r="Q285" s="295">
        <f t="shared" si="250"/>
        <v>0</v>
      </c>
    </row>
    <row r="286" spans="2:17" ht="45" customHeight="1" x14ac:dyDescent="0.25">
      <c r="B286" s="570">
        <v>12</v>
      </c>
      <c r="C286" s="618" t="s">
        <v>1392</v>
      </c>
      <c r="D286" s="613" t="s">
        <v>238</v>
      </c>
      <c r="E286" s="621">
        <v>3</v>
      </c>
      <c r="F286" s="617">
        <v>400000</v>
      </c>
      <c r="G286" s="134">
        <v>3</v>
      </c>
      <c r="H286" s="622">
        <f t="shared" si="264"/>
        <v>3600000</v>
      </c>
      <c r="I286" s="607">
        <v>0</v>
      </c>
      <c r="J286" s="597">
        <f t="shared" si="257"/>
        <v>3600000</v>
      </c>
      <c r="K286" s="607">
        <f t="shared" si="258"/>
        <v>3600000</v>
      </c>
      <c r="N286" s="568">
        <f>'5.1 Comparativo_Viáticos'!$Q$13</f>
        <v>4596746</v>
      </c>
      <c r="O286" s="568">
        <f>N286</f>
        <v>4596746</v>
      </c>
      <c r="P286" s="569">
        <f t="shared" ref="P286" si="265">K286/O286-1</f>
        <v>-0.21683730186527606</v>
      </c>
      <c r="Q286" s="295">
        <f t="shared" si="250"/>
        <v>0</v>
      </c>
    </row>
    <row r="287" spans="2:17" ht="94.5" x14ac:dyDescent="0.25">
      <c r="B287" s="629">
        <v>13</v>
      </c>
      <c r="C287" s="624" t="s">
        <v>1425</v>
      </c>
      <c r="D287" s="613" t="s">
        <v>238</v>
      </c>
      <c r="E287" s="639">
        <v>3</v>
      </c>
      <c r="F287" s="617">
        <v>1000000</v>
      </c>
      <c r="G287" s="621">
        <v>2</v>
      </c>
      <c r="H287" s="622">
        <f t="shared" si="264"/>
        <v>6000000</v>
      </c>
      <c r="I287" s="607">
        <v>0</v>
      </c>
      <c r="J287" s="597">
        <f t="shared" si="257"/>
        <v>6000000</v>
      </c>
      <c r="K287" s="607">
        <f t="shared" si="258"/>
        <v>6000000</v>
      </c>
      <c r="N287" s="568">
        <f>'4.1 Comparativo_Transporte'!$N$27</f>
        <v>1188475</v>
      </c>
      <c r="O287" s="568">
        <f t="shared" ref="O287:O288" si="266">N287*G287*E287</f>
        <v>7130850</v>
      </c>
      <c r="P287" s="569">
        <f t="shared" ref="P287:P289" si="267">K287/O287-1</f>
        <v>-0.15858558236395381</v>
      </c>
      <c r="Q287" s="295">
        <f t="shared" si="250"/>
        <v>0</v>
      </c>
    </row>
    <row r="288" spans="2:17" ht="93" customHeight="1" x14ac:dyDescent="0.25">
      <c r="B288" s="595">
        <v>14</v>
      </c>
      <c r="C288" s="608" t="s">
        <v>1443</v>
      </c>
      <c r="D288" s="605" t="s">
        <v>396</v>
      </c>
      <c r="E288" s="640">
        <v>50</v>
      </c>
      <c r="F288" s="617">
        <v>100000</v>
      </c>
      <c r="G288" s="640">
        <v>1</v>
      </c>
      <c r="H288" s="567">
        <f>E288*F288*G288</f>
        <v>5000000</v>
      </c>
      <c r="I288" s="607">
        <v>0</v>
      </c>
      <c r="J288" s="597">
        <f t="shared" si="257"/>
        <v>5000000</v>
      </c>
      <c r="K288" s="607">
        <f t="shared" si="258"/>
        <v>5000000</v>
      </c>
      <c r="N288" s="568">
        <f>'7.1 Comparativo_Kit_Herrami'!$N$7</f>
        <v>102170</v>
      </c>
      <c r="O288" s="568">
        <f t="shared" si="266"/>
        <v>5108500</v>
      </c>
      <c r="P288" s="569">
        <f t="shared" si="267"/>
        <v>-2.1239111285113021E-2</v>
      </c>
      <c r="Q288" s="295">
        <f t="shared" si="250"/>
        <v>0</v>
      </c>
    </row>
    <row r="289" spans="2:17" ht="15.75" customHeight="1" x14ac:dyDescent="0.25">
      <c r="B289" s="809" t="s">
        <v>408</v>
      </c>
      <c r="C289" s="786"/>
      <c r="D289" s="786"/>
      <c r="E289" s="787"/>
      <c r="F289" s="643">
        <f>SUM(F275:F288)</f>
        <v>16834000</v>
      </c>
      <c r="G289" s="641"/>
      <c r="H289" s="644">
        <f t="shared" ref="H289:K289" si="268">SUM(H275:H288)</f>
        <v>111602000</v>
      </c>
      <c r="I289" s="642">
        <f t="shared" si="268"/>
        <v>0</v>
      </c>
      <c r="J289" s="642">
        <f t="shared" si="268"/>
        <v>111602000</v>
      </c>
      <c r="K289" s="642">
        <f t="shared" si="268"/>
        <v>111602000</v>
      </c>
      <c r="N289" s="642">
        <f t="shared" ref="N289:O289" si="269">SUM(N275:N288)</f>
        <v>102523738</v>
      </c>
      <c r="O289" s="642">
        <f t="shared" si="269"/>
        <v>120893409</v>
      </c>
      <c r="P289" s="569">
        <f t="shared" si="267"/>
        <v>-7.6856208099814638E-2</v>
      </c>
      <c r="Q289" s="295"/>
    </row>
    <row r="290" spans="2:17" ht="15.75" customHeight="1" x14ac:dyDescent="0.25">
      <c r="B290" s="784" t="s">
        <v>1448</v>
      </c>
      <c r="C290" s="782"/>
      <c r="D290" s="782"/>
      <c r="E290" s="782"/>
      <c r="F290" s="782"/>
      <c r="G290" s="782"/>
      <c r="H290" s="782"/>
      <c r="I290" s="782"/>
      <c r="J290" s="782"/>
      <c r="K290" s="783"/>
      <c r="Q290" s="295">
        <f t="shared" si="250"/>
        <v>0</v>
      </c>
    </row>
    <row r="291" spans="2:17" ht="51.75" customHeight="1" x14ac:dyDescent="0.25">
      <c r="B291" s="593">
        <v>1</v>
      </c>
      <c r="C291" s="608" t="s">
        <v>1449</v>
      </c>
      <c r="D291" s="131" t="s">
        <v>1061</v>
      </c>
      <c r="E291" s="131">
        <v>1</v>
      </c>
      <c r="F291" s="594">
        <v>3500000</v>
      </c>
      <c r="G291" s="630">
        <v>1</v>
      </c>
      <c r="H291" s="567">
        <f t="shared" ref="H291:H293" si="270">F291*E291*G291</f>
        <v>3500000</v>
      </c>
      <c r="I291" s="607">
        <v>0</v>
      </c>
      <c r="J291" s="597">
        <f t="shared" ref="J291:J304" si="271">H291</f>
        <v>3500000</v>
      </c>
      <c r="K291" s="607">
        <f t="shared" ref="K291:K304" si="272">I291+J291</f>
        <v>3500000</v>
      </c>
      <c r="N291" s="568">
        <f>'3.1 Comparativo_Logística'!$M$7</f>
        <v>3585068</v>
      </c>
      <c r="O291" s="568">
        <f t="shared" ref="O291:O299" si="273">N291*G291*E291</f>
        <v>3585068</v>
      </c>
      <c r="P291" s="569">
        <f t="shared" ref="P291:P299" si="274">K291/O291-1</f>
        <v>-2.3728420214065626E-2</v>
      </c>
      <c r="Q291" s="295">
        <f t="shared" si="250"/>
        <v>0</v>
      </c>
    </row>
    <row r="292" spans="2:17" ht="30.75" customHeight="1" x14ac:dyDescent="0.25">
      <c r="B292" s="595">
        <v>2</v>
      </c>
      <c r="C292" s="608" t="s">
        <v>1416</v>
      </c>
      <c r="D292" s="631" t="s">
        <v>396</v>
      </c>
      <c r="E292" s="134">
        <v>1</v>
      </c>
      <c r="F292" s="597">
        <v>900000</v>
      </c>
      <c r="G292" s="632">
        <v>1</v>
      </c>
      <c r="H292" s="571">
        <f t="shared" si="270"/>
        <v>900000</v>
      </c>
      <c r="I292" s="607">
        <v>0</v>
      </c>
      <c r="J292" s="597">
        <f t="shared" si="271"/>
        <v>900000</v>
      </c>
      <c r="K292" s="607">
        <f t="shared" si="272"/>
        <v>900000</v>
      </c>
      <c r="N292" s="568">
        <f>'3.1 Comparativo_Logística'!$M$20</f>
        <v>1176347</v>
      </c>
      <c r="O292" s="568">
        <f t="shared" si="273"/>
        <v>1176347</v>
      </c>
      <c r="P292" s="569">
        <f t="shared" si="274"/>
        <v>-0.23491962830695368</v>
      </c>
      <c r="Q292" s="295">
        <f t="shared" si="250"/>
        <v>0</v>
      </c>
    </row>
    <row r="293" spans="2:17" ht="36.75" customHeight="1" x14ac:dyDescent="0.25">
      <c r="B293" s="570">
        <v>3</v>
      </c>
      <c r="C293" s="608" t="s">
        <v>1417</v>
      </c>
      <c r="D293" s="611" t="s">
        <v>238</v>
      </c>
      <c r="E293" s="599">
        <v>2</v>
      </c>
      <c r="F293" s="600">
        <v>200000</v>
      </c>
      <c r="G293" s="633">
        <v>1</v>
      </c>
      <c r="H293" s="571">
        <f t="shared" si="270"/>
        <v>400000</v>
      </c>
      <c r="I293" s="607">
        <v>0</v>
      </c>
      <c r="J293" s="597">
        <f t="shared" si="271"/>
        <v>400000</v>
      </c>
      <c r="K293" s="607">
        <f t="shared" si="272"/>
        <v>400000</v>
      </c>
      <c r="N293" s="568">
        <f>'3.1 Comparativo_Logística'!$M$29</f>
        <v>249230</v>
      </c>
      <c r="O293" s="568">
        <f t="shared" si="273"/>
        <v>498460</v>
      </c>
      <c r="P293" s="569">
        <f t="shared" si="274"/>
        <v>-0.19752838743329459</v>
      </c>
      <c r="Q293" s="295">
        <f t="shared" si="250"/>
        <v>0</v>
      </c>
    </row>
    <row r="294" spans="2:17" ht="108" x14ac:dyDescent="0.25">
      <c r="B294" s="564">
        <v>4</v>
      </c>
      <c r="C294" s="618" t="s">
        <v>1385</v>
      </c>
      <c r="D294" s="613" t="s">
        <v>238</v>
      </c>
      <c r="E294" s="613">
        <v>1</v>
      </c>
      <c r="F294" s="617">
        <v>1600000</v>
      </c>
      <c r="G294" s="634">
        <v>1</v>
      </c>
      <c r="H294" s="571">
        <f t="shared" ref="H294:H298" si="275">E294*F294*G294</f>
        <v>1600000</v>
      </c>
      <c r="I294" s="607">
        <v>0</v>
      </c>
      <c r="J294" s="597">
        <f t="shared" si="271"/>
        <v>1600000</v>
      </c>
      <c r="K294" s="607">
        <f t="shared" si="272"/>
        <v>1600000</v>
      </c>
      <c r="N294" s="568">
        <f>'3.1 Comparativo_Logística'!$M$37</f>
        <v>2714721</v>
      </c>
      <c r="O294" s="568">
        <f t="shared" si="273"/>
        <v>2714721</v>
      </c>
      <c r="P294" s="569">
        <f t="shared" si="274"/>
        <v>-0.41062083359579127</v>
      </c>
      <c r="Q294" s="295">
        <f t="shared" si="250"/>
        <v>0</v>
      </c>
    </row>
    <row r="295" spans="2:17" ht="47.25" customHeight="1" x14ac:dyDescent="0.25">
      <c r="B295" s="570">
        <v>5</v>
      </c>
      <c r="C295" s="618" t="s">
        <v>1418</v>
      </c>
      <c r="D295" s="613" t="s">
        <v>396</v>
      </c>
      <c r="E295" s="613">
        <v>53</v>
      </c>
      <c r="F295" s="617">
        <v>32000</v>
      </c>
      <c r="G295" s="634">
        <v>1</v>
      </c>
      <c r="H295" s="571">
        <f t="shared" si="275"/>
        <v>1696000</v>
      </c>
      <c r="I295" s="607">
        <v>0</v>
      </c>
      <c r="J295" s="597">
        <f t="shared" si="271"/>
        <v>1696000</v>
      </c>
      <c r="K295" s="607">
        <f t="shared" si="272"/>
        <v>1696000</v>
      </c>
      <c r="N295" s="568">
        <f>'2.1 Comparativo_Alimentación'!$M$7</f>
        <v>33548</v>
      </c>
      <c r="O295" s="568">
        <f t="shared" si="273"/>
        <v>1778044</v>
      </c>
      <c r="P295" s="569">
        <f t="shared" si="274"/>
        <v>-4.6142840109693606E-2</v>
      </c>
      <c r="Q295" s="295">
        <f t="shared" si="250"/>
        <v>0</v>
      </c>
    </row>
    <row r="296" spans="2:17" ht="45" customHeight="1" x14ac:dyDescent="0.25">
      <c r="B296" s="564">
        <v>6</v>
      </c>
      <c r="C296" s="618" t="s">
        <v>1419</v>
      </c>
      <c r="D296" s="613" t="s">
        <v>396</v>
      </c>
      <c r="E296" s="613">
        <v>53</v>
      </c>
      <c r="F296" s="617">
        <v>70000</v>
      </c>
      <c r="G296" s="634">
        <v>1</v>
      </c>
      <c r="H296" s="571">
        <f t="shared" si="275"/>
        <v>3710000</v>
      </c>
      <c r="I296" s="607">
        <v>0</v>
      </c>
      <c r="J296" s="597">
        <f t="shared" si="271"/>
        <v>3710000</v>
      </c>
      <c r="K296" s="607">
        <f t="shared" si="272"/>
        <v>3710000</v>
      </c>
      <c r="N296" s="568">
        <f>'2.1 Comparativo_Alimentación'!$M$8</f>
        <v>70822</v>
      </c>
      <c r="O296" s="568">
        <f t="shared" si="273"/>
        <v>3753566</v>
      </c>
      <c r="P296" s="569">
        <f t="shared" si="274"/>
        <v>-1.1606562932422126E-2</v>
      </c>
      <c r="Q296" s="295">
        <f t="shared" si="250"/>
        <v>0</v>
      </c>
    </row>
    <row r="297" spans="2:17" ht="45" customHeight="1" x14ac:dyDescent="0.25">
      <c r="B297" s="570">
        <v>7</v>
      </c>
      <c r="C297" s="618" t="s">
        <v>1420</v>
      </c>
      <c r="D297" s="613" t="s">
        <v>396</v>
      </c>
      <c r="E297" s="613">
        <v>53</v>
      </c>
      <c r="F297" s="617">
        <v>32000</v>
      </c>
      <c r="G297" s="634">
        <v>1</v>
      </c>
      <c r="H297" s="571">
        <f t="shared" si="275"/>
        <v>1696000</v>
      </c>
      <c r="I297" s="607">
        <v>0</v>
      </c>
      <c r="J297" s="597">
        <f t="shared" si="271"/>
        <v>1696000</v>
      </c>
      <c r="K297" s="607">
        <f t="shared" si="272"/>
        <v>1696000</v>
      </c>
      <c r="N297" s="568">
        <f>'2.1 Comparativo_Alimentación'!$M$9</f>
        <v>33548</v>
      </c>
      <c r="O297" s="568">
        <f t="shared" si="273"/>
        <v>1778044</v>
      </c>
      <c r="P297" s="569">
        <f t="shared" si="274"/>
        <v>-4.6142840109693606E-2</v>
      </c>
      <c r="Q297" s="295">
        <f t="shared" si="250"/>
        <v>0</v>
      </c>
    </row>
    <row r="298" spans="2:17" ht="148.5" x14ac:dyDescent="0.25">
      <c r="B298" s="595">
        <v>8</v>
      </c>
      <c r="C298" s="615" t="s">
        <v>1391</v>
      </c>
      <c r="D298" s="619" t="s">
        <v>238</v>
      </c>
      <c r="E298" s="614">
        <v>1</v>
      </c>
      <c r="F298" s="600">
        <v>2000000</v>
      </c>
      <c r="G298" s="632">
        <v>1</v>
      </c>
      <c r="H298" s="571">
        <f t="shared" si="275"/>
        <v>2000000</v>
      </c>
      <c r="I298" s="607">
        <v>0</v>
      </c>
      <c r="J298" s="597">
        <f t="shared" si="271"/>
        <v>2000000</v>
      </c>
      <c r="K298" s="607">
        <f t="shared" si="272"/>
        <v>2000000</v>
      </c>
      <c r="N298" s="568">
        <f>'8.1 Comparativo_Tallerista'!$N$7</f>
        <v>2455526</v>
      </c>
      <c r="O298" s="568">
        <f t="shared" si="273"/>
        <v>2455526</v>
      </c>
      <c r="P298" s="569">
        <f t="shared" si="274"/>
        <v>-0.18551055863387311</v>
      </c>
      <c r="Q298" s="295">
        <f t="shared" si="250"/>
        <v>0</v>
      </c>
    </row>
    <row r="299" spans="2:17" ht="108" x14ac:dyDescent="0.25">
      <c r="B299" s="570">
        <v>9</v>
      </c>
      <c r="C299" s="618" t="s">
        <v>1393</v>
      </c>
      <c r="D299" s="619" t="s">
        <v>238</v>
      </c>
      <c r="E299" s="614">
        <v>1</v>
      </c>
      <c r="F299" s="620">
        <v>2500000</v>
      </c>
      <c r="G299" s="131">
        <v>1</v>
      </c>
      <c r="H299" s="571">
        <f>F299*E299*G299</f>
        <v>2500000</v>
      </c>
      <c r="I299" s="607">
        <v>0</v>
      </c>
      <c r="J299" s="597">
        <f t="shared" si="271"/>
        <v>2500000</v>
      </c>
      <c r="K299" s="607">
        <f t="shared" si="272"/>
        <v>2500000</v>
      </c>
      <c r="N299" s="568">
        <f>'9.1 Comparativo_Sabedor'!$N$7</f>
        <v>2829639</v>
      </c>
      <c r="O299" s="568">
        <f t="shared" si="273"/>
        <v>2829639</v>
      </c>
      <c r="P299" s="569">
        <f t="shared" si="274"/>
        <v>-0.11649507233961642</v>
      </c>
      <c r="Q299" s="295">
        <f t="shared" si="250"/>
        <v>0</v>
      </c>
    </row>
    <row r="300" spans="2:17" ht="94.5" x14ac:dyDescent="0.25">
      <c r="B300" s="570">
        <v>10</v>
      </c>
      <c r="C300" s="618" t="s">
        <v>1394</v>
      </c>
      <c r="D300" s="599" t="s">
        <v>1062</v>
      </c>
      <c r="E300" s="614">
        <v>1</v>
      </c>
      <c r="F300" s="600">
        <v>4000000</v>
      </c>
      <c r="G300" s="632">
        <v>1</v>
      </c>
      <c r="H300" s="571">
        <f>E300*F300*G300</f>
        <v>4000000</v>
      </c>
      <c r="I300" s="607">
        <v>0</v>
      </c>
      <c r="J300" s="597">
        <f t="shared" si="271"/>
        <v>4000000</v>
      </c>
      <c r="K300" s="607">
        <f t="shared" si="272"/>
        <v>4000000</v>
      </c>
      <c r="N300" s="568">
        <f>'6.1 Comparativo_Grupo_Armoniz'!$N$7</f>
        <v>6875473</v>
      </c>
      <c r="O300" s="568">
        <f t="shared" ref="O300" si="276">N300*G300*E300</f>
        <v>6875473</v>
      </c>
      <c r="P300" s="569">
        <f t="shared" ref="P300" si="277">K300/O300-1</f>
        <v>-0.41822184451891531</v>
      </c>
      <c r="Q300" s="295">
        <f t="shared" si="250"/>
        <v>0</v>
      </c>
    </row>
    <row r="301" spans="2:17" ht="53.25" customHeight="1" x14ac:dyDescent="0.25">
      <c r="B301" s="595">
        <v>11</v>
      </c>
      <c r="C301" s="618" t="s">
        <v>1429</v>
      </c>
      <c r="D301" s="613" t="s">
        <v>238</v>
      </c>
      <c r="E301" s="621">
        <v>50</v>
      </c>
      <c r="F301" s="597">
        <v>500000</v>
      </c>
      <c r="G301" s="134">
        <v>3</v>
      </c>
      <c r="H301" s="622">
        <f t="shared" ref="H301:H303" si="278">F301*E301*G301</f>
        <v>75000000</v>
      </c>
      <c r="I301" s="607">
        <v>0</v>
      </c>
      <c r="J301" s="597">
        <f t="shared" si="271"/>
        <v>75000000</v>
      </c>
      <c r="K301" s="607">
        <f t="shared" si="272"/>
        <v>75000000</v>
      </c>
      <c r="N301" s="104">
        <f>'5.1 Comparativo_Viáticos'!$Q$15</f>
        <v>76612425</v>
      </c>
      <c r="O301" s="104">
        <f>N301</f>
        <v>76612425</v>
      </c>
      <c r="P301" s="438">
        <f>K301/O301-1</f>
        <v>-2.1046520848282735E-2</v>
      </c>
      <c r="Q301" s="295">
        <f t="shared" si="250"/>
        <v>0</v>
      </c>
    </row>
    <row r="302" spans="2:17" ht="48.75" customHeight="1" x14ac:dyDescent="0.25">
      <c r="B302" s="570">
        <v>12</v>
      </c>
      <c r="C302" s="618" t="s">
        <v>1392</v>
      </c>
      <c r="D302" s="613" t="s">
        <v>238</v>
      </c>
      <c r="E302" s="621">
        <v>3</v>
      </c>
      <c r="F302" s="617">
        <v>400000</v>
      </c>
      <c r="G302" s="134">
        <v>3</v>
      </c>
      <c r="H302" s="622">
        <f t="shared" si="278"/>
        <v>3600000</v>
      </c>
      <c r="I302" s="607">
        <v>0</v>
      </c>
      <c r="J302" s="597">
        <f t="shared" si="271"/>
        <v>3600000</v>
      </c>
      <c r="K302" s="607">
        <f t="shared" si="272"/>
        <v>3600000</v>
      </c>
      <c r="N302" s="568">
        <f>'5.1 Comparativo_Viáticos'!$Q$13</f>
        <v>4596746</v>
      </c>
      <c r="O302" s="568">
        <f>N302</f>
        <v>4596746</v>
      </c>
      <c r="P302" s="569">
        <f t="shared" ref="P302" si="279">K302/O302-1</f>
        <v>-0.21683730186527606</v>
      </c>
      <c r="Q302" s="295">
        <f t="shared" si="250"/>
        <v>0</v>
      </c>
    </row>
    <row r="303" spans="2:17" ht="94.5" x14ac:dyDescent="0.25">
      <c r="B303" s="629">
        <v>13</v>
      </c>
      <c r="C303" s="624" t="s">
        <v>1425</v>
      </c>
      <c r="D303" s="613" t="s">
        <v>238</v>
      </c>
      <c r="E303" s="639">
        <v>3</v>
      </c>
      <c r="F303" s="617">
        <v>1000000</v>
      </c>
      <c r="G303" s="621">
        <v>2</v>
      </c>
      <c r="H303" s="622">
        <f t="shared" si="278"/>
        <v>6000000</v>
      </c>
      <c r="I303" s="607">
        <v>0</v>
      </c>
      <c r="J303" s="597">
        <f t="shared" si="271"/>
        <v>6000000</v>
      </c>
      <c r="K303" s="607">
        <f t="shared" si="272"/>
        <v>6000000</v>
      </c>
      <c r="N303" s="568">
        <f>'4.1 Comparativo_Transporte'!$N$27</f>
        <v>1188475</v>
      </c>
      <c r="O303" s="568">
        <f t="shared" ref="O303:O304" si="280">N303*G303*E303</f>
        <v>7130850</v>
      </c>
      <c r="P303" s="569">
        <f t="shared" ref="P303:P305" si="281">K303/O303-1</f>
        <v>-0.15858558236395381</v>
      </c>
      <c r="Q303" s="295">
        <f t="shared" si="250"/>
        <v>0</v>
      </c>
    </row>
    <row r="304" spans="2:17" ht="93" customHeight="1" x14ac:dyDescent="0.25">
      <c r="B304" s="595">
        <v>14</v>
      </c>
      <c r="C304" s="608" t="s">
        <v>1443</v>
      </c>
      <c r="D304" s="605" t="s">
        <v>396</v>
      </c>
      <c r="E304" s="640">
        <v>50</v>
      </c>
      <c r="F304" s="617">
        <v>100000</v>
      </c>
      <c r="G304" s="640">
        <v>1</v>
      </c>
      <c r="H304" s="567">
        <f>E304*F304*G304</f>
        <v>5000000</v>
      </c>
      <c r="I304" s="607">
        <v>0</v>
      </c>
      <c r="J304" s="597">
        <f t="shared" si="271"/>
        <v>5000000</v>
      </c>
      <c r="K304" s="607">
        <f t="shared" si="272"/>
        <v>5000000</v>
      </c>
      <c r="N304" s="568">
        <f>'7.1 Comparativo_Kit_Herrami'!$N$7</f>
        <v>102170</v>
      </c>
      <c r="O304" s="568">
        <f t="shared" si="280"/>
        <v>5108500</v>
      </c>
      <c r="P304" s="569">
        <f t="shared" si="281"/>
        <v>-2.1239111285113021E-2</v>
      </c>
      <c r="Q304" s="295">
        <f t="shared" si="250"/>
        <v>0</v>
      </c>
    </row>
    <row r="305" spans="2:17" ht="15.75" customHeight="1" x14ac:dyDescent="0.25">
      <c r="B305" s="809" t="s">
        <v>409</v>
      </c>
      <c r="C305" s="786"/>
      <c r="D305" s="786"/>
      <c r="E305" s="787"/>
      <c r="F305" s="643">
        <f>SUM(F291:F304)</f>
        <v>16834000</v>
      </c>
      <c r="G305" s="641"/>
      <c r="H305" s="644">
        <f t="shared" ref="H305:K305" si="282">SUM(H291:H304)</f>
        <v>111602000</v>
      </c>
      <c r="I305" s="642">
        <f t="shared" si="282"/>
        <v>0</v>
      </c>
      <c r="J305" s="642">
        <f t="shared" si="282"/>
        <v>111602000</v>
      </c>
      <c r="K305" s="642">
        <f t="shared" si="282"/>
        <v>111602000</v>
      </c>
      <c r="N305" s="642">
        <f t="shared" ref="N305:O305" si="283">SUM(N291:N304)</f>
        <v>102523738</v>
      </c>
      <c r="O305" s="642">
        <f t="shared" si="283"/>
        <v>120893409</v>
      </c>
      <c r="P305" s="569">
        <f t="shared" si="281"/>
        <v>-7.6856208099814638E-2</v>
      </c>
      <c r="Q305" s="295"/>
    </row>
    <row r="306" spans="2:17" ht="15.75" customHeight="1" x14ac:dyDescent="0.25">
      <c r="B306" s="784" t="s">
        <v>1450</v>
      </c>
      <c r="C306" s="782"/>
      <c r="D306" s="782"/>
      <c r="E306" s="782"/>
      <c r="F306" s="782"/>
      <c r="G306" s="782"/>
      <c r="H306" s="782"/>
      <c r="I306" s="782"/>
      <c r="J306" s="782"/>
      <c r="K306" s="783"/>
      <c r="Q306" s="295">
        <f t="shared" si="250"/>
        <v>0</v>
      </c>
    </row>
    <row r="307" spans="2:17" ht="51.75" customHeight="1" x14ac:dyDescent="0.25">
      <c r="B307" s="593">
        <v>1</v>
      </c>
      <c r="C307" s="608" t="s">
        <v>1451</v>
      </c>
      <c r="D307" s="131" t="s">
        <v>1061</v>
      </c>
      <c r="E307" s="131">
        <v>1</v>
      </c>
      <c r="F307" s="594">
        <v>3500000</v>
      </c>
      <c r="G307" s="630">
        <v>1</v>
      </c>
      <c r="H307" s="567">
        <f t="shared" ref="H307:H309" si="284">F307*E307*G307</f>
        <v>3500000</v>
      </c>
      <c r="I307" s="607">
        <v>0</v>
      </c>
      <c r="J307" s="597">
        <f t="shared" ref="J307:J320" si="285">H307</f>
        <v>3500000</v>
      </c>
      <c r="K307" s="607">
        <f t="shared" ref="K307:K320" si="286">I307+J307</f>
        <v>3500000</v>
      </c>
      <c r="N307" s="568">
        <f>'3.1 Comparativo_Logística'!$M$7</f>
        <v>3585068</v>
      </c>
      <c r="O307" s="568">
        <f t="shared" ref="O307:O315" si="287">N307*G307*E307</f>
        <v>3585068</v>
      </c>
      <c r="P307" s="569">
        <f t="shared" ref="P307:P315" si="288">K307/O307-1</f>
        <v>-2.3728420214065626E-2</v>
      </c>
      <c r="Q307" s="295">
        <f t="shared" si="250"/>
        <v>0</v>
      </c>
    </row>
    <row r="308" spans="2:17" ht="30" customHeight="1" x14ac:dyDescent="0.25">
      <c r="B308" s="595">
        <v>2</v>
      </c>
      <c r="C308" s="608" t="s">
        <v>1416</v>
      </c>
      <c r="D308" s="631" t="s">
        <v>396</v>
      </c>
      <c r="E308" s="134">
        <v>1</v>
      </c>
      <c r="F308" s="597">
        <v>900000</v>
      </c>
      <c r="G308" s="632">
        <v>1</v>
      </c>
      <c r="H308" s="571">
        <f t="shared" si="284"/>
        <v>900000</v>
      </c>
      <c r="I308" s="607">
        <v>0</v>
      </c>
      <c r="J308" s="597">
        <f t="shared" si="285"/>
        <v>900000</v>
      </c>
      <c r="K308" s="607">
        <f t="shared" si="286"/>
        <v>900000</v>
      </c>
      <c r="N308" s="568">
        <f>'3.1 Comparativo_Logística'!$M$20</f>
        <v>1176347</v>
      </c>
      <c r="O308" s="568">
        <f t="shared" si="287"/>
        <v>1176347</v>
      </c>
      <c r="P308" s="569">
        <f t="shared" si="288"/>
        <v>-0.23491962830695368</v>
      </c>
      <c r="Q308" s="295">
        <f t="shared" si="250"/>
        <v>0</v>
      </c>
    </row>
    <row r="309" spans="2:17" ht="38.25" customHeight="1" x14ac:dyDescent="0.25">
      <c r="B309" s="570">
        <v>3</v>
      </c>
      <c r="C309" s="608" t="s">
        <v>1417</v>
      </c>
      <c r="D309" s="611" t="s">
        <v>238</v>
      </c>
      <c r="E309" s="599">
        <v>2</v>
      </c>
      <c r="F309" s="600">
        <v>200000</v>
      </c>
      <c r="G309" s="633">
        <v>1</v>
      </c>
      <c r="H309" s="571">
        <f t="shared" si="284"/>
        <v>400000</v>
      </c>
      <c r="I309" s="607">
        <v>0</v>
      </c>
      <c r="J309" s="597">
        <f t="shared" si="285"/>
        <v>400000</v>
      </c>
      <c r="K309" s="607">
        <f t="shared" si="286"/>
        <v>400000</v>
      </c>
      <c r="N309" s="568">
        <f>'3.1 Comparativo_Logística'!$M$29</f>
        <v>249230</v>
      </c>
      <c r="O309" s="568">
        <f t="shared" si="287"/>
        <v>498460</v>
      </c>
      <c r="P309" s="569">
        <f t="shared" si="288"/>
        <v>-0.19752838743329459</v>
      </c>
      <c r="Q309" s="295">
        <f t="shared" si="250"/>
        <v>0</v>
      </c>
    </row>
    <row r="310" spans="2:17" ht="108" x14ac:dyDescent="0.25">
      <c r="B310" s="564">
        <v>4</v>
      </c>
      <c r="C310" s="618" t="s">
        <v>1385</v>
      </c>
      <c r="D310" s="613" t="s">
        <v>238</v>
      </c>
      <c r="E310" s="613">
        <v>1</v>
      </c>
      <c r="F310" s="617">
        <v>1600000</v>
      </c>
      <c r="G310" s="634">
        <v>1</v>
      </c>
      <c r="H310" s="571">
        <f t="shared" ref="H310:H314" si="289">E310*F310*G310</f>
        <v>1600000</v>
      </c>
      <c r="I310" s="607">
        <v>0</v>
      </c>
      <c r="J310" s="597">
        <f t="shared" si="285"/>
        <v>1600000</v>
      </c>
      <c r="K310" s="607">
        <f t="shared" si="286"/>
        <v>1600000</v>
      </c>
      <c r="N310" s="568">
        <f>'3.1 Comparativo_Logística'!$M$37</f>
        <v>2714721</v>
      </c>
      <c r="O310" s="568">
        <f t="shared" si="287"/>
        <v>2714721</v>
      </c>
      <c r="P310" s="569">
        <f t="shared" si="288"/>
        <v>-0.41062083359579127</v>
      </c>
      <c r="Q310" s="295">
        <f t="shared" si="250"/>
        <v>0</v>
      </c>
    </row>
    <row r="311" spans="2:17" ht="46.5" customHeight="1" x14ac:dyDescent="0.25">
      <c r="B311" s="570">
        <v>5</v>
      </c>
      <c r="C311" s="618" t="s">
        <v>1418</v>
      </c>
      <c r="D311" s="613" t="s">
        <v>396</v>
      </c>
      <c r="E311" s="613">
        <v>53</v>
      </c>
      <c r="F311" s="617">
        <v>32000</v>
      </c>
      <c r="G311" s="634">
        <v>1</v>
      </c>
      <c r="H311" s="571">
        <f t="shared" si="289"/>
        <v>1696000</v>
      </c>
      <c r="I311" s="607">
        <v>0</v>
      </c>
      <c r="J311" s="597">
        <f t="shared" si="285"/>
        <v>1696000</v>
      </c>
      <c r="K311" s="607">
        <f t="shared" si="286"/>
        <v>1696000</v>
      </c>
      <c r="N311" s="568">
        <f>'2.1 Comparativo_Alimentación'!$M$7</f>
        <v>33548</v>
      </c>
      <c r="O311" s="568">
        <f t="shared" si="287"/>
        <v>1778044</v>
      </c>
      <c r="P311" s="569">
        <f t="shared" si="288"/>
        <v>-4.6142840109693606E-2</v>
      </c>
      <c r="Q311" s="295">
        <f t="shared" si="250"/>
        <v>0</v>
      </c>
    </row>
    <row r="312" spans="2:17" ht="38.25" customHeight="1" x14ac:dyDescent="0.25">
      <c r="B312" s="564">
        <v>6</v>
      </c>
      <c r="C312" s="618" t="s">
        <v>1419</v>
      </c>
      <c r="D312" s="613" t="s">
        <v>396</v>
      </c>
      <c r="E312" s="613">
        <v>53</v>
      </c>
      <c r="F312" s="617">
        <v>70000</v>
      </c>
      <c r="G312" s="634">
        <v>1</v>
      </c>
      <c r="H312" s="571">
        <f t="shared" si="289"/>
        <v>3710000</v>
      </c>
      <c r="I312" s="607">
        <v>0</v>
      </c>
      <c r="J312" s="597">
        <f t="shared" si="285"/>
        <v>3710000</v>
      </c>
      <c r="K312" s="607">
        <f t="shared" si="286"/>
        <v>3710000</v>
      </c>
      <c r="N312" s="568">
        <f>'2.1 Comparativo_Alimentación'!$M$8</f>
        <v>70822</v>
      </c>
      <c r="O312" s="568">
        <f t="shared" si="287"/>
        <v>3753566</v>
      </c>
      <c r="P312" s="569">
        <f t="shared" si="288"/>
        <v>-1.1606562932422126E-2</v>
      </c>
      <c r="Q312" s="295">
        <f t="shared" si="250"/>
        <v>0</v>
      </c>
    </row>
    <row r="313" spans="2:17" ht="45" customHeight="1" x14ac:dyDescent="0.25">
      <c r="B313" s="570">
        <v>7</v>
      </c>
      <c r="C313" s="618" t="s">
        <v>1420</v>
      </c>
      <c r="D313" s="613" t="s">
        <v>396</v>
      </c>
      <c r="E313" s="613">
        <v>53</v>
      </c>
      <c r="F313" s="617">
        <v>32000</v>
      </c>
      <c r="G313" s="634">
        <v>1</v>
      </c>
      <c r="H313" s="571">
        <f t="shared" si="289"/>
        <v>1696000</v>
      </c>
      <c r="I313" s="607">
        <v>0</v>
      </c>
      <c r="J313" s="597">
        <f t="shared" si="285"/>
        <v>1696000</v>
      </c>
      <c r="K313" s="607">
        <f t="shared" si="286"/>
        <v>1696000</v>
      </c>
      <c r="N313" s="568">
        <f>'2.1 Comparativo_Alimentación'!$M$9</f>
        <v>33548</v>
      </c>
      <c r="O313" s="568">
        <f t="shared" si="287"/>
        <v>1778044</v>
      </c>
      <c r="P313" s="569">
        <f t="shared" si="288"/>
        <v>-4.6142840109693606E-2</v>
      </c>
      <c r="Q313" s="295">
        <f t="shared" si="250"/>
        <v>0</v>
      </c>
    </row>
    <row r="314" spans="2:17" ht="148.5" x14ac:dyDescent="0.25">
      <c r="B314" s="595">
        <v>8</v>
      </c>
      <c r="C314" s="615" t="s">
        <v>1391</v>
      </c>
      <c r="D314" s="619" t="s">
        <v>238</v>
      </c>
      <c r="E314" s="614">
        <v>1</v>
      </c>
      <c r="F314" s="600">
        <v>2000000</v>
      </c>
      <c r="G314" s="632">
        <v>1</v>
      </c>
      <c r="H314" s="571">
        <f t="shared" si="289"/>
        <v>2000000</v>
      </c>
      <c r="I314" s="607">
        <v>0</v>
      </c>
      <c r="J314" s="597">
        <f t="shared" si="285"/>
        <v>2000000</v>
      </c>
      <c r="K314" s="607">
        <f t="shared" si="286"/>
        <v>2000000</v>
      </c>
      <c r="N314" s="568">
        <f>'8.1 Comparativo_Tallerista'!$N$7</f>
        <v>2455526</v>
      </c>
      <c r="O314" s="568">
        <f t="shared" si="287"/>
        <v>2455526</v>
      </c>
      <c r="P314" s="569">
        <f t="shared" si="288"/>
        <v>-0.18551055863387311</v>
      </c>
      <c r="Q314" s="295">
        <f t="shared" si="250"/>
        <v>0</v>
      </c>
    </row>
    <row r="315" spans="2:17" ht="108" x14ac:dyDescent="0.25">
      <c r="B315" s="570">
        <v>9</v>
      </c>
      <c r="C315" s="618" t="s">
        <v>1393</v>
      </c>
      <c r="D315" s="619" t="s">
        <v>238</v>
      </c>
      <c r="E315" s="614">
        <v>1</v>
      </c>
      <c r="F315" s="620">
        <v>2500000</v>
      </c>
      <c r="G315" s="131">
        <v>1</v>
      </c>
      <c r="H315" s="571">
        <f>F315*E315*G315</f>
        <v>2500000</v>
      </c>
      <c r="I315" s="607">
        <v>0</v>
      </c>
      <c r="J315" s="597">
        <f t="shared" si="285"/>
        <v>2500000</v>
      </c>
      <c r="K315" s="607">
        <f t="shared" si="286"/>
        <v>2500000</v>
      </c>
      <c r="N315" s="568">
        <f>'9.1 Comparativo_Sabedor'!$N$7</f>
        <v>2829639</v>
      </c>
      <c r="O315" s="568">
        <f t="shared" si="287"/>
        <v>2829639</v>
      </c>
      <c r="P315" s="569">
        <f t="shared" si="288"/>
        <v>-0.11649507233961642</v>
      </c>
      <c r="Q315" s="295">
        <f t="shared" si="250"/>
        <v>0</v>
      </c>
    </row>
    <row r="316" spans="2:17" ht="94.5" x14ac:dyDescent="0.25">
      <c r="B316" s="570">
        <v>10</v>
      </c>
      <c r="C316" s="618" t="s">
        <v>1394</v>
      </c>
      <c r="D316" s="599" t="s">
        <v>1062</v>
      </c>
      <c r="E316" s="614">
        <v>1</v>
      </c>
      <c r="F316" s="600">
        <v>4000000</v>
      </c>
      <c r="G316" s="632">
        <v>1</v>
      </c>
      <c r="H316" s="571">
        <f>E316*F316*G316</f>
        <v>4000000</v>
      </c>
      <c r="I316" s="607">
        <v>0</v>
      </c>
      <c r="J316" s="597">
        <f t="shared" si="285"/>
        <v>4000000</v>
      </c>
      <c r="K316" s="607">
        <f t="shared" si="286"/>
        <v>4000000</v>
      </c>
      <c r="N316" s="568">
        <f>'6.1 Comparativo_Grupo_Armoniz'!$N$7</f>
        <v>6875473</v>
      </c>
      <c r="O316" s="568">
        <f t="shared" ref="O316" si="290">N316*G316*E316</f>
        <v>6875473</v>
      </c>
      <c r="P316" s="569">
        <f t="shared" ref="P316" si="291">K316/O316-1</f>
        <v>-0.41822184451891531</v>
      </c>
      <c r="Q316" s="295">
        <f t="shared" si="250"/>
        <v>0</v>
      </c>
    </row>
    <row r="317" spans="2:17" ht="49.5" customHeight="1" x14ac:dyDescent="0.25">
      <c r="B317" s="595">
        <v>11</v>
      </c>
      <c r="C317" s="618" t="s">
        <v>1429</v>
      </c>
      <c r="D317" s="613" t="s">
        <v>238</v>
      </c>
      <c r="E317" s="621">
        <v>50</v>
      </c>
      <c r="F317" s="597">
        <v>500000</v>
      </c>
      <c r="G317" s="134">
        <v>3</v>
      </c>
      <c r="H317" s="622">
        <f t="shared" ref="H317:H319" si="292">F317*E317*G317</f>
        <v>75000000</v>
      </c>
      <c r="I317" s="607">
        <v>0</v>
      </c>
      <c r="J317" s="597">
        <f t="shared" si="285"/>
        <v>75000000</v>
      </c>
      <c r="K317" s="607">
        <f t="shared" si="286"/>
        <v>75000000</v>
      </c>
      <c r="N317" s="104">
        <f>'5.1 Comparativo_Viáticos'!$Q$15</f>
        <v>76612425</v>
      </c>
      <c r="O317" s="104">
        <f>N317</f>
        <v>76612425</v>
      </c>
      <c r="P317" s="438">
        <f>K317/O317-1</f>
        <v>-2.1046520848282735E-2</v>
      </c>
      <c r="Q317" s="295">
        <f t="shared" si="250"/>
        <v>0</v>
      </c>
    </row>
    <row r="318" spans="2:17" ht="44.25" customHeight="1" x14ac:dyDescent="0.25">
      <c r="B318" s="570">
        <v>12</v>
      </c>
      <c r="C318" s="618" t="s">
        <v>1392</v>
      </c>
      <c r="D318" s="613" t="s">
        <v>238</v>
      </c>
      <c r="E318" s="621">
        <v>3</v>
      </c>
      <c r="F318" s="617">
        <v>400000</v>
      </c>
      <c r="G318" s="134">
        <v>3</v>
      </c>
      <c r="H318" s="622">
        <f t="shared" si="292"/>
        <v>3600000</v>
      </c>
      <c r="I318" s="607">
        <v>0</v>
      </c>
      <c r="J318" s="597">
        <f t="shared" si="285"/>
        <v>3600000</v>
      </c>
      <c r="K318" s="607">
        <f t="shared" si="286"/>
        <v>3600000</v>
      </c>
      <c r="N318" s="568">
        <f>'5.1 Comparativo_Viáticos'!$Q$13</f>
        <v>4596746</v>
      </c>
      <c r="O318" s="568">
        <f>N318</f>
        <v>4596746</v>
      </c>
      <c r="P318" s="569">
        <f t="shared" ref="P318" si="293">K318/O318-1</f>
        <v>-0.21683730186527606</v>
      </c>
      <c r="Q318" s="295">
        <f t="shared" si="250"/>
        <v>0</v>
      </c>
    </row>
    <row r="319" spans="2:17" ht="94.5" x14ac:dyDescent="0.25">
      <c r="B319" s="629">
        <v>13</v>
      </c>
      <c r="C319" s="624" t="s">
        <v>1425</v>
      </c>
      <c r="D319" s="613" t="s">
        <v>238</v>
      </c>
      <c r="E319" s="639">
        <v>3</v>
      </c>
      <c r="F319" s="617">
        <v>1000000</v>
      </c>
      <c r="G319" s="621">
        <v>2</v>
      </c>
      <c r="H319" s="622">
        <f t="shared" si="292"/>
        <v>6000000</v>
      </c>
      <c r="I319" s="607">
        <v>0</v>
      </c>
      <c r="J319" s="597">
        <f t="shared" si="285"/>
        <v>6000000</v>
      </c>
      <c r="K319" s="607">
        <f t="shared" si="286"/>
        <v>6000000</v>
      </c>
      <c r="N319" s="568">
        <f>'4.1 Comparativo_Transporte'!$N$27</f>
        <v>1188475</v>
      </c>
      <c r="O319" s="568">
        <f t="shared" ref="O319:O320" si="294">N319*G319*E319</f>
        <v>7130850</v>
      </c>
      <c r="P319" s="569">
        <f t="shared" ref="P319:P321" si="295">K319/O319-1</f>
        <v>-0.15858558236395381</v>
      </c>
      <c r="Q319" s="295">
        <f t="shared" si="250"/>
        <v>0</v>
      </c>
    </row>
    <row r="320" spans="2:17" ht="93" customHeight="1" x14ac:dyDescent="0.25">
      <c r="B320" s="595">
        <v>14</v>
      </c>
      <c r="C320" s="608" t="s">
        <v>1443</v>
      </c>
      <c r="D320" s="605" t="s">
        <v>396</v>
      </c>
      <c r="E320" s="640">
        <v>50</v>
      </c>
      <c r="F320" s="617">
        <v>100000</v>
      </c>
      <c r="G320" s="640">
        <v>1</v>
      </c>
      <c r="H320" s="567">
        <f>E320*F320*G320</f>
        <v>5000000</v>
      </c>
      <c r="I320" s="607">
        <v>0</v>
      </c>
      <c r="J320" s="597">
        <f t="shared" si="285"/>
        <v>5000000</v>
      </c>
      <c r="K320" s="607">
        <f t="shared" si="286"/>
        <v>5000000</v>
      </c>
      <c r="N320" s="568">
        <f>'7.1 Comparativo_Kit_Herrami'!$N$7</f>
        <v>102170</v>
      </c>
      <c r="O320" s="568">
        <f t="shared" si="294"/>
        <v>5108500</v>
      </c>
      <c r="P320" s="569">
        <f t="shared" si="295"/>
        <v>-2.1239111285113021E-2</v>
      </c>
      <c r="Q320" s="295">
        <f t="shared" si="250"/>
        <v>0</v>
      </c>
    </row>
    <row r="321" spans="2:17" ht="15.75" customHeight="1" x14ac:dyDescent="0.25">
      <c r="B321" s="809" t="s">
        <v>410</v>
      </c>
      <c r="C321" s="786"/>
      <c r="D321" s="786"/>
      <c r="E321" s="787"/>
      <c r="F321" s="643">
        <f>SUM(F307:F320)</f>
        <v>16834000</v>
      </c>
      <c r="G321" s="641"/>
      <c r="H321" s="644">
        <f t="shared" ref="H321:K321" si="296">SUM(H307:H320)</f>
        <v>111602000</v>
      </c>
      <c r="I321" s="642">
        <f t="shared" si="296"/>
        <v>0</v>
      </c>
      <c r="J321" s="642">
        <f t="shared" si="296"/>
        <v>111602000</v>
      </c>
      <c r="K321" s="642">
        <f t="shared" si="296"/>
        <v>111602000</v>
      </c>
      <c r="N321" s="642">
        <f t="shared" ref="N321:O321" si="297">SUM(N307:N320)</f>
        <v>102523738</v>
      </c>
      <c r="O321" s="642">
        <f t="shared" si="297"/>
        <v>120893409</v>
      </c>
      <c r="P321" s="569">
        <f t="shared" si="295"/>
        <v>-7.6856208099814638E-2</v>
      </c>
      <c r="Q321" s="295"/>
    </row>
    <row r="322" spans="2:17" ht="15.75" customHeight="1" x14ac:dyDescent="0.25">
      <c r="B322" s="784" t="s">
        <v>1452</v>
      </c>
      <c r="C322" s="782"/>
      <c r="D322" s="782"/>
      <c r="E322" s="782"/>
      <c r="F322" s="782"/>
      <c r="G322" s="782"/>
      <c r="H322" s="782"/>
      <c r="I322" s="782"/>
      <c r="J322" s="782"/>
      <c r="K322" s="783"/>
      <c r="Q322" s="295">
        <f t="shared" si="250"/>
        <v>0</v>
      </c>
    </row>
    <row r="323" spans="2:17" ht="53.25" customHeight="1" x14ac:dyDescent="0.25">
      <c r="B323" s="593">
        <v>1</v>
      </c>
      <c r="C323" s="608" t="s">
        <v>1453</v>
      </c>
      <c r="D323" s="131" t="s">
        <v>1061</v>
      </c>
      <c r="E323" s="131">
        <v>1</v>
      </c>
      <c r="F323" s="594">
        <v>4500000</v>
      </c>
      <c r="G323" s="630">
        <v>1</v>
      </c>
      <c r="H323" s="567">
        <f t="shared" ref="H323:H325" si="298">F323*E323*G323</f>
        <v>4500000</v>
      </c>
      <c r="I323" s="607">
        <v>0</v>
      </c>
      <c r="J323" s="607">
        <f t="shared" ref="J323:J336" si="299">H323</f>
        <v>4500000</v>
      </c>
      <c r="K323" s="607">
        <f t="shared" ref="K323:K336" si="300">I323+J323</f>
        <v>4500000</v>
      </c>
      <c r="N323" s="568">
        <f>'3.1 Comparativo_Logística'!$M$8</f>
        <v>4364288</v>
      </c>
      <c r="O323" s="568">
        <f t="shared" ref="O323:O331" si="301">N323*G323*E323</f>
        <v>4364288</v>
      </c>
      <c r="P323" s="569">
        <f t="shared" ref="P323:P331" si="302">K323/O323-1</f>
        <v>3.1096022993899686E-2</v>
      </c>
      <c r="Q323" s="295">
        <f t="shared" si="250"/>
        <v>0</v>
      </c>
    </row>
    <row r="324" spans="2:17" ht="30.75" customHeight="1" x14ac:dyDescent="0.25">
      <c r="B324" s="595">
        <v>2</v>
      </c>
      <c r="C324" s="608" t="s">
        <v>1454</v>
      </c>
      <c r="D324" s="631" t="s">
        <v>396</v>
      </c>
      <c r="E324" s="134">
        <v>1</v>
      </c>
      <c r="F324" s="597">
        <v>1200000</v>
      </c>
      <c r="G324" s="632">
        <v>1</v>
      </c>
      <c r="H324" s="571">
        <f t="shared" si="298"/>
        <v>1200000</v>
      </c>
      <c r="I324" s="607">
        <v>0</v>
      </c>
      <c r="J324" s="607">
        <f t="shared" si="299"/>
        <v>1200000</v>
      </c>
      <c r="K324" s="607">
        <f t="shared" si="300"/>
        <v>1200000</v>
      </c>
      <c r="N324" s="568">
        <f>'3.1 Comparativo_Logística'!$M$21</f>
        <v>2006538</v>
      </c>
      <c r="O324" s="568">
        <f t="shared" si="301"/>
        <v>2006538</v>
      </c>
      <c r="P324" s="569">
        <f t="shared" si="302"/>
        <v>-0.40195500907533277</v>
      </c>
      <c r="Q324" s="295">
        <f t="shared" si="250"/>
        <v>0</v>
      </c>
    </row>
    <row r="325" spans="2:17" ht="35.25" customHeight="1" x14ac:dyDescent="0.25">
      <c r="B325" s="570">
        <v>3</v>
      </c>
      <c r="C325" s="608" t="s">
        <v>1455</v>
      </c>
      <c r="D325" s="611" t="s">
        <v>238</v>
      </c>
      <c r="E325" s="599">
        <v>4</v>
      </c>
      <c r="F325" s="600">
        <v>200000</v>
      </c>
      <c r="G325" s="633">
        <v>1</v>
      </c>
      <c r="H325" s="571">
        <f t="shared" si="298"/>
        <v>800000</v>
      </c>
      <c r="I325" s="607">
        <v>0</v>
      </c>
      <c r="J325" s="607">
        <f t="shared" si="299"/>
        <v>800000</v>
      </c>
      <c r="K325" s="607">
        <f t="shared" si="300"/>
        <v>800000</v>
      </c>
      <c r="N325" s="568">
        <f>'3.1 Comparativo_Logística'!$M$29</f>
        <v>249230</v>
      </c>
      <c r="O325" s="568">
        <f t="shared" si="301"/>
        <v>996920</v>
      </c>
      <c r="P325" s="569">
        <f t="shared" si="302"/>
        <v>-0.19752838743329459</v>
      </c>
      <c r="Q325" s="295">
        <f t="shared" si="250"/>
        <v>0</v>
      </c>
    </row>
    <row r="326" spans="2:17" ht="108" x14ac:dyDescent="0.25">
      <c r="B326" s="564">
        <v>4</v>
      </c>
      <c r="C326" s="618" t="s">
        <v>1385</v>
      </c>
      <c r="D326" s="613" t="s">
        <v>238</v>
      </c>
      <c r="E326" s="613">
        <v>1</v>
      </c>
      <c r="F326" s="617">
        <v>1600000</v>
      </c>
      <c r="G326" s="634">
        <v>1</v>
      </c>
      <c r="H326" s="571">
        <f t="shared" ref="H326:H330" si="303">E326*F326*G326</f>
        <v>1600000</v>
      </c>
      <c r="I326" s="607">
        <v>0</v>
      </c>
      <c r="J326" s="607">
        <f t="shared" si="299"/>
        <v>1600000</v>
      </c>
      <c r="K326" s="607">
        <f t="shared" si="300"/>
        <v>1600000</v>
      </c>
      <c r="N326" s="568">
        <f>'3.1 Comparativo_Logística'!$M$37</f>
        <v>2714721</v>
      </c>
      <c r="O326" s="568">
        <f t="shared" si="301"/>
        <v>2714721</v>
      </c>
      <c r="P326" s="569">
        <f t="shared" si="302"/>
        <v>-0.41062083359579127</v>
      </c>
      <c r="Q326" s="295">
        <f t="shared" si="250"/>
        <v>0</v>
      </c>
    </row>
    <row r="327" spans="2:17" ht="47.25" customHeight="1" x14ac:dyDescent="0.25">
      <c r="B327" s="570">
        <v>5</v>
      </c>
      <c r="C327" s="618" t="s">
        <v>1456</v>
      </c>
      <c r="D327" s="613" t="s">
        <v>396</v>
      </c>
      <c r="E327" s="613">
        <v>103</v>
      </c>
      <c r="F327" s="617">
        <v>32000</v>
      </c>
      <c r="G327" s="634">
        <v>1</v>
      </c>
      <c r="H327" s="571">
        <f t="shared" si="303"/>
        <v>3296000</v>
      </c>
      <c r="I327" s="607">
        <v>0</v>
      </c>
      <c r="J327" s="607">
        <f t="shared" si="299"/>
        <v>3296000</v>
      </c>
      <c r="K327" s="607">
        <f t="shared" si="300"/>
        <v>3296000</v>
      </c>
      <c r="N327" s="568">
        <f>'2.1 Comparativo_Alimentación'!$M$7</f>
        <v>33548</v>
      </c>
      <c r="O327" s="568">
        <f t="shared" si="301"/>
        <v>3455444</v>
      </c>
      <c r="P327" s="569">
        <f t="shared" si="302"/>
        <v>-4.6142840109693606E-2</v>
      </c>
      <c r="Q327" s="295">
        <f t="shared" si="250"/>
        <v>0</v>
      </c>
    </row>
    <row r="328" spans="2:17" ht="43.5" customHeight="1" x14ac:dyDescent="0.25">
      <c r="B328" s="564">
        <v>6</v>
      </c>
      <c r="C328" s="618" t="s">
        <v>1457</v>
      </c>
      <c r="D328" s="613" t="s">
        <v>396</v>
      </c>
      <c r="E328" s="613">
        <v>103</v>
      </c>
      <c r="F328" s="617">
        <v>70000</v>
      </c>
      <c r="G328" s="634">
        <v>1</v>
      </c>
      <c r="H328" s="571">
        <f t="shared" si="303"/>
        <v>7210000</v>
      </c>
      <c r="I328" s="607">
        <v>0</v>
      </c>
      <c r="J328" s="607">
        <f t="shared" si="299"/>
        <v>7210000</v>
      </c>
      <c r="K328" s="607">
        <f t="shared" si="300"/>
        <v>7210000</v>
      </c>
      <c r="N328" s="568">
        <f>'2.1 Comparativo_Alimentación'!$M$8</f>
        <v>70822</v>
      </c>
      <c r="O328" s="568">
        <f t="shared" si="301"/>
        <v>7294666</v>
      </c>
      <c r="P328" s="569">
        <f t="shared" si="302"/>
        <v>-1.1606562932422126E-2</v>
      </c>
      <c r="Q328" s="295">
        <f t="shared" si="250"/>
        <v>0</v>
      </c>
    </row>
    <row r="329" spans="2:17" ht="45" customHeight="1" x14ac:dyDescent="0.25">
      <c r="B329" s="570">
        <v>7</v>
      </c>
      <c r="C329" s="618" t="s">
        <v>1458</v>
      </c>
      <c r="D329" s="613" t="s">
        <v>396</v>
      </c>
      <c r="E329" s="613">
        <v>103</v>
      </c>
      <c r="F329" s="617">
        <v>32000</v>
      </c>
      <c r="G329" s="634">
        <v>1</v>
      </c>
      <c r="H329" s="571">
        <f t="shared" si="303"/>
        <v>3296000</v>
      </c>
      <c r="I329" s="607">
        <v>0</v>
      </c>
      <c r="J329" s="607">
        <f t="shared" si="299"/>
        <v>3296000</v>
      </c>
      <c r="K329" s="607">
        <f t="shared" si="300"/>
        <v>3296000</v>
      </c>
      <c r="N329" s="568">
        <f>'2.1 Comparativo_Alimentación'!$M$9</f>
        <v>33548</v>
      </c>
      <c r="O329" s="568">
        <f t="shared" si="301"/>
        <v>3455444</v>
      </c>
      <c r="P329" s="569">
        <f t="shared" si="302"/>
        <v>-4.6142840109693606E-2</v>
      </c>
      <c r="Q329" s="295">
        <f t="shared" si="250"/>
        <v>0</v>
      </c>
    </row>
    <row r="330" spans="2:17" ht="148.5" x14ac:dyDescent="0.25">
      <c r="B330" s="595">
        <v>8</v>
      </c>
      <c r="C330" s="615" t="s">
        <v>1391</v>
      </c>
      <c r="D330" s="619" t="s">
        <v>238</v>
      </c>
      <c r="E330" s="614">
        <v>1</v>
      </c>
      <c r="F330" s="617">
        <v>2000000</v>
      </c>
      <c r="G330" s="634">
        <v>1</v>
      </c>
      <c r="H330" s="571">
        <f t="shared" si="303"/>
        <v>2000000</v>
      </c>
      <c r="I330" s="607">
        <v>0</v>
      </c>
      <c r="J330" s="607">
        <f t="shared" si="299"/>
        <v>2000000</v>
      </c>
      <c r="K330" s="607">
        <f t="shared" si="300"/>
        <v>2000000</v>
      </c>
      <c r="N330" s="568">
        <f>'8.1 Comparativo_Tallerista'!$N$7</f>
        <v>2455526</v>
      </c>
      <c r="O330" s="568">
        <f t="shared" si="301"/>
        <v>2455526</v>
      </c>
      <c r="P330" s="569">
        <f t="shared" si="302"/>
        <v>-0.18551055863387311</v>
      </c>
      <c r="Q330" s="295">
        <f t="shared" si="250"/>
        <v>0</v>
      </c>
    </row>
    <row r="331" spans="2:17" ht="108" x14ac:dyDescent="0.25">
      <c r="B331" s="570">
        <v>9</v>
      </c>
      <c r="C331" s="618" t="s">
        <v>1393</v>
      </c>
      <c r="D331" s="619" t="s">
        <v>238</v>
      </c>
      <c r="E331" s="614">
        <v>1</v>
      </c>
      <c r="F331" s="620">
        <v>2500000</v>
      </c>
      <c r="G331" s="131">
        <v>1</v>
      </c>
      <c r="H331" s="571">
        <f>F331*E331*G331</f>
        <v>2500000</v>
      </c>
      <c r="I331" s="607">
        <v>0</v>
      </c>
      <c r="J331" s="597">
        <f t="shared" si="299"/>
        <v>2500000</v>
      </c>
      <c r="K331" s="607">
        <f t="shared" si="300"/>
        <v>2500000</v>
      </c>
      <c r="N331" s="568">
        <f>'9.1 Comparativo_Sabedor'!$N$7</f>
        <v>2829639</v>
      </c>
      <c r="O331" s="568">
        <f t="shared" si="301"/>
        <v>2829639</v>
      </c>
      <c r="P331" s="569">
        <f t="shared" si="302"/>
        <v>-0.11649507233961642</v>
      </c>
      <c r="Q331" s="295">
        <f t="shared" si="250"/>
        <v>0</v>
      </c>
    </row>
    <row r="332" spans="2:17" ht="94.5" x14ac:dyDescent="0.25">
      <c r="B332" s="570">
        <v>10</v>
      </c>
      <c r="C332" s="618" t="s">
        <v>1394</v>
      </c>
      <c r="D332" s="599" t="s">
        <v>1062</v>
      </c>
      <c r="E332" s="614">
        <v>1</v>
      </c>
      <c r="F332" s="600">
        <v>4000000</v>
      </c>
      <c r="G332" s="632">
        <v>1</v>
      </c>
      <c r="H332" s="571">
        <f t="shared" ref="H332:H336" si="304">E332*F332*G332</f>
        <v>4000000</v>
      </c>
      <c r="I332" s="607">
        <v>0</v>
      </c>
      <c r="J332" s="597">
        <f t="shared" si="299"/>
        <v>4000000</v>
      </c>
      <c r="K332" s="607">
        <f t="shared" si="300"/>
        <v>4000000</v>
      </c>
      <c r="N332" s="568">
        <f>'6.1 Comparativo_Grupo_Armoniz'!$N$7</f>
        <v>6875473</v>
      </c>
      <c r="O332" s="568">
        <f t="shared" ref="O332" si="305">N332*G332*E332</f>
        <v>6875473</v>
      </c>
      <c r="P332" s="569">
        <f t="shared" ref="P332" si="306">K332/O332-1</f>
        <v>-0.41822184451891531</v>
      </c>
      <c r="Q332" s="295">
        <f t="shared" si="250"/>
        <v>0</v>
      </c>
    </row>
    <row r="333" spans="2:17" ht="135" customHeight="1" x14ac:dyDescent="0.25">
      <c r="B333" s="645">
        <v>11</v>
      </c>
      <c r="C333" s="618" t="s">
        <v>1459</v>
      </c>
      <c r="D333" s="613" t="s">
        <v>238</v>
      </c>
      <c r="E333" s="621">
        <v>100</v>
      </c>
      <c r="F333" s="617">
        <v>755000</v>
      </c>
      <c r="G333" s="634">
        <v>3</v>
      </c>
      <c r="H333" s="571">
        <f t="shared" si="304"/>
        <v>226500000</v>
      </c>
      <c r="I333" s="607">
        <v>0</v>
      </c>
      <c r="J333" s="607">
        <f t="shared" si="299"/>
        <v>226500000</v>
      </c>
      <c r="K333" s="607">
        <f t="shared" si="300"/>
        <v>226500000</v>
      </c>
      <c r="N333" s="646">
        <f>'5.1 Comparativo_Viáticos'!$Q$23</f>
        <v>252939229</v>
      </c>
      <c r="O333" s="646">
        <f>N333</f>
        <v>252939229</v>
      </c>
      <c r="P333" s="124">
        <f>K333/O333-1</f>
        <v>-0.1045279892111951</v>
      </c>
      <c r="Q333" s="295">
        <f t="shared" ref="Q333:Q396" si="307">+E333*F333*G333-H333</f>
        <v>0</v>
      </c>
    </row>
    <row r="334" spans="2:17" ht="79.5" customHeight="1" x14ac:dyDescent="0.25">
      <c r="B334" s="570">
        <v>12</v>
      </c>
      <c r="C334" s="618" t="s">
        <v>1392</v>
      </c>
      <c r="D334" s="613" t="s">
        <v>238</v>
      </c>
      <c r="E334" s="621">
        <v>3</v>
      </c>
      <c r="F334" s="620">
        <v>400000</v>
      </c>
      <c r="G334" s="647">
        <v>3</v>
      </c>
      <c r="H334" s="571">
        <f t="shared" si="304"/>
        <v>3600000</v>
      </c>
      <c r="I334" s="607">
        <v>0</v>
      </c>
      <c r="J334" s="607">
        <f t="shared" si="299"/>
        <v>3600000</v>
      </c>
      <c r="K334" s="607">
        <f t="shared" si="300"/>
        <v>3600000</v>
      </c>
      <c r="N334" s="568">
        <f>'5.1 Comparativo_Viáticos'!$Q$13</f>
        <v>4596746</v>
      </c>
      <c r="O334" s="568">
        <f>N334</f>
        <v>4596746</v>
      </c>
      <c r="P334" s="569">
        <f t="shared" ref="P334" si="308">K334/O334-1</f>
        <v>-0.21683730186527606</v>
      </c>
      <c r="Q334" s="295">
        <f t="shared" si="307"/>
        <v>0</v>
      </c>
    </row>
    <row r="335" spans="2:17" ht="94.5" x14ac:dyDescent="0.25">
      <c r="B335" s="629">
        <v>13</v>
      </c>
      <c r="C335" s="624" t="s">
        <v>1425</v>
      </c>
      <c r="D335" s="613" t="s">
        <v>238</v>
      </c>
      <c r="E335" s="639">
        <v>3</v>
      </c>
      <c r="F335" s="617">
        <v>1000000</v>
      </c>
      <c r="G335" s="647">
        <v>2</v>
      </c>
      <c r="H335" s="571">
        <f t="shared" si="304"/>
        <v>6000000</v>
      </c>
      <c r="I335" s="607">
        <v>0</v>
      </c>
      <c r="J335" s="607">
        <f t="shared" si="299"/>
        <v>6000000</v>
      </c>
      <c r="K335" s="607">
        <f t="shared" si="300"/>
        <v>6000000</v>
      </c>
      <c r="N335" s="568">
        <f>'4.1 Comparativo_Transporte'!$N$27</f>
        <v>1188475</v>
      </c>
      <c r="O335" s="568">
        <f t="shared" ref="O335:O336" si="309">N335*G335*E335</f>
        <v>7130850</v>
      </c>
      <c r="P335" s="569">
        <f t="shared" ref="P335:P337" si="310">K335/O335-1</f>
        <v>-0.15858558236395381</v>
      </c>
      <c r="Q335" s="295">
        <f t="shared" si="307"/>
        <v>0</v>
      </c>
    </row>
    <row r="336" spans="2:17" ht="93" customHeight="1" x14ac:dyDescent="0.25">
      <c r="B336" s="595">
        <v>14</v>
      </c>
      <c r="C336" s="608" t="s">
        <v>1460</v>
      </c>
      <c r="D336" s="605" t="s">
        <v>396</v>
      </c>
      <c r="E336" s="640">
        <v>100</v>
      </c>
      <c r="F336" s="600">
        <v>100000</v>
      </c>
      <c r="G336" s="632">
        <v>1</v>
      </c>
      <c r="H336" s="571">
        <f t="shared" si="304"/>
        <v>10000000</v>
      </c>
      <c r="I336" s="607">
        <v>0</v>
      </c>
      <c r="J336" s="607">
        <f t="shared" si="299"/>
        <v>10000000</v>
      </c>
      <c r="K336" s="607">
        <f t="shared" si="300"/>
        <v>10000000</v>
      </c>
      <c r="N336" s="568">
        <f>'7.1 Comparativo_Kit_Herrami'!$N$7</f>
        <v>102170</v>
      </c>
      <c r="O336" s="568">
        <f t="shared" si="309"/>
        <v>10217000</v>
      </c>
      <c r="P336" s="569">
        <f t="shared" si="310"/>
        <v>-2.1239111285113021E-2</v>
      </c>
      <c r="Q336" s="295">
        <f t="shared" si="307"/>
        <v>0</v>
      </c>
    </row>
    <row r="337" spans="2:17" ht="15.75" customHeight="1" x14ac:dyDescent="0.25">
      <c r="B337" s="809" t="s">
        <v>411</v>
      </c>
      <c r="C337" s="786"/>
      <c r="D337" s="786"/>
      <c r="E337" s="787"/>
      <c r="F337" s="643">
        <f>SUM(F323:F336)</f>
        <v>18389000</v>
      </c>
      <c r="G337" s="641"/>
      <c r="H337" s="644">
        <f t="shared" ref="H337:K337" si="311">SUM(H323:H336)</f>
        <v>276502000</v>
      </c>
      <c r="I337" s="642">
        <f t="shared" si="311"/>
        <v>0</v>
      </c>
      <c r="J337" s="642">
        <f t="shared" si="311"/>
        <v>276502000</v>
      </c>
      <c r="K337" s="642">
        <f t="shared" si="311"/>
        <v>276502000</v>
      </c>
      <c r="N337" s="642">
        <f t="shared" ref="N337:O337" si="312">SUM(N323:N336)</f>
        <v>280459953</v>
      </c>
      <c r="O337" s="642">
        <f t="shared" si="312"/>
        <v>311332484</v>
      </c>
      <c r="P337" s="569">
        <f t="shared" si="310"/>
        <v>-0.11187552147626201</v>
      </c>
      <c r="Q337" s="295"/>
    </row>
    <row r="338" spans="2:17" ht="15.75" customHeight="1" x14ac:dyDescent="0.25">
      <c r="B338" s="784" t="s">
        <v>1461</v>
      </c>
      <c r="C338" s="782"/>
      <c r="D338" s="782"/>
      <c r="E338" s="782"/>
      <c r="F338" s="782"/>
      <c r="G338" s="782"/>
      <c r="H338" s="782"/>
      <c r="I338" s="782"/>
      <c r="J338" s="782"/>
      <c r="K338" s="783"/>
      <c r="Q338" s="295">
        <f t="shared" si="307"/>
        <v>0</v>
      </c>
    </row>
    <row r="339" spans="2:17" ht="56.25" customHeight="1" x14ac:dyDescent="0.25">
      <c r="B339" s="593">
        <v>1</v>
      </c>
      <c r="C339" s="608" t="s">
        <v>1462</v>
      </c>
      <c r="D339" s="131" t="s">
        <v>1061</v>
      </c>
      <c r="E339" s="131">
        <v>1</v>
      </c>
      <c r="F339" s="594">
        <v>3500000</v>
      </c>
      <c r="G339" s="630">
        <v>1</v>
      </c>
      <c r="H339" s="567">
        <f t="shared" ref="H339:H341" si="313">F339*E339*G339</f>
        <v>3500000</v>
      </c>
      <c r="I339" s="607">
        <v>0</v>
      </c>
      <c r="J339" s="597">
        <f t="shared" ref="J339:J352" si="314">H339</f>
        <v>3500000</v>
      </c>
      <c r="K339" s="607">
        <f t="shared" ref="K339:K352" si="315">I339+J339</f>
        <v>3500000</v>
      </c>
      <c r="N339" s="568">
        <f>'3.1 Comparativo_Logística'!$M$7</f>
        <v>3585068</v>
      </c>
      <c r="O339" s="568">
        <f t="shared" ref="O339:O347" si="316">N339*G339*E339</f>
        <v>3585068</v>
      </c>
      <c r="P339" s="569">
        <f t="shared" ref="P339:P347" si="317">K339/O339-1</f>
        <v>-2.3728420214065626E-2</v>
      </c>
      <c r="Q339" s="295">
        <f t="shared" si="307"/>
        <v>0</v>
      </c>
    </row>
    <row r="340" spans="2:17" ht="35.25" customHeight="1" x14ac:dyDescent="0.25">
      <c r="B340" s="595">
        <v>2</v>
      </c>
      <c r="C340" s="608" t="s">
        <v>1416</v>
      </c>
      <c r="D340" s="631" t="s">
        <v>396</v>
      </c>
      <c r="E340" s="134">
        <v>1</v>
      </c>
      <c r="F340" s="597">
        <v>900000</v>
      </c>
      <c r="G340" s="632">
        <v>1</v>
      </c>
      <c r="H340" s="571">
        <f t="shared" si="313"/>
        <v>900000</v>
      </c>
      <c r="I340" s="607">
        <v>0</v>
      </c>
      <c r="J340" s="597">
        <f t="shared" si="314"/>
        <v>900000</v>
      </c>
      <c r="K340" s="607">
        <f t="shared" si="315"/>
        <v>900000</v>
      </c>
      <c r="N340" s="568">
        <f>'3.1 Comparativo_Logística'!$M$20</f>
        <v>1176347</v>
      </c>
      <c r="O340" s="568">
        <f t="shared" si="316"/>
        <v>1176347</v>
      </c>
      <c r="P340" s="569">
        <f t="shared" si="317"/>
        <v>-0.23491962830695368</v>
      </c>
      <c r="Q340" s="295">
        <f t="shared" si="307"/>
        <v>0</v>
      </c>
    </row>
    <row r="341" spans="2:17" ht="40.5" customHeight="1" x14ac:dyDescent="0.25">
      <c r="B341" s="570">
        <v>3</v>
      </c>
      <c r="C341" s="608" t="s">
        <v>1417</v>
      </c>
      <c r="D341" s="611" t="s">
        <v>238</v>
      </c>
      <c r="E341" s="599">
        <v>2</v>
      </c>
      <c r="F341" s="600">
        <v>200000</v>
      </c>
      <c r="G341" s="633">
        <v>1</v>
      </c>
      <c r="H341" s="571">
        <f t="shared" si="313"/>
        <v>400000</v>
      </c>
      <c r="I341" s="607">
        <v>0</v>
      </c>
      <c r="J341" s="597">
        <f t="shared" si="314"/>
        <v>400000</v>
      </c>
      <c r="K341" s="607">
        <f t="shared" si="315"/>
        <v>400000</v>
      </c>
      <c r="N341" s="568">
        <f>'3.1 Comparativo_Logística'!$M$29</f>
        <v>249230</v>
      </c>
      <c r="O341" s="568">
        <f t="shared" si="316"/>
        <v>498460</v>
      </c>
      <c r="P341" s="569">
        <f t="shared" si="317"/>
        <v>-0.19752838743329459</v>
      </c>
      <c r="Q341" s="295">
        <f t="shared" si="307"/>
        <v>0</v>
      </c>
    </row>
    <row r="342" spans="2:17" ht="108" x14ac:dyDescent="0.25">
      <c r="B342" s="564">
        <v>4</v>
      </c>
      <c r="C342" s="618" t="s">
        <v>1385</v>
      </c>
      <c r="D342" s="613" t="s">
        <v>238</v>
      </c>
      <c r="E342" s="613">
        <v>1</v>
      </c>
      <c r="F342" s="617">
        <v>1600000</v>
      </c>
      <c r="G342" s="634">
        <v>1</v>
      </c>
      <c r="H342" s="571">
        <f t="shared" ref="H342:H346" si="318">E342*F342*G342</f>
        <v>1600000</v>
      </c>
      <c r="I342" s="607">
        <v>0</v>
      </c>
      <c r="J342" s="597">
        <f t="shared" si="314"/>
        <v>1600000</v>
      </c>
      <c r="K342" s="607">
        <f t="shared" si="315"/>
        <v>1600000</v>
      </c>
      <c r="N342" s="568">
        <f>'3.1 Comparativo_Logística'!$M$37</f>
        <v>2714721</v>
      </c>
      <c r="O342" s="568">
        <f t="shared" si="316"/>
        <v>2714721</v>
      </c>
      <c r="P342" s="569">
        <f t="shared" si="317"/>
        <v>-0.41062083359579127</v>
      </c>
      <c r="Q342" s="295">
        <f t="shared" si="307"/>
        <v>0</v>
      </c>
    </row>
    <row r="343" spans="2:17" ht="53.25" customHeight="1" x14ac:dyDescent="0.25">
      <c r="B343" s="570">
        <v>5</v>
      </c>
      <c r="C343" s="618" t="s">
        <v>1418</v>
      </c>
      <c r="D343" s="613" t="s">
        <v>396</v>
      </c>
      <c r="E343" s="613">
        <v>53</v>
      </c>
      <c r="F343" s="617">
        <v>32000</v>
      </c>
      <c r="G343" s="634">
        <v>1</v>
      </c>
      <c r="H343" s="571">
        <f t="shared" si="318"/>
        <v>1696000</v>
      </c>
      <c r="I343" s="607">
        <v>0</v>
      </c>
      <c r="J343" s="597">
        <f t="shared" si="314"/>
        <v>1696000</v>
      </c>
      <c r="K343" s="607">
        <f t="shared" si="315"/>
        <v>1696000</v>
      </c>
      <c r="N343" s="568">
        <f>'2.1 Comparativo_Alimentación'!$M$7</f>
        <v>33548</v>
      </c>
      <c r="O343" s="568">
        <f t="shared" si="316"/>
        <v>1778044</v>
      </c>
      <c r="P343" s="569">
        <f t="shared" si="317"/>
        <v>-4.6142840109693606E-2</v>
      </c>
      <c r="Q343" s="295">
        <f t="shared" si="307"/>
        <v>0</v>
      </c>
    </row>
    <row r="344" spans="2:17" ht="43.5" customHeight="1" x14ac:dyDescent="0.25">
      <c r="B344" s="564">
        <v>6</v>
      </c>
      <c r="C344" s="618" t="s">
        <v>1419</v>
      </c>
      <c r="D344" s="613" t="s">
        <v>396</v>
      </c>
      <c r="E344" s="613">
        <v>53</v>
      </c>
      <c r="F344" s="617">
        <v>70000</v>
      </c>
      <c r="G344" s="634">
        <v>1</v>
      </c>
      <c r="H344" s="571">
        <f t="shared" si="318"/>
        <v>3710000</v>
      </c>
      <c r="I344" s="607">
        <v>0</v>
      </c>
      <c r="J344" s="597">
        <f t="shared" si="314"/>
        <v>3710000</v>
      </c>
      <c r="K344" s="607">
        <f t="shared" si="315"/>
        <v>3710000</v>
      </c>
      <c r="N344" s="568">
        <f>'2.1 Comparativo_Alimentación'!$M$8</f>
        <v>70822</v>
      </c>
      <c r="O344" s="568">
        <f t="shared" si="316"/>
        <v>3753566</v>
      </c>
      <c r="P344" s="569">
        <f t="shared" si="317"/>
        <v>-1.1606562932422126E-2</v>
      </c>
      <c r="Q344" s="295">
        <f t="shared" si="307"/>
        <v>0</v>
      </c>
    </row>
    <row r="345" spans="2:17" ht="45" customHeight="1" x14ac:dyDescent="0.25">
      <c r="B345" s="570">
        <v>7</v>
      </c>
      <c r="C345" s="618" t="s">
        <v>1420</v>
      </c>
      <c r="D345" s="613" t="s">
        <v>396</v>
      </c>
      <c r="E345" s="613">
        <v>53</v>
      </c>
      <c r="F345" s="617">
        <v>32000</v>
      </c>
      <c r="G345" s="634">
        <v>1</v>
      </c>
      <c r="H345" s="571">
        <f t="shared" si="318"/>
        <v>1696000</v>
      </c>
      <c r="I345" s="607">
        <v>0</v>
      </c>
      <c r="J345" s="597">
        <f t="shared" si="314"/>
        <v>1696000</v>
      </c>
      <c r="K345" s="607">
        <f t="shared" si="315"/>
        <v>1696000</v>
      </c>
      <c r="N345" s="568">
        <f>'2.1 Comparativo_Alimentación'!$M$9</f>
        <v>33548</v>
      </c>
      <c r="O345" s="568">
        <f t="shared" si="316"/>
        <v>1778044</v>
      </c>
      <c r="P345" s="569">
        <f t="shared" si="317"/>
        <v>-4.6142840109693606E-2</v>
      </c>
      <c r="Q345" s="295">
        <f t="shared" si="307"/>
        <v>0</v>
      </c>
    </row>
    <row r="346" spans="2:17" ht="148.5" x14ac:dyDescent="0.25">
      <c r="B346" s="595">
        <v>8</v>
      </c>
      <c r="C346" s="615" t="s">
        <v>1391</v>
      </c>
      <c r="D346" s="619" t="s">
        <v>238</v>
      </c>
      <c r="E346" s="614">
        <v>1</v>
      </c>
      <c r="F346" s="600">
        <v>2000000</v>
      </c>
      <c r="G346" s="632">
        <v>1</v>
      </c>
      <c r="H346" s="571">
        <f t="shared" si="318"/>
        <v>2000000</v>
      </c>
      <c r="I346" s="607">
        <v>0</v>
      </c>
      <c r="J346" s="597">
        <f t="shared" si="314"/>
        <v>2000000</v>
      </c>
      <c r="K346" s="607">
        <f t="shared" si="315"/>
        <v>2000000</v>
      </c>
      <c r="N346" s="568">
        <f>'8.1 Comparativo_Tallerista'!$N$7</f>
        <v>2455526</v>
      </c>
      <c r="O346" s="568">
        <f t="shared" si="316"/>
        <v>2455526</v>
      </c>
      <c r="P346" s="569">
        <f t="shared" si="317"/>
        <v>-0.18551055863387311</v>
      </c>
      <c r="Q346" s="295">
        <f t="shared" si="307"/>
        <v>0</v>
      </c>
    </row>
    <row r="347" spans="2:17" ht="108" x14ac:dyDescent="0.25">
      <c r="B347" s="570">
        <v>9</v>
      </c>
      <c r="C347" s="618" t="s">
        <v>1393</v>
      </c>
      <c r="D347" s="619" t="s">
        <v>238</v>
      </c>
      <c r="E347" s="614">
        <v>1</v>
      </c>
      <c r="F347" s="620">
        <v>2500000</v>
      </c>
      <c r="G347" s="131">
        <v>1</v>
      </c>
      <c r="H347" s="571">
        <f>F347*E347*G347</f>
        <v>2500000</v>
      </c>
      <c r="I347" s="607">
        <v>0</v>
      </c>
      <c r="J347" s="597">
        <f t="shared" si="314"/>
        <v>2500000</v>
      </c>
      <c r="K347" s="607">
        <f t="shared" si="315"/>
        <v>2500000</v>
      </c>
      <c r="N347" s="568">
        <f>'9.1 Comparativo_Sabedor'!$N$7</f>
        <v>2829639</v>
      </c>
      <c r="O347" s="568">
        <f t="shared" si="316"/>
        <v>2829639</v>
      </c>
      <c r="P347" s="569">
        <f t="shared" si="317"/>
        <v>-0.11649507233961642</v>
      </c>
      <c r="Q347" s="295">
        <f t="shared" si="307"/>
        <v>0</v>
      </c>
    </row>
    <row r="348" spans="2:17" ht="94.5" x14ac:dyDescent="0.25">
      <c r="B348" s="570">
        <v>10</v>
      </c>
      <c r="C348" s="618" t="s">
        <v>1394</v>
      </c>
      <c r="D348" s="599" t="s">
        <v>1062</v>
      </c>
      <c r="E348" s="614">
        <v>1</v>
      </c>
      <c r="F348" s="600">
        <v>4000000</v>
      </c>
      <c r="G348" s="632">
        <v>1</v>
      </c>
      <c r="H348" s="571">
        <f>E348*F348*G348</f>
        <v>4000000</v>
      </c>
      <c r="I348" s="607">
        <v>0</v>
      </c>
      <c r="J348" s="597">
        <f t="shared" si="314"/>
        <v>4000000</v>
      </c>
      <c r="K348" s="607">
        <f t="shared" si="315"/>
        <v>4000000</v>
      </c>
      <c r="N348" s="568">
        <f>'6.1 Comparativo_Grupo_Armoniz'!$N$7</f>
        <v>6875473</v>
      </c>
      <c r="O348" s="568">
        <f t="shared" ref="O348" si="319">N348*G348*E348</f>
        <v>6875473</v>
      </c>
      <c r="P348" s="569">
        <f t="shared" ref="P348" si="320">K348/O348-1</f>
        <v>-0.41822184451891531</v>
      </c>
      <c r="Q348" s="295">
        <f t="shared" si="307"/>
        <v>0</v>
      </c>
    </row>
    <row r="349" spans="2:17" ht="56.25" customHeight="1" x14ac:dyDescent="0.25">
      <c r="B349" s="595">
        <v>11</v>
      </c>
      <c r="C349" s="618" t="s">
        <v>1429</v>
      </c>
      <c r="D349" s="613" t="s">
        <v>238</v>
      </c>
      <c r="E349" s="621">
        <v>50</v>
      </c>
      <c r="F349" s="597">
        <v>500000</v>
      </c>
      <c r="G349" s="134">
        <v>3</v>
      </c>
      <c r="H349" s="622">
        <f t="shared" ref="H349:H351" si="321">F349*E349*G349</f>
        <v>75000000</v>
      </c>
      <c r="I349" s="607">
        <v>0</v>
      </c>
      <c r="J349" s="597">
        <f t="shared" si="314"/>
        <v>75000000</v>
      </c>
      <c r="K349" s="607">
        <f t="shared" si="315"/>
        <v>75000000</v>
      </c>
      <c r="N349" s="104">
        <f>'5.1 Comparativo_Viáticos'!$Q$15</f>
        <v>76612425</v>
      </c>
      <c r="O349" s="104">
        <f>N349</f>
        <v>76612425</v>
      </c>
      <c r="P349" s="438">
        <f>K349/O349-1</f>
        <v>-2.1046520848282735E-2</v>
      </c>
      <c r="Q349" s="295">
        <f t="shared" si="307"/>
        <v>0</v>
      </c>
    </row>
    <row r="350" spans="2:17" ht="46.5" customHeight="1" x14ac:dyDescent="0.25">
      <c r="B350" s="570">
        <v>12</v>
      </c>
      <c r="C350" s="618" t="s">
        <v>1392</v>
      </c>
      <c r="D350" s="613" t="s">
        <v>238</v>
      </c>
      <c r="E350" s="621">
        <v>3</v>
      </c>
      <c r="F350" s="617">
        <v>400000</v>
      </c>
      <c r="G350" s="134">
        <v>3</v>
      </c>
      <c r="H350" s="622">
        <f t="shared" si="321"/>
        <v>3600000</v>
      </c>
      <c r="I350" s="607">
        <v>0</v>
      </c>
      <c r="J350" s="597">
        <f t="shared" si="314"/>
        <v>3600000</v>
      </c>
      <c r="K350" s="607">
        <f t="shared" si="315"/>
        <v>3600000</v>
      </c>
      <c r="N350" s="568">
        <f>'5.1 Comparativo_Viáticos'!$Q$13</f>
        <v>4596746</v>
      </c>
      <c r="O350" s="568">
        <f>N350</f>
        <v>4596746</v>
      </c>
      <c r="P350" s="569">
        <f t="shared" ref="P350" si="322">K350/O350-1</f>
        <v>-0.21683730186527606</v>
      </c>
      <c r="Q350" s="295">
        <f t="shared" si="307"/>
        <v>0</v>
      </c>
    </row>
    <row r="351" spans="2:17" ht="75" customHeight="1" x14ac:dyDescent="0.25">
      <c r="B351" s="629">
        <v>13</v>
      </c>
      <c r="C351" s="624" t="s">
        <v>1425</v>
      </c>
      <c r="D351" s="613" t="s">
        <v>238</v>
      </c>
      <c r="E351" s="639">
        <v>3</v>
      </c>
      <c r="F351" s="617">
        <v>1000000</v>
      </c>
      <c r="G351" s="621">
        <v>2</v>
      </c>
      <c r="H351" s="622">
        <f t="shared" si="321"/>
        <v>6000000</v>
      </c>
      <c r="I351" s="607">
        <v>0</v>
      </c>
      <c r="J351" s="597">
        <f t="shared" si="314"/>
        <v>6000000</v>
      </c>
      <c r="K351" s="607">
        <f t="shared" si="315"/>
        <v>6000000</v>
      </c>
      <c r="N351" s="568">
        <f>'4.1 Comparativo_Transporte'!$N$27</f>
        <v>1188475</v>
      </c>
      <c r="O351" s="568">
        <f t="shared" ref="O351:O352" si="323">N351*G351*E351</f>
        <v>7130850</v>
      </c>
      <c r="P351" s="569">
        <f t="shared" ref="P351:P353" si="324">K351/O351-1</f>
        <v>-0.15858558236395381</v>
      </c>
      <c r="Q351" s="295">
        <f t="shared" si="307"/>
        <v>0</v>
      </c>
    </row>
    <row r="352" spans="2:17" ht="93" customHeight="1" x14ac:dyDescent="0.25">
      <c r="B352" s="595">
        <v>14</v>
      </c>
      <c r="C352" s="608" t="s">
        <v>1443</v>
      </c>
      <c r="D352" s="605" t="s">
        <v>396</v>
      </c>
      <c r="E352" s="640">
        <v>50</v>
      </c>
      <c r="F352" s="617">
        <v>100000</v>
      </c>
      <c r="G352" s="640">
        <v>1</v>
      </c>
      <c r="H352" s="567">
        <f>E352*F352*G352</f>
        <v>5000000</v>
      </c>
      <c r="I352" s="607">
        <v>0</v>
      </c>
      <c r="J352" s="597">
        <f t="shared" si="314"/>
        <v>5000000</v>
      </c>
      <c r="K352" s="607">
        <f t="shared" si="315"/>
        <v>5000000</v>
      </c>
      <c r="N352" s="568">
        <f>'7.1 Comparativo_Kit_Herrami'!$N$7</f>
        <v>102170</v>
      </c>
      <c r="O352" s="568">
        <f t="shared" si="323"/>
        <v>5108500</v>
      </c>
      <c r="P352" s="569">
        <f t="shared" si="324"/>
        <v>-2.1239111285113021E-2</v>
      </c>
      <c r="Q352" s="295">
        <f t="shared" si="307"/>
        <v>0</v>
      </c>
    </row>
    <row r="353" spans="2:25" ht="16.5" customHeight="1" x14ac:dyDescent="0.25">
      <c r="B353" s="809" t="s">
        <v>412</v>
      </c>
      <c r="C353" s="786"/>
      <c r="D353" s="786"/>
      <c r="E353" s="787"/>
      <c r="F353" s="643">
        <f>SUM(F339:F352)</f>
        <v>16834000</v>
      </c>
      <c r="G353" s="641"/>
      <c r="H353" s="644">
        <f t="shared" ref="H353:K353" si="325">SUM(H339:H352)</f>
        <v>111602000</v>
      </c>
      <c r="I353" s="648">
        <f t="shared" si="325"/>
        <v>0</v>
      </c>
      <c r="J353" s="648">
        <f t="shared" si="325"/>
        <v>111602000</v>
      </c>
      <c r="K353" s="648">
        <f t="shared" si="325"/>
        <v>111602000</v>
      </c>
      <c r="L353" s="649"/>
      <c r="M353" s="649"/>
      <c r="N353" s="648">
        <f t="shared" ref="N353:O353" si="326">SUM(N339:N352)</f>
        <v>102523738</v>
      </c>
      <c r="O353" s="648">
        <f t="shared" si="326"/>
        <v>120893409</v>
      </c>
      <c r="P353" s="569">
        <f t="shared" si="324"/>
        <v>-7.6856208099814638E-2</v>
      </c>
      <c r="Q353" s="295"/>
      <c r="R353" s="649"/>
      <c r="S353" s="649"/>
      <c r="T353" s="649"/>
      <c r="U353" s="649"/>
      <c r="V353" s="649"/>
      <c r="W353" s="649"/>
      <c r="X353" s="649"/>
      <c r="Y353" s="649"/>
    </row>
    <row r="354" spans="2:25" ht="15.75" customHeight="1" x14ac:dyDescent="0.25">
      <c r="B354" s="784" t="s">
        <v>1463</v>
      </c>
      <c r="C354" s="782"/>
      <c r="D354" s="782"/>
      <c r="E354" s="782"/>
      <c r="F354" s="782"/>
      <c r="G354" s="782"/>
      <c r="H354" s="782"/>
      <c r="I354" s="782"/>
      <c r="J354" s="782"/>
      <c r="K354" s="783"/>
      <c r="Q354" s="295">
        <f t="shared" si="307"/>
        <v>0</v>
      </c>
    </row>
    <row r="355" spans="2:25" ht="51" customHeight="1" x14ac:dyDescent="0.25">
      <c r="B355" s="593">
        <v>1</v>
      </c>
      <c r="C355" s="608" t="s">
        <v>1464</v>
      </c>
      <c r="D355" s="131" t="s">
        <v>1061</v>
      </c>
      <c r="E355" s="131">
        <v>1</v>
      </c>
      <c r="F355" s="594">
        <v>4500000</v>
      </c>
      <c r="G355" s="630">
        <v>1</v>
      </c>
      <c r="H355" s="567">
        <f t="shared" ref="H355:H357" si="327">F355*E355*G355</f>
        <v>4500000</v>
      </c>
      <c r="I355" s="607">
        <v>0</v>
      </c>
      <c r="J355" s="607">
        <f t="shared" ref="J355:J368" si="328">H355</f>
        <v>4500000</v>
      </c>
      <c r="K355" s="607">
        <f t="shared" ref="K355:K368" si="329">I355+J355</f>
        <v>4500000</v>
      </c>
      <c r="N355" s="568">
        <f>'3.1 Comparativo_Logística'!$M$8</f>
        <v>4364288</v>
      </c>
      <c r="O355" s="568">
        <f t="shared" ref="O355:O363" si="330">N355*G355*E355</f>
        <v>4364288</v>
      </c>
      <c r="P355" s="569">
        <f t="shared" ref="P355:P363" si="331">K355/O355-1</f>
        <v>3.1096022993899686E-2</v>
      </c>
      <c r="Q355" s="295">
        <f t="shared" si="307"/>
        <v>0</v>
      </c>
    </row>
    <row r="356" spans="2:25" ht="36" customHeight="1" x14ac:dyDescent="0.25">
      <c r="B356" s="595">
        <v>2</v>
      </c>
      <c r="C356" s="608" t="s">
        <v>1454</v>
      </c>
      <c r="D356" s="631" t="s">
        <v>396</v>
      </c>
      <c r="E356" s="134">
        <v>1</v>
      </c>
      <c r="F356" s="597">
        <v>1200000</v>
      </c>
      <c r="G356" s="632">
        <v>1</v>
      </c>
      <c r="H356" s="571">
        <f t="shared" si="327"/>
        <v>1200000</v>
      </c>
      <c r="I356" s="607">
        <v>0</v>
      </c>
      <c r="J356" s="607">
        <f t="shared" si="328"/>
        <v>1200000</v>
      </c>
      <c r="K356" s="607">
        <f t="shared" si="329"/>
        <v>1200000</v>
      </c>
      <c r="N356" s="568">
        <f>'3.1 Comparativo_Logística'!$M$21</f>
        <v>2006538</v>
      </c>
      <c r="O356" s="568">
        <f t="shared" si="330"/>
        <v>2006538</v>
      </c>
      <c r="P356" s="569">
        <f t="shared" si="331"/>
        <v>-0.40195500907533277</v>
      </c>
      <c r="Q356" s="295">
        <f t="shared" si="307"/>
        <v>0</v>
      </c>
    </row>
    <row r="357" spans="2:25" ht="45" customHeight="1" x14ac:dyDescent="0.25">
      <c r="B357" s="570">
        <v>3</v>
      </c>
      <c r="C357" s="608" t="s">
        <v>1455</v>
      </c>
      <c r="D357" s="611" t="s">
        <v>238</v>
      </c>
      <c r="E357" s="599">
        <v>4</v>
      </c>
      <c r="F357" s="600">
        <v>200000</v>
      </c>
      <c r="G357" s="633">
        <v>1</v>
      </c>
      <c r="H357" s="571">
        <f t="shared" si="327"/>
        <v>800000</v>
      </c>
      <c r="I357" s="607">
        <v>0</v>
      </c>
      <c r="J357" s="607">
        <f t="shared" si="328"/>
        <v>800000</v>
      </c>
      <c r="K357" s="607">
        <f t="shared" si="329"/>
        <v>800000</v>
      </c>
      <c r="N357" s="568">
        <f>'3.1 Comparativo_Logística'!$M$29</f>
        <v>249230</v>
      </c>
      <c r="O357" s="568">
        <f t="shared" si="330"/>
        <v>996920</v>
      </c>
      <c r="P357" s="569">
        <f t="shared" si="331"/>
        <v>-0.19752838743329459</v>
      </c>
      <c r="Q357" s="295">
        <f t="shared" si="307"/>
        <v>0</v>
      </c>
    </row>
    <row r="358" spans="2:25" ht="108" x14ac:dyDescent="0.25">
      <c r="B358" s="564">
        <v>4</v>
      </c>
      <c r="C358" s="618" t="s">
        <v>1385</v>
      </c>
      <c r="D358" s="613" t="s">
        <v>238</v>
      </c>
      <c r="E358" s="613">
        <v>1</v>
      </c>
      <c r="F358" s="617">
        <v>1600000</v>
      </c>
      <c r="G358" s="634">
        <v>1</v>
      </c>
      <c r="H358" s="571">
        <f t="shared" ref="H358:H362" si="332">E358*F358*G358</f>
        <v>1600000</v>
      </c>
      <c r="I358" s="607">
        <v>0</v>
      </c>
      <c r="J358" s="607">
        <f t="shared" si="328"/>
        <v>1600000</v>
      </c>
      <c r="K358" s="607">
        <f t="shared" si="329"/>
        <v>1600000</v>
      </c>
      <c r="N358" s="568">
        <f>'3.1 Comparativo_Logística'!$M$37</f>
        <v>2714721</v>
      </c>
      <c r="O358" s="568">
        <f t="shared" si="330"/>
        <v>2714721</v>
      </c>
      <c r="P358" s="569">
        <f t="shared" si="331"/>
        <v>-0.41062083359579127</v>
      </c>
      <c r="Q358" s="295">
        <f t="shared" si="307"/>
        <v>0</v>
      </c>
    </row>
    <row r="359" spans="2:25" ht="45.75" customHeight="1" x14ac:dyDescent="0.25">
      <c r="B359" s="570">
        <v>5</v>
      </c>
      <c r="C359" s="618" t="s">
        <v>1456</v>
      </c>
      <c r="D359" s="613" t="s">
        <v>396</v>
      </c>
      <c r="E359" s="613">
        <v>103</v>
      </c>
      <c r="F359" s="617">
        <v>32000</v>
      </c>
      <c r="G359" s="634">
        <v>1</v>
      </c>
      <c r="H359" s="571">
        <f t="shared" si="332"/>
        <v>3296000</v>
      </c>
      <c r="I359" s="607">
        <v>0</v>
      </c>
      <c r="J359" s="607">
        <f t="shared" si="328"/>
        <v>3296000</v>
      </c>
      <c r="K359" s="607">
        <f t="shared" si="329"/>
        <v>3296000</v>
      </c>
      <c r="N359" s="568">
        <f>'2.1 Comparativo_Alimentación'!$M$7</f>
        <v>33548</v>
      </c>
      <c r="O359" s="568">
        <f t="shared" si="330"/>
        <v>3455444</v>
      </c>
      <c r="P359" s="569">
        <f t="shared" si="331"/>
        <v>-4.6142840109693606E-2</v>
      </c>
      <c r="Q359" s="295">
        <f t="shared" si="307"/>
        <v>0</v>
      </c>
    </row>
    <row r="360" spans="2:25" ht="43.5" customHeight="1" x14ac:dyDescent="0.25">
      <c r="B360" s="564">
        <v>6</v>
      </c>
      <c r="C360" s="618" t="s">
        <v>1457</v>
      </c>
      <c r="D360" s="613" t="s">
        <v>396</v>
      </c>
      <c r="E360" s="613">
        <v>103</v>
      </c>
      <c r="F360" s="617">
        <v>70000</v>
      </c>
      <c r="G360" s="634">
        <v>1</v>
      </c>
      <c r="H360" s="571">
        <f t="shared" si="332"/>
        <v>7210000</v>
      </c>
      <c r="I360" s="607">
        <v>0</v>
      </c>
      <c r="J360" s="607">
        <f t="shared" si="328"/>
        <v>7210000</v>
      </c>
      <c r="K360" s="607">
        <f t="shared" si="329"/>
        <v>7210000</v>
      </c>
      <c r="N360" s="568">
        <f>'2.1 Comparativo_Alimentación'!$M$8</f>
        <v>70822</v>
      </c>
      <c r="O360" s="568">
        <f t="shared" si="330"/>
        <v>7294666</v>
      </c>
      <c r="P360" s="569">
        <f t="shared" si="331"/>
        <v>-1.1606562932422126E-2</v>
      </c>
      <c r="Q360" s="295">
        <f t="shared" si="307"/>
        <v>0</v>
      </c>
    </row>
    <row r="361" spans="2:25" ht="45" customHeight="1" x14ac:dyDescent="0.25">
      <c r="B361" s="570">
        <v>7</v>
      </c>
      <c r="C361" s="618" t="s">
        <v>1458</v>
      </c>
      <c r="D361" s="613" t="s">
        <v>396</v>
      </c>
      <c r="E361" s="613">
        <v>103</v>
      </c>
      <c r="F361" s="617">
        <v>32000</v>
      </c>
      <c r="G361" s="634">
        <v>1</v>
      </c>
      <c r="H361" s="571">
        <f t="shared" si="332"/>
        <v>3296000</v>
      </c>
      <c r="I361" s="607">
        <v>0</v>
      </c>
      <c r="J361" s="607">
        <f t="shared" si="328"/>
        <v>3296000</v>
      </c>
      <c r="K361" s="607">
        <f t="shared" si="329"/>
        <v>3296000</v>
      </c>
      <c r="N361" s="568">
        <f>'2.1 Comparativo_Alimentación'!$M$9</f>
        <v>33548</v>
      </c>
      <c r="O361" s="568">
        <f t="shared" si="330"/>
        <v>3455444</v>
      </c>
      <c r="P361" s="569">
        <f t="shared" si="331"/>
        <v>-4.6142840109693606E-2</v>
      </c>
      <c r="Q361" s="295">
        <f t="shared" si="307"/>
        <v>0</v>
      </c>
    </row>
    <row r="362" spans="2:25" ht="148.5" x14ac:dyDescent="0.25">
      <c r="B362" s="595">
        <v>8</v>
      </c>
      <c r="C362" s="615" t="s">
        <v>1391</v>
      </c>
      <c r="D362" s="619" t="s">
        <v>238</v>
      </c>
      <c r="E362" s="614">
        <v>1</v>
      </c>
      <c r="F362" s="617">
        <v>2000000</v>
      </c>
      <c r="G362" s="634">
        <v>1</v>
      </c>
      <c r="H362" s="571">
        <f t="shared" si="332"/>
        <v>2000000</v>
      </c>
      <c r="I362" s="607">
        <v>0</v>
      </c>
      <c r="J362" s="607">
        <f t="shared" si="328"/>
        <v>2000000</v>
      </c>
      <c r="K362" s="607">
        <f t="shared" si="329"/>
        <v>2000000</v>
      </c>
      <c r="N362" s="568">
        <f>'8.1 Comparativo_Tallerista'!$N$7</f>
        <v>2455526</v>
      </c>
      <c r="O362" s="568">
        <f t="shared" si="330"/>
        <v>2455526</v>
      </c>
      <c r="P362" s="569">
        <f t="shared" si="331"/>
        <v>-0.18551055863387311</v>
      </c>
      <c r="Q362" s="295">
        <f t="shared" si="307"/>
        <v>0</v>
      </c>
    </row>
    <row r="363" spans="2:25" ht="108" x14ac:dyDescent="0.25">
      <c r="B363" s="570">
        <v>9</v>
      </c>
      <c r="C363" s="618" t="s">
        <v>1393</v>
      </c>
      <c r="D363" s="619" t="s">
        <v>238</v>
      </c>
      <c r="E363" s="614">
        <v>1</v>
      </c>
      <c r="F363" s="620">
        <v>2500000</v>
      </c>
      <c r="G363" s="131">
        <v>1</v>
      </c>
      <c r="H363" s="571">
        <f>F363*E363*G363</f>
        <v>2500000</v>
      </c>
      <c r="I363" s="607">
        <v>0</v>
      </c>
      <c r="J363" s="597">
        <f t="shared" si="328"/>
        <v>2500000</v>
      </c>
      <c r="K363" s="607">
        <f t="shared" si="329"/>
        <v>2500000</v>
      </c>
      <c r="N363" s="568">
        <f>'9.1 Comparativo_Sabedor'!$N$7</f>
        <v>2829639</v>
      </c>
      <c r="O363" s="568">
        <f t="shared" si="330"/>
        <v>2829639</v>
      </c>
      <c r="P363" s="569">
        <f t="shared" si="331"/>
        <v>-0.11649507233961642</v>
      </c>
      <c r="Q363" s="295">
        <f t="shared" si="307"/>
        <v>0</v>
      </c>
    </row>
    <row r="364" spans="2:25" ht="94.5" x14ac:dyDescent="0.25">
      <c r="B364" s="570">
        <v>10</v>
      </c>
      <c r="C364" s="618" t="s">
        <v>1394</v>
      </c>
      <c r="D364" s="599" t="s">
        <v>1062</v>
      </c>
      <c r="E364" s="614">
        <v>1</v>
      </c>
      <c r="F364" s="600">
        <v>4000000</v>
      </c>
      <c r="G364" s="632">
        <v>1</v>
      </c>
      <c r="H364" s="571">
        <f t="shared" ref="H364:H368" si="333">E364*F364*G364</f>
        <v>4000000</v>
      </c>
      <c r="I364" s="607">
        <v>0</v>
      </c>
      <c r="J364" s="597">
        <f t="shared" si="328"/>
        <v>4000000</v>
      </c>
      <c r="K364" s="607">
        <f t="shared" si="329"/>
        <v>4000000</v>
      </c>
      <c r="N364" s="568">
        <f>'6.1 Comparativo_Grupo_Armoniz'!$N$7</f>
        <v>6875473</v>
      </c>
      <c r="O364" s="568">
        <f t="shared" ref="O364" si="334">N364*G364*E364</f>
        <v>6875473</v>
      </c>
      <c r="P364" s="569">
        <f t="shared" ref="P364" si="335">K364/O364-1</f>
        <v>-0.41822184451891531</v>
      </c>
      <c r="Q364" s="295">
        <f t="shared" si="307"/>
        <v>0</v>
      </c>
    </row>
    <row r="365" spans="2:25" ht="159.75" customHeight="1" x14ac:dyDescent="0.25">
      <c r="B365" s="645">
        <v>11</v>
      </c>
      <c r="C365" s="618" t="s">
        <v>1459</v>
      </c>
      <c r="D365" s="613" t="s">
        <v>238</v>
      </c>
      <c r="E365" s="621">
        <v>100</v>
      </c>
      <c r="F365" s="617">
        <v>755000</v>
      </c>
      <c r="G365" s="634">
        <v>3</v>
      </c>
      <c r="H365" s="571">
        <f t="shared" si="333"/>
        <v>226500000</v>
      </c>
      <c r="I365" s="607">
        <v>0</v>
      </c>
      <c r="J365" s="607">
        <f t="shared" si="328"/>
        <v>226500000</v>
      </c>
      <c r="K365" s="607">
        <f t="shared" si="329"/>
        <v>226500000</v>
      </c>
      <c r="N365" s="646">
        <f>'5.1 Comparativo_Viáticos'!$Q$23</f>
        <v>252939229</v>
      </c>
      <c r="O365" s="646">
        <f>N365</f>
        <v>252939229</v>
      </c>
      <c r="P365" s="124">
        <f>K365/O365-1</f>
        <v>-0.1045279892111951</v>
      </c>
      <c r="Q365" s="295">
        <f t="shared" si="307"/>
        <v>0</v>
      </c>
    </row>
    <row r="366" spans="2:25" ht="51" customHeight="1" x14ac:dyDescent="0.25">
      <c r="B366" s="570">
        <v>12</v>
      </c>
      <c r="C366" s="618" t="s">
        <v>1392</v>
      </c>
      <c r="D366" s="613" t="s">
        <v>238</v>
      </c>
      <c r="E366" s="621">
        <v>3</v>
      </c>
      <c r="F366" s="620">
        <v>400000</v>
      </c>
      <c r="G366" s="647">
        <v>3</v>
      </c>
      <c r="H366" s="571">
        <f t="shared" si="333"/>
        <v>3600000</v>
      </c>
      <c r="I366" s="607">
        <v>0</v>
      </c>
      <c r="J366" s="607">
        <f t="shared" si="328"/>
        <v>3600000</v>
      </c>
      <c r="K366" s="607">
        <f t="shared" si="329"/>
        <v>3600000</v>
      </c>
      <c r="N366" s="568">
        <f>'5.1 Comparativo_Viáticos'!$Q$13</f>
        <v>4596746</v>
      </c>
      <c r="O366" s="568">
        <f>N366</f>
        <v>4596746</v>
      </c>
      <c r="P366" s="569">
        <f t="shared" ref="P366" si="336">K366/O366-1</f>
        <v>-0.21683730186527606</v>
      </c>
      <c r="Q366" s="295">
        <f t="shared" si="307"/>
        <v>0</v>
      </c>
    </row>
    <row r="367" spans="2:25" ht="94.5" x14ac:dyDescent="0.25">
      <c r="B367" s="629">
        <v>13</v>
      </c>
      <c r="C367" s="624" t="s">
        <v>1425</v>
      </c>
      <c r="D367" s="613" t="s">
        <v>238</v>
      </c>
      <c r="E367" s="639">
        <v>3</v>
      </c>
      <c r="F367" s="617">
        <v>1000000</v>
      </c>
      <c r="G367" s="647">
        <v>2</v>
      </c>
      <c r="H367" s="571">
        <f t="shared" si="333"/>
        <v>6000000</v>
      </c>
      <c r="I367" s="607">
        <v>0</v>
      </c>
      <c r="J367" s="607">
        <f t="shared" si="328"/>
        <v>6000000</v>
      </c>
      <c r="K367" s="607">
        <f t="shared" si="329"/>
        <v>6000000</v>
      </c>
      <c r="N367" s="568">
        <f>'4.1 Comparativo_Transporte'!$N$27</f>
        <v>1188475</v>
      </c>
      <c r="O367" s="568">
        <f t="shared" ref="O367:O368" si="337">N367*G367*E367</f>
        <v>7130850</v>
      </c>
      <c r="P367" s="569">
        <f t="shared" ref="P367:P369" si="338">K367/O367-1</f>
        <v>-0.15858558236395381</v>
      </c>
      <c r="Q367" s="295">
        <f t="shared" si="307"/>
        <v>0</v>
      </c>
    </row>
    <row r="368" spans="2:25" ht="93" customHeight="1" x14ac:dyDescent="0.25">
      <c r="B368" s="595">
        <v>14</v>
      </c>
      <c r="C368" s="608" t="s">
        <v>1465</v>
      </c>
      <c r="D368" s="605" t="s">
        <v>396</v>
      </c>
      <c r="E368" s="640">
        <v>100</v>
      </c>
      <c r="F368" s="600">
        <v>100000</v>
      </c>
      <c r="G368" s="632">
        <v>1</v>
      </c>
      <c r="H368" s="571">
        <f t="shared" si="333"/>
        <v>10000000</v>
      </c>
      <c r="I368" s="607">
        <v>0</v>
      </c>
      <c r="J368" s="607">
        <f t="shared" si="328"/>
        <v>10000000</v>
      </c>
      <c r="K368" s="607">
        <f t="shared" si="329"/>
        <v>10000000</v>
      </c>
      <c r="N368" s="568">
        <f>'7.1 Comparativo_Kit_Herrami'!$N$7</f>
        <v>102170</v>
      </c>
      <c r="O368" s="568">
        <f t="shared" si="337"/>
        <v>10217000</v>
      </c>
      <c r="P368" s="569">
        <f t="shared" si="338"/>
        <v>-2.1239111285113021E-2</v>
      </c>
      <c r="Q368" s="295">
        <f t="shared" si="307"/>
        <v>0</v>
      </c>
    </row>
    <row r="369" spans="2:17" ht="15.75" customHeight="1" x14ac:dyDescent="0.25">
      <c r="B369" s="809" t="s">
        <v>413</v>
      </c>
      <c r="C369" s="786"/>
      <c r="D369" s="786"/>
      <c r="E369" s="787"/>
      <c r="F369" s="643">
        <f>SUM(F355:F368)</f>
        <v>18389000</v>
      </c>
      <c r="G369" s="641"/>
      <c r="H369" s="644">
        <f t="shared" ref="H369:K369" si="339">SUM(H355:H368)</f>
        <v>276502000</v>
      </c>
      <c r="I369" s="642">
        <f t="shared" si="339"/>
        <v>0</v>
      </c>
      <c r="J369" s="642">
        <f t="shared" si="339"/>
        <v>276502000</v>
      </c>
      <c r="K369" s="642">
        <f t="shared" si="339"/>
        <v>276502000</v>
      </c>
      <c r="N369" s="642">
        <f t="shared" ref="N369:O369" si="340">SUM(N355:N368)</f>
        <v>280459953</v>
      </c>
      <c r="O369" s="642">
        <f t="shared" si="340"/>
        <v>311332484</v>
      </c>
      <c r="P369" s="569">
        <f t="shared" si="338"/>
        <v>-0.11187552147626201</v>
      </c>
      <c r="Q369" s="295"/>
    </row>
    <row r="370" spans="2:17" ht="22.5" customHeight="1" x14ac:dyDescent="0.25">
      <c r="B370" s="805" t="s">
        <v>1466</v>
      </c>
      <c r="C370" s="782"/>
      <c r="D370" s="782"/>
      <c r="E370" s="782"/>
      <c r="F370" s="782"/>
      <c r="G370" s="782"/>
      <c r="H370" s="782"/>
      <c r="I370" s="782"/>
      <c r="J370" s="782"/>
      <c r="K370" s="783"/>
      <c r="Q370" s="295">
        <f t="shared" si="307"/>
        <v>0</v>
      </c>
    </row>
    <row r="371" spans="2:17" ht="54" customHeight="1" x14ac:dyDescent="0.25">
      <c r="B371" s="593">
        <v>1</v>
      </c>
      <c r="C371" s="608" t="s">
        <v>1467</v>
      </c>
      <c r="D371" s="131" t="s">
        <v>1061</v>
      </c>
      <c r="E371" s="131">
        <v>1</v>
      </c>
      <c r="F371" s="594">
        <v>3500000</v>
      </c>
      <c r="G371" s="630">
        <v>1</v>
      </c>
      <c r="H371" s="567">
        <f t="shared" ref="H371:H373" si="341">F371*E371*G371</f>
        <v>3500000</v>
      </c>
      <c r="I371" s="607">
        <v>0</v>
      </c>
      <c r="J371" s="597">
        <f t="shared" ref="J371:J384" si="342">H371</f>
        <v>3500000</v>
      </c>
      <c r="K371" s="607">
        <f t="shared" ref="K371:K384" si="343">I371+J371</f>
        <v>3500000</v>
      </c>
      <c r="N371" s="568">
        <f>'3.1 Comparativo_Logística'!$M$7</f>
        <v>3585068</v>
      </c>
      <c r="O371" s="568">
        <f t="shared" ref="O371:O379" si="344">N371*G371*E371</f>
        <v>3585068</v>
      </c>
      <c r="P371" s="569">
        <f t="shared" ref="P371:P379" si="345">K371/O371-1</f>
        <v>-2.3728420214065626E-2</v>
      </c>
      <c r="Q371" s="295">
        <f t="shared" si="307"/>
        <v>0</v>
      </c>
    </row>
    <row r="372" spans="2:17" ht="36" customHeight="1" x14ac:dyDescent="0.25">
      <c r="B372" s="595">
        <v>2</v>
      </c>
      <c r="C372" s="608" t="s">
        <v>1416</v>
      </c>
      <c r="D372" s="631" t="s">
        <v>396</v>
      </c>
      <c r="E372" s="134">
        <v>1</v>
      </c>
      <c r="F372" s="597">
        <v>900000</v>
      </c>
      <c r="G372" s="632">
        <v>1</v>
      </c>
      <c r="H372" s="571">
        <f t="shared" si="341"/>
        <v>900000</v>
      </c>
      <c r="I372" s="607">
        <v>0</v>
      </c>
      <c r="J372" s="597">
        <f t="shared" si="342"/>
        <v>900000</v>
      </c>
      <c r="K372" s="607">
        <f t="shared" si="343"/>
        <v>900000</v>
      </c>
      <c r="N372" s="568">
        <f>'3.1 Comparativo_Logística'!$M$20</f>
        <v>1176347</v>
      </c>
      <c r="O372" s="568">
        <f t="shared" si="344"/>
        <v>1176347</v>
      </c>
      <c r="P372" s="569">
        <f t="shared" si="345"/>
        <v>-0.23491962830695368</v>
      </c>
      <c r="Q372" s="295">
        <f t="shared" si="307"/>
        <v>0</v>
      </c>
    </row>
    <row r="373" spans="2:17" ht="39.75" customHeight="1" x14ac:dyDescent="0.25">
      <c r="B373" s="570">
        <v>3</v>
      </c>
      <c r="C373" s="608" t="s">
        <v>1417</v>
      </c>
      <c r="D373" s="611" t="s">
        <v>238</v>
      </c>
      <c r="E373" s="599">
        <v>2</v>
      </c>
      <c r="F373" s="600">
        <v>200000</v>
      </c>
      <c r="G373" s="633">
        <v>1</v>
      </c>
      <c r="H373" s="571">
        <f t="shared" si="341"/>
        <v>400000</v>
      </c>
      <c r="I373" s="607">
        <v>0</v>
      </c>
      <c r="J373" s="597">
        <f t="shared" si="342"/>
        <v>400000</v>
      </c>
      <c r="K373" s="607">
        <f t="shared" si="343"/>
        <v>400000</v>
      </c>
      <c r="N373" s="568">
        <f>'3.1 Comparativo_Logística'!$M$29</f>
        <v>249230</v>
      </c>
      <c r="O373" s="568">
        <f t="shared" si="344"/>
        <v>498460</v>
      </c>
      <c r="P373" s="569">
        <f t="shared" si="345"/>
        <v>-0.19752838743329459</v>
      </c>
      <c r="Q373" s="295">
        <f t="shared" si="307"/>
        <v>0</v>
      </c>
    </row>
    <row r="374" spans="2:17" ht="108" x14ac:dyDescent="0.25">
      <c r="B374" s="564">
        <v>4</v>
      </c>
      <c r="C374" s="618" t="s">
        <v>1385</v>
      </c>
      <c r="D374" s="613" t="s">
        <v>238</v>
      </c>
      <c r="E374" s="613">
        <v>1</v>
      </c>
      <c r="F374" s="617">
        <v>1600000</v>
      </c>
      <c r="G374" s="634">
        <v>1</v>
      </c>
      <c r="H374" s="571">
        <f t="shared" ref="H374:H378" si="346">E374*F374*G374</f>
        <v>1600000</v>
      </c>
      <c r="I374" s="607">
        <v>0</v>
      </c>
      <c r="J374" s="597">
        <f t="shared" si="342"/>
        <v>1600000</v>
      </c>
      <c r="K374" s="607">
        <f t="shared" si="343"/>
        <v>1600000</v>
      </c>
      <c r="N374" s="568">
        <f>'3.1 Comparativo_Logística'!$M$37</f>
        <v>2714721</v>
      </c>
      <c r="O374" s="568">
        <f t="shared" si="344"/>
        <v>2714721</v>
      </c>
      <c r="P374" s="569">
        <f t="shared" si="345"/>
        <v>-0.41062083359579127</v>
      </c>
      <c r="Q374" s="295">
        <f t="shared" si="307"/>
        <v>0</v>
      </c>
    </row>
    <row r="375" spans="2:17" ht="51.75" customHeight="1" x14ac:dyDescent="0.25">
      <c r="B375" s="570">
        <v>5</v>
      </c>
      <c r="C375" s="618" t="s">
        <v>1418</v>
      </c>
      <c r="D375" s="613" t="s">
        <v>396</v>
      </c>
      <c r="E375" s="613">
        <v>53</v>
      </c>
      <c r="F375" s="617">
        <v>32000</v>
      </c>
      <c r="G375" s="634">
        <v>1</v>
      </c>
      <c r="H375" s="571">
        <f t="shared" si="346"/>
        <v>1696000</v>
      </c>
      <c r="I375" s="607">
        <v>0</v>
      </c>
      <c r="J375" s="597">
        <f t="shared" si="342"/>
        <v>1696000</v>
      </c>
      <c r="K375" s="607">
        <f t="shared" si="343"/>
        <v>1696000</v>
      </c>
      <c r="N375" s="568">
        <f>'2.1 Comparativo_Alimentación'!$M$7</f>
        <v>33548</v>
      </c>
      <c r="O375" s="568">
        <f t="shared" si="344"/>
        <v>1778044</v>
      </c>
      <c r="P375" s="569">
        <f t="shared" si="345"/>
        <v>-4.6142840109693606E-2</v>
      </c>
      <c r="Q375" s="295">
        <f t="shared" si="307"/>
        <v>0</v>
      </c>
    </row>
    <row r="376" spans="2:17" ht="48" customHeight="1" x14ac:dyDescent="0.25">
      <c r="B376" s="564">
        <v>6</v>
      </c>
      <c r="C376" s="618" t="s">
        <v>1419</v>
      </c>
      <c r="D376" s="613" t="s">
        <v>396</v>
      </c>
      <c r="E376" s="613">
        <v>53</v>
      </c>
      <c r="F376" s="617">
        <v>70000</v>
      </c>
      <c r="G376" s="634">
        <v>1</v>
      </c>
      <c r="H376" s="571">
        <f t="shared" si="346"/>
        <v>3710000</v>
      </c>
      <c r="I376" s="607">
        <v>0</v>
      </c>
      <c r="J376" s="597">
        <f t="shared" si="342"/>
        <v>3710000</v>
      </c>
      <c r="K376" s="607">
        <f t="shared" si="343"/>
        <v>3710000</v>
      </c>
      <c r="N376" s="568">
        <f>'2.1 Comparativo_Alimentación'!$M$8</f>
        <v>70822</v>
      </c>
      <c r="O376" s="568">
        <f t="shared" si="344"/>
        <v>3753566</v>
      </c>
      <c r="P376" s="569">
        <f t="shared" si="345"/>
        <v>-1.1606562932422126E-2</v>
      </c>
      <c r="Q376" s="295">
        <f t="shared" si="307"/>
        <v>0</v>
      </c>
    </row>
    <row r="377" spans="2:17" ht="45" customHeight="1" x14ac:dyDescent="0.25">
      <c r="B377" s="570">
        <v>7</v>
      </c>
      <c r="C377" s="618" t="s">
        <v>1420</v>
      </c>
      <c r="D377" s="613" t="s">
        <v>396</v>
      </c>
      <c r="E377" s="613">
        <v>53</v>
      </c>
      <c r="F377" s="617">
        <v>32000</v>
      </c>
      <c r="G377" s="634">
        <v>1</v>
      </c>
      <c r="H377" s="571">
        <f t="shared" si="346"/>
        <v>1696000</v>
      </c>
      <c r="I377" s="607">
        <v>0</v>
      </c>
      <c r="J377" s="597">
        <f t="shared" si="342"/>
        <v>1696000</v>
      </c>
      <c r="K377" s="607">
        <f t="shared" si="343"/>
        <v>1696000</v>
      </c>
      <c r="N377" s="568">
        <f>'2.1 Comparativo_Alimentación'!$M$9</f>
        <v>33548</v>
      </c>
      <c r="O377" s="568">
        <f t="shared" si="344"/>
        <v>1778044</v>
      </c>
      <c r="P377" s="569">
        <f t="shared" si="345"/>
        <v>-4.6142840109693606E-2</v>
      </c>
      <c r="Q377" s="295">
        <f t="shared" si="307"/>
        <v>0</v>
      </c>
    </row>
    <row r="378" spans="2:17" ht="148.5" x14ac:dyDescent="0.25">
      <c r="B378" s="595">
        <v>8</v>
      </c>
      <c r="C378" s="618" t="s">
        <v>1391</v>
      </c>
      <c r="D378" s="619" t="s">
        <v>238</v>
      </c>
      <c r="E378" s="614">
        <v>1</v>
      </c>
      <c r="F378" s="600">
        <v>2000000</v>
      </c>
      <c r="G378" s="632">
        <v>1</v>
      </c>
      <c r="H378" s="571">
        <f t="shared" si="346"/>
        <v>2000000</v>
      </c>
      <c r="I378" s="607">
        <v>0</v>
      </c>
      <c r="J378" s="597">
        <f t="shared" si="342"/>
        <v>2000000</v>
      </c>
      <c r="K378" s="607">
        <f t="shared" si="343"/>
        <v>2000000</v>
      </c>
      <c r="N378" s="568">
        <f>'8.1 Comparativo_Tallerista'!$N$7</f>
        <v>2455526</v>
      </c>
      <c r="O378" s="568">
        <f t="shared" si="344"/>
        <v>2455526</v>
      </c>
      <c r="P378" s="569">
        <f t="shared" si="345"/>
        <v>-0.18551055863387311</v>
      </c>
      <c r="Q378" s="295">
        <f t="shared" si="307"/>
        <v>0</v>
      </c>
    </row>
    <row r="379" spans="2:17" ht="108" x14ac:dyDescent="0.25">
      <c r="B379" s="570">
        <v>9</v>
      </c>
      <c r="C379" s="618" t="s">
        <v>1393</v>
      </c>
      <c r="D379" s="619" t="s">
        <v>238</v>
      </c>
      <c r="E379" s="614">
        <v>1</v>
      </c>
      <c r="F379" s="620">
        <v>2500000</v>
      </c>
      <c r="G379" s="131">
        <v>1</v>
      </c>
      <c r="H379" s="571">
        <f>F379*E379*G379</f>
        <v>2500000</v>
      </c>
      <c r="I379" s="607">
        <v>0</v>
      </c>
      <c r="J379" s="597">
        <f t="shared" si="342"/>
        <v>2500000</v>
      </c>
      <c r="K379" s="607">
        <f t="shared" si="343"/>
        <v>2500000</v>
      </c>
      <c r="N379" s="568">
        <f>'9.1 Comparativo_Sabedor'!$N$7</f>
        <v>2829639</v>
      </c>
      <c r="O379" s="568">
        <f t="shared" si="344"/>
        <v>2829639</v>
      </c>
      <c r="P379" s="569">
        <f t="shared" si="345"/>
        <v>-0.11649507233961642</v>
      </c>
      <c r="Q379" s="295">
        <f t="shared" si="307"/>
        <v>0</v>
      </c>
    </row>
    <row r="380" spans="2:17" ht="94.5" x14ac:dyDescent="0.25">
      <c r="B380" s="570">
        <v>10</v>
      </c>
      <c r="C380" s="618" t="s">
        <v>1394</v>
      </c>
      <c r="D380" s="599" t="s">
        <v>1062</v>
      </c>
      <c r="E380" s="614">
        <v>1</v>
      </c>
      <c r="F380" s="600">
        <v>4000000</v>
      </c>
      <c r="G380" s="632">
        <v>1</v>
      </c>
      <c r="H380" s="571">
        <f>E380*F380*G380</f>
        <v>4000000</v>
      </c>
      <c r="I380" s="607">
        <v>0</v>
      </c>
      <c r="J380" s="597">
        <f t="shared" si="342"/>
        <v>4000000</v>
      </c>
      <c r="K380" s="607">
        <f t="shared" si="343"/>
        <v>4000000</v>
      </c>
      <c r="N380" s="568">
        <f>'6.1 Comparativo_Grupo_Armoniz'!$N$7</f>
        <v>6875473</v>
      </c>
      <c r="O380" s="568">
        <f t="shared" ref="O380" si="347">N380*G380*E380</f>
        <v>6875473</v>
      </c>
      <c r="P380" s="569">
        <f t="shared" ref="P380" si="348">K380/O380-1</f>
        <v>-0.41822184451891531</v>
      </c>
      <c r="Q380" s="295">
        <f t="shared" si="307"/>
        <v>0</v>
      </c>
    </row>
    <row r="381" spans="2:17" ht="57.75" customHeight="1" x14ac:dyDescent="0.25">
      <c r="B381" s="595">
        <v>11</v>
      </c>
      <c r="C381" s="618" t="s">
        <v>1429</v>
      </c>
      <c r="D381" s="613" t="s">
        <v>238</v>
      </c>
      <c r="E381" s="621">
        <v>50</v>
      </c>
      <c r="F381" s="597">
        <v>500000</v>
      </c>
      <c r="G381" s="134">
        <v>3</v>
      </c>
      <c r="H381" s="622">
        <f t="shared" ref="H381:H383" si="349">F381*E381*G381</f>
        <v>75000000</v>
      </c>
      <c r="I381" s="607">
        <v>0</v>
      </c>
      <c r="J381" s="597">
        <f t="shared" si="342"/>
        <v>75000000</v>
      </c>
      <c r="K381" s="607">
        <f t="shared" si="343"/>
        <v>75000000</v>
      </c>
      <c r="N381" s="104">
        <f>'5.1 Comparativo_Viáticos'!$Q$15</f>
        <v>76612425</v>
      </c>
      <c r="O381" s="104">
        <f>N381</f>
        <v>76612425</v>
      </c>
      <c r="P381" s="438">
        <f>K381/O381-1</f>
        <v>-2.1046520848282735E-2</v>
      </c>
      <c r="Q381" s="295">
        <f t="shared" si="307"/>
        <v>0</v>
      </c>
    </row>
    <row r="382" spans="2:17" ht="52.5" customHeight="1" x14ac:dyDescent="0.25">
      <c r="B382" s="570">
        <v>12</v>
      </c>
      <c r="C382" s="618" t="s">
        <v>1392</v>
      </c>
      <c r="D382" s="613" t="s">
        <v>238</v>
      </c>
      <c r="E382" s="621">
        <v>3</v>
      </c>
      <c r="F382" s="617">
        <v>400000</v>
      </c>
      <c r="G382" s="134">
        <v>3</v>
      </c>
      <c r="H382" s="622">
        <f t="shared" si="349"/>
        <v>3600000</v>
      </c>
      <c r="I382" s="607">
        <v>0</v>
      </c>
      <c r="J382" s="597">
        <f t="shared" si="342"/>
        <v>3600000</v>
      </c>
      <c r="K382" s="607">
        <f t="shared" si="343"/>
        <v>3600000</v>
      </c>
      <c r="N382" s="568">
        <f>'5.1 Comparativo_Viáticos'!$Q$13</f>
        <v>4596746</v>
      </c>
      <c r="O382" s="568">
        <f>N382</f>
        <v>4596746</v>
      </c>
      <c r="P382" s="569">
        <f t="shared" ref="P382" si="350">K382/O382-1</f>
        <v>-0.21683730186527606</v>
      </c>
      <c r="Q382" s="295">
        <f t="shared" si="307"/>
        <v>0</v>
      </c>
    </row>
    <row r="383" spans="2:17" ht="94.5" x14ac:dyDescent="0.25">
      <c r="B383" s="629">
        <v>13</v>
      </c>
      <c r="C383" s="624" t="s">
        <v>1425</v>
      </c>
      <c r="D383" s="613" t="s">
        <v>238</v>
      </c>
      <c r="E383" s="639">
        <v>3</v>
      </c>
      <c r="F383" s="617">
        <v>1000000</v>
      </c>
      <c r="G383" s="621">
        <v>2</v>
      </c>
      <c r="H383" s="622">
        <f t="shared" si="349"/>
        <v>6000000</v>
      </c>
      <c r="I383" s="607">
        <v>0</v>
      </c>
      <c r="J383" s="597">
        <f t="shared" si="342"/>
        <v>6000000</v>
      </c>
      <c r="K383" s="607">
        <f t="shared" si="343"/>
        <v>6000000</v>
      </c>
      <c r="N383" s="568">
        <f>'4.1 Comparativo_Transporte'!$N$27</f>
        <v>1188475</v>
      </c>
      <c r="O383" s="568">
        <f t="shared" ref="O383:O384" si="351">N383*G383*E383</f>
        <v>7130850</v>
      </c>
      <c r="P383" s="569">
        <f t="shared" ref="P383:P385" si="352">K383/O383-1</f>
        <v>-0.15858558236395381</v>
      </c>
      <c r="Q383" s="295">
        <f t="shared" si="307"/>
        <v>0</v>
      </c>
    </row>
    <row r="384" spans="2:17" ht="93" customHeight="1" x14ac:dyDescent="0.25">
      <c r="B384" s="595">
        <v>14</v>
      </c>
      <c r="C384" s="608" t="s">
        <v>1468</v>
      </c>
      <c r="D384" s="605" t="s">
        <v>396</v>
      </c>
      <c r="E384" s="640">
        <v>50</v>
      </c>
      <c r="F384" s="617">
        <v>100000</v>
      </c>
      <c r="G384" s="640">
        <v>1</v>
      </c>
      <c r="H384" s="567">
        <f>E384*F384*G384</f>
        <v>5000000</v>
      </c>
      <c r="I384" s="607">
        <v>0</v>
      </c>
      <c r="J384" s="597">
        <f t="shared" si="342"/>
        <v>5000000</v>
      </c>
      <c r="K384" s="607">
        <f t="shared" si="343"/>
        <v>5000000</v>
      </c>
      <c r="N384" s="568">
        <f>'7.1 Comparativo_Kit_Herrami'!$N$7</f>
        <v>102170</v>
      </c>
      <c r="O384" s="568">
        <f t="shared" si="351"/>
        <v>5108500</v>
      </c>
      <c r="P384" s="569">
        <f t="shared" si="352"/>
        <v>-2.1239111285113021E-2</v>
      </c>
      <c r="Q384" s="295">
        <f t="shared" si="307"/>
        <v>0</v>
      </c>
    </row>
    <row r="385" spans="2:17" ht="15.75" customHeight="1" x14ac:dyDescent="0.25">
      <c r="B385" s="809" t="s">
        <v>414</v>
      </c>
      <c r="C385" s="786"/>
      <c r="D385" s="786"/>
      <c r="E385" s="787"/>
      <c r="F385" s="643">
        <f>SUM(F371:F384)</f>
        <v>16834000</v>
      </c>
      <c r="G385" s="641"/>
      <c r="H385" s="644">
        <f t="shared" ref="H385:K385" si="353">SUM(H371:H384)</f>
        <v>111602000</v>
      </c>
      <c r="I385" s="642">
        <f t="shared" si="353"/>
        <v>0</v>
      </c>
      <c r="J385" s="642">
        <f t="shared" si="353"/>
        <v>111602000</v>
      </c>
      <c r="K385" s="642">
        <f t="shared" si="353"/>
        <v>111602000</v>
      </c>
      <c r="N385" s="642">
        <f t="shared" ref="N385:O385" si="354">SUM(N371:N384)</f>
        <v>102523738</v>
      </c>
      <c r="O385" s="642">
        <f t="shared" si="354"/>
        <v>120893409</v>
      </c>
      <c r="P385" s="569">
        <f t="shared" si="352"/>
        <v>-7.6856208099814638E-2</v>
      </c>
      <c r="Q385" s="295"/>
    </row>
    <row r="386" spans="2:17" ht="25.5" customHeight="1" x14ac:dyDescent="0.25">
      <c r="B386" s="805" t="s">
        <v>1469</v>
      </c>
      <c r="C386" s="782"/>
      <c r="D386" s="782"/>
      <c r="E386" s="782"/>
      <c r="F386" s="782"/>
      <c r="G386" s="782"/>
      <c r="H386" s="782"/>
      <c r="I386" s="782"/>
      <c r="J386" s="782"/>
      <c r="K386" s="783"/>
      <c r="Q386" s="295">
        <f t="shared" si="307"/>
        <v>0</v>
      </c>
    </row>
    <row r="387" spans="2:17" ht="55.5" customHeight="1" x14ac:dyDescent="0.25">
      <c r="B387" s="593">
        <v>1</v>
      </c>
      <c r="C387" s="608" t="s">
        <v>1470</v>
      </c>
      <c r="D387" s="131" t="s">
        <v>1061</v>
      </c>
      <c r="E387" s="131">
        <v>1</v>
      </c>
      <c r="F387" s="594">
        <v>3500000</v>
      </c>
      <c r="G387" s="630">
        <v>1</v>
      </c>
      <c r="H387" s="567">
        <f t="shared" ref="H387:H389" si="355">F387*E387*G387</f>
        <v>3500000</v>
      </c>
      <c r="I387" s="607">
        <v>0</v>
      </c>
      <c r="J387" s="597">
        <f t="shared" ref="J387:J400" si="356">H387</f>
        <v>3500000</v>
      </c>
      <c r="K387" s="607">
        <f t="shared" ref="K387:K400" si="357">I387+J387</f>
        <v>3500000</v>
      </c>
      <c r="N387" s="568">
        <f>'3.1 Comparativo_Logística'!$M$7</f>
        <v>3585068</v>
      </c>
      <c r="O387" s="568">
        <f t="shared" ref="O387:O395" si="358">N387*G387*E387</f>
        <v>3585068</v>
      </c>
      <c r="P387" s="569">
        <f t="shared" ref="P387:P395" si="359">K387/O387-1</f>
        <v>-2.3728420214065626E-2</v>
      </c>
      <c r="Q387" s="295">
        <f t="shared" si="307"/>
        <v>0</v>
      </c>
    </row>
    <row r="388" spans="2:17" ht="33.75" customHeight="1" x14ac:dyDescent="0.25">
      <c r="B388" s="595">
        <v>2</v>
      </c>
      <c r="C388" s="608" t="s">
        <v>1416</v>
      </c>
      <c r="D388" s="631" t="s">
        <v>396</v>
      </c>
      <c r="E388" s="134">
        <v>1</v>
      </c>
      <c r="F388" s="597">
        <v>900000</v>
      </c>
      <c r="G388" s="632">
        <v>1</v>
      </c>
      <c r="H388" s="571">
        <f t="shared" si="355"/>
        <v>900000</v>
      </c>
      <c r="I388" s="607">
        <v>0</v>
      </c>
      <c r="J388" s="597">
        <f t="shared" si="356"/>
        <v>900000</v>
      </c>
      <c r="K388" s="607">
        <f t="shared" si="357"/>
        <v>900000</v>
      </c>
      <c r="N388" s="568">
        <f>'3.1 Comparativo_Logística'!$M$20</f>
        <v>1176347</v>
      </c>
      <c r="O388" s="568">
        <f t="shared" si="358"/>
        <v>1176347</v>
      </c>
      <c r="P388" s="569">
        <f t="shared" si="359"/>
        <v>-0.23491962830695368</v>
      </c>
      <c r="Q388" s="295">
        <f t="shared" si="307"/>
        <v>0</v>
      </c>
    </row>
    <row r="389" spans="2:17" ht="41.25" customHeight="1" x14ac:dyDescent="0.25">
      <c r="B389" s="570">
        <v>3</v>
      </c>
      <c r="C389" s="608" t="s">
        <v>1417</v>
      </c>
      <c r="D389" s="611" t="s">
        <v>238</v>
      </c>
      <c r="E389" s="599">
        <v>2</v>
      </c>
      <c r="F389" s="600">
        <v>200000</v>
      </c>
      <c r="G389" s="633">
        <v>1</v>
      </c>
      <c r="H389" s="571">
        <f t="shared" si="355"/>
        <v>400000</v>
      </c>
      <c r="I389" s="607">
        <v>0</v>
      </c>
      <c r="J389" s="597">
        <f t="shared" si="356"/>
        <v>400000</v>
      </c>
      <c r="K389" s="607">
        <f t="shared" si="357"/>
        <v>400000</v>
      </c>
      <c r="N389" s="568">
        <f>'3.1 Comparativo_Logística'!$M$29</f>
        <v>249230</v>
      </c>
      <c r="O389" s="568">
        <f t="shared" si="358"/>
        <v>498460</v>
      </c>
      <c r="P389" s="569">
        <f t="shared" si="359"/>
        <v>-0.19752838743329459</v>
      </c>
      <c r="Q389" s="295">
        <f t="shared" si="307"/>
        <v>0</v>
      </c>
    </row>
    <row r="390" spans="2:17" ht="108" x14ac:dyDescent="0.25">
      <c r="B390" s="564">
        <v>4</v>
      </c>
      <c r="C390" s="618" t="s">
        <v>1385</v>
      </c>
      <c r="D390" s="613" t="s">
        <v>238</v>
      </c>
      <c r="E390" s="613">
        <v>1</v>
      </c>
      <c r="F390" s="617">
        <v>1600000</v>
      </c>
      <c r="G390" s="634">
        <v>1</v>
      </c>
      <c r="H390" s="571">
        <f t="shared" ref="H390:H394" si="360">E390*F390*G390</f>
        <v>1600000</v>
      </c>
      <c r="I390" s="607">
        <v>0</v>
      </c>
      <c r="J390" s="597">
        <f t="shared" si="356"/>
        <v>1600000</v>
      </c>
      <c r="K390" s="607">
        <f t="shared" si="357"/>
        <v>1600000</v>
      </c>
      <c r="N390" s="568">
        <f>'3.1 Comparativo_Logística'!$M$37</f>
        <v>2714721</v>
      </c>
      <c r="O390" s="568">
        <f t="shared" si="358"/>
        <v>2714721</v>
      </c>
      <c r="P390" s="569">
        <f t="shared" si="359"/>
        <v>-0.41062083359579127</v>
      </c>
      <c r="Q390" s="295">
        <f t="shared" si="307"/>
        <v>0</v>
      </c>
    </row>
    <row r="391" spans="2:17" ht="47.25" customHeight="1" x14ac:dyDescent="0.25">
      <c r="B391" s="570">
        <v>5</v>
      </c>
      <c r="C391" s="618" t="s">
        <v>1418</v>
      </c>
      <c r="D391" s="613" t="s">
        <v>396</v>
      </c>
      <c r="E391" s="613">
        <v>53</v>
      </c>
      <c r="F391" s="617">
        <v>32000</v>
      </c>
      <c r="G391" s="634">
        <v>1</v>
      </c>
      <c r="H391" s="571">
        <f t="shared" si="360"/>
        <v>1696000</v>
      </c>
      <c r="I391" s="607">
        <v>0</v>
      </c>
      <c r="J391" s="597">
        <f t="shared" si="356"/>
        <v>1696000</v>
      </c>
      <c r="K391" s="607">
        <f t="shared" si="357"/>
        <v>1696000</v>
      </c>
      <c r="N391" s="568">
        <f>'2.1 Comparativo_Alimentación'!$M$7</f>
        <v>33548</v>
      </c>
      <c r="O391" s="568">
        <f t="shared" si="358"/>
        <v>1778044</v>
      </c>
      <c r="P391" s="569">
        <f t="shared" si="359"/>
        <v>-4.6142840109693606E-2</v>
      </c>
      <c r="Q391" s="295">
        <f t="shared" si="307"/>
        <v>0</v>
      </c>
    </row>
    <row r="392" spans="2:17" ht="45" customHeight="1" x14ac:dyDescent="0.25">
      <c r="B392" s="564">
        <v>6</v>
      </c>
      <c r="C392" s="618" t="s">
        <v>1419</v>
      </c>
      <c r="D392" s="613" t="s">
        <v>396</v>
      </c>
      <c r="E392" s="613">
        <v>53</v>
      </c>
      <c r="F392" s="617">
        <v>70000</v>
      </c>
      <c r="G392" s="634">
        <v>1</v>
      </c>
      <c r="H392" s="571">
        <f t="shared" si="360"/>
        <v>3710000</v>
      </c>
      <c r="I392" s="607">
        <v>0</v>
      </c>
      <c r="J392" s="597">
        <f t="shared" si="356"/>
        <v>3710000</v>
      </c>
      <c r="K392" s="607">
        <f t="shared" si="357"/>
        <v>3710000</v>
      </c>
      <c r="N392" s="568">
        <f>'2.1 Comparativo_Alimentación'!$M$8</f>
        <v>70822</v>
      </c>
      <c r="O392" s="568">
        <f t="shared" si="358"/>
        <v>3753566</v>
      </c>
      <c r="P392" s="569">
        <f t="shared" si="359"/>
        <v>-1.1606562932422126E-2</v>
      </c>
      <c r="Q392" s="295">
        <f t="shared" si="307"/>
        <v>0</v>
      </c>
    </row>
    <row r="393" spans="2:17" ht="45" customHeight="1" x14ac:dyDescent="0.25">
      <c r="B393" s="570">
        <v>7</v>
      </c>
      <c r="C393" s="618" t="s">
        <v>1420</v>
      </c>
      <c r="D393" s="613" t="s">
        <v>396</v>
      </c>
      <c r="E393" s="613">
        <v>53</v>
      </c>
      <c r="F393" s="617">
        <v>32000</v>
      </c>
      <c r="G393" s="634">
        <v>1</v>
      </c>
      <c r="H393" s="571">
        <f t="shared" si="360"/>
        <v>1696000</v>
      </c>
      <c r="I393" s="607">
        <v>0</v>
      </c>
      <c r="J393" s="597">
        <f t="shared" si="356"/>
        <v>1696000</v>
      </c>
      <c r="K393" s="607">
        <f t="shared" si="357"/>
        <v>1696000</v>
      </c>
      <c r="N393" s="568">
        <f>'2.1 Comparativo_Alimentación'!$M$9</f>
        <v>33548</v>
      </c>
      <c r="O393" s="568">
        <f t="shared" si="358"/>
        <v>1778044</v>
      </c>
      <c r="P393" s="569">
        <f t="shared" si="359"/>
        <v>-4.6142840109693606E-2</v>
      </c>
      <c r="Q393" s="295">
        <f t="shared" si="307"/>
        <v>0</v>
      </c>
    </row>
    <row r="394" spans="2:17" ht="148.5" x14ac:dyDescent="0.25">
      <c r="B394" s="595">
        <v>8</v>
      </c>
      <c r="C394" s="615" t="s">
        <v>1391</v>
      </c>
      <c r="D394" s="619" t="s">
        <v>238</v>
      </c>
      <c r="E394" s="614">
        <v>1</v>
      </c>
      <c r="F394" s="600">
        <v>2000000</v>
      </c>
      <c r="G394" s="632">
        <v>1</v>
      </c>
      <c r="H394" s="571">
        <f t="shared" si="360"/>
        <v>2000000</v>
      </c>
      <c r="I394" s="607">
        <v>0</v>
      </c>
      <c r="J394" s="597">
        <f t="shared" si="356"/>
        <v>2000000</v>
      </c>
      <c r="K394" s="607">
        <f t="shared" si="357"/>
        <v>2000000</v>
      </c>
      <c r="N394" s="568">
        <f>'8.1 Comparativo_Tallerista'!$N$7</f>
        <v>2455526</v>
      </c>
      <c r="O394" s="568">
        <f t="shared" si="358"/>
        <v>2455526</v>
      </c>
      <c r="P394" s="569">
        <f t="shared" si="359"/>
        <v>-0.18551055863387311</v>
      </c>
      <c r="Q394" s="295">
        <f t="shared" si="307"/>
        <v>0</v>
      </c>
    </row>
    <row r="395" spans="2:17" ht="108" x14ac:dyDescent="0.25">
      <c r="B395" s="570">
        <v>9</v>
      </c>
      <c r="C395" s="618" t="s">
        <v>1393</v>
      </c>
      <c r="D395" s="619" t="s">
        <v>238</v>
      </c>
      <c r="E395" s="614">
        <v>1</v>
      </c>
      <c r="F395" s="620">
        <v>2500000</v>
      </c>
      <c r="G395" s="131">
        <v>1</v>
      </c>
      <c r="H395" s="571">
        <f>F395*E395*G395</f>
        <v>2500000</v>
      </c>
      <c r="I395" s="607">
        <v>0</v>
      </c>
      <c r="J395" s="597">
        <f t="shared" si="356"/>
        <v>2500000</v>
      </c>
      <c r="K395" s="607">
        <f t="shared" si="357"/>
        <v>2500000</v>
      </c>
      <c r="N395" s="568">
        <f>'9.1 Comparativo_Sabedor'!$N$7</f>
        <v>2829639</v>
      </c>
      <c r="O395" s="568">
        <f t="shared" si="358"/>
        <v>2829639</v>
      </c>
      <c r="P395" s="569">
        <f t="shared" si="359"/>
        <v>-0.11649507233961642</v>
      </c>
      <c r="Q395" s="295">
        <f t="shared" si="307"/>
        <v>0</v>
      </c>
    </row>
    <row r="396" spans="2:17" ht="94.5" x14ac:dyDescent="0.25">
      <c r="B396" s="570">
        <v>10</v>
      </c>
      <c r="C396" s="618" t="s">
        <v>1394</v>
      </c>
      <c r="D396" s="599" t="s">
        <v>1062</v>
      </c>
      <c r="E396" s="614">
        <v>1</v>
      </c>
      <c r="F396" s="600">
        <v>4000000</v>
      </c>
      <c r="G396" s="632">
        <v>1</v>
      </c>
      <c r="H396" s="571">
        <f>E396*F396*G396</f>
        <v>4000000</v>
      </c>
      <c r="I396" s="607">
        <v>0</v>
      </c>
      <c r="J396" s="597">
        <f t="shared" si="356"/>
        <v>4000000</v>
      </c>
      <c r="K396" s="607">
        <f t="shared" si="357"/>
        <v>4000000</v>
      </c>
      <c r="N396" s="568">
        <f>'6.1 Comparativo_Grupo_Armoniz'!$N$7</f>
        <v>6875473</v>
      </c>
      <c r="O396" s="568">
        <f t="shared" ref="O396" si="361">N396*G396*E396</f>
        <v>6875473</v>
      </c>
      <c r="P396" s="569">
        <f t="shared" ref="P396" si="362">K396/O396-1</f>
        <v>-0.41822184451891531</v>
      </c>
      <c r="Q396" s="295">
        <f t="shared" si="307"/>
        <v>0</v>
      </c>
    </row>
    <row r="397" spans="2:17" ht="55.5" customHeight="1" x14ac:dyDescent="0.25">
      <c r="B397" s="595">
        <v>11</v>
      </c>
      <c r="C397" s="618" t="s">
        <v>1429</v>
      </c>
      <c r="D397" s="613" t="s">
        <v>238</v>
      </c>
      <c r="E397" s="621">
        <v>50</v>
      </c>
      <c r="F397" s="597">
        <v>500000</v>
      </c>
      <c r="G397" s="134">
        <v>3</v>
      </c>
      <c r="H397" s="622">
        <f t="shared" ref="H397:H399" si="363">F397*E397*G397</f>
        <v>75000000</v>
      </c>
      <c r="I397" s="607">
        <v>0</v>
      </c>
      <c r="J397" s="597">
        <f t="shared" si="356"/>
        <v>75000000</v>
      </c>
      <c r="K397" s="607">
        <f t="shared" si="357"/>
        <v>75000000</v>
      </c>
      <c r="N397" s="104">
        <f>'5.1 Comparativo_Viáticos'!$Q$15</f>
        <v>76612425</v>
      </c>
      <c r="O397" s="104">
        <f>N397</f>
        <v>76612425</v>
      </c>
      <c r="P397" s="438">
        <f>K397/O397-1</f>
        <v>-2.1046520848282735E-2</v>
      </c>
      <c r="Q397" s="295">
        <f t="shared" ref="Q397:Q460" si="364">+E397*F397*G397-H397</f>
        <v>0</v>
      </c>
    </row>
    <row r="398" spans="2:17" ht="51" customHeight="1" x14ac:dyDescent="0.25">
      <c r="B398" s="570">
        <v>12</v>
      </c>
      <c r="C398" s="618" t="s">
        <v>1392</v>
      </c>
      <c r="D398" s="613" t="s">
        <v>238</v>
      </c>
      <c r="E398" s="621">
        <v>3</v>
      </c>
      <c r="F398" s="617">
        <v>400000</v>
      </c>
      <c r="G398" s="134">
        <v>3</v>
      </c>
      <c r="H398" s="622">
        <f t="shared" si="363"/>
        <v>3600000</v>
      </c>
      <c r="I398" s="607">
        <v>0</v>
      </c>
      <c r="J398" s="597">
        <f t="shared" si="356"/>
        <v>3600000</v>
      </c>
      <c r="K398" s="607">
        <f t="shared" si="357"/>
        <v>3600000</v>
      </c>
      <c r="N398" s="568">
        <f>'5.1 Comparativo_Viáticos'!$Q$13</f>
        <v>4596746</v>
      </c>
      <c r="O398" s="568">
        <f>N398</f>
        <v>4596746</v>
      </c>
      <c r="P398" s="569">
        <f t="shared" ref="P398" si="365">K398/O398-1</f>
        <v>-0.21683730186527606</v>
      </c>
      <c r="Q398" s="295">
        <f t="shared" si="364"/>
        <v>0</v>
      </c>
    </row>
    <row r="399" spans="2:17" ht="94.5" x14ac:dyDescent="0.25">
      <c r="B399" s="629">
        <v>13</v>
      </c>
      <c r="C399" s="624" t="s">
        <v>1425</v>
      </c>
      <c r="D399" s="613" t="s">
        <v>238</v>
      </c>
      <c r="E399" s="639">
        <v>3</v>
      </c>
      <c r="F399" s="617">
        <v>1000000</v>
      </c>
      <c r="G399" s="621">
        <v>2</v>
      </c>
      <c r="H399" s="622">
        <f t="shared" si="363"/>
        <v>6000000</v>
      </c>
      <c r="I399" s="607">
        <v>0</v>
      </c>
      <c r="J399" s="597">
        <f t="shared" si="356"/>
        <v>6000000</v>
      </c>
      <c r="K399" s="607">
        <f t="shared" si="357"/>
        <v>6000000</v>
      </c>
      <c r="N399" s="568">
        <f>'4.1 Comparativo_Transporte'!$N$27</f>
        <v>1188475</v>
      </c>
      <c r="O399" s="568">
        <f t="shared" ref="O399:O400" si="366">N399*G399*E399</f>
        <v>7130850</v>
      </c>
      <c r="P399" s="569">
        <f t="shared" ref="P399:P401" si="367">K399/O399-1</f>
        <v>-0.15858558236395381</v>
      </c>
      <c r="Q399" s="295">
        <f t="shared" si="364"/>
        <v>0</v>
      </c>
    </row>
    <row r="400" spans="2:17" ht="93" customHeight="1" x14ac:dyDescent="0.25">
      <c r="B400" s="595">
        <v>14</v>
      </c>
      <c r="C400" s="608" t="s">
        <v>1468</v>
      </c>
      <c r="D400" s="605" t="s">
        <v>396</v>
      </c>
      <c r="E400" s="640">
        <v>50</v>
      </c>
      <c r="F400" s="617">
        <v>100000</v>
      </c>
      <c r="G400" s="640">
        <v>1</v>
      </c>
      <c r="H400" s="567">
        <f>E400*F400*G400</f>
        <v>5000000</v>
      </c>
      <c r="I400" s="607">
        <v>0</v>
      </c>
      <c r="J400" s="597">
        <f t="shared" si="356"/>
        <v>5000000</v>
      </c>
      <c r="K400" s="607">
        <f t="shared" si="357"/>
        <v>5000000</v>
      </c>
      <c r="N400" s="568">
        <f>'7.1 Comparativo_Kit_Herrami'!$N$7</f>
        <v>102170</v>
      </c>
      <c r="O400" s="568">
        <f t="shared" si="366"/>
        <v>5108500</v>
      </c>
      <c r="P400" s="569">
        <f t="shared" si="367"/>
        <v>-2.1239111285113021E-2</v>
      </c>
      <c r="Q400" s="295">
        <f t="shared" si="364"/>
        <v>0</v>
      </c>
    </row>
    <row r="401" spans="2:17" ht="15.75" customHeight="1" x14ac:dyDescent="0.25">
      <c r="B401" s="809" t="s">
        <v>415</v>
      </c>
      <c r="C401" s="786"/>
      <c r="D401" s="786"/>
      <c r="E401" s="787"/>
      <c r="F401" s="643">
        <f>SUM(F387:F400)</f>
        <v>16834000</v>
      </c>
      <c r="G401" s="641"/>
      <c r="H401" s="644">
        <f t="shared" ref="H401:K401" si="368">SUM(H387:H400)</f>
        <v>111602000</v>
      </c>
      <c r="I401" s="642">
        <f t="shared" si="368"/>
        <v>0</v>
      </c>
      <c r="J401" s="642">
        <f t="shared" si="368"/>
        <v>111602000</v>
      </c>
      <c r="K401" s="642">
        <f t="shared" si="368"/>
        <v>111602000</v>
      </c>
      <c r="N401" s="642">
        <f t="shared" ref="N401:O401" si="369">SUM(N387:N400)</f>
        <v>102523738</v>
      </c>
      <c r="O401" s="642">
        <f t="shared" si="369"/>
        <v>120893409</v>
      </c>
      <c r="P401" s="569">
        <f t="shared" si="367"/>
        <v>-7.6856208099814638E-2</v>
      </c>
      <c r="Q401" s="295"/>
    </row>
    <row r="402" spans="2:17" ht="15.75" customHeight="1" x14ac:dyDescent="0.25">
      <c r="B402" s="784" t="s">
        <v>1471</v>
      </c>
      <c r="C402" s="782"/>
      <c r="D402" s="782"/>
      <c r="E402" s="782"/>
      <c r="F402" s="782"/>
      <c r="G402" s="782"/>
      <c r="H402" s="782"/>
      <c r="I402" s="782"/>
      <c r="J402" s="782"/>
      <c r="K402" s="783"/>
      <c r="Q402" s="295">
        <f t="shared" si="364"/>
        <v>0</v>
      </c>
    </row>
    <row r="403" spans="2:17" ht="57" customHeight="1" x14ac:dyDescent="0.25">
      <c r="B403" s="593">
        <v>1</v>
      </c>
      <c r="C403" s="608" t="s">
        <v>1472</v>
      </c>
      <c r="D403" s="131" t="s">
        <v>1061</v>
      </c>
      <c r="E403" s="131">
        <v>1</v>
      </c>
      <c r="F403" s="594">
        <v>3500000</v>
      </c>
      <c r="G403" s="630">
        <v>1</v>
      </c>
      <c r="H403" s="567">
        <f t="shared" ref="H403:H405" si="370">F403*E403*G403</f>
        <v>3500000</v>
      </c>
      <c r="I403" s="607">
        <v>0</v>
      </c>
      <c r="J403" s="597">
        <f t="shared" ref="J403:J416" si="371">H403</f>
        <v>3500000</v>
      </c>
      <c r="K403" s="607">
        <f t="shared" ref="K403:K416" si="372">I403+J403</f>
        <v>3500000</v>
      </c>
      <c r="N403" s="568">
        <f>'3.1 Comparativo_Logística'!$M$7</f>
        <v>3585068</v>
      </c>
      <c r="O403" s="568">
        <f t="shared" ref="O403:O411" si="373">N403*G403*E403</f>
        <v>3585068</v>
      </c>
      <c r="P403" s="569">
        <f t="shared" ref="P403:P411" si="374">K403/O403-1</f>
        <v>-2.3728420214065626E-2</v>
      </c>
      <c r="Q403" s="295">
        <f t="shared" si="364"/>
        <v>0</v>
      </c>
    </row>
    <row r="404" spans="2:17" ht="33" customHeight="1" x14ac:dyDescent="0.25">
      <c r="B404" s="595">
        <v>2</v>
      </c>
      <c r="C404" s="608" t="s">
        <v>1416</v>
      </c>
      <c r="D404" s="631" t="s">
        <v>396</v>
      </c>
      <c r="E404" s="134">
        <v>1</v>
      </c>
      <c r="F404" s="597">
        <v>900000</v>
      </c>
      <c r="G404" s="632">
        <v>1</v>
      </c>
      <c r="H404" s="571">
        <f t="shared" si="370"/>
        <v>900000</v>
      </c>
      <c r="I404" s="607">
        <v>0</v>
      </c>
      <c r="J404" s="597">
        <f t="shared" si="371"/>
        <v>900000</v>
      </c>
      <c r="K404" s="607">
        <f t="shared" si="372"/>
        <v>900000</v>
      </c>
      <c r="N404" s="568">
        <f>'3.1 Comparativo_Logística'!$M$20</f>
        <v>1176347</v>
      </c>
      <c r="O404" s="568">
        <f t="shared" si="373"/>
        <v>1176347</v>
      </c>
      <c r="P404" s="569">
        <f t="shared" si="374"/>
        <v>-0.23491962830695368</v>
      </c>
      <c r="Q404" s="295">
        <f t="shared" si="364"/>
        <v>0</v>
      </c>
    </row>
    <row r="405" spans="2:17" ht="39.75" customHeight="1" x14ac:dyDescent="0.25">
      <c r="B405" s="570">
        <v>3</v>
      </c>
      <c r="C405" s="608" t="s">
        <v>1417</v>
      </c>
      <c r="D405" s="611" t="s">
        <v>238</v>
      </c>
      <c r="E405" s="599">
        <v>2</v>
      </c>
      <c r="F405" s="600">
        <v>200000</v>
      </c>
      <c r="G405" s="633">
        <v>1</v>
      </c>
      <c r="H405" s="571">
        <f t="shared" si="370"/>
        <v>400000</v>
      </c>
      <c r="I405" s="607">
        <v>0</v>
      </c>
      <c r="J405" s="597">
        <f t="shared" si="371"/>
        <v>400000</v>
      </c>
      <c r="K405" s="607">
        <f t="shared" si="372"/>
        <v>400000</v>
      </c>
      <c r="N405" s="568">
        <f>'3.1 Comparativo_Logística'!$M$29</f>
        <v>249230</v>
      </c>
      <c r="O405" s="568">
        <f t="shared" si="373"/>
        <v>498460</v>
      </c>
      <c r="P405" s="569">
        <f t="shared" si="374"/>
        <v>-0.19752838743329459</v>
      </c>
      <c r="Q405" s="295">
        <f t="shared" si="364"/>
        <v>0</v>
      </c>
    </row>
    <row r="406" spans="2:17" ht="108" x14ac:dyDescent="0.25">
      <c r="B406" s="564">
        <v>4</v>
      </c>
      <c r="C406" s="618" t="s">
        <v>1385</v>
      </c>
      <c r="D406" s="613" t="s">
        <v>238</v>
      </c>
      <c r="E406" s="613">
        <v>1</v>
      </c>
      <c r="F406" s="617">
        <v>1600000</v>
      </c>
      <c r="G406" s="634">
        <v>1</v>
      </c>
      <c r="H406" s="571">
        <f t="shared" ref="H406:H410" si="375">E406*F406*G406</f>
        <v>1600000</v>
      </c>
      <c r="I406" s="607">
        <v>0</v>
      </c>
      <c r="J406" s="597">
        <f t="shared" si="371"/>
        <v>1600000</v>
      </c>
      <c r="K406" s="607">
        <f t="shared" si="372"/>
        <v>1600000</v>
      </c>
      <c r="N406" s="568">
        <f>'3.1 Comparativo_Logística'!$M$37</f>
        <v>2714721</v>
      </c>
      <c r="O406" s="568">
        <f t="shared" si="373"/>
        <v>2714721</v>
      </c>
      <c r="P406" s="569">
        <f t="shared" si="374"/>
        <v>-0.41062083359579127</v>
      </c>
      <c r="Q406" s="295">
        <f t="shared" si="364"/>
        <v>0</v>
      </c>
    </row>
    <row r="407" spans="2:17" ht="51.75" customHeight="1" x14ac:dyDescent="0.25">
      <c r="B407" s="570">
        <v>5</v>
      </c>
      <c r="C407" s="618" t="s">
        <v>1418</v>
      </c>
      <c r="D407" s="613" t="s">
        <v>396</v>
      </c>
      <c r="E407" s="613">
        <v>53</v>
      </c>
      <c r="F407" s="617">
        <v>32000</v>
      </c>
      <c r="G407" s="634">
        <v>1</v>
      </c>
      <c r="H407" s="571">
        <f t="shared" si="375"/>
        <v>1696000</v>
      </c>
      <c r="I407" s="607">
        <v>0</v>
      </c>
      <c r="J407" s="597">
        <f t="shared" si="371"/>
        <v>1696000</v>
      </c>
      <c r="K407" s="607">
        <f t="shared" si="372"/>
        <v>1696000</v>
      </c>
      <c r="N407" s="568">
        <f>'2.1 Comparativo_Alimentación'!$M$7</f>
        <v>33548</v>
      </c>
      <c r="O407" s="568">
        <f t="shared" si="373"/>
        <v>1778044</v>
      </c>
      <c r="P407" s="569">
        <f t="shared" si="374"/>
        <v>-4.6142840109693606E-2</v>
      </c>
      <c r="Q407" s="295">
        <f t="shared" si="364"/>
        <v>0</v>
      </c>
    </row>
    <row r="408" spans="2:17" ht="42" customHeight="1" x14ac:dyDescent="0.25">
      <c r="B408" s="564">
        <v>6</v>
      </c>
      <c r="C408" s="618" t="s">
        <v>1419</v>
      </c>
      <c r="D408" s="613" t="s">
        <v>396</v>
      </c>
      <c r="E408" s="613">
        <v>53</v>
      </c>
      <c r="F408" s="617">
        <v>70000</v>
      </c>
      <c r="G408" s="634">
        <v>1</v>
      </c>
      <c r="H408" s="571">
        <f t="shared" si="375"/>
        <v>3710000</v>
      </c>
      <c r="I408" s="607">
        <v>0</v>
      </c>
      <c r="J408" s="597">
        <f t="shared" si="371"/>
        <v>3710000</v>
      </c>
      <c r="K408" s="607">
        <f t="shared" si="372"/>
        <v>3710000</v>
      </c>
      <c r="N408" s="568">
        <f>'2.1 Comparativo_Alimentación'!$M$8</f>
        <v>70822</v>
      </c>
      <c r="O408" s="568">
        <f t="shared" si="373"/>
        <v>3753566</v>
      </c>
      <c r="P408" s="569">
        <f t="shared" si="374"/>
        <v>-1.1606562932422126E-2</v>
      </c>
      <c r="Q408" s="295">
        <f t="shared" si="364"/>
        <v>0</v>
      </c>
    </row>
    <row r="409" spans="2:17" ht="45" customHeight="1" x14ac:dyDescent="0.25">
      <c r="B409" s="570">
        <v>7</v>
      </c>
      <c r="C409" s="618" t="s">
        <v>1420</v>
      </c>
      <c r="D409" s="613" t="s">
        <v>396</v>
      </c>
      <c r="E409" s="613">
        <v>53</v>
      </c>
      <c r="F409" s="617">
        <v>32000</v>
      </c>
      <c r="G409" s="634">
        <v>1</v>
      </c>
      <c r="H409" s="571">
        <f t="shared" si="375"/>
        <v>1696000</v>
      </c>
      <c r="I409" s="607">
        <v>0</v>
      </c>
      <c r="J409" s="597">
        <f t="shared" si="371"/>
        <v>1696000</v>
      </c>
      <c r="K409" s="607">
        <f t="shared" si="372"/>
        <v>1696000</v>
      </c>
      <c r="N409" s="568">
        <f>'2.1 Comparativo_Alimentación'!$M$9</f>
        <v>33548</v>
      </c>
      <c r="O409" s="568">
        <f t="shared" si="373"/>
        <v>1778044</v>
      </c>
      <c r="P409" s="569">
        <f t="shared" si="374"/>
        <v>-4.6142840109693606E-2</v>
      </c>
      <c r="Q409" s="295">
        <f t="shared" si="364"/>
        <v>0</v>
      </c>
    </row>
    <row r="410" spans="2:17" ht="148.5" x14ac:dyDescent="0.25">
      <c r="B410" s="595">
        <v>8</v>
      </c>
      <c r="C410" s="615" t="s">
        <v>1391</v>
      </c>
      <c r="D410" s="619" t="s">
        <v>238</v>
      </c>
      <c r="E410" s="614">
        <v>1</v>
      </c>
      <c r="F410" s="600">
        <v>2000000</v>
      </c>
      <c r="G410" s="632">
        <v>1</v>
      </c>
      <c r="H410" s="571">
        <f t="shared" si="375"/>
        <v>2000000</v>
      </c>
      <c r="I410" s="607">
        <v>0</v>
      </c>
      <c r="J410" s="597">
        <f t="shared" si="371"/>
        <v>2000000</v>
      </c>
      <c r="K410" s="607">
        <f t="shared" si="372"/>
        <v>2000000</v>
      </c>
      <c r="N410" s="568">
        <f>'8.1 Comparativo_Tallerista'!$N$7</f>
        <v>2455526</v>
      </c>
      <c r="O410" s="568">
        <f t="shared" si="373"/>
        <v>2455526</v>
      </c>
      <c r="P410" s="569">
        <f t="shared" si="374"/>
        <v>-0.18551055863387311</v>
      </c>
      <c r="Q410" s="295">
        <f t="shared" si="364"/>
        <v>0</v>
      </c>
    </row>
    <row r="411" spans="2:17" ht="108" x14ac:dyDescent="0.25">
      <c r="B411" s="570">
        <v>9</v>
      </c>
      <c r="C411" s="618" t="s">
        <v>1393</v>
      </c>
      <c r="D411" s="619" t="s">
        <v>238</v>
      </c>
      <c r="E411" s="614">
        <v>1</v>
      </c>
      <c r="F411" s="620">
        <v>2500000</v>
      </c>
      <c r="G411" s="131">
        <v>1</v>
      </c>
      <c r="H411" s="571">
        <f>F411*E411*G411</f>
        <v>2500000</v>
      </c>
      <c r="I411" s="607">
        <v>0</v>
      </c>
      <c r="J411" s="597">
        <f t="shared" si="371"/>
        <v>2500000</v>
      </c>
      <c r="K411" s="607">
        <f t="shared" si="372"/>
        <v>2500000</v>
      </c>
      <c r="N411" s="568">
        <f>'9.1 Comparativo_Sabedor'!$N$7</f>
        <v>2829639</v>
      </c>
      <c r="O411" s="568">
        <f t="shared" si="373"/>
        <v>2829639</v>
      </c>
      <c r="P411" s="569">
        <f t="shared" si="374"/>
        <v>-0.11649507233961642</v>
      </c>
      <c r="Q411" s="295">
        <f t="shared" si="364"/>
        <v>0</v>
      </c>
    </row>
    <row r="412" spans="2:17" ht="94.5" x14ac:dyDescent="0.25">
      <c r="B412" s="570">
        <v>10</v>
      </c>
      <c r="C412" s="618" t="s">
        <v>1394</v>
      </c>
      <c r="D412" s="599" t="s">
        <v>1062</v>
      </c>
      <c r="E412" s="614">
        <v>1</v>
      </c>
      <c r="F412" s="600">
        <v>4000000</v>
      </c>
      <c r="G412" s="632">
        <v>1</v>
      </c>
      <c r="H412" s="571">
        <f>E412*F412*G412</f>
        <v>4000000</v>
      </c>
      <c r="I412" s="607">
        <v>0</v>
      </c>
      <c r="J412" s="597">
        <f t="shared" si="371"/>
        <v>4000000</v>
      </c>
      <c r="K412" s="607">
        <f t="shared" si="372"/>
        <v>4000000</v>
      </c>
      <c r="N412" s="568">
        <f>'6.1 Comparativo_Grupo_Armoniz'!$N$7</f>
        <v>6875473</v>
      </c>
      <c r="O412" s="568">
        <f t="shared" ref="O412" si="376">N412*G412*E412</f>
        <v>6875473</v>
      </c>
      <c r="P412" s="569">
        <f t="shared" ref="P412" si="377">K412/O412-1</f>
        <v>-0.41822184451891531</v>
      </c>
      <c r="Q412" s="295">
        <f t="shared" si="364"/>
        <v>0</v>
      </c>
    </row>
    <row r="413" spans="2:17" ht="56.25" customHeight="1" x14ac:dyDescent="0.25">
      <c r="B413" s="595">
        <v>11</v>
      </c>
      <c r="C413" s="618" t="s">
        <v>1429</v>
      </c>
      <c r="D413" s="613" t="s">
        <v>238</v>
      </c>
      <c r="E413" s="621">
        <v>50</v>
      </c>
      <c r="F413" s="597">
        <v>500000</v>
      </c>
      <c r="G413" s="134">
        <v>3</v>
      </c>
      <c r="H413" s="622">
        <f t="shared" ref="H413:H415" si="378">F413*E413*G413</f>
        <v>75000000</v>
      </c>
      <c r="I413" s="607">
        <v>0</v>
      </c>
      <c r="J413" s="597">
        <f t="shared" si="371"/>
        <v>75000000</v>
      </c>
      <c r="K413" s="607">
        <f t="shared" si="372"/>
        <v>75000000</v>
      </c>
      <c r="N413" s="104">
        <f>'5.1 Comparativo_Viáticos'!$Q$15</f>
        <v>76612425</v>
      </c>
      <c r="O413" s="104">
        <f>N413</f>
        <v>76612425</v>
      </c>
      <c r="P413" s="438">
        <f>K413/O413-1</f>
        <v>-2.1046520848282735E-2</v>
      </c>
      <c r="Q413" s="295">
        <f t="shared" si="364"/>
        <v>0</v>
      </c>
    </row>
    <row r="414" spans="2:17" ht="49.5" customHeight="1" x14ac:dyDescent="0.25">
      <c r="B414" s="570">
        <v>12</v>
      </c>
      <c r="C414" s="618" t="s">
        <v>1392</v>
      </c>
      <c r="D414" s="613" t="s">
        <v>238</v>
      </c>
      <c r="E414" s="621">
        <v>3</v>
      </c>
      <c r="F414" s="617">
        <v>400000</v>
      </c>
      <c r="G414" s="134">
        <v>3</v>
      </c>
      <c r="H414" s="622">
        <f t="shared" si="378"/>
        <v>3600000</v>
      </c>
      <c r="I414" s="607">
        <v>0</v>
      </c>
      <c r="J414" s="597">
        <f t="shared" si="371"/>
        <v>3600000</v>
      </c>
      <c r="K414" s="607">
        <f t="shared" si="372"/>
        <v>3600000</v>
      </c>
      <c r="N414" s="568">
        <f>'5.1 Comparativo_Viáticos'!$Q$13</f>
        <v>4596746</v>
      </c>
      <c r="O414" s="568">
        <f>N414</f>
        <v>4596746</v>
      </c>
      <c r="P414" s="569">
        <f t="shared" ref="P414" si="379">K414/O414-1</f>
        <v>-0.21683730186527606</v>
      </c>
      <c r="Q414" s="295">
        <f t="shared" si="364"/>
        <v>0</v>
      </c>
    </row>
    <row r="415" spans="2:17" ht="94.5" x14ac:dyDescent="0.25">
      <c r="B415" s="629">
        <v>13</v>
      </c>
      <c r="C415" s="624" t="s">
        <v>1425</v>
      </c>
      <c r="D415" s="613" t="s">
        <v>238</v>
      </c>
      <c r="E415" s="639">
        <v>3</v>
      </c>
      <c r="F415" s="617">
        <v>1000000</v>
      </c>
      <c r="G415" s="621">
        <v>2</v>
      </c>
      <c r="H415" s="622">
        <f t="shared" si="378"/>
        <v>6000000</v>
      </c>
      <c r="I415" s="607">
        <v>0</v>
      </c>
      <c r="J415" s="597">
        <f t="shared" si="371"/>
        <v>6000000</v>
      </c>
      <c r="K415" s="607">
        <f t="shared" si="372"/>
        <v>6000000</v>
      </c>
      <c r="N415" s="568">
        <f>'4.1 Comparativo_Transporte'!$N$27</f>
        <v>1188475</v>
      </c>
      <c r="O415" s="568">
        <f t="shared" ref="O415:O416" si="380">N415*G415*E415</f>
        <v>7130850</v>
      </c>
      <c r="P415" s="569">
        <f t="shared" ref="P415:P417" si="381">K415/O415-1</f>
        <v>-0.15858558236395381</v>
      </c>
      <c r="Q415" s="295">
        <f t="shared" si="364"/>
        <v>0</v>
      </c>
    </row>
    <row r="416" spans="2:17" ht="93" customHeight="1" x14ac:dyDescent="0.25">
      <c r="B416" s="595">
        <v>14</v>
      </c>
      <c r="C416" s="608" t="s">
        <v>1468</v>
      </c>
      <c r="D416" s="605" t="s">
        <v>396</v>
      </c>
      <c r="E416" s="640">
        <v>50</v>
      </c>
      <c r="F416" s="617">
        <v>100000</v>
      </c>
      <c r="G416" s="640">
        <v>1</v>
      </c>
      <c r="H416" s="567">
        <f>E416*F416*G416</f>
        <v>5000000</v>
      </c>
      <c r="I416" s="607">
        <v>0</v>
      </c>
      <c r="J416" s="597">
        <f t="shared" si="371"/>
        <v>5000000</v>
      </c>
      <c r="K416" s="607">
        <f t="shared" si="372"/>
        <v>5000000</v>
      </c>
      <c r="N416" s="568">
        <f>'7.1 Comparativo_Kit_Herrami'!$N$7</f>
        <v>102170</v>
      </c>
      <c r="O416" s="568">
        <f t="shared" si="380"/>
        <v>5108500</v>
      </c>
      <c r="P416" s="569">
        <f t="shared" si="381"/>
        <v>-2.1239111285113021E-2</v>
      </c>
      <c r="Q416" s="295">
        <f t="shared" si="364"/>
        <v>0</v>
      </c>
    </row>
    <row r="417" spans="2:17" ht="15.75" customHeight="1" x14ac:dyDescent="0.25">
      <c r="B417" s="809" t="s">
        <v>416</v>
      </c>
      <c r="C417" s="786"/>
      <c r="D417" s="786"/>
      <c r="E417" s="787"/>
      <c r="F417" s="643">
        <f>SUM(F403:F416)</f>
        <v>16834000</v>
      </c>
      <c r="G417" s="641"/>
      <c r="H417" s="644">
        <f t="shared" ref="H417:K417" si="382">SUM(H403:H416)</f>
        <v>111602000</v>
      </c>
      <c r="I417" s="642">
        <f t="shared" si="382"/>
        <v>0</v>
      </c>
      <c r="J417" s="642">
        <f t="shared" si="382"/>
        <v>111602000</v>
      </c>
      <c r="K417" s="642">
        <f t="shared" si="382"/>
        <v>111602000</v>
      </c>
      <c r="N417" s="642">
        <f t="shared" ref="N417:O417" si="383">SUM(N403:N416)</f>
        <v>102523738</v>
      </c>
      <c r="O417" s="642">
        <f t="shared" si="383"/>
        <v>120893409</v>
      </c>
      <c r="P417" s="569">
        <f t="shared" si="381"/>
        <v>-7.6856208099814638E-2</v>
      </c>
      <c r="Q417" s="295"/>
    </row>
    <row r="418" spans="2:17" ht="15.75" customHeight="1" x14ac:dyDescent="0.25">
      <c r="B418" s="784" t="s">
        <v>1473</v>
      </c>
      <c r="C418" s="782"/>
      <c r="D418" s="782"/>
      <c r="E418" s="782"/>
      <c r="F418" s="782"/>
      <c r="G418" s="782"/>
      <c r="H418" s="782"/>
      <c r="I418" s="782"/>
      <c r="J418" s="782"/>
      <c r="K418" s="783"/>
      <c r="Q418" s="295">
        <f t="shared" si="364"/>
        <v>0</v>
      </c>
    </row>
    <row r="419" spans="2:17" ht="56.25" customHeight="1" x14ac:dyDescent="0.25">
      <c r="B419" s="593">
        <v>1</v>
      </c>
      <c r="C419" s="608" t="s">
        <v>1474</v>
      </c>
      <c r="D419" s="131" t="s">
        <v>1061</v>
      </c>
      <c r="E419" s="131">
        <v>1</v>
      </c>
      <c r="F419" s="594">
        <v>3500000</v>
      </c>
      <c r="G419" s="630">
        <v>1</v>
      </c>
      <c r="H419" s="567">
        <f t="shared" ref="H419:H421" si="384">F419*E419*G419</f>
        <v>3500000</v>
      </c>
      <c r="I419" s="607">
        <v>0</v>
      </c>
      <c r="J419" s="597">
        <f t="shared" ref="J419:J432" si="385">H419</f>
        <v>3500000</v>
      </c>
      <c r="K419" s="607">
        <f t="shared" ref="K419:K432" si="386">I419+J419</f>
        <v>3500000</v>
      </c>
      <c r="N419" s="568">
        <f>'3.1 Comparativo_Logística'!$M$7</f>
        <v>3585068</v>
      </c>
      <c r="O419" s="568">
        <f t="shared" ref="O419:O427" si="387">N419*G419*E419</f>
        <v>3585068</v>
      </c>
      <c r="P419" s="569">
        <f t="shared" ref="P419:P427" si="388">K419/O419-1</f>
        <v>-2.3728420214065626E-2</v>
      </c>
      <c r="Q419" s="295">
        <f t="shared" si="364"/>
        <v>0</v>
      </c>
    </row>
    <row r="420" spans="2:17" ht="36.75" customHeight="1" x14ac:dyDescent="0.25">
      <c r="B420" s="595">
        <v>2</v>
      </c>
      <c r="C420" s="608" t="s">
        <v>1416</v>
      </c>
      <c r="D420" s="631" t="s">
        <v>396</v>
      </c>
      <c r="E420" s="134">
        <v>1</v>
      </c>
      <c r="F420" s="597">
        <v>900000</v>
      </c>
      <c r="G420" s="632">
        <v>1</v>
      </c>
      <c r="H420" s="571">
        <f t="shared" si="384"/>
        <v>900000</v>
      </c>
      <c r="I420" s="607">
        <v>0</v>
      </c>
      <c r="J420" s="597">
        <f t="shared" si="385"/>
        <v>900000</v>
      </c>
      <c r="K420" s="607">
        <f t="shared" si="386"/>
        <v>900000</v>
      </c>
      <c r="N420" s="568">
        <f>'3.1 Comparativo_Logística'!$M$20</f>
        <v>1176347</v>
      </c>
      <c r="O420" s="568">
        <f t="shared" si="387"/>
        <v>1176347</v>
      </c>
      <c r="P420" s="569">
        <f t="shared" si="388"/>
        <v>-0.23491962830695368</v>
      </c>
      <c r="Q420" s="295">
        <f t="shared" si="364"/>
        <v>0</v>
      </c>
    </row>
    <row r="421" spans="2:17" ht="45" customHeight="1" x14ac:dyDescent="0.25">
      <c r="B421" s="570">
        <v>3</v>
      </c>
      <c r="C421" s="608" t="s">
        <v>1417</v>
      </c>
      <c r="D421" s="611" t="s">
        <v>238</v>
      </c>
      <c r="E421" s="599">
        <v>2</v>
      </c>
      <c r="F421" s="600">
        <v>200000</v>
      </c>
      <c r="G421" s="633">
        <v>1</v>
      </c>
      <c r="H421" s="571">
        <f t="shared" si="384"/>
        <v>400000</v>
      </c>
      <c r="I421" s="607">
        <v>0</v>
      </c>
      <c r="J421" s="597">
        <f t="shared" si="385"/>
        <v>400000</v>
      </c>
      <c r="K421" s="607">
        <f t="shared" si="386"/>
        <v>400000</v>
      </c>
      <c r="N421" s="568">
        <f>'3.1 Comparativo_Logística'!$M$29</f>
        <v>249230</v>
      </c>
      <c r="O421" s="568">
        <f t="shared" si="387"/>
        <v>498460</v>
      </c>
      <c r="P421" s="569">
        <f t="shared" si="388"/>
        <v>-0.19752838743329459</v>
      </c>
      <c r="Q421" s="295">
        <f t="shared" si="364"/>
        <v>0</v>
      </c>
    </row>
    <row r="422" spans="2:17" ht="108" x14ac:dyDescent="0.25">
      <c r="B422" s="564">
        <v>4</v>
      </c>
      <c r="C422" s="618" t="s">
        <v>1385</v>
      </c>
      <c r="D422" s="613" t="s">
        <v>238</v>
      </c>
      <c r="E422" s="613">
        <v>1</v>
      </c>
      <c r="F422" s="617">
        <v>1600000</v>
      </c>
      <c r="G422" s="634">
        <v>1</v>
      </c>
      <c r="H422" s="571">
        <f t="shared" ref="H422:H426" si="389">E422*F422*G422</f>
        <v>1600000</v>
      </c>
      <c r="I422" s="607">
        <v>0</v>
      </c>
      <c r="J422" s="597">
        <f t="shared" si="385"/>
        <v>1600000</v>
      </c>
      <c r="K422" s="607">
        <f t="shared" si="386"/>
        <v>1600000</v>
      </c>
      <c r="N422" s="568">
        <f>'3.1 Comparativo_Logística'!$M$37</f>
        <v>2714721</v>
      </c>
      <c r="O422" s="568">
        <f t="shared" si="387"/>
        <v>2714721</v>
      </c>
      <c r="P422" s="569">
        <f t="shared" si="388"/>
        <v>-0.41062083359579127</v>
      </c>
      <c r="Q422" s="295">
        <f t="shared" si="364"/>
        <v>0</v>
      </c>
    </row>
    <row r="423" spans="2:17" ht="51" customHeight="1" x14ac:dyDescent="0.25">
      <c r="B423" s="570">
        <v>5</v>
      </c>
      <c r="C423" s="618" t="s">
        <v>1418</v>
      </c>
      <c r="D423" s="613" t="s">
        <v>396</v>
      </c>
      <c r="E423" s="613">
        <v>53</v>
      </c>
      <c r="F423" s="617">
        <v>32000</v>
      </c>
      <c r="G423" s="634">
        <v>1</v>
      </c>
      <c r="H423" s="571">
        <f t="shared" si="389"/>
        <v>1696000</v>
      </c>
      <c r="I423" s="607">
        <v>0</v>
      </c>
      <c r="J423" s="597">
        <f t="shared" si="385"/>
        <v>1696000</v>
      </c>
      <c r="K423" s="607">
        <f t="shared" si="386"/>
        <v>1696000</v>
      </c>
      <c r="N423" s="568">
        <f>'2.1 Comparativo_Alimentación'!$M$7</f>
        <v>33548</v>
      </c>
      <c r="O423" s="568">
        <f t="shared" si="387"/>
        <v>1778044</v>
      </c>
      <c r="P423" s="569">
        <f t="shared" si="388"/>
        <v>-4.6142840109693606E-2</v>
      </c>
      <c r="Q423" s="295">
        <f t="shared" si="364"/>
        <v>0</v>
      </c>
    </row>
    <row r="424" spans="2:17" ht="42" customHeight="1" x14ac:dyDescent="0.25">
      <c r="B424" s="564">
        <v>6</v>
      </c>
      <c r="C424" s="618" t="s">
        <v>1419</v>
      </c>
      <c r="D424" s="613" t="s">
        <v>396</v>
      </c>
      <c r="E424" s="613">
        <v>53</v>
      </c>
      <c r="F424" s="617">
        <v>70000</v>
      </c>
      <c r="G424" s="634">
        <v>1</v>
      </c>
      <c r="H424" s="571">
        <f t="shared" si="389"/>
        <v>3710000</v>
      </c>
      <c r="I424" s="607">
        <v>0</v>
      </c>
      <c r="J424" s="597">
        <f t="shared" si="385"/>
        <v>3710000</v>
      </c>
      <c r="K424" s="607">
        <f t="shared" si="386"/>
        <v>3710000</v>
      </c>
      <c r="N424" s="568">
        <f>'2.1 Comparativo_Alimentación'!$M$8</f>
        <v>70822</v>
      </c>
      <c r="O424" s="568">
        <f t="shared" si="387"/>
        <v>3753566</v>
      </c>
      <c r="P424" s="569">
        <f t="shared" si="388"/>
        <v>-1.1606562932422126E-2</v>
      </c>
      <c r="Q424" s="295">
        <f t="shared" si="364"/>
        <v>0</v>
      </c>
    </row>
    <row r="425" spans="2:17" ht="45" customHeight="1" x14ac:dyDescent="0.25">
      <c r="B425" s="570">
        <v>7</v>
      </c>
      <c r="C425" s="618" t="s">
        <v>1420</v>
      </c>
      <c r="D425" s="613" t="s">
        <v>396</v>
      </c>
      <c r="E425" s="613">
        <v>53</v>
      </c>
      <c r="F425" s="617">
        <v>32000</v>
      </c>
      <c r="G425" s="634">
        <v>1</v>
      </c>
      <c r="H425" s="571">
        <f t="shared" si="389"/>
        <v>1696000</v>
      </c>
      <c r="I425" s="607">
        <v>0</v>
      </c>
      <c r="J425" s="597">
        <f t="shared" si="385"/>
        <v>1696000</v>
      </c>
      <c r="K425" s="607">
        <f t="shared" si="386"/>
        <v>1696000</v>
      </c>
      <c r="N425" s="568">
        <f>'2.1 Comparativo_Alimentación'!$M$9</f>
        <v>33548</v>
      </c>
      <c r="O425" s="568">
        <f t="shared" si="387"/>
        <v>1778044</v>
      </c>
      <c r="P425" s="569">
        <f t="shared" si="388"/>
        <v>-4.6142840109693606E-2</v>
      </c>
      <c r="Q425" s="295">
        <f t="shared" si="364"/>
        <v>0</v>
      </c>
    </row>
    <row r="426" spans="2:17" ht="148.5" x14ac:dyDescent="0.25">
      <c r="B426" s="595">
        <v>8</v>
      </c>
      <c r="C426" s="615" t="s">
        <v>1391</v>
      </c>
      <c r="D426" s="619" t="s">
        <v>238</v>
      </c>
      <c r="E426" s="614">
        <v>1</v>
      </c>
      <c r="F426" s="600">
        <v>2000000</v>
      </c>
      <c r="G426" s="632">
        <v>1</v>
      </c>
      <c r="H426" s="571">
        <f t="shared" si="389"/>
        <v>2000000</v>
      </c>
      <c r="I426" s="607">
        <v>0</v>
      </c>
      <c r="J426" s="597">
        <f t="shared" si="385"/>
        <v>2000000</v>
      </c>
      <c r="K426" s="607">
        <f t="shared" si="386"/>
        <v>2000000</v>
      </c>
      <c r="N426" s="568">
        <f>'8.1 Comparativo_Tallerista'!$N$7</f>
        <v>2455526</v>
      </c>
      <c r="O426" s="568">
        <f t="shared" si="387"/>
        <v>2455526</v>
      </c>
      <c r="P426" s="569">
        <f t="shared" si="388"/>
        <v>-0.18551055863387311</v>
      </c>
      <c r="Q426" s="295">
        <f t="shared" si="364"/>
        <v>0</v>
      </c>
    </row>
    <row r="427" spans="2:17" ht="108" x14ac:dyDescent="0.25">
      <c r="B427" s="570">
        <v>9</v>
      </c>
      <c r="C427" s="618" t="s">
        <v>1393</v>
      </c>
      <c r="D427" s="619" t="s">
        <v>238</v>
      </c>
      <c r="E427" s="614">
        <v>1</v>
      </c>
      <c r="F427" s="620">
        <v>2500000</v>
      </c>
      <c r="G427" s="131">
        <v>1</v>
      </c>
      <c r="H427" s="571">
        <f>F427*E427*G427</f>
        <v>2500000</v>
      </c>
      <c r="I427" s="607">
        <v>0</v>
      </c>
      <c r="J427" s="597">
        <f t="shared" si="385"/>
        <v>2500000</v>
      </c>
      <c r="K427" s="607">
        <f t="shared" si="386"/>
        <v>2500000</v>
      </c>
      <c r="N427" s="568">
        <f>'9.1 Comparativo_Sabedor'!$N$7</f>
        <v>2829639</v>
      </c>
      <c r="O427" s="568">
        <f t="shared" si="387"/>
        <v>2829639</v>
      </c>
      <c r="P427" s="569">
        <f t="shared" si="388"/>
        <v>-0.11649507233961642</v>
      </c>
      <c r="Q427" s="295">
        <f t="shared" si="364"/>
        <v>0</v>
      </c>
    </row>
    <row r="428" spans="2:17" ht="94.5" x14ac:dyDescent="0.25">
      <c r="B428" s="570">
        <v>10</v>
      </c>
      <c r="C428" s="618" t="s">
        <v>1394</v>
      </c>
      <c r="D428" s="599" t="s">
        <v>1062</v>
      </c>
      <c r="E428" s="614">
        <v>1</v>
      </c>
      <c r="F428" s="600">
        <v>4000000</v>
      </c>
      <c r="G428" s="632">
        <v>1</v>
      </c>
      <c r="H428" s="571">
        <f>E428*F428*G428</f>
        <v>4000000</v>
      </c>
      <c r="I428" s="607">
        <v>0</v>
      </c>
      <c r="J428" s="597">
        <f t="shared" si="385"/>
        <v>4000000</v>
      </c>
      <c r="K428" s="607">
        <f t="shared" si="386"/>
        <v>4000000</v>
      </c>
      <c r="N428" s="568">
        <f>'6.1 Comparativo_Grupo_Armoniz'!$N$7</f>
        <v>6875473</v>
      </c>
      <c r="O428" s="568">
        <f t="shared" ref="O428" si="390">N428*G428*E428</f>
        <v>6875473</v>
      </c>
      <c r="P428" s="569">
        <f t="shared" ref="P428" si="391">K428/O428-1</f>
        <v>-0.41822184451891531</v>
      </c>
      <c r="Q428" s="295">
        <f t="shared" si="364"/>
        <v>0</v>
      </c>
    </row>
    <row r="429" spans="2:17" ht="94.5" x14ac:dyDescent="0.25">
      <c r="B429" s="595">
        <v>11</v>
      </c>
      <c r="C429" s="618" t="s">
        <v>1429</v>
      </c>
      <c r="D429" s="613" t="s">
        <v>238</v>
      </c>
      <c r="E429" s="621">
        <v>50</v>
      </c>
      <c r="F429" s="597">
        <v>500000</v>
      </c>
      <c r="G429" s="134">
        <v>3</v>
      </c>
      <c r="H429" s="622">
        <f t="shared" ref="H429:H431" si="392">F429*E429*G429</f>
        <v>75000000</v>
      </c>
      <c r="I429" s="607">
        <v>0</v>
      </c>
      <c r="J429" s="597">
        <f t="shared" si="385"/>
        <v>75000000</v>
      </c>
      <c r="K429" s="607">
        <f t="shared" si="386"/>
        <v>75000000</v>
      </c>
      <c r="N429" s="104">
        <f>'5.1 Comparativo_Viáticos'!$Q$15</f>
        <v>76612425</v>
      </c>
      <c r="O429" s="104">
        <f>N429</f>
        <v>76612425</v>
      </c>
      <c r="P429" s="438">
        <f>K429/O429-1</f>
        <v>-2.1046520848282735E-2</v>
      </c>
      <c r="Q429" s="295">
        <f t="shared" si="364"/>
        <v>0</v>
      </c>
    </row>
    <row r="430" spans="2:17" ht="52.5" customHeight="1" x14ac:dyDescent="0.25">
      <c r="B430" s="570">
        <v>12</v>
      </c>
      <c r="C430" s="618" t="s">
        <v>1392</v>
      </c>
      <c r="D430" s="613" t="s">
        <v>238</v>
      </c>
      <c r="E430" s="621">
        <v>3</v>
      </c>
      <c r="F430" s="617">
        <v>400000</v>
      </c>
      <c r="G430" s="134">
        <v>3</v>
      </c>
      <c r="H430" s="622">
        <f t="shared" si="392"/>
        <v>3600000</v>
      </c>
      <c r="I430" s="607">
        <v>0</v>
      </c>
      <c r="J430" s="597">
        <f t="shared" si="385"/>
        <v>3600000</v>
      </c>
      <c r="K430" s="607">
        <f t="shared" si="386"/>
        <v>3600000</v>
      </c>
      <c r="N430" s="568">
        <f>'5.1 Comparativo_Viáticos'!$Q$13</f>
        <v>4596746</v>
      </c>
      <c r="O430" s="568">
        <f>N430</f>
        <v>4596746</v>
      </c>
      <c r="P430" s="569">
        <f t="shared" ref="P430" si="393">K430/O430-1</f>
        <v>-0.21683730186527606</v>
      </c>
      <c r="Q430" s="295">
        <f t="shared" si="364"/>
        <v>0</v>
      </c>
    </row>
    <row r="431" spans="2:17" ht="94.5" x14ac:dyDescent="0.25">
      <c r="B431" s="629">
        <v>13</v>
      </c>
      <c r="C431" s="624" t="s">
        <v>1425</v>
      </c>
      <c r="D431" s="613" t="s">
        <v>238</v>
      </c>
      <c r="E431" s="639">
        <v>3</v>
      </c>
      <c r="F431" s="617">
        <v>1000000</v>
      </c>
      <c r="G431" s="621">
        <v>2</v>
      </c>
      <c r="H431" s="622">
        <f t="shared" si="392"/>
        <v>6000000</v>
      </c>
      <c r="I431" s="607">
        <v>0</v>
      </c>
      <c r="J431" s="597">
        <f t="shared" si="385"/>
        <v>6000000</v>
      </c>
      <c r="K431" s="607">
        <f t="shared" si="386"/>
        <v>6000000</v>
      </c>
      <c r="N431" s="568">
        <f>'4.1 Comparativo_Transporte'!$N$27</f>
        <v>1188475</v>
      </c>
      <c r="O431" s="568">
        <f t="shared" ref="O431:O432" si="394">N431*G431*E431</f>
        <v>7130850</v>
      </c>
      <c r="P431" s="569">
        <f t="shared" ref="P431:P433" si="395">K431/O431-1</f>
        <v>-0.15858558236395381</v>
      </c>
      <c r="Q431" s="295">
        <f t="shared" si="364"/>
        <v>0</v>
      </c>
    </row>
    <row r="432" spans="2:17" ht="93" customHeight="1" x14ac:dyDescent="0.25">
      <c r="B432" s="595">
        <v>14</v>
      </c>
      <c r="C432" s="608" t="s">
        <v>1468</v>
      </c>
      <c r="D432" s="605" t="s">
        <v>396</v>
      </c>
      <c r="E432" s="640">
        <v>50</v>
      </c>
      <c r="F432" s="617">
        <v>100000</v>
      </c>
      <c r="G432" s="640">
        <v>1</v>
      </c>
      <c r="H432" s="567">
        <f>E432*F432*G432</f>
        <v>5000000</v>
      </c>
      <c r="I432" s="607">
        <v>0</v>
      </c>
      <c r="J432" s="597">
        <f t="shared" si="385"/>
        <v>5000000</v>
      </c>
      <c r="K432" s="607">
        <f t="shared" si="386"/>
        <v>5000000</v>
      </c>
      <c r="N432" s="568">
        <f>'7.1 Comparativo_Kit_Herrami'!$N$7</f>
        <v>102170</v>
      </c>
      <c r="O432" s="568">
        <f t="shared" si="394"/>
        <v>5108500</v>
      </c>
      <c r="P432" s="569">
        <f t="shared" si="395"/>
        <v>-2.1239111285113021E-2</v>
      </c>
      <c r="Q432" s="295">
        <f t="shared" si="364"/>
        <v>0</v>
      </c>
    </row>
    <row r="433" spans="2:17" ht="15.75" customHeight="1" x14ac:dyDescent="0.25">
      <c r="B433" s="809" t="s">
        <v>417</v>
      </c>
      <c r="C433" s="786"/>
      <c r="D433" s="786"/>
      <c r="E433" s="787"/>
      <c r="F433" s="643">
        <f>SUM(F419:F432)</f>
        <v>16834000</v>
      </c>
      <c r="G433" s="641"/>
      <c r="H433" s="644">
        <f t="shared" ref="H433:K433" si="396">SUM(H419:H432)</f>
        <v>111602000</v>
      </c>
      <c r="I433" s="642">
        <f t="shared" si="396"/>
        <v>0</v>
      </c>
      <c r="J433" s="642">
        <f t="shared" si="396"/>
        <v>111602000</v>
      </c>
      <c r="K433" s="642">
        <f t="shared" si="396"/>
        <v>111602000</v>
      </c>
      <c r="N433" s="642">
        <f t="shared" ref="N433:O433" si="397">SUM(N419:N432)</f>
        <v>102523738</v>
      </c>
      <c r="O433" s="642">
        <f t="shared" si="397"/>
        <v>120893409</v>
      </c>
      <c r="P433" s="569">
        <f t="shared" si="395"/>
        <v>-7.6856208099814638E-2</v>
      </c>
      <c r="Q433" s="295"/>
    </row>
    <row r="434" spans="2:17" ht="15.75" customHeight="1" x14ac:dyDescent="0.25">
      <c r="B434" s="784" t="s">
        <v>1475</v>
      </c>
      <c r="C434" s="782"/>
      <c r="D434" s="782"/>
      <c r="E434" s="782"/>
      <c r="F434" s="782"/>
      <c r="G434" s="782"/>
      <c r="H434" s="782"/>
      <c r="I434" s="782"/>
      <c r="J434" s="782"/>
      <c r="K434" s="783"/>
      <c r="Q434" s="295">
        <f t="shared" si="364"/>
        <v>0</v>
      </c>
    </row>
    <row r="435" spans="2:17" ht="54" customHeight="1" x14ac:dyDescent="0.25">
      <c r="B435" s="593">
        <v>1</v>
      </c>
      <c r="C435" s="608" t="s">
        <v>1476</v>
      </c>
      <c r="D435" s="131" t="s">
        <v>1061</v>
      </c>
      <c r="E435" s="131">
        <v>1</v>
      </c>
      <c r="F435" s="594">
        <v>3500000</v>
      </c>
      <c r="G435" s="630">
        <v>1</v>
      </c>
      <c r="H435" s="567">
        <f t="shared" ref="H435:H437" si="398">F435*E435*G435</f>
        <v>3500000</v>
      </c>
      <c r="I435" s="607">
        <v>0</v>
      </c>
      <c r="J435" s="597">
        <f t="shared" ref="J435:J448" si="399">H435</f>
        <v>3500000</v>
      </c>
      <c r="K435" s="607">
        <f t="shared" ref="K435:K448" si="400">I435+J435</f>
        <v>3500000</v>
      </c>
      <c r="N435" s="568">
        <f>'3.1 Comparativo_Logística'!$M$7</f>
        <v>3585068</v>
      </c>
      <c r="O435" s="568">
        <f t="shared" ref="O435:O443" si="401">N435*G435*E435</f>
        <v>3585068</v>
      </c>
      <c r="P435" s="569">
        <f t="shared" ref="P435:P443" si="402">K435/O435-1</f>
        <v>-2.3728420214065626E-2</v>
      </c>
      <c r="Q435" s="295">
        <f t="shared" si="364"/>
        <v>0</v>
      </c>
    </row>
    <row r="436" spans="2:17" ht="36" customHeight="1" x14ac:dyDescent="0.25">
      <c r="B436" s="595">
        <v>2</v>
      </c>
      <c r="C436" s="608" t="s">
        <v>1416</v>
      </c>
      <c r="D436" s="631" t="s">
        <v>396</v>
      </c>
      <c r="E436" s="134">
        <v>1</v>
      </c>
      <c r="F436" s="597">
        <v>900000</v>
      </c>
      <c r="G436" s="632">
        <v>1</v>
      </c>
      <c r="H436" s="571">
        <f t="shared" si="398"/>
        <v>900000</v>
      </c>
      <c r="I436" s="607">
        <v>0</v>
      </c>
      <c r="J436" s="597">
        <f t="shared" si="399"/>
        <v>900000</v>
      </c>
      <c r="K436" s="607">
        <f t="shared" si="400"/>
        <v>900000</v>
      </c>
      <c r="N436" s="568">
        <f>'3.1 Comparativo_Logística'!$M$20</f>
        <v>1176347</v>
      </c>
      <c r="O436" s="568">
        <f t="shared" si="401"/>
        <v>1176347</v>
      </c>
      <c r="P436" s="569">
        <f t="shared" si="402"/>
        <v>-0.23491962830695368</v>
      </c>
      <c r="Q436" s="295">
        <f t="shared" si="364"/>
        <v>0</v>
      </c>
    </row>
    <row r="437" spans="2:17" ht="39" customHeight="1" x14ac:dyDescent="0.25">
      <c r="B437" s="570">
        <v>3</v>
      </c>
      <c r="C437" s="608" t="s">
        <v>1417</v>
      </c>
      <c r="D437" s="611" t="s">
        <v>238</v>
      </c>
      <c r="E437" s="599">
        <v>2</v>
      </c>
      <c r="F437" s="600">
        <v>200000</v>
      </c>
      <c r="G437" s="633">
        <v>1</v>
      </c>
      <c r="H437" s="571">
        <f t="shared" si="398"/>
        <v>400000</v>
      </c>
      <c r="I437" s="607">
        <v>0</v>
      </c>
      <c r="J437" s="597">
        <f t="shared" si="399"/>
        <v>400000</v>
      </c>
      <c r="K437" s="607">
        <f t="shared" si="400"/>
        <v>400000</v>
      </c>
      <c r="N437" s="568">
        <f>'3.1 Comparativo_Logística'!$M$29</f>
        <v>249230</v>
      </c>
      <c r="O437" s="568">
        <f t="shared" si="401"/>
        <v>498460</v>
      </c>
      <c r="P437" s="569">
        <f t="shared" si="402"/>
        <v>-0.19752838743329459</v>
      </c>
      <c r="Q437" s="295">
        <f t="shared" si="364"/>
        <v>0</v>
      </c>
    </row>
    <row r="438" spans="2:17" ht="108" x14ac:dyDescent="0.25">
      <c r="B438" s="564">
        <v>4</v>
      </c>
      <c r="C438" s="618" t="s">
        <v>1385</v>
      </c>
      <c r="D438" s="613" t="s">
        <v>238</v>
      </c>
      <c r="E438" s="613">
        <v>1</v>
      </c>
      <c r="F438" s="617">
        <v>1600000</v>
      </c>
      <c r="G438" s="634">
        <v>1</v>
      </c>
      <c r="H438" s="571">
        <f t="shared" ref="H438:H442" si="403">E438*F438*G438</f>
        <v>1600000</v>
      </c>
      <c r="I438" s="607">
        <v>0</v>
      </c>
      <c r="J438" s="597">
        <f t="shared" si="399"/>
        <v>1600000</v>
      </c>
      <c r="K438" s="607">
        <f t="shared" si="400"/>
        <v>1600000</v>
      </c>
      <c r="N438" s="568">
        <f>'3.1 Comparativo_Logística'!$M$37</f>
        <v>2714721</v>
      </c>
      <c r="O438" s="568">
        <f t="shared" si="401"/>
        <v>2714721</v>
      </c>
      <c r="P438" s="569">
        <f t="shared" si="402"/>
        <v>-0.41062083359579127</v>
      </c>
      <c r="Q438" s="295">
        <f t="shared" si="364"/>
        <v>0</v>
      </c>
    </row>
    <row r="439" spans="2:17" ht="45" customHeight="1" x14ac:dyDescent="0.25">
      <c r="B439" s="570">
        <v>5</v>
      </c>
      <c r="C439" s="618" t="s">
        <v>1418</v>
      </c>
      <c r="D439" s="613" t="s">
        <v>396</v>
      </c>
      <c r="E439" s="613">
        <v>53</v>
      </c>
      <c r="F439" s="617">
        <v>32000</v>
      </c>
      <c r="G439" s="634">
        <v>1</v>
      </c>
      <c r="H439" s="571">
        <f t="shared" si="403"/>
        <v>1696000</v>
      </c>
      <c r="I439" s="607">
        <v>0</v>
      </c>
      <c r="J439" s="597">
        <f t="shared" si="399"/>
        <v>1696000</v>
      </c>
      <c r="K439" s="607">
        <f t="shared" si="400"/>
        <v>1696000</v>
      </c>
      <c r="N439" s="568">
        <f>'2.1 Comparativo_Alimentación'!$M$7</f>
        <v>33548</v>
      </c>
      <c r="O439" s="568">
        <f t="shared" si="401"/>
        <v>1778044</v>
      </c>
      <c r="P439" s="569">
        <f t="shared" si="402"/>
        <v>-4.6142840109693606E-2</v>
      </c>
      <c r="Q439" s="295">
        <f t="shared" si="364"/>
        <v>0</v>
      </c>
    </row>
    <row r="440" spans="2:17" ht="45" customHeight="1" x14ac:dyDescent="0.25">
      <c r="B440" s="564">
        <v>6</v>
      </c>
      <c r="C440" s="618" t="s">
        <v>1419</v>
      </c>
      <c r="D440" s="613" t="s">
        <v>396</v>
      </c>
      <c r="E440" s="613">
        <v>53</v>
      </c>
      <c r="F440" s="617">
        <v>70000</v>
      </c>
      <c r="G440" s="634">
        <v>1</v>
      </c>
      <c r="H440" s="571">
        <f t="shared" si="403"/>
        <v>3710000</v>
      </c>
      <c r="I440" s="607">
        <v>0</v>
      </c>
      <c r="J440" s="597">
        <f t="shared" si="399"/>
        <v>3710000</v>
      </c>
      <c r="K440" s="607">
        <f t="shared" si="400"/>
        <v>3710000</v>
      </c>
      <c r="N440" s="568">
        <f>'2.1 Comparativo_Alimentación'!$M$8</f>
        <v>70822</v>
      </c>
      <c r="O440" s="568">
        <f t="shared" si="401"/>
        <v>3753566</v>
      </c>
      <c r="P440" s="569">
        <f t="shared" si="402"/>
        <v>-1.1606562932422126E-2</v>
      </c>
      <c r="Q440" s="295">
        <f t="shared" si="364"/>
        <v>0</v>
      </c>
    </row>
    <row r="441" spans="2:17" ht="45" customHeight="1" x14ac:dyDescent="0.25">
      <c r="B441" s="570">
        <v>7</v>
      </c>
      <c r="C441" s="618" t="s">
        <v>1420</v>
      </c>
      <c r="D441" s="613" t="s">
        <v>396</v>
      </c>
      <c r="E441" s="613">
        <v>53</v>
      </c>
      <c r="F441" s="617">
        <v>32000</v>
      </c>
      <c r="G441" s="634">
        <v>1</v>
      </c>
      <c r="H441" s="571">
        <f t="shared" si="403"/>
        <v>1696000</v>
      </c>
      <c r="I441" s="607">
        <v>0</v>
      </c>
      <c r="J441" s="597">
        <f t="shared" si="399"/>
        <v>1696000</v>
      </c>
      <c r="K441" s="607">
        <f t="shared" si="400"/>
        <v>1696000</v>
      </c>
      <c r="N441" s="568">
        <f>'2.1 Comparativo_Alimentación'!$M$9</f>
        <v>33548</v>
      </c>
      <c r="O441" s="568">
        <f t="shared" si="401"/>
        <v>1778044</v>
      </c>
      <c r="P441" s="569">
        <f t="shared" si="402"/>
        <v>-4.6142840109693606E-2</v>
      </c>
      <c r="Q441" s="295">
        <f t="shared" si="364"/>
        <v>0</v>
      </c>
    </row>
    <row r="442" spans="2:17" ht="148.5" x14ac:dyDescent="0.25">
      <c r="B442" s="595">
        <v>8</v>
      </c>
      <c r="C442" s="615" t="s">
        <v>1391</v>
      </c>
      <c r="D442" s="619" t="s">
        <v>238</v>
      </c>
      <c r="E442" s="614">
        <v>1</v>
      </c>
      <c r="F442" s="600">
        <v>2000000</v>
      </c>
      <c r="G442" s="632">
        <v>1</v>
      </c>
      <c r="H442" s="571">
        <f t="shared" si="403"/>
        <v>2000000</v>
      </c>
      <c r="I442" s="607">
        <v>0</v>
      </c>
      <c r="J442" s="597">
        <f t="shared" si="399"/>
        <v>2000000</v>
      </c>
      <c r="K442" s="607">
        <f t="shared" si="400"/>
        <v>2000000</v>
      </c>
      <c r="N442" s="568">
        <f>'8.1 Comparativo_Tallerista'!$N$7</f>
        <v>2455526</v>
      </c>
      <c r="O442" s="568">
        <f t="shared" si="401"/>
        <v>2455526</v>
      </c>
      <c r="P442" s="569">
        <f t="shared" si="402"/>
        <v>-0.18551055863387311</v>
      </c>
      <c r="Q442" s="295">
        <f t="shared" si="364"/>
        <v>0</v>
      </c>
    </row>
    <row r="443" spans="2:17" ht="108" x14ac:dyDescent="0.25">
      <c r="B443" s="570">
        <v>9</v>
      </c>
      <c r="C443" s="618" t="s">
        <v>1393</v>
      </c>
      <c r="D443" s="619" t="s">
        <v>238</v>
      </c>
      <c r="E443" s="614">
        <v>1</v>
      </c>
      <c r="F443" s="620">
        <v>2500000</v>
      </c>
      <c r="G443" s="131">
        <v>1</v>
      </c>
      <c r="H443" s="571">
        <f>F443*E443*G443</f>
        <v>2500000</v>
      </c>
      <c r="I443" s="607">
        <v>0</v>
      </c>
      <c r="J443" s="597">
        <f t="shared" si="399"/>
        <v>2500000</v>
      </c>
      <c r="K443" s="607">
        <f t="shared" si="400"/>
        <v>2500000</v>
      </c>
      <c r="N443" s="568">
        <f>'9.1 Comparativo_Sabedor'!$N$7</f>
        <v>2829639</v>
      </c>
      <c r="O443" s="568">
        <f t="shared" si="401"/>
        <v>2829639</v>
      </c>
      <c r="P443" s="569">
        <f t="shared" si="402"/>
        <v>-0.11649507233961642</v>
      </c>
      <c r="Q443" s="295">
        <f t="shared" si="364"/>
        <v>0</v>
      </c>
    </row>
    <row r="444" spans="2:17" ht="94.5" x14ac:dyDescent="0.25">
      <c r="B444" s="570">
        <v>10</v>
      </c>
      <c r="C444" s="618" t="s">
        <v>1394</v>
      </c>
      <c r="D444" s="599" t="s">
        <v>1062</v>
      </c>
      <c r="E444" s="614">
        <v>1</v>
      </c>
      <c r="F444" s="600">
        <v>4000000</v>
      </c>
      <c r="G444" s="632">
        <v>1</v>
      </c>
      <c r="H444" s="571">
        <f>E444*F444*G444</f>
        <v>4000000</v>
      </c>
      <c r="I444" s="607">
        <v>0</v>
      </c>
      <c r="J444" s="597">
        <f t="shared" si="399"/>
        <v>4000000</v>
      </c>
      <c r="K444" s="607">
        <f t="shared" si="400"/>
        <v>4000000</v>
      </c>
      <c r="N444" s="568">
        <f>'6.1 Comparativo_Grupo_Armoniz'!$N$7</f>
        <v>6875473</v>
      </c>
      <c r="O444" s="568">
        <f t="shared" ref="O444" si="404">N444*G444*E444</f>
        <v>6875473</v>
      </c>
      <c r="P444" s="569">
        <f t="shared" ref="P444" si="405">K444/O444-1</f>
        <v>-0.41822184451891531</v>
      </c>
      <c r="Q444" s="295">
        <f t="shared" si="364"/>
        <v>0</v>
      </c>
    </row>
    <row r="445" spans="2:17" ht="57" customHeight="1" x14ac:dyDescent="0.25">
      <c r="B445" s="595">
        <v>11</v>
      </c>
      <c r="C445" s="618" t="s">
        <v>1429</v>
      </c>
      <c r="D445" s="613" t="s">
        <v>238</v>
      </c>
      <c r="E445" s="621">
        <v>50</v>
      </c>
      <c r="F445" s="597">
        <v>500000</v>
      </c>
      <c r="G445" s="134">
        <v>3</v>
      </c>
      <c r="H445" s="622">
        <f t="shared" ref="H445:H447" si="406">F445*E445*G445</f>
        <v>75000000</v>
      </c>
      <c r="I445" s="607">
        <v>0</v>
      </c>
      <c r="J445" s="597">
        <f t="shared" si="399"/>
        <v>75000000</v>
      </c>
      <c r="K445" s="607">
        <f t="shared" si="400"/>
        <v>75000000</v>
      </c>
      <c r="N445" s="104">
        <f>'5.1 Comparativo_Viáticos'!$Q$15</f>
        <v>76612425</v>
      </c>
      <c r="O445" s="104">
        <f>N445</f>
        <v>76612425</v>
      </c>
      <c r="P445" s="438">
        <f>K445/O445-1</f>
        <v>-2.1046520848282735E-2</v>
      </c>
      <c r="Q445" s="295">
        <f t="shared" si="364"/>
        <v>0</v>
      </c>
    </row>
    <row r="446" spans="2:17" ht="52.5" customHeight="1" x14ac:dyDescent="0.25">
      <c r="B446" s="570">
        <v>12</v>
      </c>
      <c r="C446" s="618" t="s">
        <v>1392</v>
      </c>
      <c r="D446" s="613" t="s">
        <v>238</v>
      </c>
      <c r="E446" s="621">
        <v>3</v>
      </c>
      <c r="F446" s="617">
        <v>400000</v>
      </c>
      <c r="G446" s="134">
        <v>3</v>
      </c>
      <c r="H446" s="622">
        <f t="shared" si="406"/>
        <v>3600000</v>
      </c>
      <c r="I446" s="607">
        <v>0</v>
      </c>
      <c r="J446" s="597">
        <f t="shared" si="399"/>
        <v>3600000</v>
      </c>
      <c r="K446" s="607">
        <f t="shared" si="400"/>
        <v>3600000</v>
      </c>
      <c r="N446" s="568">
        <f>'5.1 Comparativo_Viáticos'!$Q$13</f>
        <v>4596746</v>
      </c>
      <c r="O446" s="568">
        <f>N446</f>
        <v>4596746</v>
      </c>
      <c r="P446" s="569">
        <f t="shared" ref="P446" si="407">K446/O446-1</f>
        <v>-0.21683730186527606</v>
      </c>
      <c r="Q446" s="295">
        <f t="shared" si="364"/>
        <v>0</v>
      </c>
    </row>
    <row r="447" spans="2:17" ht="94.5" x14ac:dyDescent="0.25">
      <c r="B447" s="629">
        <v>13</v>
      </c>
      <c r="C447" s="624" t="s">
        <v>1425</v>
      </c>
      <c r="D447" s="613" t="s">
        <v>238</v>
      </c>
      <c r="E447" s="639">
        <v>3</v>
      </c>
      <c r="F447" s="617">
        <v>1000000</v>
      </c>
      <c r="G447" s="621">
        <v>2</v>
      </c>
      <c r="H447" s="622">
        <f t="shared" si="406"/>
        <v>6000000</v>
      </c>
      <c r="I447" s="607">
        <v>0</v>
      </c>
      <c r="J447" s="597">
        <f t="shared" si="399"/>
        <v>6000000</v>
      </c>
      <c r="K447" s="607">
        <f t="shared" si="400"/>
        <v>6000000</v>
      </c>
      <c r="N447" s="568">
        <f>'4.1 Comparativo_Transporte'!$N$27</f>
        <v>1188475</v>
      </c>
      <c r="O447" s="568">
        <f t="shared" ref="O447:O448" si="408">N447*G447*E447</f>
        <v>7130850</v>
      </c>
      <c r="P447" s="569">
        <f t="shared" ref="P447:P449" si="409">K447/O447-1</f>
        <v>-0.15858558236395381</v>
      </c>
      <c r="Q447" s="295">
        <f t="shared" si="364"/>
        <v>0</v>
      </c>
    </row>
    <row r="448" spans="2:17" ht="93" customHeight="1" x14ac:dyDescent="0.25">
      <c r="B448" s="595">
        <v>14</v>
      </c>
      <c r="C448" s="608" t="s">
        <v>1468</v>
      </c>
      <c r="D448" s="605" t="s">
        <v>396</v>
      </c>
      <c r="E448" s="640">
        <v>50</v>
      </c>
      <c r="F448" s="617">
        <v>100000</v>
      </c>
      <c r="G448" s="640">
        <v>1</v>
      </c>
      <c r="H448" s="567">
        <f>E448*F448*G448</f>
        <v>5000000</v>
      </c>
      <c r="I448" s="607">
        <v>0</v>
      </c>
      <c r="J448" s="597">
        <f t="shared" si="399"/>
        <v>5000000</v>
      </c>
      <c r="K448" s="607">
        <f t="shared" si="400"/>
        <v>5000000</v>
      </c>
      <c r="N448" s="568">
        <f>'7.1 Comparativo_Kit_Herrami'!$N$7</f>
        <v>102170</v>
      </c>
      <c r="O448" s="568">
        <f t="shared" si="408"/>
        <v>5108500</v>
      </c>
      <c r="P448" s="569">
        <f t="shared" si="409"/>
        <v>-2.1239111285113021E-2</v>
      </c>
      <c r="Q448" s="295">
        <f t="shared" si="364"/>
        <v>0</v>
      </c>
    </row>
    <row r="449" spans="2:17" ht="15.75" customHeight="1" x14ac:dyDescent="0.25">
      <c r="B449" s="809" t="s">
        <v>418</v>
      </c>
      <c r="C449" s="786"/>
      <c r="D449" s="786"/>
      <c r="E449" s="787"/>
      <c r="F449" s="643">
        <f>SUM(F435:F448)</f>
        <v>16834000</v>
      </c>
      <c r="G449" s="641"/>
      <c r="H449" s="644">
        <f t="shared" ref="H449:K449" si="410">SUM(H435:H448)</f>
        <v>111602000</v>
      </c>
      <c r="I449" s="642">
        <f t="shared" si="410"/>
        <v>0</v>
      </c>
      <c r="J449" s="642">
        <f t="shared" si="410"/>
        <v>111602000</v>
      </c>
      <c r="K449" s="642">
        <f t="shared" si="410"/>
        <v>111602000</v>
      </c>
      <c r="N449" s="642">
        <f t="shared" ref="N449:O449" si="411">SUM(N435:N448)</f>
        <v>102523738</v>
      </c>
      <c r="O449" s="642">
        <f t="shared" si="411"/>
        <v>120893409</v>
      </c>
      <c r="P449" s="569">
        <f t="shared" si="409"/>
        <v>-7.6856208099814638E-2</v>
      </c>
      <c r="Q449" s="295"/>
    </row>
    <row r="450" spans="2:17" ht="15.75" customHeight="1" x14ac:dyDescent="0.25">
      <c r="B450" s="784" t="s">
        <v>1477</v>
      </c>
      <c r="C450" s="782"/>
      <c r="D450" s="782"/>
      <c r="E450" s="782"/>
      <c r="F450" s="782"/>
      <c r="G450" s="782"/>
      <c r="H450" s="782"/>
      <c r="I450" s="782"/>
      <c r="J450" s="782"/>
      <c r="K450" s="783"/>
      <c r="Q450" s="295">
        <f t="shared" si="364"/>
        <v>0</v>
      </c>
    </row>
    <row r="451" spans="2:17" ht="51.75" customHeight="1" x14ac:dyDescent="0.25">
      <c r="B451" s="593">
        <v>1</v>
      </c>
      <c r="C451" s="608" t="s">
        <v>1478</v>
      </c>
      <c r="D451" s="131" t="s">
        <v>1061</v>
      </c>
      <c r="E451" s="131">
        <v>1</v>
      </c>
      <c r="F451" s="594">
        <v>3500000</v>
      </c>
      <c r="G451" s="630">
        <v>1</v>
      </c>
      <c r="H451" s="567">
        <f t="shared" ref="H451:H453" si="412">F451*E451*G451</f>
        <v>3500000</v>
      </c>
      <c r="I451" s="607">
        <v>0</v>
      </c>
      <c r="J451" s="597">
        <f t="shared" ref="J451:J464" si="413">H451</f>
        <v>3500000</v>
      </c>
      <c r="K451" s="607">
        <f t="shared" ref="K451:K464" si="414">I451+J451</f>
        <v>3500000</v>
      </c>
      <c r="N451" s="568">
        <f>'3.1 Comparativo_Logística'!$M$7</f>
        <v>3585068</v>
      </c>
      <c r="O451" s="568">
        <f t="shared" ref="O451:O459" si="415">N451*G451*E451</f>
        <v>3585068</v>
      </c>
      <c r="P451" s="569">
        <f t="shared" ref="P451:P459" si="416">K451/O451-1</f>
        <v>-2.3728420214065626E-2</v>
      </c>
      <c r="Q451" s="295">
        <f t="shared" si="364"/>
        <v>0</v>
      </c>
    </row>
    <row r="452" spans="2:17" ht="31.5" customHeight="1" x14ac:dyDescent="0.25">
      <c r="B452" s="595">
        <v>2</v>
      </c>
      <c r="C452" s="608" t="s">
        <v>1479</v>
      </c>
      <c r="D452" s="631" t="s">
        <v>396</v>
      </c>
      <c r="E452" s="134">
        <v>1</v>
      </c>
      <c r="F452" s="597">
        <v>900000</v>
      </c>
      <c r="G452" s="632">
        <v>1</v>
      </c>
      <c r="H452" s="571">
        <f t="shared" si="412"/>
        <v>900000</v>
      </c>
      <c r="I452" s="607">
        <v>0</v>
      </c>
      <c r="J452" s="597">
        <f t="shared" si="413"/>
        <v>900000</v>
      </c>
      <c r="K452" s="607">
        <f t="shared" si="414"/>
        <v>900000</v>
      </c>
      <c r="N452" s="568">
        <f>'3.1 Comparativo_Logística'!$M$20</f>
        <v>1176347</v>
      </c>
      <c r="O452" s="568">
        <f t="shared" si="415"/>
        <v>1176347</v>
      </c>
      <c r="P452" s="569">
        <f t="shared" si="416"/>
        <v>-0.23491962830695368</v>
      </c>
      <c r="Q452" s="295">
        <f t="shared" si="364"/>
        <v>0</v>
      </c>
    </row>
    <row r="453" spans="2:17" ht="37.5" customHeight="1" x14ac:dyDescent="0.25">
      <c r="B453" s="570">
        <v>3</v>
      </c>
      <c r="C453" s="608" t="s">
        <v>1433</v>
      </c>
      <c r="D453" s="611" t="s">
        <v>238</v>
      </c>
      <c r="E453" s="599">
        <v>3</v>
      </c>
      <c r="F453" s="600">
        <v>200000</v>
      </c>
      <c r="G453" s="633">
        <v>1</v>
      </c>
      <c r="H453" s="571">
        <f t="shared" si="412"/>
        <v>600000</v>
      </c>
      <c r="I453" s="607">
        <v>0</v>
      </c>
      <c r="J453" s="597">
        <f t="shared" si="413"/>
        <v>600000</v>
      </c>
      <c r="K453" s="607">
        <f t="shared" si="414"/>
        <v>600000</v>
      </c>
      <c r="N453" s="568">
        <f>'3.1 Comparativo_Logística'!$M$29</f>
        <v>249230</v>
      </c>
      <c r="O453" s="568">
        <f t="shared" si="415"/>
        <v>747690</v>
      </c>
      <c r="P453" s="569">
        <f t="shared" si="416"/>
        <v>-0.19752838743329459</v>
      </c>
      <c r="Q453" s="295">
        <f t="shared" si="364"/>
        <v>0</v>
      </c>
    </row>
    <row r="454" spans="2:17" ht="108" x14ac:dyDescent="0.25">
      <c r="B454" s="564">
        <v>4</v>
      </c>
      <c r="C454" s="618" t="s">
        <v>1385</v>
      </c>
      <c r="D454" s="613" t="s">
        <v>238</v>
      </c>
      <c r="E454" s="613">
        <v>1</v>
      </c>
      <c r="F454" s="617">
        <v>1600000</v>
      </c>
      <c r="G454" s="634">
        <v>1</v>
      </c>
      <c r="H454" s="571">
        <f t="shared" ref="H454:H458" si="417">E454*F454*G454</f>
        <v>1600000</v>
      </c>
      <c r="I454" s="607">
        <v>0</v>
      </c>
      <c r="J454" s="597">
        <f t="shared" si="413"/>
        <v>1600000</v>
      </c>
      <c r="K454" s="607">
        <f t="shared" si="414"/>
        <v>1600000</v>
      </c>
      <c r="N454" s="568">
        <f>'3.1 Comparativo_Logística'!$M$37</f>
        <v>2714721</v>
      </c>
      <c r="O454" s="568">
        <f t="shared" si="415"/>
        <v>2714721</v>
      </c>
      <c r="P454" s="569">
        <f t="shared" si="416"/>
        <v>-0.41062083359579127</v>
      </c>
      <c r="Q454" s="295">
        <f t="shared" si="364"/>
        <v>0</v>
      </c>
    </row>
    <row r="455" spans="2:17" ht="45" customHeight="1" x14ac:dyDescent="0.25">
      <c r="B455" s="570">
        <v>5</v>
      </c>
      <c r="C455" s="618" t="s">
        <v>1480</v>
      </c>
      <c r="D455" s="613" t="s">
        <v>396</v>
      </c>
      <c r="E455" s="613">
        <v>73</v>
      </c>
      <c r="F455" s="617">
        <v>32000</v>
      </c>
      <c r="G455" s="634">
        <v>1</v>
      </c>
      <c r="H455" s="571">
        <f t="shared" si="417"/>
        <v>2336000</v>
      </c>
      <c r="I455" s="607">
        <v>0</v>
      </c>
      <c r="J455" s="597">
        <f t="shared" si="413"/>
        <v>2336000</v>
      </c>
      <c r="K455" s="607">
        <f t="shared" si="414"/>
        <v>2336000</v>
      </c>
      <c r="N455" s="568">
        <f>'2.1 Comparativo_Alimentación'!$M$7</f>
        <v>33548</v>
      </c>
      <c r="O455" s="568">
        <f t="shared" si="415"/>
        <v>2449004</v>
      </c>
      <c r="P455" s="569">
        <f t="shared" si="416"/>
        <v>-4.6142840109693606E-2</v>
      </c>
      <c r="Q455" s="295">
        <f t="shared" si="364"/>
        <v>0</v>
      </c>
    </row>
    <row r="456" spans="2:17" ht="45" customHeight="1" x14ac:dyDescent="0.25">
      <c r="B456" s="564">
        <v>6</v>
      </c>
      <c r="C456" s="618" t="s">
        <v>1481</v>
      </c>
      <c r="D456" s="613" t="s">
        <v>396</v>
      </c>
      <c r="E456" s="613">
        <v>73</v>
      </c>
      <c r="F456" s="617">
        <v>70000</v>
      </c>
      <c r="G456" s="634">
        <v>1</v>
      </c>
      <c r="H456" s="571">
        <f t="shared" si="417"/>
        <v>5110000</v>
      </c>
      <c r="I456" s="607">
        <v>0</v>
      </c>
      <c r="J456" s="597">
        <f t="shared" si="413"/>
        <v>5110000</v>
      </c>
      <c r="K456" s="607">
        <f t="shared" si="414"/>
        <v>5110000</v>
      </c>
      <c r="N456" s="568">
        <f>'2.1 Comparativo_Alimentación'!$M$8</f>
        <v>70822</v>
      </c>
      <c r="O456" s="568">
        <f t="shared" si="415"/>
        <v>5170006</v>
      </c>
      <c r="P456" s="569">
        <f t="shared" si="416"/>
        <v>-1.1606562932422126E-2</v>
      </c>
      <c r="Q456" s="295">
        <f t="shared" si="364"/>
        <v>0</v>
      </c>
    </row>
    <row r="457" spans="2:17" ht="45" customHeight="1" x14ac:dyDescent="0.25">
      <c r="B457" s="570">
        <v>7</v>
      </c>
      <c r="C457" s="618" t="s">
        <v>1482</v>
      </c>
      <c r="D457" s="613" t="s">
        <v>396</v>
      </c>
      <c r="E457" s="613">
        <v>73</v>
      </c>
      <c r="F457" s="617">
        <v>32000</v>
      </c>
      <c r="G457" s="634">
        <v>1</v>
      </c>
      <c r="H457" s="571">
        <f t="shared" si="417"/>
        <v>2336000</v>
      </c>
      <c r="I457" s="607">
        <v>0</v>
      </c>
      <c r="J457" s="597">
        <f t="shared" si="413"/>
        <v>2336000</v>
      </c>
      <c r="K457" s="607">
        <f t="shared" si="414"/>
        <v>2336000</v>
      </c>
      <c r="N457" s="568">
        <f>'2.1 Comparativo_Alimentación'!$M$9</f>
        <v>33548</v>
      </c>
      <c r="O457" s="568">
        <f t="shared" si="415"/>
        <v>2449004</v>
      </c>
      <c r="P457" s="569">
        <f t="shared" si="416"/>
        <v>-4.6142840109693606E-2</v>
      </c>
      <c r="Q457" s="295">
        <f t="shared" si="364"/>
        <v>0</v>
      </c>
    </row>
    <row r="458" spans="2:17" ht="148.5" x14ac:dyDescent="0.25">
      <c r="B458" s="595">
        <v>8</v>
      </c>
      <c r="C458" s="615" t="s">
        <v>1391</v>
      </c>
      <c r="D458" s="619" t="s">
        <v>238</v>
      </c>
      <c r="E458" s="614">
        <v>1</v>
      </c>
      <c r="F458" s="600">
        <v>2000000</v>
      </c>
      <c r="G458" s="632">
        <v>1</v>
      </c>
      <c r="H458" s="571">
        <f t="shared" si="417"/>
        <v>2000000</v>
      </c>
      <c r="I458" s="607">
        <v>0</v>
      </c>
      <c r="J458" s="597">
        <f t="shared" si="413"/>
        <v>2000000</v>
      </c>
      <c r="K458" s="607">
        <f t="shared" si="414"/>
        <v>2000000</v>
      </c>
      <c r="N458" s="568">
        <f>'8.1 Comparativo_Tallerista'!$N$7</f>
        <v>2455526</v>
      </c>
      <c r="O458" s="568">
        <f t="shared" si="415"/>
        <v>2455526</v>
      </c>
      <c r="P458" s="569">
        <f t="shared" si="416"/>
        <v>-0.18551055863387311</v>
      </c>
      <c r="Q458" s="295">
        <f t="shared" si="364"/>
        <v>0</v>
      </c>
    </row>
    <row r="459" spans="2:17" ht="108" x14ac:dyDescent="0.25">
      <c r="B459" s="570">
        <v>9</v>
      </c>
      <c r="C459" s="618" t="s">
        <v>1393</v>
      </c>
      <c r="D459" s="619" t="s">
        <v>238</v>
      </c>
      <c r="E459" s="614">
        <v>1</v>
      </c>
      <c r="F459" s="620">
        <v>2500000</v>
      </c>
      <c r="G459" s="131">
        <v>1</v>
      </c>
      <c r="H459" s="571">
        <f>F459*E459*G459</f>
        <v>2500000</v>
      </c>
      <c r="I459" s="607">
        <v>0</v>
      </c>
      <c r="J459" s="597">
        <f t="shared" si="413"/>
        <v>2500000</v>
      </c>
      <c r="K459" s="607">
        <f t="shared" si="414"/>
        <v>2500000</v>
      </c>
      <c r="N459" s="568">
        <f>'9.1 Comparativo_Sabedor'!$N$7</f>
        <v>2829639</v>
      </c>
      <c r="O459" s="568">
        <f t="shared" si="415"/>
        <v>2829639</v>
      </c>
      <c r="P459" s="569">
        <f t="shared" si="416"/>
        <v>-0.11649507233961642</v>
      </c>
      <c r="Q459" s="295">
        <f t="shared" si="364"/>
        <v>0</v>
      </c>
    </row>
    <row r="460" spans="2:17" ht="94.5" x14ac:dyDescent="0.25">
      <c r="B460" s="570">
        <v>10</v>
      </c>
      <c r="C460" s="618" t="s">
        <v>1394</v>
      </c>
      <c r="D460" s="599" t="s">
        <v>1062</v>
      </c>
      <c r="E460" s="614">
        <v>1</v>
      </c>
      <c r="F460" s="600">
        <v>4000000</v>
      </c>
      <c r="G460" s="632">
        <v>1</v>
      </c>
      <c r="H460" s="571">
        <f>E460*F460*G460</f>
        <v>4000000</v>
      </c>
      <c r="I460" s="607">
        <v>0</v>
      </c>
      <c r="J460" s="597">
        <f t="shared" si="413"/>
        <v>4000000</v>
      </c>
      <c r="K460" s="607">
        <f t="shared" si="414"/>
        <v>4000000</v>
      </c>
      <c r="N460" s="568">
        <f>'6.1 Comparativo_Grupo_Armoniz'!$N$7</f>
        <v>6875473</v>
      </c>
      <c r="O460" s="568">
        <f t="shared" ref="O460" si="418">N460*G460*E460</f>
        <v>6875473</v>
      </c>
      <c r="P460" s="569">
        <f t="shared" ref="P460" si="419">K460/O460-1</f>
        <v>-0.41822184451891531</v>
      </c>
      <c r="Q460" s="295">
        <f t="shared" si="364"/>
        <v>0</v>
      </c>
    </row>
    <row r="461" spans="2:17" ht="94.5" x14ac:dyDescent="0.25">
      <c r="B461" s="595">
        <v>11</v>
      </c>
      <c r="C461" s="618" t="s">
        <v>1401</v>
      </c>
      <c r="D461" s="613" t="s">
        <v>238</v>
      </c>
      <c r="E461" s="621">
        <v>70</v>
      </c>
      <c r="F461" s="597">
        <v>500000</v>
      </c>
      <c r="G461" s="134">
        <v>3</v>
      </c>
      <c r="H461" s="622">
        <f t="shared" ref="H461:H463" si="420">F461*E461*G461</f>
        <v>105000000</v>
      </c>
      <c r="I461" s="607">
        <v>0</v>
      </c>
      <c r="J461" s="597">
        <f t="shared" si="413"/>
        <v>105000000</v>
      </c>
      <c r="K461" s="607">
        <f t="shared" si="414"/>
        <v>105000000</v>
      </c>
      <c r="N461" s="104">
        <f>'5.1 Comparativo_Viáticos'!$Q$19</f>
        <v>107257395</v>
      </c>
      <c r="O461" s="104">
        <f>N461</f>
        <v>107257395</v>
      </c>
      <c r="P461" s="438">
        <f>K461/O461-1</f>
        <v>-2.1046520848282735E-2</v>
      </c>
      <c r="Q461" s="295">
        <f t="shared" ref="Q461:Q524" si="421">+E461*F461*G461-H461</f>
        <v>0</v>
      </c>
    </row>
    <row r="462" spans="2:17" ht="45" customHeight="1" x14ac:dyDescent="0.25">
      <c r="B462" s="570">
        <v>12</v>
      </c>
      <c r="C462" s="618" t="s">
        <v>1392</v>
      </c>
      <c r="D462" s="613" t="s">
        <v>238</v>
      </c>
      <c r="E462" s="621">
        <v>3</v>
      </c>
      <c r="F462" s="617">
        <v>400000</v>
      </c>
      <c r="G462" s="134">
        <v>3</v>
      </c>
      <c r="H462" s="622">
        <f t="shared" si="420"/>
        <v>3600000</v>
      </c>
      <c r="I462" s="607">
        <v>0</v>
      </c>
      <c r="J462" s="597">
        <f t="shared" si="413"/>
        <v>3600000</v>
      </c>
      <c r="K462" s="607">
        <f t="shared" si="414"/>
        <v>3600000</v>
      </c>
      <c r="N462" s="568">
        <f>'5.1 Comparativo_Viáticos'!$Q$13</f>
        <v>4596746</v>
      </c>
      <c r="O462" s="568">
        <f>N462</f>
        <v>4596746</v>
      </c>
      <c r="P462" s="569">
        <f t="shared" ref="P462" si="422">K462/O462-1</f>
        <v>-0.21683730186527606</v>
      </c>
      <c r="Q462" s="295">
        <f t="shared" si="421"/>
        <v>0</v>
      </c>
    </row>
    <row r="463" spans="2:17" ht="36.75" customHeight="1" x14ac:dyDescent="0.25">
      <c r="B463" s="629">
        <v>13</v>
      </c>
      <c r="C463" s="624" t="s">
        <v>1425</v>
      </c>
      <c r="D463" s="613" t="s">
        <v>238</v>
      </c>
      <c r="E463" s="639">
        <v>3</v>
      </c>
      <c r="F463" s="617">
        <v>1000000</v>
      </c>
      <c r="G463" s="621">
        <v>2</v>
      </c>
      <c r="H463" s="622">
        <f t="shared" si="420"/>
        <v>6000000</v>
      </c>
      <c r="I463" s="607">
        <v>0</v>
      </c>
      <c r="J463" s="597">
        <f t="shared" si="413"/>
        <v>6000000</v>
      </c>
      <c r="K463" s="607">
        <f t="shared" si="414"/>
        <v>6000000</v>
      </c>
      <c r="N463" s="568">
        <f>'4.1 Comparativo_Transporte'!$N$27</f>
        <v>1188475</v>
      </c>
      <c r="O463" s="568">
        <f t="shared" ref="O463:O464" si="423">N463*G463*E463</f>
        <v>7130850</v>
      </c>
      <c r="P463" s="569">
        <f t="shared" ref="P463:P465" si="424">K463/O463-1</f>
        <v>-0.15858558236395381</v>
      </c>
      <c r="Q463" s="295">
        <f t="shared" si="421"/>
        <v>0</v>
      </c>
    </row>
    <row r="464" spans="2:17" ht="93" customHeight="1" x14ac:dyDescent="0.25">
      <c r="B464" s="595">
        <v>14</v>
      </c>
      <c r="C464" s="608" t="s">
        <v>1483</v>
      </c>
      <c r="D464" s="605" t="s">
        <v>396</v>
      </c>
      <c r="E464" s="640">
        <v>70</v>
      </c>
      <c r="F464" s="617">
        <v>100000</v>
      </c>
      <c r="G464" s="640">
        <v>1</v>
      </c>
      <c r="H464" s="567">
        <f>E464*F464*G464</f>
        <v>7000000</v>
      </c>
      <c r="I464" s="607">
        <v>0</v>
      </c>
      <c r="J464" s="597">
        <f t="shared" si="413"/>
        <v>7000000</v>
      </c>
      <c r="K464" s="607">
        <f t="shared" si="414"/>
        <v>7000000</v>
      </c>
      <c r="N464" s="568">
        <f>'7.1 Comparativo_Kit_Herrami'!$N$7</f>
        <v>102170</v>
      </c>
      <c r="O464" s="568">
        <f t="shared" si="423"/>
        <v>7151900</v>
      </c>
      <c r="P464" s="569">
        <f t="shared" si="424"/>
        <v>-2.1239111285113021E-2</v>
      </c>
      <c r="Q464" s="295">
        <f t="shared" si="421"/>
        <v>0</v>
      </c>
    </row>
    <row r="465" spans="2:17" ht="15.75" customHeight="1" x14ac:dyDescent="0.25">
      <c r="B465" s="809" t="s">
        <v>419</v>
      </c>
      <c r="C465" s="786"/>
      <c r="D465" s="786"/>
      <c r="E465" s="787"/>
      <c r="F465" s="643">
        <f>SUM(F451:F464)</f>
        <v>16834000</v>
      </c>
      <c r="G465" s="641"/>
      <c r="H465" s="644">
        <f t="shared" ref="H465:K465" si="425">SUM(H451:H464)</f>
        <v>146482000</v>
      </c>
      <c r="I465" s="642">
        <f t="shared" si="425"/>
        <v>0</v>
      </c>
      <c r="J465" s="642">
        <f t="shared" si="425"/>
        <v>146482000</v>
      </c>
      <c r="K465" s="642">
        <f t="shared" si="425"/>
        <v>146482000</v>
      </c>
      <c r="N465" s="642">
        <f t="shared" ref="N465:O465" si="426">SUM(N451:N464)</f>
        <v>133168708</v>
      </c>
      <c r="O465" s="642">
        <f t="shared" si="426"/>
        <v>156589369</v>
      </c>
      <c r="P465" s="569">
        <f t="shared" si="424"/>
        <v>-6.4546968063968646E-2</v>
      </c>
      <c r="Q465" s="295"/>
    </row>
    <row r="466" spans="2:17" ht="15.75" customHeight="1" x14ac:dyDescent="0.25">
      <c r="B466" s="784" t="s">
        <v>1484</v>
      </c>
      <c r="C466" s="782"/>
      <c r="D466" s="782"/>
      <c r="E466" s="782"/>
      <c r="F466" s="782"/>
      <c r="G466" s="782"/>
      <c r="H466" s="782"/>
      <c r="I466" s="782"/>
      <c r="J466" s="782"/>
      <c r="K466" s="783"/>
      <c r="Q466" s="295">
        <f t="shared" si="421"/>
        <v>0</v>
      </c>
    </row>
    <row r="467" spans="2:17" ht="49.5" customHeight="1" x14ac:dyDescent="0.25">
      <c r="B467" s="593">
        <v>1</v>
      </c>
      <c r="C467" s="608" t="s">
        <v>1485</v>
      </c>
      <c r="D467" s="131" t="s">
        <v>1061</v>
      </c>
      <c r="E467" s="131">
        <v>1</v>
      </c>
      <c r="F467" s="594">
        <v>3500000</v>
      </c>
      <c r="G467" s="630">
        <v>1</v>
      </c>
      <c r="H467" s="567">
        <f t="shared" ref="H467:H469" si="427">F467*E467*G467</f>
        <v>3500000</v>
      </c>
      <c r="I467" s="607">
        <v>0</v>
      </c>
      <c r="J467" s="597">
        <f t="shared" ref="J467:J480" si="428">H467</f>
        <v>3500000</v>
      </c>
      <c r="K467" s="607">
        <f t="shared" ref="K467:K480" si="429">I467+J467</f>
        <v>3500000</v>
      </c>
      <c r="N467" s="568">
        <f>'3.1 Comparativo_Logística'!$M$7</f>
        <v>3585068</v>
      </c>
      <c r="O467" s="568">
        <f t="shared" ref="O467:O475" si="430">N467*G467*E467</f>
        <v>3585068</v>
      </c>
      <c r="P467" s="569">
        <f t="shared" ref="P467:P475" si="431">K467/O467-1</f>
        <v>-2.3728420214065626E-2</v>
      </c>
      <c r="Q467" s="295">
        <f t="shared" si="421"/>
        <v>0</v>
      </c>
    </row>
    <row r="468" spans="2:17" ht="33.75" customHeight="1" x14ac:dyDescent="0.25">
      <c r="B468" s="595">
        <v>2</v>
      </c>
      <c r="C468" s="608" t="s">
        <v>1416</v>
      </c>
      <c r="D468" s="631" t="s">
        <v>396</v>
      </c>
      <c r="E468" s="134">
        <v>1</v>
      </c>
      <c r="F468" s="597">
        <v>900000</v>
      </c>
      <c r="G468" s="632">
        <v>1</v>
      </c>
      <c r="H468" s="571">
        <f t="shared" si="427"/>
        <v>900000</v>
      </c>
      <c r="I468" s="607">
        <v>0</v>
      </c>
      <c r="J468" s="597">
        <f t="shared" si="428"/>
        <v>900000</v>
      </c>
      <c r="K468" s="607">
        <f t="shared" si="429"/>
        <v>900000</v>
      </c>
      <c r="N468" s="568">
        <f>'3.1 Comparativo_Logística'!$M$20</f>
        <v>1176347</v>
      </c>
      <c r="O468" s="568">
        <f t="shared" si="430"/>
        <v>1176347</v>
      </c>
      <c r="P468" s="569">
        <f t="shared" si="431"/>
        <v>-0.23491962830695368</v>
      </c>
      <c r="Q468" s="295">
        <f t="shared" si="421"/>
        <v>0</v>
      </c>
    </row>
    <row r="469" spans="2:17" ht="40.5" customHeight="1" x14ac:dyDescent="0.25">
      <c r="B469" s="570">
        <v>3</v>
      </c>
      <c r="C469" s="608" t="s">
        <v>1417</v>
      </c>
      <c r="D469" s="611" t="s">
        <v>238</v>
      </c>
      <c r="E469" s="599">
        <v>2</v>
      </c>
      <c r="F469" s="600">
        <v>200000</v>
      </c>
      <c r="G469" s="633">
        <v>1</v>
      </c>
      <c r="H469" s="571">
        <f t="shared" si="427"/>
        <v>400000</v>
      </c>
      <c r="I469" s="607">
        <v>0</v>
      </c>
      <c r="J469" s="597">
        <f t="shared" si="428"/>
        <v>400000</v>
      </c>
      <c r="K469" s="607">
        <f t="shared" si="429"/>
        <v>400000</v>
      </c>
      <c r="N469" s="568">
        <f>'3.1 Comparativo_Logística'!$M$29</f>
        <v>249230</v>
      </c>
      <c r="O469" s="568">
        <f t="shared" si="430"/>
        <v>498460</v>
      </c>
      <c r="P469" s="569">
        <f t="shared" si="431"/>
        <v>-0.19752838743329459</v>
      </c>
      <c r="Q469" s="295">
        <f t="shared" si="421"/>
        <v>0</v>
      </c>
    </row>
    <row r="470" spans="2:17" ht="108" x14ac:dyDescent="0.25">
      <c r="B470" s="564">
        <v>4</v>
      </c>
      <c r="C470" s="618" t="s">
        <v>1385</v>
      </c>
      <c r="D470" s="613" t="s">
        <v>238</v>
      </c>
      <c r="E470" s="613">
        <v>1</v>
      </c>
      <c r="F470" s="617">
        <v>1600000</v>
      </c>
      <c r="G470" s="634">
        <v>1</v>
      </c>
      <c r="H470" s="571">
        <f t="shared" ref="H470:H474" si="432">E470*F470*G470</f>
        <v>1600000</v>
      </c>
      <c r="I470" s="607">
        <v>0</v>
      </c>
      <c r="J470" s="597">
        <f t="shared" si="428"/>
        <v>1600000</v>
      </c>
      <c r="K470" s="607">
        <f t="shared" si="429"/>
        <v>1600000</v>
      </c>
      <c r="N470" s="568">
        <f>'3.1 Comparativo_Logística'!$M$37</f>
        <v>2714721</v>
      </c>
      <c r="O470" s="568">
        <f t="shared" si="430"/>
        <v>2714721</v>
      </c>
      <c r="P470" s="569">
        <f t="shared" si="431"/>
        <v>-0.41062083359579127</v>
      </c>
      <c r="Q470" s="295">
        <f t="shared" si="421"/>
        <v>0</v>
      </c>
    </row>
    <row r="471" spans="2:17" ht="45" customHeight="1" x14ac:dyDescent="0.25">
      <c r="B471" s="570">
        <v>5</v>
      </c>
      <c r="C471" s="618" t="s">
        <v>1418</v>
      </c>
      <c r="D471" s="613" t="s">
        <v>396</v>
      </c>
      <c r="E471" s="613">
        <v>53</v>
      </c>
      <c r="F471" s="617">
        <v>32000</v>
      </c>
      <c r="G471" s="634">
        <v>1</v>
      </c>
      <c r="H471" s="571">
        <f t="shared" si="432"/>
        <v>1696000</v>
      </c>
      <c r="I471" s="607">
        <v>0</v>
      </c>
      <c r="J471" s="597">
        <f t="shared" si="428"/>
        <v>1696000</v>
      </c>
      <c r="K471" s="607">
        <f t="shared" si="429"/>
        <v>1696000</v>
      </c>
      <c r="N471" s="568">
        <f>'2.1 Comparativo_Alimentación'!$M$7</f>
        <v>33548</v>
      </c>
      <c r="O471" s="568">
        <f t="shared" si="430"/>
        <v>1778044</v>
      </c>
      <c r="P471" s="569">
        <f t="shared" si="431"/>
        <v>-4.6142840109693606E-2</v>
      </c>
      <c r="Q471" s="295">
        <f t="shared" si="421"/>
        <v>0</v>
      </c>
    </row>
    <row r="472" spans="2:17" ht="45" customHeight="1" x14ac:dyDescent="0.25">
      <c r="B472" s="564">
        <v>6</v>
      </c>
      <c r="C472" s="618" t="s">
        <v>1419</v>
      </c>
      <c r="D472" s="613" t="s">
        <v>396</v>
      </c>
      <c r="E472" s="613">
        <v>53</v>
      </c>
      <c r="F472" s="617">
        <v>70000</v>
      </c>
      <c r="G472" s="634">
        <v>1</v>
      </c>
      <c r="H472" s="571">
        <f t="shared" si="432"/>
        <v>3710000</v>
      </c>
      <c r="I472" s="607">
        <v>0</v>
      </c>
      <c r="J472" s="597">
        <f t="shared" si="428"/>
        <v>3710000</v>
      </c>
      <c r="K472" s="607">
        <f t="shared" si="429"/>
        <v>3710000</v>
      </c>
      <c r="N472" s="568">
        <f>'2.1 Comparativo_Alimentación'!$M$8</f>
        <v>70822</v>
      </c>
      <c r="O472" s="568">
        <f t="shared" si="430"/>
        <v>3753566</v>
      </c>
      <c r="P472" s="569">
        <f t="shared" si="431"/>
        <v>-1.1606562932422126E-2</v>
      </c>
      <c r="Q472" s="295">
        <f t="shared" si="421"/>
        <v>0</v>
      </c>
    </row>
    <row r="473" spans="2:17" ht="45" customHeight="1" x14ac:dyDescent="0.25">
      <c r="B473" s="570">
        <v>7</v>
      </c>
      <c r="C473" s="618" t="s">
        <v>1420</v>
      </c>
      <c r="D473" s="613" t="s">
        <v>396</v>
      </c>
      <c r="E473" s="613">
        <v>53</v>
      </c>
      <c r="F473" s="617">
        <v>32000</v>
      </c>
      <c r="G473" s="634">
        <v>1</v>
      </c>
      <c r="H473" s="571">
        <f t="shared" si="432"/>
        <v>1696000</v>
      </c>
      <c r="I473" s="607">
        <v>0</v>
      </c>
      <c r="J473" s="597">
        <f t="shared" si="428"/>
        <v>1696000</v>
      </c>
      <c r="K473" s="607">
        <f t="shared" si="429"/>
        <v>1696000</v>
      </c>
      <c r="N473" s="568">
        <f>'2.1 Comparativo_Alimentación'!$M$9</f>
        <v>33548</v>
      </c>
      <c r="O473" s="568">
        <f t="shared" si="430"/>
        <v>1778044</v>
      </c>
      <c r="P473" s="569">
        <f t="shared" si="431"/>
        <v>-4.6142840109693606E-2</v>
      </c>
      <c r="Q473" s="295">
        <f t="shared" si="421"/>
        <v>0</v>
      </c>
    </row>
    <row r="474" spans="2:17" ht="148.5" x14ac:dyDescent="0.25">
      <c r="B474" s="595">
        <v>8</v>
      </c>
      <c r="C474" s="615" t="s">
        <v>1391</v>
      </c>
      <c r="D474" s="619" t="s">
        <v>238</v>
      </c>
      <c r="E474" s="614">
        <v>1</v>
      </c>
      <c r="F474" s="600">
        <v>2000000</v>
      </c>
      <c r="G474" s="632">
        <v>1</v>
      </c>
      <c r="H474" s="571">
        <f t="shared" si="432"/>
        <v>2000000</v>
      </c>
      <c r="I474" s="607">
        <v>0</v>
      </c>
      <c r="J474" s="597">
        <f t="shared" si="428"/>
        <v>2000000</v>
      </c>
      <c r="K474" s="607">
        <f t="shared" si="429"/>
        <v>2000000</v>
      </c>
      <c r="N474" s="568">
        <f>'8.1 Comparativo_Tallerista'!$N$7</f>
        <v>2455526</v>
      </c>
      <c r="O474" s="568">
        <f t="shared" si="430"/>
        <v>2455526</v>
      </c>
      <c r="P474" s="569">
        <f t="shared" si="431"/>
        <v>-0.18551055863387311</v>
      </c>
      <c r="Q474" s="295">
        <f t="shared" si="421"/>
        <v>0</v>
      </c>
    </row>
    <row r="475" spans="2:17" ht="108" x14ac:dyDescent="0.25">
      <c r="B475" s="570">
        <v>9</v>
      </c>
      <c r="C475" s="618" t="s">
        <v>1393</v>
      </c>
      <c r="D475" s="619" t="s">
        <v>238</v>
      </c>
      <c r="E475" s="614">
        <v>1</v>
      </c>
      <c r="F475" s="620">
        <v>2500000</v>
      </c>
      <c r="G475" s="131">
        <v>1</v>
      </c>
      <c r="H475" s="571">
        <f>F475*E475*G475</f>
        <v>2500000</v>
      </c>
      <c r="I475" s="607">
        <v>0</v>
      </c>
      <c r="J475" s="597">
        <f t="shared" si="428"/>
        <v>2500000</v>
      </c>
      <c r="K475" s="607">
        <f t="shared" si="429"/>
        <v>2500000</v>
      </c>
      <c r="N475" s="568">
        <f>'9.1 Comparativo_Sabedor'!$N$7</f>
        <v>2829639</v>
      </c>
      <c r="O475" s="568">
        <f t="shared" si="430"/>
        <v>2829639</v>
      </c>
      <c r="P475" s="569">
        <f t="shared" si="431"/>
        <v>-0.11649507233961642</v>
      </c>
      <c r="Q475" s="295">
        <f t="shared" si="421"/>
        <v>0</v>
      </c>
    </row>
    <row r="476" spans="2:17" ht="94.5" x14ac:dyDescent="0.25">
      <c r="B476" s="570">
        <v>10</v>
      </c>
      <c r="C476" s="618" t="s">
        <v>1394</v>
      </c>
      <c r="D476" s="599" t="s">
        <v>1062</v>
      </c>
      <c r="E476" s="614">
        <v>1</v>
      </c>
      <c r="F476" s="600">
        <v>4000000</v>
      </c>
      <c r="G476" s="632">
        <v>1</v>
      </c>
      <c r="H476" s="571">
        <f>E476*F476*G476</f>
        <v>4000000</v>
      </c>
      <c r="I476" s="607">
        <v>0</v>
      </c>
      <c r="J476" s="597">
        <f t="shared" si="428"/>
        <v>4000000</v>
      </c>
      <c r="K476" s="607">
        <f t="shared" si="429"/>
        <v>4000000</v>
      </c>
      <c r="N476" s="568">
        <f>'6.1 Comparativo_Grupo_Armoniz'!$N$7</f>
        <v>6875473</v>
      </c>
      <c r="O476" s="568">
        <f t="shared" ref="O476" si="433">N476*G476*E476</f>
        <v>6875473</v>
      </c>
      <c r="P476" s="569">
        <f t="shared" ref="P476" si="434">K476/O476-1</f>
        <v>-0.41822184451891531</v>
      </c>
      <c r="Q476" s="295">
        <f t="shared" si="421"/>
        <v>0</v>
      </c>
    </row>
    <row r="477" spans="2:17" ht="94.5" x14ac:dyDescent="0.25">
      <c r="B477" s="595">
        <v>11</v>
      </c>
      <c r="C477" s="618" t="s">
        <v>1429</v>
      </c>
      <c r="D477" s="613" t="s">
        <v>238</v>
      </c>
      <c r="E477" s="621">
        <v>50</v>
      </c>
      <c r="F477" s="597">
        <v>500000</v>
      </c>
      <c r="G477" s="134">
        <v>3</v>
      </c>
      <c r="H477" s="622">
        <f t="shared" ref="H477:H479" si="435">F477*E477*G477</f>
        <v>75000000</v>
      </c>
      <c r="I477" s="607">
        <v>0</v>
      </c>
      <c r="J477" s="597">
        <f t="shared" si="428"/>
        <v>75000000</v>
      </c>
      <c r="K477" s="607">
        <f t="shared" si="429"/>
        <v>75000000</v>
      </c>
      <c r="N477" s="104">
        <f>'5.1 Comparativo_Viáticos'!$Q$15</f>
        <v>76612425</v>
      </c>
      <c r="O477" s="104">
        <f>N477</f>
        <v>76612425</v>
      </c>
      <c r="P477" s="438">
        <f>K477/O477-1</f>
        <v>-2.1046520848282735E-2</v>
      </c>
      <c r="Q477" s="295">
        <f t="shared" si="421"/>
        <v>0</v>
      </c>
    </row>
    <row r="478" spans="2:17" ht="52.5" customHeight="1" x14ac:dyDescent="0.25">
      <c r="B478" s="570">
        <v>12</v>
      </c>
      <c r="C478" s="618" t="s">
        <v>1392</v>
      </c>
      <c r="D478" s="613" t="s">
        <v>238</v>
      </c>
      <c r="E478" s="621">
        <v>3</v>
      </c>
      <c r="F478" s="617">
        <v>400000</v>
      </c>
      <c r="G478" s="134">
        <v>3</v>
      </c>
      <c r="H478" s="622">
        <f t="shared" si="435"/>
        <v>3600000</v>
      </c>
      <c r="I478" s="607">
        <v>0</v>
      </c>
      <c r="J478" s="597">
        <f t="shared" si="428"/>
        <v>3600000</v>
      </c>
      <c r="K478" s="607">
        <f t="shared" si="429"/>
        <v>3600000</v>
      </c>
      <c r="N478" s="568">
        <f>'5.1 Comparativo_Viáticos'!$Q$13</f>
        <v>4596746</v>
      </c>
      <c r="O478" s="568">
        <f>N478</f>
        <v>4596746</v>
      </c>
      <c r="P478" s="569">
        <f t="shared" ref="P478" si="436">K478/O478-1</f>
        <v>-0.21683730186527606</v>
      </c>
      <c r="Q478" s="295">
        <f t="shared" si="421"/>
        <v>0</v>
      </c>
    </row>
    <row r="479" spans="2:17" ht="94.5" x14ac:dyDescent="0.25">
      <c r="B479" s="629">
        <v>13</v>
      </c>
      <c r="C479" s="624" t="s">
        <v>1425</v>
      </c>
      <c r="D479" s="613" t="s">
        <v>238</v>
      </c>
      <c r="E479" s="639">
        <v>3</v>
      </c>
      <c r="F479" s="617">
        <v>1000000</v>
      </c>
      <c r="G479" s="621">
        <v>2</v>
      </c>
      <c r="H479" s="622">
        <f t="shared" si="435"/>
        <v>6000000</v>
      </c>
      <c r="I479" s="607">
        <v>0</v>
      </c>
      <c r="J479" s="597">
        <f t="shared" si="428"/>
        <v>6000000</v>
      </c>
      <c r="K479" s="607">
        <f t="shared" si="429"/>
        <v>6000000</v>
      </c>
      <c r="N479" s="568">
        <f>'4.1 Comparativo_Transporte'!$N$27</f>
        <v>1188475</v>
      </c>
      <c r="O479" s="568">
        <f t="shared" ref="O479:O480" si="437">N479*G479*E479</f>
        <v>7130850</v>
      </c>
      <c r="P479" s="569">
        <f t="shared" ref="P479:P481" si="438">K479/O479-1</f>
        <v>-0.15858558236395381</v>
      </c>
      <c r="Q479" s="295">
        <f t="shared" si="421"/>
        <v>0</v>
      </c>
    </row>
    <row r="480" spans="2:17" ht="93" customHeight="1" x14ac:dyDescent="0.25">
      <c r="B480" s="595">
        <v>14</v>
      </c>
      <c r="C480" s="608" t="s">
        <v>1468</v>
      </c>
      <c r="D480" s="605" t="s">
        <v>396</v>
      </c>
      <c r="E480" s="640">
        <v>50</v>
      </c>
      <c r="F480" s="617">
        <v>100000</v>
      </c>
      <c r="G480" s="640">
        <v>1</v>
      </c>
      <c r="H480" s="567">
        <f>E480*F480*G480</f>
        <v>5000000</v>
      </c>
      <c r="I480" s="607">
        <v>0</v>
      </c>
      <c r="J480" s="597">
        <f t="shared" si="428"/>
        <v>5000000</v>
      </c>
      <c r="K480" s="607">
        <f t="shared" si="429"/>
        <v>5000000</v>
      </c>
      <c r="N480" s="568">
        <f>'7.1 Comparativo_Kit_Herrami'!$N$7</f>
        <v>102170</v>
      </c>
      <c r="O480" s="568">
        <f t="shared" si="437"/>
        <v>5108500</v>
      </c>
      <c r="P480" s="569">
        <f t="shared" si="438"/>
        <v>-2.1239111285113021E-2</v>
      </c>
      <c r="Q480" s="295">
        <f t="shared" si="421"/>
        <v>0</v>
      </c>
    </row>
    <row r="481" spans="2:17" ht="15" customHeight="1" x14ac:dyDescent="0.25">
      <c r="B481" s="815" t="s">
        <v>420</v>
      </c>
      <c r="C481" s="794"/>
      <c r="D481" s="794"/>
      <c r="E481" s="795"/>
      <c r="F481" s="643">
        <f>SUM(F467:F480)</f>
        <v>16834000</v>
      </c>
      <c r="G481" s="641"/>
      <c r="H481" s="643">
        <f t="shared" ref="H481:K481" si="439">SUM(H467:H480)</f>
        <v>111602000</v>
      </c>
      <c r="I481" s="642">
        <f t="shared" si="439"/>
        <v>0</v>
      </c>
      <c r="J481" s="642">
        <f t="shared" si="439"/>
        <v>111602000</v>
      </c>
      <c r="K481" s="642">
        <f t="shared" si="439"/>
        <v>111602000</v>
      </c>
      <c r="N481" s="642">
        <f t="shared" ref="N481:O481" si="440">SUM(N467:N480)</f>
        <v>102523738</v>
      </c>
      <c r="O481" s="642">
        <f t="shared" si="440"/>
        <v>120893409</v>
      </c>
      <c r="P481" s="569">
        <f t="shared" si="438"/>
        <v>-7.6856208099814638E-2</v>
      </c>
      <c r="Q481" s="295"/>
    </row>
    <row r="482" spans="2:17" ht="15.75" customHeight="1" x14ac:dyDescent="0.25">
      <c r="B482" s="784" t="s">
        <v>1486</v>
      </c>
      <c r="C482" s="782"/>
      <c r="D482" s="782"/>
      <c r="E482" s="782"/>
      <c r="F482" s="782"/>
      <c r="G482" s="782"/>
      <c r="H482" s="782"/>
      <c r="I482" s="782"/>
      <c r="J482" s="782"/>
      <c r="K482" s="783"/>
      <c r="Q482" s="295">
        <f t="shared" si="421"/>
        <v>0</v>
      </c>
    </row>
    <row r="483" spans="2:17" ht="52.5" customHeight="1" x14ac:dyDescent="0.25">
      <c r="B483" s="593">
        <v>1</v>
      </c>
      <c r="C483" s="608" t="s">
        <v>1487</v>
      </c>
      <c r="D483" s="131" t="s">
        <v>1061</v>
      </c>
      <c r="E483" s="131">
        <v>1</v>
      </c>
      <c r="F483" s="594">
        <v>3500000</v>
      </c>
      <c r="G483" s="630">
        <v>1</v>
      </c>
      <c r="H483" s="567">
        <f t="shared" ref="H483:H485" si="441">F483*E483*G483</f>
        <v>3500000</v>
      </c>
      <c r="I483" s="607">
        <v>0</v>
      </c>
      <c r="J483" s="597">
        <f t="shared" ref="J483:J496" si="442">H483</f>
        <v>3500000</v>
      </c>
      <c r="K483" s="607">
        <f t="shared" ref="K483:K496" si="443">I483+J483</f>
        <v>3500000</v>
      </c>
      <c r="N483" s="568">
        <f>'3.1 Comparativo_Logística'!$M$7</f>
        <v>3585068</v>
      </c>
      <c r="O483" s="568">
        <f t="shared" ref="O483:O491" si="444">N483*G483*E483</f>
        <v>3585068</v>
      </c>
      <c r="P483" s="569">
        <f t="shared" ref="P483:P491" si="445">K483/O483-1</f>
        <v>-2.3728420214065626E-2</v>
      </c>
      <c r="Q483" s="295">
        <f t="shared" si="421"/>
        <v>0</v>
      </c>
    </row>
    <row r="484" spans="2:17" ht="36" customHeight="1" x14ac:dyDescent="0.25">
      <c r="B484" s="595">
        <v>2</v>
      </c>
      <c r="C484" s="608" t="s">
        <v>1416</v>
      </c>
      <c r="D484" s="631" t="s">
        <v>396</v>
      </c>
      <c r="E484" s="134">
        <v>1</v>
      </c>
      <c r="F484" s="597">
        <v>900000</v>
      </c>
      <c r="G484" s="632">
        <v>1</v>
      </c>
      <c r="H484" s="571">
        <f t="shared" si="441"/>
        <v>900000</v>
      </c>
      <c r="I484" s="607">
        <v>0</v>
      </c>
      <c r="J484" s="597">
        <f t="shared" si="442"/>
        <v>900000</v>
      </c>
      <c r="K484" s="607">
        <f t="shared" si="443"/>
        <v>900000</v>
      </c>
      <c r="N484" s="568">
        <f>'3.1 Comparativo_Logística'!$M$20</f>
        <v>1176347</v>
      </c>
      <c r="O484" s="568">
        <f t="shared" si="444"/>
        <v>1176347</v>
      </c>
      <c r="P484" s="569">
        <f t="shared" si="445"/>
        <v>-0.23491962830695368</v>
      </c>
      <c r="Q484" s="295">
        <f t="shared" si="421"/>
        <v>0</v>
      </c>
    </row>
    <row r="485" spans="2:17" ht="42" customHeight="1" x14ac:dyDescent="0.25">
      <c r="B485" s="570">
        <v>3</v>
      </c>
      <c r="C485" s="608" t="s">
        <v>1417</v>
      </c>
      <c r="D485" s="611" t="s">
        <v>238</v>
      </c>
      <c r="E485" s="599">
        <v>2</v>
      </c>
      <c r="F485" s="600">
        <v>200000</v>
      </c>
      <c r="G485" s="633">
        <v>1</v>
      </c>
      <c r="H485" s="571">
        <f t="shared" si="441"/>
        <v>400000</v>
      </c>
      <c r="I485" s="607">
        <v>0</v>
      </c>
      <c r="J485" s="597">
        <f t="shared" si="442"/>
        <v>400000</v>
      </c>
      <c r="K485" s="607">
        <f t="shared" si="443"/>
        <v>400000</v>
      </c>
      <c r="N485" s="568">
        <f>'3.1 Comparativo_Logística'!$M$29</f>
        <v>249230</v>
      </c>
      <c r="O485" s="568">
        <f t="shared" si="444"/>
        <v>498460</v>
      </c>
      <c r="P485" s="569">
        <f t="shared" si="445"/>
        <v>-0.19752838743329459</v>
      </c>
      <c r="Q485" s="295">
        <f t="shared" si="421"/>
        <v>0</v>
      </c>
    </row>
    <row r="486" spans="2:17" ht="108" x14ac:dyDescent="0.25">
      <c r="B486" s="564">
        <v>4</v>
      </c>
      <c r="C486" s="618" t="s">
        <v>1385</v>
      </c>
      <c r="D486" s="613" t="s">
        <v>238</v>
      </c>
      <c r="E486" s="613">
        <v>1</v>
      </c>
      <c r="F486" s="617">
        <v>1600000</v>
      </c>
      <c r="G486" s="634">
        <v>1</v>
      </c>
      <c r="H486" s="571">
        <f t="shared" ref="H486:H490" si="446">E486*F486*G486</f>
        <v>1600000</v>
      </c>
      <c r="I486" s="607">
        <v>0</v>
      </c>
      <c r="J486" s="597">
        <f t="shared" si="442"/>
        <v>1600000</v>
      </c>
      <c r="K486" s="607">
        <f t="shared" si="443"/>
        <v>1600000</v>
      </c>
      <c r="N486" s="568">
        <f>'3.1 Comparativo_Logística'!$M$37</f>
        <v>2714721</v>
      </c>
      <c r="O486" s="568">
        <f t="shared" si="444"/>
        <v>2714721</v>
      </c>
      <c r="P486" s="569">
        <f t="shared" si="445"/>
        <v>-0.41062083359579127</v>
      </c>
      <c r="Q486" s="295">
        <f t="shared" si="421"/>
        <v>0</v>
      </c>
    </row>
    <row r="487" spans="2:17" ht="51.75" customHeight="1" x14ac:dyDescent="0.25">
      <c r="B487" s="570">
        <v>5</v>
      </c>
      <c r="C487" s="618" t="s">
        <v>1418</v>
      </c>
      <c r="D487" s="613" t="s">
        <v>396</v>
      </c>
      <c r="E487" s="613">
        <v>53</v>
      </c>
      <c r="F487" s="617">
        <v>32000</v>
      </c>
      <c r="G487" s="634">
        <v>1</v>
      </c>
      <c r="H487" s="571">
        <f t="shared" si="446"/>
        <v>1696000</v>
      </c>
      <c r="I487" s="607">
        <v>0</v>
      </c>
      <c r="J487" s="597">
        <f t="shared" si="442"/>
        <v>1696000</v>
      </c>
      <c r="K487" s="607">
        <f t="shared" si="443"/>
        <v>1696000</v>
      </c>
      <c r="N487" s="568">
        <f>'2.1 Comparativo_Alimentación'!$M$7</f>
        <v>33548</v>
      </c>
      <c r="O487" s="568">
        <f t="shared" si="444"/>
        <v>1778044</v>
      </c>
      <c r="P487" s="569">
        <f t="shared" si="445"/>
        <v>-4.6142840109693606E-2</v>
      </c>
      <c r="Q487" s="295">
        <f t="shared" si="421"/>
        <v>0</v>
      </c>
    </row>
    <row r="488" spans="2:17" ht="45" customHeight="1" x14ac:dyDescent="0.25">
      <c r="B488" s="564">
        <v>6</v>
      </c>
      <c r="C488" s="618" t="s">
        <v>1419</v>
      </c>
      <c r="D488" s="613" t="s">
        <v>396</v>
      </c>
      <c r="E488" s="613">
        <v>53</v>
      </c>
      <c r="F488" s="617">
        <v>70000</v>
      </c>
      <c r="G488" s="634">
        <v>1</v>
      </c>
      <c r="H488" s="571">
        <f t="shared" si="446"/>
        <v>3710000</v>
      </c>
      <c r="I488" s="607">
        <v>0</v>
      </c>
      <c r="J488" s="597">
        <f t="shared" si="442"/>
        <v>3710000</v>
      </c>
      <c r="K488" s="607">
        <f t="shared" si="443"/>
        <v>3710000</v>
      </c>
      <c r="N488" s="568">
        <f>'2.1 Comparativo_Alimentación'!$M$8</f>
        <v>70822</v>
      </c>
      <c r="O488" s="568">
        <f t="shared" si="444"/>
        <v>3753566</v>
      </c>
      <c r="P488" s="569">
        <f t="shared" si="445"/>
        <v>-1.1606562932422126E-2</v>
      </c>
      <c r="Q488" s="295">
        <f t="shared" si="421"/>
        <v>0</v>
      </c>
    </row>
    <row r="489" spans="2:17" ht="45" customHeight="1" x14ac:dyDescent="0.25">
      <c r="B489" s="570">
        <v>7</v>
      </c>
      <c r="C489" s="618" t="s">
        <v>1420</v>
      </c>
      <c r="D489" s="613" t="s">
        <v>396</v>
      </c>
      <c r="E489" s="613">
        <v>53</v>
      </c>
      <c r="F489" s="617">
        <v>32000</v>
      </c>
      <c r="G489" s="634">
        <v>1</v>
      </c>
      <c r="H489" s="571">
        <f t="shared" si="446"/>
        <v>1696000</v>
      </c>
      <c r="I489" s="607">
        <v>0</v>
      </c>
      <c r="J489" s="597">
        <f t="shared" si="442"/>
        <v>1696000</v>
      </c>
      <c r="K489" s="607">
        <f t="shared" si="443"/>
        <v>1696000</v>
      </c>
      <c r="N489" s="568">
        <f>'2.1 Comparativo_Alimentación'!$M$9</f>
        <v>33548</v>
      </c>
      <c r="O489" s="568">
        <f t="shared" si="444"/>
        <v>1778044</v>
      </c>
      <c r="P489" s="569">
        <f t="shared" si="445"/>
        <v>-4.6142840109693606E-2</v>
      </c>
      <c r="Q489" s="295">
        <f t="shared" si="421"/>
        <v>0</v>
      </c>
    </row>
    <row r="490" spans="2:17" ht="148.5" x14ac:dyDescent="0.25">
      <c r="B490" s="595">
        <v>8</v>
      </c>
      <c r="C490" s="615" t="s">
        <v>1391</v>
      </c>
      <c r="D490" s="619" t="s">
        <v>238</v>
      </c>
      <c r="E490" s="614">
        <v>1</v>
      </c>
      <c r="F490" s="600">
        <v>2000000</v>
      </c>
      <c r="G490" s="632">
        <v>1</v>
      </c>
      <c r="H490" s="571">
        <f t="shared" si="446"/>
        <v>2000000</v>
      </c>
      <c r="I490" s="607">
        <v>0</v>
      </c>
      <c r="J490" s="597">
        <f t="shared" si="442"/>
        <v>2000000</v>
      </c>
      <c r="K490" s="607">
        <f t="shared" si="443"/>
        <v>2000000</v>
      </c>
      <c r="N490" s="568">
        <f>'8.1 Comparativo_Tallerista'!$N$7</f>
        <v>2455526</v>
      </c>
      <c r="O490" s="568">
        <f t="shared" si="444"/>
        <v>2455526</v>
      </c>
      <c r="P490" s="569">
        <f t="shared" si="445"/>
        <v>-0.18551055863387311</v>
      </c>
      <c r="Q490" s="295">
        <f t="shared" si="421"/>
        <v>0</v>
      </c>
    </row>
    <row r="491" spans="2:17" ht="108" x14ac:dyDescent="0.25">
      <c r="B491" s="570">
        <v>9</v>
      </c>
      <c r="C491" s="618" t="s">
        <v>1393</v>
      </c>
      <c r="D491" s="619" t="s">
        <v>238</v>
      </c>
      <c r="E491" s="614">
        <v>1</v>
      </c>
      <c r="F491" s="620">
        <v>2500000</v>
      </c>
      <c r="G491" s="131">
        <v>1</v>
      </c>
      <c r="H491" s="571">
        <f>F491*E491*G491</f>
        <v>2500000</v>
      </c>
      <c r="I491" s="607">
        <v>0</v>
      </c>
      <c r="J491" s="597">
        <f t="shared" si="442"/>
        <v>2500000</v>
      </c>
      <c r="K491" s="607">
        <f t="shared" si="443"/>
        <v>2500000</v>
      </c>
      <c r="N491" s="568">
        <f>'9.1 Comparativo_Sabedor'!$N$7</f>
        <v>2829639</v>
      </c>
      <c r="O491" s="568">
        <f t="shared" si="444"/>
        <v>2829639</v>
      </c>
      <c r="P491" s="569">
        <f t="shared" si="445"/>
        <v>-0.11649507233961642</v>
      </c>
      <c r="Q491" s="295">
        <f t="shared" si="421"/>
        <v>0</v>
      </c>
    </row>
    <row r="492" spans="2:17" ht="94.5" x14ac:dyDescent="0.25">
      <c r="B492" s="570">
        <v>10</v>
      </c>
      <c r="C492" s="618" t="s">
        <v>1394</v>
      </c>
      <c r="D492" s="599" t="s">
        <v>1062</v>
      </c>
      <c r="E492" s="614">
        <v>1</v>
      </c>
      <c r="F492" s="600">
        <v>4000000</v>
      </c>
      <c r="G492" s="632">
        <v>1</v>
      </c>
      <c r="H492" s="571">
        <f>E492*F492*G492</f>
        <v>4000000</v>
      </c>
      <c r="I492" s="607">
        <v>0</v>
      </c>
      <c r="J492" s="597">
        <f t="shared" si="442"/>
        <v>4000000</v>
      </c>
      <c r="K492" s="607">
        <f t="shared" si="443"/>
        <v>4000000</v>
      </c>
      <c r="N492" s="568">
        <f>'6.1 Comparativo_Grupo_Armoniz'!$N$7</f>
        <v>6875473</v>
      </c>
      <c r="O492" s="568">
        <f t="shared" ref="O492" si="447">N492*G492*E492</f>
        <v>6875473</v>
      </c>
      <c r="P492" s="569">
        <f t="shared" ref="P492" si="448">K492/O492-1</f>
        <v>-0.41822184451891531</v>
      </c>
      <c r="Q492" s="295">
        <f t="shared" si="421"/>
        <v>0</v>
      </c>
    </row>
    <row r="493" spans="2:17" ht="60" customHeight="1" x14ac:dyDescent="0.25">
      <c r="B493" s="595">
        <v>11</v>
      </c>
      <c r="C493" s="618" t="s">
        <v>1429</v>
      </c>
      <c r="D493" s="613" t="s">
        <v>238</v>
      </c>
      <c r="E493" s="621">
        <v>50</v>
      </c>
      <c r="F493" s="597">
        <v>500000</v>
      </c>
      <c r="G493" s="134">
        <v>3</v>
      </c>
      <c r="H493" s="622">
        <f t="shared" ref="H493:H495" si="449">F493*E493*G493</f>
        <v>75000000</v>
      </c>
      <c r="I493" s="607">
        <v>0</v>
      </c>
      <c r="J493" s="597">
        <f t="shared" si="442"/>
        <v>75000000</v>
      </c>
      <c r="K493" s="607">
        <f t="shared" si="443"/>
        <v>75000000</v>
      </c>
      <c r="N493" s="104">
        <f>'5.1 Comparativo_Viáticos'!$Q$15</f>
        <v>76612425</v>
      </c>
      <c r="O493" s="104">
        <f>N493</f>
        <v>76612425</v>
      </c>
      <c r="P493" s="438">
        <f>K493/O493-1</f>
        <v>-2.1046520848282735E-2</v>
      </c>
      <c r="Q493" s="295">
        <f t="shared" si="421"/>
        <v>0</v>
      </c>
    </row>
    <row r="494" spans="2:17" ht="81" x14ac:dyDescent="0.25">
      <c r="B494" s="570">
        <v>12</v>
      </c>
      <c r="C494" s="618" t="s">
        <v>1392</v>
      </c>
      <c r="D494" s="613" t="s">
        <v>238</v>
      </c>
      <c r="E494" s="621">
        <v>3</v>
      </c>
      <c r="F494" s="617">
        <v>400000</v>
      </c>
      <c r="G494" s="134">
        <v>3</v>
      </c>
      <c r="H494" s="622">
        <f t="shared" si="449"/>
        <v>3600000</v>
      </c>
      <c r="I494" s="607">
        <v>0</v>
      </c>
      <c r="J494" s="597">
        <f t="shared" si="442"/>
        <v>3600000</v>
      </c>
      <c r="K494" s="607">
        <f t="shared" si="443"/>
        <v>3600000</v>
      </c>
      <c r="N494" s="568">
        <f>'5.1 Comparativo_Viáticos'!$Q$13</f>
        <v>4596746</v>
      </c>
      <c r="O494" s="568">
        <f>N494</f>
        <v>4596746</v>
      </c>
      <c r="P494" s="569">
        <f t="shared" ref="P494" si="450">K494/O494-1</f>
        <v>-0.21683730186527606</v>
      </c>
      <c r="Q494" s="295">
        <f t="shared" si="421"/>
        <v>0</v>
      </c>
    </row>
    <row r="495" spans="2:17" ht="94.5" x14ac:dyDescent="0.25">
      <c r="B495" s="629">
        <v>13</v>
      </c>
      <c r="C495" s="624" t="s">
        <v>1425</v>
      </c>
      <c r="D495" s="613" t="s">
        <v>238</v>
      </c>
      <c r="E495" s="639">
        <v>3</v>
      </c>
      <c r="F495" s="617">
        <v>1000000</v>
      </c>
      <c r="G495" s="621">
        <v>2</v>
      </c>
      <c r="H495" s="622">
        <f t="shared" si="449"/>
        <v>6000000</v>
      </c>
      <c r="I495" s="607">
        <v>0</v>
      </c>
      <c r="J495" s="597">
        <f t="shared" si="442"/>
        <v>6000000</v>
      </c>
      <c r="K495" s="607">
        <f t="shared" si="443"/>
        <v>6000000</v>
      </c>
      <c r="N495" s="568">
        <f>'4.1 Comparativo_Transporte'!$N$27</f>
        <v>1188475</v>
      </c>
      <c r="O495" s="568">
        <f t="shared" ref="O495:O496" si="451">N495*G495*E495</f>
        <v>7130850</v>
      </c>
      <c r="P495" s="569">
        <f t="shared" ref="P495:P497" si="452">K495/O495-1</f>
        <v>-0.15858558236395381</v>
      </c>
      <c r="Q495" s="295">
        <f t="shared" si="421"/>
        <v>0</v>
      </c>
    </row>
    <row r="496" spans="2:17" ht="93" customHeight="1" x14ac:dyDescent="0.25">
      <c r="B496" s="595">
        <v>14</v>
      </c>
      <c r="C496" s="608" t="s">
        <v>1468</v>
      </c>
      <c r="D496" s="605" t="s">
        <v>396</v>
      </c>
      <c r="E496" s="640">
        <v>50</v>
      </c>
      <c r="F496" s="617">
        <v>100000</v>
      </c>
      <c r="G496" s="640">
        <v>1</v>
      </c>
      <c r="H496" s="567">
        <f>E496*F496*G496</f>
        <v>5000000</v>
      </c>
      <c r="I496" s="607">
        <v>0</v>
      </c>
      <c r="J496" s="597">
        <f t="shared" si="442"/>
        <v>5000000</v>
      </c>
      <c r="K496" s="607">
        <f t="shared" si="443"/>
        <v>5000000</v>
      </c>
      <c r="N496" s="568">
        <f>'7.1 Comparativo_Kit_Herrami'!$N$7</f>
        <v>102170</v>
      </c>
      <c r="O496" s="568">
        <f t="shared" si="451"/>
        <v>5108500</v>
      </c>
      <c r="P496" s="569">
        <f t="shared" si="452"/>
        <v>-2.1239111285113021E-2</v>
      </c>
      <c r="Q496" s="295">
        <f t="shared" si="421"/>
        <v>0</v>
      </c>
    </row>
    <row r="497" spans="2:17" ht="15.75" customHeight="1" x14ac:dyDescent="0.25">
      <c r="B497" s="809" t="s">
        <v>421</v>
      </c>
      <c r="C497" s="786"/>
      <c r="D497" s="786"/>
      <c r="E497" s="787"/>
      <c r="F497" s="643">
        <f>SUM(F483:F496)</f>
        <v>16834000</v>
      </c>
      <c r="G497" s="641"/>
      <c r="H497" s="644">
        <f t="shared" ref="H497:K497" si="453">SUM(H483:H496)</f>
        <v>111602000</v>
      </c>
      <c r="I497" s="642">
        <f t="shared" si="453"/>
        <v>0</v>
      </c>
      <c r="J497" s="642">
        <f t="shared" si="453"/>
        <v>111602000</v>
      </c>
      <c r="K497" s="642">
        <f t="shared" si="453"/>
        <v>111602000</v>
      </c>
      <c r="N497" s="642">
        <f t="shared" ref="N497:O497" si="454">SUM(N483:N496)</f>
        <v>102523738</v>
      </c>
      <c r="O497" s="642">
        <f t="shared" si="454"/>
        <v>120893409</v>
      </c>
      <c r="P497" s="569">
        <f t="shared" si="452"/>
        <v>-7.6856208099814638E-2</v>
      </c>
      <c r="Q497" s="295"/>
    </row>
    <row r="498" spans="2:17" ht="15.75" customHeight="1" x14ac:dyDescent="0.25">
      <c r="B498" s="784" t="s">
        <v>1488</v>
      </c>
      <c r="C498" s="782"/>
      <c r="D498" s="782"/>
      <c r="E498" s="782"/>
      <c r="F498" s="782"/>
      <c r="G498" s="782"/>
      <c r="H498" s="782"/>
      <c r="I498" s="782"/>
      <c r="J498" s="782"/>
      <c r="K498" s="783"/>
      <c r="Q498" s="295">
        <f t="shared" si="421"/>
        <v>0</v>
      </c>
    </row>
    <row r="499" spans="2:17" ht="51.75" customHeight="1" x14ac:dyDescent="0.25">
      <c r="B499" s="593">
        <v>1</v>
      </c>
      <c r="C499" s="608" t="s">
        <v>1489</v>
      </c>
      <c r="D499" s="131" t="s">
        <v>1061</v>
      </c>
      <c r="E499" s="131">
        <v>1</v>
      </c>
      <c r="F499" s="594">
        <v>4500000</v>
      </c>
      <c r="G499" s="630">
        <v>1</v>
      </c>
      <c r="H499" s="567">
        <f t="shared" ref="H499:H501" si="455">F499*E499*G499</f>
        <v>4500000</v>
      </c>
      <c r="I499" s="607">
        <v>0</v>
      </c>
      <c r="J499" s="607">
        <f t="shared" ref="J499:J512" si="456">H499</f>
        <v>4500000</v>
      </c>
      <c r="K499" s="607">
        <f t="shared" ref="K499:K512" si="457">I499+J499</f>
        <v>4500000</v>
      </c>
      <c r="N499" s="568">
        <f>'3.1 Comparativo_Logística'!$M$8</f>
        <v>4364288</v>
      </c>
      <c r="O499" s="568">
        <f t="shared" ref="O499:O507" si="458">N499*G499*E499</f>
        <v>4364288</v>
      </c>
      <c r="P499" s="569">
        <f t="shared" ref="P499:P507" si="459">K499/O499-1</f>
        <v>3.1096022993899686E-2</v>
      </c>
      <c r="Q499" s="295">
        <f t="shared" si="421"/>
        <v>0</v>
      </c>
    </row>
    <row r="500" spans="2:17" ht="36" customHeight="1" x14ac:dyDescent="0.25">
      <c r="B500" s="595">
        <v>2</v>
      </c>
      <c r="C500" s="608" t="s">
        <v>1454</v>
      </c>
      <c r="D500" s="631" t="s">
        <v>396</v>
      </c>
      <c r="E500" s="134">
        <v>1</v>
      </c>
      <c r="F500" s="597">
        <v>1200000</v>
      </c>
      <c r="G500" s="632">
        <v>1</v>
      </c>
      <c r="H500" s="571">
        <f t="shared" si="455"/>
        <v>1200000</v>
      </c>
      <c r="I500" s="607">
        <v>0</v>
      </c>
      <c r="J500" s="607">
        <f t="shared" si="456"/>
        <v>1200000</v>
      </c>
      <c r="K500" s="607">
        <f t="shared" si="457"/>
        <v>1200000</v>
      </c>
      <c r="N500" s="568">
        <f>'3.1 Comparativo_Logística'!$M$21</f>
        <v>2006538</v>
      </c>
      <c r="O500" s="568">
        <f t="shared" si="458"/>
        <v>2006538</v>
      </c>
      <c r="P500" s="569">
        <f t="shared" si="459"/>
        <v>-0.40195500907533277</v>
      </c>
      <c r="Q500" s="295">
        <f t="shared" si="421"/>
        <v>0</v>
      </c>
    </row>
    <row r="501" spans="2:17" ht="42" customHeight="1" x14ac:dyDescent="0.25">
      <c r="B501" s="570">
        <v>3</v>
      </c>
      <c r="C501" s="608" t="s">
        <v>1455</v>
      </c>
      <c r="D501" s="611" t="s">
        <v>238</v>
      </c>
      <c r="E501" s="599">
        <v>4</v>
      </c>
      <c r="F501" s="600">
        <v>200000</v>
      </c>
      <c r="G501" s="633">
        <v>1</v>
      </c>
      <c r="H501" s="571">
        <f t="shared" si="455"/>
        <v>800000</v>
      </c>
      <c r="I501" s="607">
        <v>0</v>
      </c>
      <c r="J501" s="607">
        <f t="shared" si="456"/>
        <v>800000</v>
      </c>
      <c r="K501" s="607">
        <f t="shared" si="457"/>
        <v>800000</v>
      </c>
      <c r="N501" s="568">
        <f>'3.1 Comparativo_Logística'!$M$29</f>
        <v>249230</v>
      </c>
      <c r="O501" s="568">
        <f t="shared" si="458"/>
        <v>996920</v>
      </c>
      <c r="P501" s="569">
        <f t="shared" si="459"/>
        <v>-0.19752838743329459</v>
      </c>
      <c r="Q501" s="295">
        <f t="shared" si="421"/>
        <v>0</v>
      </c>
    </row>
    <row r="502" spans="2:17" ht="108" x14ac:dyDescent="0.25">
      <c r="B502" s="564">
        <v>4</v>
      </c>
      <c r="C502" s="618" t="s">
        <v>1385</v>
      </c>
      <c r="D502" s="613" t="s">
        <v>238</v>
      </c>
      <c r="E502" s="613">
        <v>1</v>
      </c>
      <c r="F502" s="617">
        <v>1600000</v>
      </c>
      <c r="G502" s="634">
        <v>1</v>
      </c>
      <c r="H502" s="571">
        <f t="shared" ref="H502:H506" si="460">E502*F502*G502</f>
        <v>1600000</v>
      </c>
      <c r="I502" s="607">
        <v>0</v>
      </c>
      <c r="J502" s="607">
        <f t="shared" si="456"/>
        <v>1600000</v>
      </c>
      <c r="K502" s="607">
        <f t="shared" si="457"/>
        <v>1600000</v>
      </c>
      <c r="N502" s="568">
        <f>'3.1 Comparativo_Logística'!$M$37</f>
        <v>2714721</v>
      </c>
      <c r="O502" s="568">
        <f t="shared" si="458"/>
        <v>2714721</v>
      </c>
      <c r="P502" s="569">
        <f t="shared" si="459"/>
        <v>-0.41062083359579127</v>
      </c>
      <c r="Q502" s="295">
        <f t="shared" si="421"/>
        <v>0</v>
      </c>
    </row>
    <row r="503" spans="2:17" ht="51.75" customHeight="1" x14ac:dyDescent="0.25">
      <c r="B503" s="570">
        <v>5</v>
      </c>
      <c r="C503" s="618" t="s">
        <v>1456</v>
      </c>
      <c r="D503" s="613" t="s">
        <v>396</v>
      </c>
      <c r="E503" s="613">
        <v>103</v>
      </c>
      <c r="F503" s="617">
        <v>32000</v>
      </c>
      <c r="G503" s="634">
        <v>1</v>
      </c>
      <c r="H503" s="571">
        <f t="shared" si="460"/>
        <v>3296000</v>
      </c>
      <c r="I503" s="607">
        <v>0</v>
      </c>
      <c r="J503" s="607">
        <f t="shared" si="456"/>
        <v>3296000</v>
      </c>
      <c r="K503" s="607">
        <f t="shared" si="457"/>
        <v>3296000</v>
      </c>
      <c r="N503" s="568">
        <f>'2.1 Comparativo_Alimentación'!$M$7</f>
        <v>33548</v>
      </c>
      <c r="O503" s="568">
        <f t="shared" si="458"/>
        <v>3455444</v>
      </c>
      <c r="P503" s="569">
        <f t="shared" si="459"/>
        <v>-4.6142840109693606E-2</v>
      </c>
      <c r="Q503" s="295">
        <f t="shared" si="421"/>
        <v>0</v>
      </c>
    </row>
    <row r="504" spans="2:17" ht="45" customHeight="1" x14ac:dyDescent="0.25">
      <c r="B504" s="564">
        <v>6</v>
      </c>
      <c r="C504" s="618" t="s">
        <v>1457</v>
      </c>
      <c r="D504" s="613" t="s">
        <v>396</v>
      </c>
      <c r="E504" s="613">
        <v>103</v>
      </c>
      <c r="F504" s="617">
        <v>70000</v>
      </c>
      <c r="G504" s="634">
        <v>1</v>
      </c>
      <c r="H504" s="571">
        <f t="shared" si="460"/>
        <v>7210000</v>
      </c>
      <c r="I504" s="607">
        <v>0</v>
      </c>
      <c r="J504" s="607">
        <f t="shared" si="456"/>
        <v>7210000</v>
      </c>
      <c r="K504" s="607">
        <f t="shared" si="457"/>
        <v>7210000</v>
      </c>
      <c r="N504" s="568">
        <f>'2.1 Comparativo_Alimentación'!$M$8</f>
        <v>70822</v>
      </c>
      <c r="O504" s="568">
        <f t="shared" si="458"/>
        <v>7294666</v>
      </c>
      <c r="P504" s="569">
        <f t="shared" si="459"/>
        <v>-1.1606562932422126E-2</v>
      </c>
      <c r="Q504" s="295">
        <f t="shared" si="421"/>
        <v>0</v>
      </c>
    </row>
    <row r="505" spans="2:17" ht="45" customHeight="1" x14ac:dyDescent="0.25">
      <c r="B505" s="570">
        <v>7</v>
      </c>
      <c r="C505" s="618" t="s">
        <v>1458</v>
      </c>
      <c r="D505" s="613" t="s">
        <v>396</v>
      </c>
      <c r="E505" s="613">
        <v>103</v>
      </c>
      <c r="F505" s="617">
        <v>32000</v>
      </c>
      <c r="G505" s="634">
        <v>1</v>
      </c>
      <c r="H505" s="571">
        <f t="shared" si="460"/>
        <v>3296000</v>
      </c>
      <c r="I505" s="607">
        <v>0</v>
      </c>
      <c r="J505" s="607">
        <f t="shared" si="456"/>
        <v>3296000</v>
      </c>
      <c r="K505" s="607">
        <f t="shared" si="457"/>
        <v>3296000</v>
      </c>
      <c r="N505" s="568">
        <f>'2.1 Comparativo_Alimentación'!$M$9</f>
        <v>33548</v>
      </c>
      <c r="O505" s="568">
        <f t="shared" si="458"/>
        <v>3455444</v>
      </c>
      <c r="P505" s="569">
        <f t="shared" si="459"/>
        <v>-4.6142840109693606E-2</v>
      </c>
      <c r="Q505" s="295">
        <f t="shared" si="421"/>
        <v>0</v>
      </c>
    </row>
    <row r="506" spans="2:17" ht="148.5" x14ac:dyDescent="0.25">
      <c r="B506" s="595">
        <v>8</v>
      </c>
      <c r="C506" s="615" t="s">
        <v>1391</v>
      </c>
      <c r="D506" s="619" t="s">
        <v>238</v>
      </c>
      <c r="E506" s="614">
        <v>1</v>
      </c>
      <c r="F506" s="617">
        <v>2000000</v>
      </c>
      <c r="G506" s="634">
        <v>1</v>
      </c>
      <c r="H506" s="571">
        <f t="shared" si="460"/>
        <v>2000000</v>
      </c>
      <c r="I506" s="607">
        <v>0</v>
      </c>
      <c r="J506" s="607">
        <f t="shared" si="456"/>
        <v>2000000</v>
      </c>
      <c r="K506" s="607">
        <f t="shared" si="457"/>
        <v>2000000</v>
      </c>
      <c r="N506" s="568">
        <f>'8.1 Comparativo_Tallerista'!$N$7</f>
        <v>2455526</v>
      </c>
      <c r="O506" s="568">
        <f t="shared" si="458"/>
        <v>2455526</v>
      </c>
      <c r="P506" s="569">
        <f t="shared" si="459"/>
        <v>-0.18551055863387311</v>
      </c>
      <c r="Q506" s="295">
        <f t="shared" si="421"/>
        <v>0</v>
      </c>
    </row>
    <row r="507" spans="2:17" ht="108" x14ac:dyDescent="0.25">
      <c r="B507" s="570">
        <v>9</v>
      </c>
      <c r="C507" s="618" t="s">
        <v>1393</v>
      </c>
      <c r="D507" s="619" t="s">
        <v>238</v>
      </c>
      <c r="E507" s="614">
        <v>1</v>
      </c>
      <c r="F507" s="620">
        <v>2500000</v>
      </c>
      <c r="G507" s="131">
        <v>1</v>
      </c>
      <c r="H507" s="571">
        <f>F507*E507*G507</f>
        <v>2500000</v>
      </c>
      <c r="I507" s="607">
        <v>0</v>
      </c>
      <c r="J507" s="597">
        <f t="shared" si="456"/>
        <v>2500000</v>
      </c>
      <c r="K507" s="607">
        <f t="shared" si="457"/>
        <v>2500000</v>
      </c>
      <c r="N507" s="568">
        <f>'9.1 Comparativo_Sabedor'!$N$7</f>
        <v>2829639</v>
      </c>
      <c r="O507" s="568">
        <f t="shared" si="458"/>
        <v>2829639</v>
      </c>
      <c r="P507" s="569">
        <f t="shared" si="459"/>
        <v>-0.11649507233961642</v>
      </c>
      <c r="Q507" s="295">
        <f t="shared" si="421"/>
        <v>0</v>
      </c>
    </row>
    <row r="508" spans="2:17" ht="94.5" x14ac:dyDescent="0.25">
      <c r="B508" s="570">
        <v>10</v>
      </c>
      <c r="C508" s="618" t="s">
        <v>1394</v>
      </c>
      <c r="D508" s="599" t="s">
        <v>1062</v>
      </c>
      <c r="E508" s="614">
        <v>1</v>
      </c>
      <c r="F508" s="600">
        <v>4000000</v>
      </c>
      <c r="G508" s="632">
        <v>1</v>
      </c>
      <c r="H508" s="571">
        <f t="shared" ref="H508:H512" si="461">E508*F508*G508</f>
        <v>4000000</v>
      </c>
      <c r="I508" s="607">
        <v>0</v>
      </c>
      <c r="J508" s="597">
        <f t="shared" si="456"/>
        <v>4000000</v>
      </c>
      <c r="K508" s="607">
        <f t="shared" si="457"/>
        <v>4000000</v>
      </c>
      <c r="N508" s="568">
        <f>'6.1 Comparativo_Grupo_Armoniz'!$N$7</f>
        <v>6875473</v>
      </c>
      <c r="O508" s="568">
        <f t="shared" ref="O508" si="462">N508*G508*E508</f>
        <v>6875473</v>
      </c>
      <c r="P508" s="569">
        <f t="shared" ref="P508" si="463">K508/O508-1</f>
        <v>-0.41822184451891531</v>
      </c>
      <c r="Q508" s="295">
        <f t="shared" si="421"/>
        <v>0</v>
      </c>
    </row>
    <row r="509" spans="2:17" ht="216" x14ac:dyDescent="0.25">
      <c r="B509" s="645">
        <v>11</v>
      </c>
      <c r="C509" s="618" t="s">
        <v>1459</v>
      </c>
      <c r="D509" s="613" t="s">
        <v>238</v>
      </c>
      <c r="E509" s="621">
        <v>100</v>
      </c>
      <c r="F509" s="617">
        <v>755000</v>
      </c>
      <c r="G509" s="634">
        <v>3</v>
      </c>
      <c r="H509" s="571">
        <f t="shared" si="461"/>
        <v>226500000</v>
      </c>
      <c r="I509" s="607">
        <v>0</v>
      </c>
      <c r="J509" s="607">
        <f t="shared" si="456"/>
        <v>226500000</v>
      </c>
      <c r="K509" s="607">
        <f t="shared" si="457"/>
        <v>226500000</v>
      </c>
      <c r="N509" s="646">
        <f>'5.1 Comparativo_Viáticos'!$Q$23</f>
        <v>252939229</v>
      </c>
      <c r="O509" s="646">
        <f>N509</f>
        <v>252939229</v>
      </c>
      <c r="P509" s="124">
        <f>K509/O509-1</f>
        <v>-0.1045279892111951</v>
      </c>
      <c r="Q509" s="295">
        <f t="shared" si="421"/>
        <v>0</v>
      </c>
    </row>
    <row r="510" spans="2:17" ht="52.5" customHeight="1" x14ac:dyDescent="0.25">
      <c r="B510" s="570">
        <v>12</v>
      </c>
      <c r="C510" s="618" t="s">
        <v>1392</v>
      </c>
      <c r="D510" s="613" t="s">
        <v>238</v>
      </c>
      <c r="E510" s="621">
        <v>3</v>
      </c>
      <c r="F510" s="620">
        <v>400000</v>
      </c>
      <c r="G510" s="647">
        <v>3</v>
      </c>
      <c r="H510" s="571">
        <f t="shared" si="461"/>
        <v>3600000</v>
      </c>
      <c r="I510" s="607">
        <v>0</v>
      </c>
      <c r="J510" s="607">
        <f t="shared" si="456"/>
        <v>3600000</v>
      </c>
      <c r="K510" s="607">
        <f t="shared" si="457"/>
        <v>3600000</v>
      </c>
      <c r="N510" s="568">
        <f>'5.1 Comparativo_Viáticos'!$Q$13</f>
        <v>4596746</v>
      </c>
      <c r="O510" s="568">
        <f>N510</f>
        <v>4596746</v>
      </c>
      <c r="P510" s="569">
        <f t="shared" ref="P510" si="464">K510/O510-1</f>
        <v>-0.21683730186527606</v>
      </c>
      <c r="Q510" s="295">
        <f t="shared" si="421"/>
        <v>0</v>
      </c>
    </row>
    <row r="511" spans="2:17" ht="52.5" customHeight="1" x14ac:dyDescent="0.25">
      <c r="B511" s="629">
        <v>13</v>
      </c>
      <c r="C511" s="624" t="s">
        <v>1425</v>
      </c>
      <c r="D511" s="613" t="s">
        <v>238</v>
      </c>
      <c r="E511" s="639">
        <v>3</v>
      </c>
      <c r="F511" s="617">
        <v>1000000</v>
      </c>
      <c r="G511" s="647">
        <v>2</v>
      </c>
      <c r="H511" s="571">
        <f t="shared" si="461"/>
        <v>6000000</v>
      </c>
      <c r="I511" s="607">
        <v>0</v>
      </c>
      <c r="J511" s="607">
        <f t="shared" si="456"/>
        <v>6000000</v>
      </c>
      <c r="K511" s="607">
        <f t="shared" si="457"/>
        <v>6000000</v>
      </c>
      <c r="N511" s="568">
        <f>'4.1 Comparativo_Transporte'!$N$27</f>
        <v>1188475</v>
      </c>
      <c r="O511" s="568">
        <f t="shared" ref="O511:O512" si="465">N511*G511*E511</f>
        <v>7130850</v>
      </c>
      <c r="P511" s="569">
        <f t="shared" ref="P511:P513" si="466">K511/O511-1</f>
        <v>-0.15858558236395381</v>
      </c>
      <c r="Q511" s="295">
        <f t="shared" si="421"/>
        <v>0</v>
      </c>
    </row>
    <row r="512" spans="2:17" ht="93" customHeight="1" x14ac:dyDescent="0.25">
      <c r="B512" s="595">
        <v>14</v>
      </c>
      <c r="C512" s="608" t="s">
        <v>1490</v>
      </c>
      <c r="D512" s="605" t="s">
        <v>396</v>
      </c>
      <c r="E512" s="640">
        <v>100</v>
      </c>
      <c r="F512" s="600">
        <v>100000</v>
      </c>
      <c r="G512" s="632">
        <v>1</v>
      </c>
      <c r="H512" s="571">
        <f t="shared" si="461"/>
        <v>10000000</v>
      </c>
      <c r="I512" s="607">
        <v>0</v>
      </c>
      <c r="J512" s="607">
        <f t="shared" si="456"/>
        <v>10000000</v>
      </c>
      <c r="K512" s="607">
        <f t="shared" si="457"/>
        <v>10000000</v>
      </c>
      <c r="N512" s="568">
        <f>'7.1 Comparativo_Kit_Herrami'!$N$7</f>
        <v>102170</v>
      </c>
      <c r="O512" s="568">
        <f t="shared" si="465"/>
        <v>10217000</v>
      </c>
      <c r="P512" s="569">
        <f t="shared" si="466"/>
        <v>-2.1239111285113021E-2</v>
      </c>
      <c r="Q512" s="295">
        <f t="shared" si="421"/>
        <v>0</v>
      </c>
    </row>
    <row r="513" spans="2:17" ht="15.75" customHeight="1" x14ac:dyDescent="0.25">
      <c r="B513" s="809" t="s">
        <v>422</v>
      </c>
      <c r="C513" s="786"/>
      <c r="D513" s="786"/>
      <c r="E513" s="787"/>
      <c r="F513" s="643">
        <f>SUM(F499:F512)</f>
        <v>18389000</v>
      </c>
      <c r="G513" s="641"/>
      <c r="H513" s="644">
        <f t="shared" ref="H513:K513" si="467">SUM(H499:H512)</f>
        <v>276502000</v>
      </c>
      <c r="I513" s="642">
        <f t="shared" si="467"/>
        <v>0</v>
      </c>
      <c r="J513" s="642">
        <f t="shared" si="467"/>
        <v>276502000</v>
      </c>
      <c r="K513" s="642">
        <f t="shared" si="467"/>
        <v>276502000</v>
      </c>
      <c r="N513" s="642">
        <f t="shared" ref="N513:O513" si="468">SUM(N499:N512)</f>
        <v>280459953</v>
      </c>
      <c r="O513" s="642">
        <f t="shared" si="468"/>
        <v>311332484</v>
      </c>
      <c r="P513" s="569">
        <f t="shared" si="466"/>
        <v>-0.11187552147626201</v>
      </c>
      <c r="Q513" s="295"/>
    </row>
    <row r="514" spans="2:17" ht="24.75" customHeight="1" x14ac:dyDescent="0.25">
      <c r="B514" s="805" t="s">
        <v>1491</v>
      </c>
      <c r="C514" s="782"/>
      <c r="D514" s="782"/>
      <c r="E514" s="782"/>
      <c r="F514" s="782"/>
      <c r="G514" s="782"/>
      <c r="H514" s="782"/>
      <c r="I514" s="782"/>
      <c r="J514" s="782"/>
      <c r="K514" s="783"/>
      <c r="Q514" s="295">
        <f t="shared" si="421"/>
        <v>0</v>
      </c>
    </row>
    <row r="515" spans="2:17" ht="54.75" customHeight="1" x14ac:dyDescent="0.25">
      <c r="B515" s="593">
        <v>1</v>
      </c>
      <c r="C515" s="608" t="s">
        <v>1492</v>
      </c>
      <c r="D515" s="131" t="s">
        <v>1061</v>
      </c>
      <c r="E515" s="131">
        <v>1</v>
      </c>
      <c r="F515" s="594">
        <v>4500000</v>
      </c>
      <c r="G515" s="630">
        <v>1</v>
      </c>
      <c r="H515" s="567">
        <f t="shared" ref="H515:H517" si="469">F515*E515*G515</f>
        <v>4500000</v>
      </c>
      <c r="I515" s="607">
        <v>0</v>
      </c>
      <c r="J515" s="607">
        <f t="shared" ref="J515:J528" si="470">H515</f>
        <v>4500000</v>
      </c>
      <c r="K515" s="607">
        <f t="shared" ref="K515:K528" si="471">I515+J515</f>
        <v>4500000</v>
      </c>
      <c r="N515" s="568">
        <f>'3.1 Comparativo_Logística'!$M$8</f>
        <v>4364288</v>
      </c>
      <c r="O515" s="568">
        <f t="shared" ref="O515:O523" si="472">N515*G515*E515</f>
        <v>4364288</v>
      </c>
      <c r="P515" s="569">
        <f t="shared" ref="P515:P523" si="473">K515/O515-1</f>
        <v>3.1096022993899686E-2</v>
      </c>
      <c r="Q515" s="295">
        <f t="shared" si="421"/>
        <v>0</v>
      </c>
    </row>
    <row r="516" spans="2:17" ht="36" customHeight="1" x14ac:dyDescent="0.25">
      <c r="B516" s="595">
        <v>2</v>
      </c>
      <c r="C516" s="608" t="s">
        <v>1454</v>
      </c>
      <c r="D516" s="631" t="s">
        <v>396</v>
      </c>
      <c r="E516" s="134">
        <v>1</v>
      </c>
      <c r="F516" s="597">
        <v>1200000</v>
      </c>
      <c r="G516" s="632">
        <v>1</v>
      </c>
      <c r="H516" s="571">
        <f t="shared" si="469"/>
        <v>1200000</v>
      </c>
      <c r="I516" s="607">
        <v>0</v>
      </c>
      <c r="J516" s="607">
        <f t="shared" si="470"/>
        <v>1200000</v>
      </c>
      <c r="K516" s="607">
        <f t="shared" si="471"/>
        <v>1200000</v>
      </c>
      <c r="N516" s="568">
        <f>'3.1 Comparativo_Logística'!$M$21</f>
        <v>2006538</v>
      </c>
      <c r="O516" s="568">
        <f t="shared" si="472"/>
        <v>2006538</v>
      </c>
      <c r="P516" s="569">
        <f t="shared" si="473"/>
        <v>-0.40195500907533277</v>
      </c>
      <c r="Q516" s="295">
        <f t="shared" si="421"/>
        <v>0</v>
      </c>
    </row>
    <row r="517" spans="2:17" ht="40.5" customHeight="1" x14ac:dyDescent="0.25">
      <c r="B517" s="570">
        <v>3</v>
      </c>
      <c r="C517" s="608" t="s">
        <v>1455</v>
      </c>
      <c r="D517" s="611" t="s">
        <v>238</v>
      </c>
      <c r="E517" s="599">
        <v>4</v>
      </c>
      <c r="F517" s="600">
        <v>200000</v>
      </c>
      <c r="G517" s="633">
        <v>1</v>
      </c>
      <c r="H517" s="571">
        <f t="shared" si="469"/>
        <v>800000</v>
      </c>
      <c r="I517" s="607">
        <v>0</v>
      </c>
      <c r="J517" s="607">
        <f t="shared" si="470"/>
        <v>800000</v>
      </c>
      <c r="K517" s="607">
        <f t="shared" si="471"/>
        <v>800000</v>
      </c>
      <c r="N517" s="568">
        <f>'3.1 Comparativo_Logística'!$M$29</f>
        <v>249230</v>
      </c>
      <c r="O517" s="568">
        <f t="shared" si="472"/>
        <v>996920</v>
      </c>
      <c r="P517" s="569">
        <f t="shared" si="473"/>
        <v>-0.19752838743329459</v>
      </c>
      <c r="Q517" s="295">
        <f t="shared" si="421"/>
        <v>0</v>
      </c>
    </row>
    <row r="518" spans="2:17" ht="108" x14ac:dyDescent="0.25">
      <c r="B518" s="564">
        <v>4</v>
      </c>
      <c r="C518" s="618" t="s">
        <v>1385</v>
      </c>
      <c r="D518" s="613" t="s">
        <v>238</v>
      </c>
      <c r="E518" s="613">
        <v>1</v>
      </c>
      <c r="F518" s="617">
        <v>1600000</v>
      </c>
      <c r="G518" s="634">
        <v>1</v>
      </c>
      <c r="H518" s="571">
        <f t="shared" ref="H518:H522" si="474">E518*F518*G518</f>
        <v>1600000</v>
      </c>
      <c r="I518" s="607">
        <v>0</v>
      </c>
      <c r="J518" s="607">
        <f t="shared" si="470"/>
        <v>1600000</v>
      </c>
      <c r="K518" s="607">
        <f t="shared" si="471"/>
        <v>1600000</v>
      </c>
      <c r="N518" s="568">
        <f>'3.1 Comparativo_Logística'!$M$37</f>
        <v>2714721</v>
      </c>
      <c r="O518" s="568">
        <f t="shared" si="472"/>
        <v>2714721</v>
      </c>
      <c r="P518" s="569">
        <f t="shared" si="473"/>
        <v>-0.41062083359579127</v>
      </c>
      <c r="Q518" s="295">
        <f t="shared" si="421"/>
        <v>0</v>
      </c>
    </row>
    <row r="519" spans="2:17" ht="51" customHeight="1" x14ac:dyDescent="0.25">
      <c r="B519" s="570">
        <v>5</v>
      </c>
      <c r="C519" s="618" t="s">
        <v>1456</v>
      </c>
      <c r="D519" s="613" t="s">
        <v>396</v>
      </c>
      <c r="E519" s="613">
        <v>103</v>
      </c>
      <c r="F519" s="617">
        <v>32000</v>
      </c>
      <c r="G519" s="634">
        <v>1</v>
      </c>
      <c r="H519" s="571">
        <f t="shared" si="474"/>
        <v>3296000</v>
      </c>
      <c r="I519" s="607">
        <v>0</v>
      </c>
      <c r="J519" s="607">
        <f t="shared" si="470"/>
        <v>3296000</v>
      </c>
      <c r="K519" s="607">
        <f t="shared" si="471"/>
        <v>3296000</v>
      </c>
      <c r="N519" s="568">
        <f>'2.1 Comparativo_Alimentación'!$M$7</f>
        <v>33548</v>
      </c>
      <c r="O519" s="568">
        <f t="shared" si="472"/>
        <v>3455444</v>
      </c>
      <c r="P519" s="569">
        <f t="shared" si="473"/>
        <v>-4.6142840109693606E-2</v>
      </c>
      <c r="Q519" s="295">
        <f t="shared" si="421"/>
        <v>0</v>
      </c>
    </row>
    <row r="520" spans="2:17" ht="42" customHeight="1" x14ac:dyDescent="0.25">
      <c r="B520" s="564">
        <v>6</v>
      </c>
      <c r="C520" s="618" t="s">
        <v>1457</v>
      </c>
      <c r="D520" s="613" t="s">
        <v>396</v>
      </c>
      <c r="E520" s="613">
        <v>103</v>
      </c>
      <c r="F520" s="617">
        <v>70000</v>
      </c>
      <c r="G520" s="634">
        <v>1</v>
      </c>
      <c r="H520" s="571">
        <f t="shared" si="474"/>
        <v>7210000</v>
      </c>
      <c r="I520" s="607">
        <v>0</v>
      </c>
      <c r="J520" s="607">
        <f t="shared" si="470"/>
        <v>7210000</v>
      </c>
      <c r="K520" s="607">
        <f t="shared" si="471"/>
        <v>7210000</v>
      </c>
      <c r="N520" s="568">
        <f>'2.1 Comparativo_Alimentación'!$M$8</f>
        <v>70822</v>
      </c>
      <c r="O520" s="568">
        <f t="shared" si="472"/>
        <v>7294666</v>
      </c>
      <c r="P520" s="569">
        <f t="shared" si="473"/>
        <v>-1.1606562932422126E-2</v>
      </c>
      <c r="Q520" s="295">
        <f t="shared" si="421"/>
        <v>0</v>
      </c>
    </row>
    <row r="521" spans="2:17" ht="45" customHeight="1" x14ac:dyDescent="0.25">
      <c r="B521" s="570">
        <v>7</v>
      </c>
      <c r="C521" s="618" t="s">
        <v>1458</v>
      </c>
      <c r="D521" s="613" t="s">
        <v>396</v>
      </c>
      <c r="E521" s="613">
        <v>103</v>
      </c>
      <c r="F521" s="617">
        <v>32000</v>
      </c>
      <c r="G521" s="634">
        <v>1</v>
      </c>
      <c r="H521" s="571">
        <f t="shared" si="474"/>
        <v>3296000</v>
      </c>
      <c r="I521" s="607">
        <v>0</v>
      </c>
      <c r="J521" s="607">
        <f t="shared" si="470"/>
        <v>3296000</v>
      </c>
      <c r="K521" s="607">
        <f t="shared" si="471"/>
        <v>3296000</v>
      </c>
      <c r="N521" s="568">
        <f>'2.1 Comparativo_Alimentación'!$M$9</f>
        <v>33548</v>
      </c>
      <c r="O521" s="568">
        <f t="shared" si="472"/>
        <v>3455444</v>
      </c>
      <c r="P521" s="569">
        <f t="shared" si="473"/>
        <v>-4.6142840109693606E-2</v>
      </c>
      <c r="Q521" s="295">
        <f t="shared" si="421"/>
        <v>0</v>
      </c>
    </row>
    <row r="522" spans="2:17" ht="148.5" x14ac:dyDescent="0.25">
      <c r="B522" s="595">
        <v>8</v>
      </c>
      <c r="C522" s="615" t="s">
        <v>1391</v>
      </c>
      <c r="D522" s="619" t="s">
        <v>238</v>
      </c>
      <c r="E522" s="134">
        <v>1</v>
      </c>
      <c r="F522" s="617">
        <v>2000000</v>
      </c>
      <c r="G522" s="634">
        <v>1</v>
      </c>
      <c r="H522" s="571">
        <f t="shared" si="474"/>
        <v>2000000</v>
      </c>
      <c r="I522" s="607">
        <v>0</v>
      </c>
      <c r="J522" s="607">
        <f t="shared" si="470"/>
        <v>2000000</v>
      </c>
      <c r="K522" s="607">
        <f t="shared" si="471"/>
        <v>2000000</v>
      </c>
      <c r="N522" s="568">
        <f>'8.1 Comparativo_Tallerista'!$N$7</f>
        <v>2455526</v>
      </c>
      <c r="O522" s="568">
        <f t="shared" si="472"/>
        <v>2455526</v>
      </c>
      <c r="P522" s="569">
        <f t="shared" si="473"/>
        <v>-0.18551055863387311</v>
      </c>
      <c r="Q522" s="295">
        <f t="shared" si="421"/>
        <v>0</v>
      </c>
    </row>
    <row r="523" spans="2:17" ht="108" x14ac:dyDescent="0.25">
      <c r="B523" s="570">
        <v>9</v>
      </c>
      <c r="C523" s="618" t="s">
        <v>1393</v>
      </c>
      <c r="D523" s="619" t="s">
        <v>238</v>
      </c>
      <c r="E523" s="134">
        <v>1</v>
      </c>
      <c r="F523" s="620">
        <v>2500000</v>
      </c>
      <c r="G523" s="131">
        <v>1</v>
      </c>
      <c r="H523" s="571">
        <f>F523*E523*G523</f>
        <v>2500000</v>
      </c>
      <c r="I523" s="607">
        <v>0</v>
      </c>
      <c r="J523" s="597">
        <f t="shared" si="470"/>
        <v>2500000</v>
      </c>
      <c r="K523" s="607">
        <f t="shared" si="471"/>
        <v>2500000</v>
      </c>
      <c r="N523" s="568">
        <f>'9.1 Comparativo_Sabedor'!$N$7</f>
        <v>2829639</v>
      </c>
      <c r="O523" s="568">
        <f t="shared" si="472"/>
        <v>2829639</v>
      </c>
      <c r="P523" s="569">
        <f t="shared" si="473"/>
        <v>-0.11649507233961642</v>
      </c>
      <c r="Q523" s="295">
        <f t="shared" si="421"/>
        <v>0</v>
      </c>
    </row>
    <row r="524" spans="2:17" ht="94.5" x14ac:dyDescent="0.25">
      <c r="B524" s="570">
        <v>10</v>
      </c>
      <c r="C524" s="618" t="s">
        <v>1394</v>
      </c>
      <c r="D524" s="599" t="s">
        <v>1062</v>
      </c>
      <c r="E524" s="614">
        <v>1</v>
      </c>
      <c r="F524" s="600">
        <v>4000000</v>
      </c>
      <c r="G524" s="632">
        <v>1</v>
      </c>
      <c r="H524" s="571">
        <f t="shared" ref="H524:H528" si="475">E524*F524*G524</f>
        <v>4000000</v>
      </c>
      <c r="I524" s="607">
        <v>0</v>
      </c>
      <c r="J524" s="597">
        <f t="shared" si="470"/>
        <v>4000000</v>
      </c>
      <c r="K524" s="607">
        <f t="shared" si="471"/>
        <v>4000000</v>
      </c>
      <c r="N524" s="568">
        <f>'6.1 Comparativo_Grupo_Armoniz'!$N$7</f>
        <v>6875473</v>
      </c>
      <c r="O524" s="568">
        <f t="shared" ref="O524" si="476">N524*G524*E524</f>
        <v>6875473</v>
      </c>
      <c r="P524" s="569">
        <f t="shared" ref="P524" si="477">K524/O524-1</f>
        <v>-0.41822184451891531</v>
      </c>
      <c r="Q524" s="295">
        <f t="shared" si="421"/>
        <v>0</v>
      </c>
    </row>
    <row r="525" spans="2:17" ht="216" x14ac:dyDescent="0.25">
      <c r="B525" s="645">
        <v>11</v>
      </c>
      <c r="C525" s="618" t="s">
        <v>1459</v>
      </c>
      <c r="D525" s="613" t="s">
        <v>238</v>
      </c>
      <c r="E525" s="621">
        <v>100</v>
      </c>
      <c r="F525" s="617">
        <v>755000</v>
      </c>
      <c r="G525" s="634">
        <v>3</v>
      </c>
      <c r="H525" s="571">
        <f t="shared" si="475"/>
        <v>226500000</v>
      </c>
      <c r="I525" s="607">
        <v>0</v>
      </c>
      <c r="J525" s="607">
        <f t="shared" si="470"/>
        <v>226500000</v>
      </c>
      <c r="K525" s="607">
        <f t="shared" si="471"/>
        <v>226500000</v>
      </c>
      <c r="N525" s="646">
        <f>'5.1 Comparativo_Viáticos'!$Q$23</f>
        <v>252939229</v>
      </c>
      <c r="O525" s="646">
        <f>N525</f>
        <v>252939229</v>
      </c>
      <c r="P525" s="124">
        <f>K525/O525-1</f>
        <v>-0.1045279892111951</v>
      </c>
      <c r="Q525" s="295">
        <f t="shared" ref="Q525:Q588" si="478">+E525*F525*G525-H525</f>
        <v>0</v>
      </c>
    </row>
    <row r="526" spans="2:17" ht="81" x14ac:dyDescent="0.25">
      <c r="B526" s="570">
        <v>12</v>
      </c>
      <c r="C526" s="618" t="s">
        <v>1392</v>
      </c>
      <c r="D526" s="613" t="s">
        <v>238</v>
      </c>
      <c r="E526" s="621">
        <v>3</v>
      </c>
      <c r="F526" s="620">
        <v>400000</v>
      </c>
      <c r="G526" s="647">
        <v>3</v>
      </c>
      <c r="H526" s="571">
        <f t="shared" si="475"/>
        <v>3600000</v>
      </c>
      <c r="I526" s="607">
        <v>0</v>
      </c>
      <c r="J526" s="607">
        <f t="shared" si="470"/>
        <v>3600000</v>
      </c>
      <c r="K526" s="607">
        <f t="shared" si="471"/>
        <v>3600000</v>
      </c>
      <c r="N526" s="568">
        <f>'5.1 Comparativo_Viáticos'!$Q$13</f>
        <v>4596746</v>
      </c>
      <c r="O526" s="568">
        <f>N526</f>
        <v>4596746</v>
      </c>
      <c r="P526" s="569">
        <f t="shared" ref="P526" si="479">K526/O526-1</f>
        <v>-0.21683730186527606</v>
      </c>
      <c r="Q526" s="295">
        <f t="shared" si="478"/>
        <v>0</v>
      </c>
    </row>
    <row r="527" spans="2:17" ht="58.5" customHeight="1" x14ac:dyDescent="0.25">
      <c r="B527" s="629">
        <v>13</v>
      </c>
      <c r="C527" s="624" t="s">
        <v>1425</v>
      </c>
      <c r="D527" s="613" t="s">
        <v>238</v>
      </c>
      <c r="E527" s="639">
        <v>3</v>
      </c>
      <c r="F527" s="617">
        <v>1000000</v>
      </c>
      <c r="G527" s="647">
        <v>2</v>
      </c>
      <c r="H527" s="571">
        <f t="shared" si="475"/>
        <v>6000000</v>
      </c>
      <c r="I527" s="607">
        <v>0</v>
      </c>
      <c r="J527" s="607">
        <f t="shared" si="470"/>
        <v>6000000</v>
      </c>
      <c r="K527" s="607">
        <f t="shared" si="471"/>
        <v>6000000</v>
      </c>
      <c r="N527" s="568">
        <f>'4.1 Comparativo_Transporte'!$N$27</f>
        <v>1188475</v>
      </c>
      <c r="O527" s="568">
        <f t="shared" ref="O527:O528" si="480">N527*G527*E527</f>
        <v>7130850</v>
      </c>
      <c r="P527" s="569">
        <f t="shared" ref="P527:P529" si="481">K527/O527-1</f>
        <v>-0.15858558236395381</v>
      </c>
      <c r="Q527" s="295">
        <f t="shared" si="478"/>
        <v>0</v>
      </c>
    </row>
    <row r="528" spans="2:17" ht="133.15" customHeight="1" x14ac:dyDescent="0.25">
      <c r="B528" s="595">
        <v>14</v>
      </c>
      <c r="C528" s="608" t="s">
        <v>1490</v>
      </c>
      <c r="D528" s="605" t="s">
        <v>396</v>
      </c>
      <c r="E528" s="640">
        <v>100</v>
      </c>
      <c r="F528" s="600">
        <v>100000</v>
      </c>
      <c r="G528" s="632">
        <v>1</v>
      </c>
      <c r="H528" s="571">
        <f t="shared" si="475"/>
        <v>10000000</v>
      </c>
      <c r="I528" s="607">
        <v>0</v>
      </c>
      <c r="J528" s="607">
        <f t="shared" si="470"/>
        <v>10000000</v>
      </c>
      <c r="K528" s="607">
        <f t="shared" si="471"/>
        <v>10000000</v>
      </c>
      <c r="N528" s="568">
        <f>'7.1 Comparativo_Kit_Herrami'!$N$7</f>
        <v>102170</v>
      </c>
      <c r="O528" s="568">
        <f t="shared" si="480"/>
        <v>10217000</v>
      </c>
      <c r="P528" s="569">
        <f t="shared" si="481"/>
        <v>-2.1239111285113021E-2</v>
      </c>
      <c r="Q528" s="295">
        <f t="shared" si="478"/>
        <v>0</v>
      </c>
    </row>
    <row r="529" spans="2:17" ht="15.75" customHeight="1" x14ac:dyDescent="0.25">
      <c r="B529" s="809" t="s">
        <v>423</v>
      </c>
      <c r="C529" s="786"/>
      <c r="D529" s="786"/>
      <c r="E529" s="787"/>
      <c r="F529" s="643">
        <f>SUM(F515:F528)</f>
        <v>18389000</v>
      </c>
      <c r="G529" s="641"/>
      <c r="H529" s="644">
        <f t="shared" ref="H529:K529" si="482">SUM(H515:H528)</f>
        <v>276502000</v>
      </c>
      <c r="I529" s="642">
        <f t="shared" si="482"/>
        <v>0</v>
      </c>
      <c r="J529" s="642">
        <f t="shared" si="482"/>
        <v>276502000</v>
      </c>
      <c r="K529" s="642">
        <f t="shared" si="482"/>
        <v>276502000</v>
      </c>
      <c r="N529" s="642">
        <f t="shared" ref="N529:O529" si="483">SUM(N515:N528)</f>
        <v>280459953</v>
      </c>
      <c r="O529" s="642">
        <f t="shared" si="483"/>
        <v>311332484</v>
      </c>
      <c r="P529" s="569">
        <f t="shared" si="481"/>
        <v>-0.11187552147626201</v>
      </c>
      <c r="Q529" s="295"/>
    </row>
    <row r="530" spans="2:17" ht="15.75" customHeight="1" x14ac:dyDescent="0.25">
      <c r="B530" s="784" t="s">
        <v>1493</v>
      </c>
      <c r="C530" s="782"/>
      <c r="D530" s="782"/>
      <c r="E530" s="782"/>
      <c r="F530" s="782"/>
      <c r="G530" s="782"/>
      <c r="H530" s="782"/>
      <c r="I530" s="782"/>
      <c r="J530" s="782"/>
      <c r="K530" s="783"/>
      <c r="Q530" s="295">
        <f t="shared" si="478"/>
        <v>0</v>
      </c>
    </row>
    <row r="531" spans="2:17" ht="57" customHeight="1" x14ac:dyDescent="0.25">
      <c r="B531" s="593">
        <v>1</v>
      </c>
      <c r="C531" s="608" t="s">
        <v>1494</v>
      </c>
      <c r="D531" s="131" t="s">
        <v>1061</v>
      </c>
      <c r="E531" s="131">
        <v>1</v>
      </c>
      <c r="F531" s="594">
        <v>3500000</v>
      </c>
      <c r="G531" s="630">
        <v>1</v>
      </c>
      <c r="H531" s="567">
        <f t="shared" ref="H531:H533" si="484">F531*E531*G531</f>
        <v>3500000</v>
      </c>
      <c r="I531" s="607">
        <v>0</v>
      </c>
      <c r="J531" s="597">
        <f t="shared" ref="J531:J544" si="485">H531</f>
        <v>3500000</v>
      </c>
      <c r="K531" s="607">
        <f t="shared" ref="K531:K544" si="486">I531+J531</f>
        <v>3500000</v>
      </c>
      <c r="N531" s="568">
        <f>'3.1 Comparativo_Logística'!$M$7</f>
        <v>3585068</v>
      </c>
      <c r="O531" s="568">
        <f t="shared" ref="O531:O539" si="487">N531*G531*E531</f>
        <v>3585068</v>
      </c>
      <c r="P531" s="569">
        <f t="shared" ref="P531:P539" si="488">K531/O531-1</f>
        <v>-2.3728420214065626E-2</v>
      </c>
      <c r="Q531" s="295">
        <f t="shared" si="478"/>
        <v>0</v>
      </c>
    </row>
    <row r="532" spans="2:17" ht="36.75" customHeight="1" x14ac:dyDescent="0.25">
      <c r="B532" s="595">
        <v>2</v>
      </c>
      <c r="C532" s="608" t="s">
        <v>1416</v>
      </c>
      <c r="D532" s="631" t="s">
        <v>396</v>
      </c>
      <c r="E532" s="134">
        <v>1</v>
      </c>
      <c r="F532" s="597">
        <v>900000</v>
      </c>
      <c r="G532" s="632">
        <v>1</v>
      </c>
      <c r="H532" s="571">
        <f t="shared" si="484"/>
        <v>900000</v>
      </c>
      <c r="I532" s="607">
        <v>0</v>
      </c>
      <c r="J532" s="597">
        <f t="shared" si="485"/>
        <v>900000</v>
      </c>
      <c r="K532" s="607">
        <f t="shared" si="486"/>
        <v>900000</v>
      </c>
      <c r="N532" s="568">
        <f>'3.1 Comparativo_Logística'!$M$20</f>
        <v>1176347</v>
      </c>
      <c r="O532" s="568">
        <f t="shared" si="487"/>
        <v>1176347</v>
      </c>
      <c r="P532" s="569">
        <f t="shared" si="488"/>
        <v>-0.23491962830695368</v>
      </c>
      <c r="Q532" s="295">
        <f t="shared" si="478"/>
        <v>0</v>
      </c>
    </row>
    <row r="533" spans="2:17" ht="41.25" customHeight="1" x14ac:dyDescent="0.25">
      <c r="B533" s="570">
        <v>3</v>
      </c>
      <c r="C533" s="608" t="s">
        <v>1417</v>
      </c>
      <c r="D533" s="611" t="s">
        <v>238</v>
      </c>
      <c r="E533" s="599">
        <v>2</v>
      </c>
      <c r="F533" s="600">
        <v>200000</v>
      </c>
      <c r="G533" s="633">
        <v>1</v>
      </c>
      <c r="H533" s="571">
        <f t="shared" si="484"/>
        <v>400000</v>
      </c>
      <c r="I533" s="607">
        <v>0</v>
      </c>
      <c r="J533" s="597">
        <f t="shared" si="485"/>
        <v>400000</v>
      </c>
      <c r="K533" s="607">
        <f t="shared" si="486"/>
        <v>400000</v>
      </c>
      <c r="N533" s="568">
        <f>'3.1 Comparativo_Logística'!$M$29</f>
        <v>249230</v>
      </c>
      <c r="O533" s="568">
        <f t="shared" si="487"/>
        <v>498460</v>
      </c>
      <c r="P533" s="569">
        <f t="shared" si="488"/>
        <v>-0.19752838743329459</v>
      </c>
      <c r="Q533" s="295">
        <f t="shared" si="478"/>
        <v>0</v>
      </c>
    </row>
    <row r="534" spans="2:17" ht="108" x14ac:dyDescent="0.25">
      <c r="B534" s="564">
        <v>4</v>
      </c>
      <c r="C534" s="618" t="s">
        <v>1385</v>
      </c>
      <c r="D534" s="613" t="s">
        <v>238</v>
      </c>
      <c r="E534" s="613">
        <v>1</v>
      </c>
      <c r="F534" s="617">
        <v>1600000</v>
      </c>
      <c r="G534" s="634">
        <v>1</v>
      </c>
      <c r="H534" s="571">
        <f t="shared" ref="H534:H538" si="489">E534*F534*G534</f>
        <v>1600000</v>
      </c>
      <c r="I534" s="607">
        <v>0</v>
      </c>
      <c r="J534" s="597">
        <f t="shared" si="485"/>
        <v>1600000</v>
      </c>
      <c r="K534" s="607">
        <f t="shared" si="486"/>
        <v>1600000</v>
      </c>
      <c r="N534" s="568">
        <f>'3.1 Comparativo_Logística'!$M$37</f>
        <v>2714721</v>
      </c>
      <c r="O534" s="568">
        <f t="shared" si="487"/>
        <v>2714721</v>
      </c>
      <c r="P534" s="569">
        <f t="shared" si="488"/>
        <v>-0.41062083359579127</v>
      </c>
      <c r="Q534" s="295">
        <f t="shared" si="478"/>
        <v>0</v>
      </c>
    </row>
    <row r="535" spans="2:17" ht="53.25" customHeight="1" x14ac:dyDescent="0.25">
      <c r="B535" s="570">
        <v>5</v>
      </c>
      <c r="C535" s="618" t="s">
        <v>1418</v>
      </c>
      <c r="D535" s="613" t="s">
        <v>396</v>
      </c>
      <c r="E535" s="613">
        <v>53</v>
      </c>
      <c r="F535" s="617">
        <v>32000</v>
      </c>
      <c r="G535" s="634">
        <v>1</v>
      </c>
      <c r="H535" s="571">
        <f t="shared" si="489"/>
        <v>1696000</v>
      </c>
      <c r="I535" s="607">
        <v>0</v>
      </c>
      <c r="J535" s="597">
        <f t="shared" si="485"/>
        <v>1696000</v>
      </c>
      <c r="K535" s="607">
        <f t="shared" si="486"/>
        <v>1696000</v>
      </c>
      <c r="N535" s="568">
        <f>'2.1 Comparativo_Alimentación'!$M$7</f>
        <v>33548</v>
      </c>
      <c r="O535" s="568">
        <f t="shared" si="487"/>
        <v>1778044</v>
      </c>
      <c r="P535" s="569">
        <f t="shared" si="488"/>
        <v>-4.6142840109693606E-2</v>
      </c>
      <c r="Q535" s="295">
        <f t="shared" si="478"/>
        <v>0</v>
      </c>
    </row>
    <row r="536" spans="2:17" ht="45" customHeight="1" x14ac:dyDescent="0.25">
      <c r="B536" s="564">
        <v>6</v>
      </c>
      <c r="C536" s="618" t="s">
        <v>1419</v>
      </c>
      <c r="D536" s="613" t="s">
        <v>396</v>
      </c>
      <c r="E536" s="613">
        <v>53</v>
      </c>
      <c r="F536" s="617">
        <v>70000</v>
      </c>
      <c r="G536" s="634">
        <v>1</v>
      </c>
      <c r="H536" s="571">
        <f t="shared" si="489"/>
        <v>3710000</v>
      </c>
      <c r="I536" s="607">
        <v>0</v>
      </c>
      <c r="J536" s="597">
        <f t="shared" si="485"/>
        <v>3710000</v>
      </c>
      <c r="K536" s="607">
        <f t="shared" si="486"/>
        <v>3710000</v>
      </c>
      <c r="N536" s="568">
        <f>'2.1 Comparativo_Alimentación'!$M$8</f>
        <v>70822</v>
      </c>
      <c r="O536" s="568">
        <f t="shared" si="487"/>
        <v>3753566</v>
      </c>
      <c r="P536" s="569">
        <f t="shared" si="488"/>
        <v>-1.1606562932422126E-2</v>
      </c>
      <c r="Q536" s="295">
        <f t="shared" si="478"/>
        <v>0</v>
      </c>
    </row>
    <row r="537" spans="2:17" ht="45" customHeight="1" x14ac:dyDescent="0.25">
      <c r="B537" s="570">
        <v>7</v>
      </c>
      <c r="C537" s="618" t="s">
        <v>1420</v>
      </c>
      <c r="D537" s="613" t="s">
        <v>396</v>
      </c>
      <c r="E537" s="613">
        <v>53</v>
      </c>
      <c r="F537" s="617">
        <v>32000</v>
      </c>
      <c r="G537" s="634">
        <v>1</v>
      </c>
      <c r="H537" s="571">
        <f t="shared" si="489"/>
        <v>1696000</v>
      </c>
      <c r="I537" s="607">
        <v>0</v>
      </c>
      <c r="J537" s="597">
        <f t="shared" si="485"/>
        <v>1696000</v>
      </c>
      <c r="K537" s="607">
        <f t="shared" si="486"/>
        <v>1696000</v>
      </c>
      <c r="N537" s="568">
        <f>'2.1 Comparativo_Alimentación'!$M$9</f>
        <v>33548</v>
      </c>
      <c r="O537" s="568">
        <f t="shared" si="487"/>
        <v>1778044</v>
      </c>
      <c r="P537" s="569">
        <f t="shared" si="488"/>
        <v>-4.6142840109693606E-2</v>
      </c>
      <c r="Q537" s="295">
        <f t="shared" si="478"/>
        <v>0</v>
      </c>
    </row>
    <row r="538" spans="2:17" ht="148.5" x14ac:dyDescent="0.25">
      <c r="B538" s="595">
        <v>8</v>
      </c>
      <c r="C538" s="615" t="s">
        <v>1391</v>
      </c>
      <c r="D538" s="619" t="s">
        <v>238</v>
      </c>
      <c r="E538" s="614">
        <v>1</v>
      </c>
      <c r="F538" s="600">
        <v>2000000</v>
      </c>
      <c r="G538" s="632">
        <v>1</v>
      </c>
      <c r="H538" s="571">
        <f t="shared" si="489"/>
        <v>2000000</v>
      </c>
      <c r="I538" s="607">
        <v>0</v>
      </c>
      <c r="J538" s="597">
        <f t="shared" si="485"/>
        <v>2000000</v>
      </c>
      <c r="K538" s="607">
        <f t="shared" si="486"/>
        <v>2000000</v>
      </c>
      <c r="N538" s="568">
        <f>'8.1 Comparativo_Tallerista'!$N$7</f>
        <v>2455526</v>
      </c>
      <c r="O538" s="568">
        <f t="shared" si="487"/>
        <v>2455526</v>
      </c>
      <c r="P538" s="569">
        <f t="shared" si="488"/>
        <v>-0.18551055863387311</v>
      </c>
      <c r="Q538" s="295">
        <f t="shared" si="478"/>
        <v>0</v>
      </c>
    </row>
    <row r="539" spans="2:17" ht="108" x14ac:dyDescent="0.25">
      <c r="B539" s="570">
        <v>9</v>
      </c>
      <c r="C539" s="618" t="s">
        <v>1393</v>
      </c>
      <c r="D539" s="619" t="s">
        <v>238</v>
      </c>
      <c r="E539" s="614">
        <v>1</v>
      </c>
      <c r="F539" s="620">
        <v>2500000</v>
      </c>
      <c r="G539" s="131">
        <v>1</v>
      </c>
      <c r="H539" s="571">
        <f>F539*E539*G539</f>
        <v>2500000</v>
      </c>
      <c r="I539" s="607">
        <v>0</v>
      </c>
      <c r="J539" s="597">
        <f t="shared" si="485"/>
        <v>2500000</v>
      </c>
      <c r="K539" s="607">
        <f t="shared" si="486"/>
        <v>2500000</v>
      </c>
      <c r="N539" s="568">
        <f>'9.1 Comparativo_Sabedor'!$N$7</f>
        <v>2829639</v>
      </c>
      <c r="O539" s="568">
        <f t="shared" si="487"/>
        <v>2829639</v>
      </c>
      <c r="P539" s="569">
        <f t="shared" si="488"/>
        <v>-0.11649507233961642</v>
      </c>
      <c r="Q539" s="295">
        <f t="shared" si="478"/>
        <v>0</v>
      </c>
    </row>
    <row r="540" spans="2:17" ht="94.5" x14ac:dyDescent="0.25">
      <c r="B540" s="570">
        <v>10</v>
      </c>
      <c r="C540" s="618" t="s">
        <v>1394</v>
      </c>
      <c r="D540" s="599" t="s">
        <v>1062</v>
      </c>
      <c r="E540" s="614">
        <v>1</v>
      </c>
      <c r="F540" s="600">
        <v>4000000</v>
      </c>
      <c r="G540" s="632">
        <v>1</v>
      </c>
      <c r="H540" s="571">
        <f>E540*F540*G540</f>
        <v>4000000</v>
      </c>
      <c r="I540" s="607">
        <v>0</v>
      </c>
      <c r="J540" s="597">
        <f t="shared" si="485"/>
        <v>4000000</v>
      </c>
      <c r="K540" s="607">
        <f t="shared" si="486"/>
        <v>4000000</v>
      </c>
      <c r="N540" s="568">
        <f>'6.1 Comparativo_Grupo_Armoniz'!$N$7</f>
        <v>6875473</v>
      </c>
      <c r="O540" s="568">
        <f t="shared" ref="O540" si="490">N540*G540*E540</f>
        <v>6875473</v>
      </c>
      <c r="P540" s="569">
        <f t="shared" ref="P540" si="491">K540/O540-1</f>
        <v>-0.41822184451891531</v>
      </c>
      <c r="Q540" s="295">
        <f t="shared" si="478"/>
        <v>0</v>
      </c>
    </row>
    <row r="541" spans="2:17" ht="94.5" x14ac:dyDescent="0.25">
      <c r="B541" s="595">
        <v>11</v>
      </c>
      <c r="C541" s="618" t="s">
        <v>1429</v>
      </c>
      <c r="D541" s="613" t="s">
        <v>238</v>
      </c>
      <c r="E541" s="621">
        <v>50</v>
      </c>
      <c r="F541" s="597">
        <v>500000</v>
      </c>
      <c r="G541" s="134">
        <v>3</v>
      </c>
      <c r="H541" s="622">
        <f t="shared" ref="H541:H543" si="492">F541*E541*G541</f>
        <v>75000000</v>
      </c>
      <c r="I541" s="607">
        <v>0</v>
      </c>
      <c r="J541" s="597">
        <f t="shared" si="485"/>
        <v>75000000</v>
      </c>
      <c r="K541" s="607">
        <f t="shared" si="486"/>
        <v>75000000</v>
      </c>
      <c r="N541" s="104">
        <f>'5.1 Comparativo_Viáticos'!$Q$15</f>
        <v>76612425</v>
      </c>
      <c r="O541" s="104">
        <f>N541</f>
        <v>76612425</v>
      </c>
      <c r="P541" s="438">
        <f>K541/O541-1</f>
        <v>-2.1046520848282735E-2</v>
      </c>
      <c r="Q541" s="295">
        <f t="shared" si="478"/>
        <v>0</v>
      </c>
    </row>
    <row r="542" spans="2:17" ht="51" customHeight="1" x14ac:dyDescent="0.25">
      <c r="B542" s="570">
        <v>12</v>
      </c>
      <c r="C542" s="618" t="s">
        <v>1392</v>
      </c>
      <c r="D542" s="613" t="s">
        <v>238</v>
      </c>
      <c r="E542" s="621">
        <v>3</v>
      </c>
      <c r="F542" s="617">
        <v>400000</v>
      </c>
      <c r="G542" s="134">
        <v>3</v>
      </c>
      <c r="H542" s="622">
        <f t="shared" si="492"/>
        <v>3600000</v>
      </c>
      <c r="I542" s="607">
        <v>0</v>
      </c>
      <c r="J542" s="597">
        <f t="shared" si="485"/>
        <v>3600000</v>
      </c>
      <c r="K542" s="607">
        <f t="shared" si="486"/>
        <v>3600000</v>
      </c>
      <c r="N542" s="568">
        <f>'5.1 Comparativo_Viáticos'!$Q$13</f>
        <v>4596746</v>
      </c>
      <c r="O542" s="568">
        <f>N542</f>
        <v>4596746</v>
      </c>
      <c r="P542" s="569">
        <f t="shared" ref="P542" si="493">K542/O542-1</f>
        <v>-0.21683730186527606</v>
      </c>
      <c r="Q542" s="295">
        <f t="shared" si="478"/>
        <v>0</v>
      </c>
    </row>
    <row r="543" spans="2:17" ht="60" customHeight="1" x14ac:dyDescent="0.25">
      <c r="B543" s="629">
        <v>13</v>
      </c>
      <c r="C543" s="624" t="s">
        <v>1425</v>
      </c>
      <c r="D543" s="613" t="s">
        <v>238</v>
      </c>
      <c r="E543" s="639">
        <v>3</v>
      </c>
      <c r="F543" s="617">
        <v>1000000</v>
      </c>
      <c r="G543" s="621">
        <v>2</v>
      </c>
      <c r="H543" s="622">
        <f t="shared" si="492"/>
        <v>6000000</v>
      </c>
      <c r="I543" s="607">
        <v>0</v>
      </c>
      <c r="J543" s="597">
        <f t="shared" si="485"/>
        <v>6000000</v>
      </c>
      <c r="K543" s="607">
        <f t="shared" si="486"/>
        <v>6000000</v>
      </c>
      <c r="N543" s="568">
        <f>'4.1 Comparativo_Transporte'!$N$27</f>
        <v>1188475</v>
      </c>
      <c r="O543" s="568">
        <f t="shared" ref="O543:O544" si="494">N543*G543*E543</f>
        <v>7130850</v>
      </c>
      <c r="P543" s="569">
        <f t="shared" ref="P543:P545" si="495">K543/O543-1</f>
        <v>-0.15858558236395381</v>
      </c>
      <c r="Q543" s="295">
        <f t="shared" si="478"/>
        <v>0</v>
      </c>
    </row>
    <row r="544" spans="2:17" ht="93" customHeight="1" x14ac:dyDescent="0.25">
      <c r="B544" s="595">
        <v>14</v>
      </c>
      <c r="C544" s="608" t="s">
        <v>1468</v>
      </c>
      <c r="D544" s="605" t="s">
        <v>396</v>
      </c>
      <c r="E544" s="640">
        <v>50</v>
      </c>
      <c r="F544" s="617">
        <v>100000</v>
      </c>
      <c r="G544" s="640">
        <v>1</v>
      </c>
      <c r="H544" s="567">
        <f>E544*F544*G544</f>
        <v>5000000</v>
      </c>
      <c r="I544" s="607">
        <v>0</v>
      </c>
      <c r="J544" s="597">
        <f t="shared" si="485"/>
        <v>5000000</v>
      </c>
      <c r="K544" s="607">
        <f t="shared" si="486"/>
        <v>5000000</v>
      </c>
      <c r="N544" s="568">
        <f>'7.1 Comparativo_Kit_Herrami'!$N$7</f>
        <v>102170</v>
      </c>
      <c r="O544" s="568">
        <f t="shared" si="494"/>
        <v>5108500</v>
      </c>
      <c r="P544" s="569">
        <f t="shared" si="495"/>
        <v>-2.1239111285113021E-2</v>
      </c>
      <c r="Q544" s="295">
        <f t="shared" si="478"/>
        <v>0</v>
      </c>
    </row>
    <row r="545" spans="2:17" ht="15.75" customHeight="1" x14ac:dyDescent="0.25">
      <c r="B545" s="809" t="s">
        <v>424</v>
      </c>
      <c r="C545" s="786"/>
      <c r="D545" s="786"/>
      <c r="E545" s="787"/>
      <c r="F545" s="643">
        <f>SUM(F531:F544)</f>
        <v>16834000</v>
      </c>
      <c r="G545" s="641"/>
      <c r="H545" s="644">
        <f t="shared" ref="H545:K545" si="496">SUM(H531:H544)</f>
        <v>111602000</v>
      </c>
      <c r="I545" s="642">
        <f t="shared" si="496"/>
        <v>0</v>
      </c>
      <c r="J545" s="642">
        <f t="shared" si="496"/>
        <v>111602000</v>
      </c>
      <c r="K545" s="642">
        <f t="shared" si="496"/>
        <v>111602000</v>
      </c>
      <c r="N545" s="642">
        <f t="shared" ref="N545:O545" si="497">SUM(N531:N544)</f>
        <v>102523738</v>
      </c>
      <c r="O545" s="642">
        <f t="shared" si="497"/>
        <v>120893409</v>
      </c>
      <c r="P545" s="569">
        <f t="shared" si="495"/>
        <v>-7.6856208099814638E-2</v>
      </c>
      <c r="Q545" s="295"/>
    </row>
    <row r="546" spans="2:17" ht="15.75" customHeight="1" x14ac:dyDescent="0.25">
      <c r="B546" s="784" t="s">
        <v>1495</v>
      </c>
      <c r="C546" s="782"/>
      <c r="D546" s="782"/>
      <c r="E546" s="782"/>
      <c r="F546" s="782"/>
      <c r="G546" s="782"/>
      <c r="H546" s="782"/>
      <c r="I546" s="782"/>
      <c r="J546" s="782"/>
      <c r="K546" s="783"/>
      <c r="Q546" s="295">
        <f t="shared" si="478"/>
        <v>0</v>
      </c>
    </row>
    <row r="547" spans="2:17" ht="57" customHeight="1" x14ac:dyDescent="0.25">
      <c r="B547" s="593">
        <v>1</v>
      </c>
      <c r="C547" s="608" t="s">
        <v>1496</v>
      </c>
      <c r="D547" s="131" t="s">
        <v>1061</v>
      </c>
      <c r="E547" s="131">
        <v>1</v>
      </c>
      <c r="F547" s="594">
        <v>3500000</v>
      </c>
      <c r="G547" s="630">
        <v>1</v>
      </c>
      <c r="H547" s="567">
        <f t="shared" ref="H547:H549" si="498">F547*E547*G547</f>
        <v>3500000</v>
      </c>
      <c r="I547" s="607">
        <v>0</v>
      </c>
      <c r="J547" s="597">
        <f t="shared" ref="J547:J560" si="499">H547</f>
        <v>3500000</v>
      </c>
      <c r="K547" s="607">
        <f t="shared" ref="K547:K560" si="500">I547+J547</f>
        <v>3500000</v>
      </c>
      <c r="N547" s="568">
        <f>'3.1 Comparativo_Logística'!$M$7</f>
        <v>3585068</v>
      </c>
      <c r="O547" s="568">
        <f t="shared" ref="O547:O555" si="501">N547*G547*E547</f>
        <v>3585068</v>
      </c>
      <c r="P547" s="569">
        <f t="shared" ref="P547:P555" si="502">K547/O547-1</f>
        <v>-2.3728420214065626E-2</v>
      </c>
      <c r="Q547" s="295">
        <f t="shared" si="478"/>
        <v>0</v>
      </c>
    </row>
    <row r="548" spans="2:17" ht="35.25" customHeight="1" x14ac:dyDescent="0.25">
      <c r="B548" s="595">
        <v>2</v>
      </c>
      <c r="C548" s="608" t="s">
        <v>1416</v>
      </c>
      <c r="D548" s="631" t="s">
        <v>396</v>
      </c>
      <c r="E548" s="134">
        <v>1</v>
      </c>
      <c r="F548" s="597">
        <v>900000</v>
      </c>
      <c r="G548" s="632">
        <v>1</v>
      </c>
      <c r="H548" s="571">
        <f t="shared" si="498"/>
        <v>900000</v>
      </c>
      <c r="I548" s="607">
        <v>0</v>
      </c>
      <c r="J548" s="597">
        <f t="shared" si="499"/>
        <v>900000</v>
      </c>
      <c r="K548" s="607">
        <f t="shared" si="500"/>
        <v>900000</v>
      </c>
      <c r="N548" s="568">
        <f>'3.1 Comparativo_Logística'!$M$20</f>
        <v>1176347</v>
      </c>
      <c r="O548" s="568">
        <f t="shared" si="501"/>
        <v>1176347</v>
      </c>
      <c r="P548" s="569">
        <f t="shared" si="502"/>
        <v>-0.23491962830695368</v>
      </c>
      <c r="Q548" s="295">
        <f t="shared" si="478"/>
        <v>0</v>
      </c>
    </row>
    <row r="549" spans="2:17" ht="42" customHeight="1" x14ac:dyDescent="0.25">
      <c r="B549" s="570">
        <v>3</v>
      </c>
      <c r="C549" s="608" t="s">
        <v>1417</v>
      </c>
      <c r="D549" s="611" t="s">
        <v>238</v>
      </c>
      <c r="E549" s="599">
        <v>2</v>
      </c>
      <c r="F549" s="600">
        <v>200000</v>
      </c>
      <c r="G549" s="633">
        <v>1</v>
      </c>
      <c r="H549" s="571">
        <f t="shared" si="498"/>
        <v>400000</v>
      </c>
      <c r="I549" s="607">
        <v>0</v>
      </c>
      <c r="J549" s="597">
        <f t="shared" si="499"/>
        <v>400000</v>
      </c>
      <c r="K549" s="607">
        <f t="shared" si="500"/>
        <v>400000</v>
      </c>
      <c r="N549" s="568">
        <f>'3.1 Comparativo_Logística'!$M$29</f>
        <v>249230</v>
      </c>
      <c r="O549" s="568">
        <f t="shared" si="501"/>
        <v>498460</v>
      </c>
      <c r="P549" s="569">
        <f t="shared" si="502"/>
        <v>-0.19752838743329459</v>
      </c>
      <c r="Q549" s="295">
        <f t="shared" si="478"/>
        <v>0</v>
      </c>
    </row>
    <row r="550" spans="2:17" ht="108" x14ac:dyDescent="0.25">
      <c r="B550" s="564">
        <v>4</v>
      </c>
      <c r="C550" s="618" t="s">
        <v>1385</v>
      </c>
      <c r="D550" s="613" t="s">
        <v>238</v>
      </c>
      <c r="E550" s="613">
        <v>1</v>
      </c>
      <c r="F550" s="617">
        <v>1600000</v>
      </c>
      <c r="G550" s="634">
        <v>1</v>
      </c>
      <c r="H550" s="571">
        <f t="shared" ref="H550:H554" si="503">E550*F550*G550</f>
        <v>1600000</v>
      </c>
      <c r="I550" s="607">
        <v>0</v>
      </c>
      <c r="J550" s="597">
        <f t="shared" si="499"/>
        <v>1600000</v>
      </c>
      <c r="K550" s="607">
        <f t="shared" si="500"/>
        <v>1600000</v>
      </c>
      <c r="N550" s="568">
        <f>'3.1 Comparativo_Logística'!$M$37</f>
        <v>2714721</v>
      </c>
      <c r="O550" s="568">
        <f t="shared" si="501"/>
        <v>2714721</v>
      </c>
      <c r="P550" s="569">
        <f t="shared" si="502"/>
        <v>-0.41062083359579127</v>
      </c>
      <c r="Q550" s="295">
        <f t="shared" si="478"/>
        <v>0</v>
      </c>
    </row>
    <row r="551" spans="2:17" ht="45" customHeight="1" x14ac:dyDescent="0.25">
      <c r="B551" s="570">
        <v>5</v>
      </c>
      <c r="C551" s="618" t="s">
        <v>1418</v>
      </c>
      <c r="D551" s="613" t="s">
        <v>396</v>
      </c>
      <c r="E551" s="613">
        <v>53</v>
      </c>
      <c r="F551" s="617">
        <v>32000</v>
      </c>
      <c r="G551" s="634">
        <v>1</v>
      </c>
      <c r="H551" s="571">
        <f t="shared" si="503"/>
        <v>1696000</v>
      </c>
      <c r="I551" s="607">
        <v>0</v>
      </c>
      <c r="J551" s="597">
        <f t="shared" si="499"/>
        <v>1696000</v>
      </c>
      <c r="K551" s="607">
        <f t="shared" si="500"/>
        <v>1696000</v>
      </c>
      <c r="N551" s="568">
        <f>'2.1 Comparativo_Alimentación'!$M$7</f>
        <v>33548</v>
      </c>
      <c r="O551" s="568">
        <f t="shared" si="501"/>
        <v>1778044</v>
      </c>
      <c r="P551" s="569">
        <f t="shared" si="502"/>
        <v>-4.6142840109693606E-2</v>
      </c>
      <c r="Q551" s="295">
        <f t="shared" si="478"/>
        <v>0</v>
      </c>
    </row>
    <row r="552" spans="2:17" ht="45" customHeight="1" x14ac:dyDescent="0.25">
      <c r="B552" s="564">
        <v>6</v>
      </c>
      <c r="C552" s="618" t="s">
        <v>1419</v>
      </c>
      <c r="D552" s="613" t="s">
        <v>396</v>
      </c>
      <c r="E552" s="613">
        <v>53</v>
      </c>
      <c r="F552" s="617">
        <v>70000</v>
      </c>
      <c r="G552" s="634">
        <v>1</v>
      </c>
      <c r="H552" s="571">
        <f t="shared" si="503"/>
        <v>3710000</v>
      </c>
      <c r="I552" s="607">
        <v>0</v>
      </c>
      <c r="J552" s="597">
        <f t="shared" si="499"/>
        <v>3710000</v>
      </c>
      <c r="K552" s="607">
        <f t="shared" si="500"/>
        <v>3710000</v>
      </c>
      <c r="N552" s="568">
        <f>'2.1 Comparativo_Alimentación'!$M$8</f>
        <v>70822</v>
      </c>
      <c r="O552" s="568">
        <f t="shared" si="501"/>
        <v>3753566</v>
      </c>
      <c r="P552" s="569">
        <f t="shared" si="502"/>
        <v>-1.1606562932422126E-2</v>
      </c>
      <c r="Q552" s="295">
        <f t="shared" si="478"/>
        <v>0</v>
      </c>
    </row>
    <row r="553" spans="2:17" ht="45" customHeight="1" x14ac:dyDescent="0.25">
      <c r="B553" s="570">
        <v>7</v>
      </c>
      <c r="C553" s="618" t="s">
        <v>1420</v>
      </c>
      <c r="D553" s="613" t="s">
        <v>396</v>
      </c>
      <c r="E553" s="613">
        <v>53</v>
      </c>
      <c r="F553" s="617">
        <v>32000</v>
      </c>
      <c r="G553" s="634">
        <v>1</v>
      </c>
      <c r="H553" s="571">
        <f t="shared" si="503"/>
        <v>1696000</v>
      </c>
      <c r="I553" s="607">
        <v>0</v>
      </c>
      <c r="J553" s="597">
        <f t="shared" si="499"/>
        <v>1696000</v>
      </c>
      <c r="K553" s="607">
        <f t="shared" si="500"/>
        <v>1696000</v>
      </c>
      <c r="N553" s="568">
        <f>'2.1 Comparativo_Alimentación'!$M$9</f>
        <v>33548</v>
      </c>
      <c r="O553" s="568">
        <f t="shared" si="501"/>
        <v>1778044</v>
      </c>
      <c r="P553" s="569">
        <f t="shared" si="502"/>
        <v>-4.6142840109693606E-2</v>
      </c>
      <c r="Q553" s="295">
        <f t="shared" si="478"/>
        <v>0</v>
      </c>
    </row>
    <row r="554" spans="2:17" ht="148.5" x14ac:dyDescent="0.25">
      <c r="B554" s="595">
        <v>8</v>
      </c>
      <c r="C554" s="615" t="s">
        <v>1391</v>
      </c>
      <c r="D554" s="619" t="s">
        <v>238</v>
      </c>
      <c r="E554" s="134">
        <v>1</v>
      </c>
      <c r="F554" s="600">
        <v>2000000</v>
      </c>
      <c r="G554" s="632">
        <v>1</v>
      </c>
      <c r="H554" s="571">
        <f t="shared" si="503"/>
        <v>2000000</v>
      </c>
      <c r="I554" s="607">
        <v>0</v>
      </c>
      <c r="J554" s="597">
        <f t="shared" si="499"/>
        <v>2000000</v>
      </c>
      <c r="K554" s="607">
        <f t="shared" si="500"/>
        <v>2000000</v>
      </c>
      <c r="N554" s="568">
        <f>'8.1 Comparativo_Tallerista'!$N$7</f>
        <v>2455526</v>
      </c>
      <c r="O554" s="568">
        <f t="shared" si="501"/>
        <v>2455526</v>
      </c>
      <c r="P554" s="569">
        <f t="shared" si="502"/>
        <v>-0.18551055863387311</v>
      </c>
      <c r="Q554" s="295">
        <f t="shared" si="478"/>
        <v>0</v>
      </c>
    </row>
    <row r="555" spans="2:17" ht="108" x14ac:dyDescent="0.25">
      <c r="B555" s="570">
        <v>9</v>
      </c>
      <c r="C555" s="618" t="s">
        <v>1393</v>
      </c>
      <c r="D555" s="619" t="s">
        <v>238</v>
      </c>
      <c r="E555" s="134">
        <v>1</v>
      </c>
      <c r="F555" s="620">
        <v>2500000</v>
      </c>
      <c r="G555" s="131">
        <v>1</v>
      </c>
      <c r="H555" s="571">
        <f>F555*E555*G555</f>
        <v>2500000</v>
      </c>
      <c r="I555" s="607">
        <v>0</v>
      </c>
      <c r="J555" s="597">
        <f t="shared" si="499"/>
        <v>2500000</v>
      </c>
      <c r="K555" s="607">
        <f t="shared" si="500"/>
        <v>2500000</v>
      </c>
      <c r="N555" s="568">
        <f>'9.1 Comparativo_Sabedor'!$N$7</f>
        <v>2829639</v>
      </c>
      <c r="O555" s="568">
        <f t="shared" si="501"/>
        <v>2829639</v>
      </c>
      <c r="P555" s="569">
        <f t="shared" si="502"/>
        <v>-0.11649507233961642</v>
      </c>
      <c r="Q555" s="295">
        <f t="shared" si="478"/>
        <v>0</v>
      </c>
    </row>
    <row r="556" spans="2:17" ht="94.5" x14ac:dyDescent="0.25">
      <c r="B556" s="570">
        <v>10</v>
      </c>
      <c r="C556" s="618" t="s">
        <v>1394</v>
      </c>
      <c r="D556" s="599" t="s">
        <v>1062</v>
      </c>
      <c r="E556" s="614">
        <v>1</v>
      </c>
      <c r="F556" s="600">
        <v>4000000</v>
      </c>
      <c r="G556" s="632">
        <v>1</v>
      </c>
      <c r="H556" s="571">
        <f>E556*F556*G556</f>
        <v>4000000</v>
      </c>
      <c r="I556" s="607">
        <v>0</v>
      </c>
      <c r="J556" s="597">
        <f t="shared" si="499"/>
        <v>4000000</v>
      </c>
      <c r="K556" s="607">
        <f t="shared" si="500"/>
        <v>4000000</v>
      </c>
      <c r="N556" s="568">
        <f>'6.1 Comparativo_Grupo_Armoniz'!$N$7</f>
        <v>6875473</v>
      </c>
      <c r="O556" s="568">
        <f t="shared" ref="O556" si="504">N556*G556*E556</f>
        <v>6875473</v>
      </c>
      <c r="P556" s="569">
        <f t="shared" ref="P556" si="505">K556/O556-1</f>
        <v>-0.41822184451891531</v>
      </c>
      <c r="Q556" s="295">
        <f t="shared" si="478"/>
        <v>0</v>
      </c>
    </row>
    <row r="557" spans="2:17" ht="94.5" x14ac:dyDescent="0.25">
      <c r="B557" s="595">
        <v>11</v>
      </c>
      <c r="C557" s="618" t="s">
        <v>1429</v>
      </c>
      <c r="D557" s="619" t="s">
        <v>238</v>
      </c>
      <c r="E557" s="621">
        <v>50</v>
      </c>
      <c r="F557" s="597">
        <v>500000</v>
      </c>
      <c r="G557" s="134">
        <v>3</v>
      </c>
      <c r="H557" s="622">
        <f t="shared" ref="H557:H559" si="506">F557*E557*G557</f>
        <v>75000000</v>
      </c>
      <c r="I557" s="607">
        <v>0</v>
      </c>
      <c r="J557" s="597">
        <f t="shared" si="499"/>
        <v>75000000</v>
      </c>
      <c r="K557" s="607">
        <f t="shared" si="500"/>
        <v>75000000</v>
      </c>
      <c r="N557" s="104">
        <f>'5.1 Comparativo_Viáticos'!$Q$15</f>
        <v>76612425</v>
      </c>
      <c r="O557" s="104">
        <f>N557</f>
        <v>76612425</v>
      </c>
      <c r="P557" s="438">
        <f>K557/O557-1</f>
        <v>-2.1046520848282735E-2</v>
      </c>
      <c r="Q557" s="295">
        <f t="shared" si="478"/>
        <v>0</v>
      </c>
    </row>
    <row r="558" spans="2:17" ht="81" x14ac:dyDescent="0.25">
      <c r="B558" s="570">
        <v>12</v>
      </c>
      <c r="C558" s="618" t="s">
        <v>1392</v>
      </c>
      <c r="D558" s="613" t="s">
        <v>238</v>
      </c>
      <c r="E558" s="621">
        <v>3</v>
      </c>
      <c r="F558" s="617">
        <v>400000</v>
      </c>
      <c r="G558" s="134">
        <v>3</v>
      </c>
      <c r="H558" s="622">
        <f t="shared" si="506"/>
        <v>3600000</v>
      </c>
      <c r="I558" s="607">
        <v>0</v>
      </c>
      <c r="J558" s="597">
        <f t="shared" si="499"/>
        <v>3600000</v>
      </c>
      <c r="K558" s="607">
        <f t="shared" si="500"/>
        <v>3600000</v>
      </c>
      <c r="N558" s="568">
        <f>'5.1 Comparativo_Viáticos'!$Q$13</f>
        <v>4596746</v>
      </c>
      <c r="O558" s="568">
        <f>N558</f>
        <v>4596746</v>
      </c>
      <c r="P558" s="569">
        <f t="shared" ref="P558" si="507">K558/O558-1</f>
        <v>-0.21683730186527606</v>
      </c>
      <c r="Q558" s="295">
        <f t="shared" si="478"/>
        <v>0</v>
      </c>
    </row>
    <row r="559" spans="2:17" ht="94.5" x14ac:dyDescent="0.25">
      <c r="B559" s="629">
        <v>13</v>
      </c>
      <c r="C559" s="624" t="s">
        <v>1425</v>
      </c>
      <c r="D559" s="613" t="s">
        <v>238</v>
      </c>
      <c r="E559" s="639">
        <v>3</v>
      </c>
      <c r="F559" s="617">
        <v>1000000</v>
      </c>
      <c r="G559" s="621">
        <v>2</v>
      </c>
      <c r="H559" s="622">
        <f t="shared" si="506"/>
        <v>6000000</v>
      </c>
      <c r="I559" s="607">
        <v>0</v>
      </c>
      <c r="J559" s="597">
        <f t="shared" si="499"/>
        <v>6000000</v>
      </c>
      <c r="K559" s="607">
        <f t="shared" si="500"/>
        <v>6000000</v>
      </c>
      <c r="N559" s="568">
        <f>'4.1 Comparativo_Transporte'!$N$27</f>
        <v>1188475</v>
      </c>
      <c r="O559" s="568">
        <f t="shared" ref="O559:O560" si="508">N559*G559*E559</f>
        <v>7130850</v>
      </c>
      <c r="P559" s="569">
        <f t="shared" ref="P559:P561" si="509">K559/O559-1</f>
        <v>-0.15858558236395381</v>
      </c>
      <c r="Q559" s="295">
        <f t="shared" si="478"/>
        <v>0</v>
      </c>
    </row>
    <row r="560" spans="2:17" ht="93" customHeight="1" x14ac:dyDescent="0.25">
      <c r="B560" s="595">
        <v>14</v>
      </c>
      <c r="C560" s="608" t="s">
        <v>1497</v>
      </c>
      <c r="D560" s="605" t="s">
        <v>396</v>
      </c>
      <c r="E560" s="640">
        <v>50</v>
      </c>
      <c r="F560" s="617">
        <v>100000</v>
      </c>
      <c r="G560" s="640">
        <v>1</v>
      </c>
      <c r="H560" s="567">
        <f>E560*F560*G560</f>
        <v>5000000</v>
      </c>
      <c r="I560" s="607">
        <v>0</v>
      </c>
      <c r="J560" s="597">
        <f t="shared" si="499"/>
        <v>5000000</v>
      </c>
      <c r="K560" s="607">
        <f t="shared" si="500"/>
        <v>5000000</v>
      </c>
      <c r="N560" s="568">
        <f>'7.1 Comparativo_Kit_Herrami'!$N$7</f>
        <v>102170</v>
      </c>
      <c r="O560" s="568">
        <f t="shared" si="508"/>
        <v>5108500</v>
      </c>
      <c r="P560" s="569">
        <f t="shared" si="509"/>
        <v>-2.1239111285113021E-2</v>
      </c>
      <c r="Q560" s="295">
        <f t="shared" si="478"/>
        <v>0</v>
      </c>
    </row>
    <row r="561" spans="2:17" ht="15.75" customHeight="1" x14ac:dyDescent="0.25">
      <c r="B561" s="809" t="s">
        <v>425</v>
      </c>
      <c r="C561" s="786"/>
      <c r="D561" s="786"/>
      <c r="E561" s="787"/>
      <c r="F561" s="643">
        <f>SUM(F547:F560)</f>
        <v>16834000</v>
      </c>
      <c r="G561" s="641"/>
      <c r="H561" s="644">
        <f t="shared" ref="H561:K561" si="510">SUM(H547:H560)</f>
        <v>111602000</v>
      </c>
      <c r="I561" s="642">
        <f t="shared" si="510"/>
        <v>0</v>
      </c>
      <c r="J561" s="642">
        <f t="shared" si="510"/>
        <v>111602000</v>
      </c>
      <c r="K561" s="642">
        <f t="shared" si="510"/>
        <v>111602000</v>
      </c>
      <c r="N561" s="642">
        <f t="shared" ref="N561:O561" si="511">SUM(N547:N560)</f>
        <v>102523738</v>
      </c>
      <c r="O561" s="642">
        <f t="shared" si="511"/>
        <v>120893409</v>
      </c>
      <c r="P561" s="569">
        <f t="shared" si="509"/>
        <v>-7.6856208099814638E-2</v>
      </c>
      <c r="Q561" s="295"/>
    </row>
    <row r="562" spans="2:17" ht="15.75" customHeight="1" x14ac:dyDescent="0.25">
      <c r="B562" s="784" t="s">
        <v>1498</v>
      </c>
      <c r="C562" s="782"/>
      <c r="D562" s="782"/>
      <c r="E562" s="782"/>
      <c r="F562" s="782"/>
      <c r="G562" s="782"/>
      <c r="H562" s="782"/>
      <c r="I562" s="782"/>
      <c r="J562" s="782"/>
      <c r="K562" s="783"/>
      <c r="Q562" s="295">
        <f t="shared" si="478"/>
        <v>0</v>
      </c>
    </row>
    <row r="563" spans="2:17" ht="57" customHeight="1" x14ac:dyDescent="0.25">
      <c r="B563" s="593">
        <v>1</v>
      </c>
      <c r="C563" s="608" t="s">
        <v>1499</v>
      </c>
      <c r="D563" s="131" t="s">
        <v>1061</v>
      </c>
      <c r="E563" s="131">
        <v>1</v>
      </c>
      <c r="F563" s="594">
        <v>3500000</v>
      </c>
      <c r="G563" s="630">
        <v>1</v>
      </c>
      <c r="H563" s="567">
        <f t="shared" ref="H563:H565" si="512">F563*E563*G563</f>
        <v>3500000</v>
      </c>
      <c r="I563" s="607">
        <v>0</v>
      </c>
      <c r="J563" s="597">
        <f t="shared" ref="J563:J576" si="513">H563</f>
        <v>3500000</v>
      </c>
      <c r="K563" s="607">
        <f t="shared" ref="K563:K576" si="514">I563+J563</f>
        <v>3500000</v>
      </c>
      <c r="N563" s="568">
        <f>'3.1 Comparativo_Logística'!$M$7</f>
        <v>3585068</v>
      </c>
      <c r="O563" s="568">
        <f t="shared" ref="O563:O571" si="515">N563*G563*E563</f>
        <v>3585068</v>
      </c>
      <c r="P563" s="569">
        <f t="shared" ref="P563:P571" si="516">K563/O563-1</f>
        <v>-2.3728420214065626E-2</v>
      </c>
      <c r="Q563" s="295">
        <f t="shared" si="478"/>
        <v>0</v>
      </c>
    </row>
    <row r="564" spans="2:17" ht="36" customHeight="1" x14ac:dyDescent="0.25">
      <c r="B564" s="595">
        <v>2</v>
      </c>
      <c r="C564" s="608" t="s">
        <v>1416</v>
      </c>
      <c r="D564" s="631" t="s">
        <v>396</v>
      </c>
      <c r="E564" s="134">
        <v>1</v>
      </c>
      <c r="F564" s="597">
        <v>900000</v>
      </c>
      <c r="G564" s="632">
        <v>1</v>
      </c>
      <c r="H564" s="571">
        <f t="shared" si="512"/>
        <v>900000</v>
      </c>
      <c r="I564" s="607">
        <v>0</v>
      </c>
      <c r="J564" s="597">
        <f t="shared" si="513"/>
        <v>900000</v>
      </c>
      <c r="K564" s="607">
        <f t="shared" si="514"/>
        <v>900000</v>
      </c>
      <c r="N564" s="568">
        <f>'3.1 Comparativo_Logística'!$M$20</f>
        <v>1176347</v>
      </c>
      <c r="O564" s="568">
        <f t="shared" si="515"/>
        <v>1176347</v>
      </c>
      <c r="P564" s="569">
        <f t="shared" si="516"/>
        <v>-0.23491962830695368</v>
      </c>
      <c r="Q564" s="295">
        <f t="shared" si="478"/>
        <v>0</v>
      </c>
    </row>
    <row r="565" spans="2:17" ht="45" customHeight="1" x14ac:dyDescent="0.25">
      <c r="B565" s="570">
        <v>3</v>
      </c>
      <c r="C565" s="608" t="s">
        <v>1417</v>
      </c>
      <c r="D565" s="611" t="s">
        <v>238</v>
      </c>
      <c r="E565" s="599">
        <v>2</v>
      </c>
      <c r="F565" s="600">
        <v>200000</v>
      </c>
      <c r="G565" s="633">
        <v>1</v>
      </c>
      <c r="H565" s="571">
        <f t="shared" si="512"/>
        <v>400000</v>
      </c>
      <c r="I565" s="607">
        <v>0</v>
      </c>
      <c r="J565" s="597">
        <f t="shared" si="513"/>
        <v>400000</v>
      </c>
      <c r="K565" s="607">
        <f t="shared" si="514"/>
        <v>400000</v>
      </c>
      <c r="N565" s="568">
        <f>'3.1 Comparativo_Logística'!$M$29</f>
        <v>249230</v>
      </c>
      <c r="O565" s="568">
        <f t="shared" si="515"/>
        <v>498460</v>
      </c>
      <c r="P565" s="569">
        <f t="shared" si="516"/>
        <v>-0.19752838743329459</v>
      </c>
      <c r="Q565" s="295">
        <f t="shared" si="478"/>
        <v>0</v>
      </c>
    </row>
    <row r="566" spans="2:17" ht="108" x14ac:dyDescent="0.25">
      <c r="B566" s="564">
        <v>4</v>
      </c>
      <c r="C566" s="618" t="s">
        <v>1385</v>
      </c>
      <c r="D566" s="613" t="s">
        <v>238</v>
      </c>
      <c r="E566" s="613">
        <v>1</v>
      </c>
      <c r="F566" s="617">
        <v>1600000</v>
      </c>
      <c r="G566" s="634">
        <v>1</v>
      </c>
      <c r="H566" s="571">
        <f t="shared" ref="H566:H570" si="517">E566*F566*G566</f>
        <v>1600000</v>
      </c>
      <c r="I566" s="607">
        <v>0</v>
      </c>
      <c r="J566" s="597">
        <f t="shared" si="513"/>
        <v>1600000</v>
      </c>
      <c r="K566" s="607">
        <f t="shared" si="514"/>
        <v>1600000</v>
      </c>
      <c r="N566" s="568">
        <f>'3.1 Comparativo_Logística'!$M$37</f>
        <v>2714721</v>
      </c>
      <c r="O566" s="568">
        <f t="shared" si="515"/>
        <v>2714721</v>
      </c>
      <c r="P566" s="569">
        <f t="shared" si="516"/>
        <v>-0.41062083359579127</v>
      </c>
      <c r="Q566" s="295">
        <f t="shared" si="478"/>
        <v>0</v>
      </c>
    </row>
    <row r="567" spans="2:17" ht="45" customHeight="1" x14ac:dyDescent="0.25">
      <c r="B567" s="570">
        <v>5</v>
      </c>
      <c r="C567" s="618" t="s">
        <v>1418</v>
      </c>
      <c r="D567" s="613" t="s">
        <v>396</v>
      </c>
      <c r="E567" s="613">
        <v>53</v>
      </c>
      <c r="F567" s="617">
        <v>32000</v>
      </c>
      <c r="G567" s="634">
        <v>1</v>
      </c>
      <c r="H567" s="571">
        <f t="shared" si="517"/>
        <v>1696000</v>
      </c>
      <c r="I567" s="607">
        <v>0</v>
      </c>
      <c r="J567" s="597">
        <f t="shared" si="513"/>
        <v>1696000</v>
      </c>
      <c r="K567" s="607">
        <f t="shared" si="514"/>
        <v>1696000</v>
      </c>
      <c r="N567" s="568">
        <f>'2.1 Comparativo_Alimentación'!$M$7</f>
        <v>33548</v>
      </c>
      <c r="O567" s="568">
        <f t="shared" si="515"/>
        <v>1778044</v>
      </c>
      <c r="P567" s="569">
        <f t="shared" si="516"/>
        <v>-4.6142840109693606E-2</v>
      </c>
      <c r="Q567" s="295">
        <f t="shared" si="478"/>
        <v>0</v>
      </c>
    </row>
    <row r="568" spans="2:17" ht="45" customHeight="1" x14ac:dyDescent="0.25">
      <c r="B568" s="564">
        <v>6</v>
      </c>
      <c r="C568" s="618" t="s">
        <v>1419</v>
      </c>
      <c r="D568" s="613" t="s">
        <v>396</v>
      </c>
      <c r="E568" s="613">
        <v>53</v>
      </c>
      <c r="F568" s="617">
        <v>70000</v>
      </c>
      <c r="G568" s="634">
        <v>1</v>
      </c>
      <c r="H568" s="571">
        <f t="shared" si="517"/>
        <v>3710000</v>
      </c>
      <c r="I568" s="607">
        <v>0</v>
      </c>
      <c r="J568" s="597">
        <f t="shared" si="513"/>
        <v>3710000</v>
      </c>
      <c r="K568" s="607">
        <f t="shared" si="514"/>
        <v>3710000</v>
      </c>
      <c r="N568" s="568">
        <f>'2.1 Comparativo_Alimentación'!$M$8</f>
        <v>70822</v>
      </c>
      <c r="O568" s="568">
        <f t="shared" si="515"/>
        <v>3753566</v>
      </c>
      <c r="P568" s="569">
        <f t="shared" si="516"/>
        <v>-1.1606562932422126E-2</v>
      </c>
      <c r="Q568" s="295">
        <f t="shared" si="478"/>
        <v>0</v>
      </c>
    </row>
    <row r="569" spans="2:17" ht="45" customHeight="1" x14ac:dyDescent="0.25">
      <c r="B569" s="570">
        <v>7</v>
      </c>
      <c r="C569" s="618" t="s">
        <v>1420</v>
      </c>
      <c r="D569" s="613" t="s">
        <v>396</v>
      </c>
      <c r="E569" s="613">
        <v>53</v>
      </c>
      <c r="F569" s="617">
        <v>32000</v>
      </c>
      <c r="G569" s="634">
        <v>1</v>
      </c>
      <c r="H569" s="571">
        <f t="shared" si="517"/>
        <v>1696000</v>
      </c>
      <c r="I569" s="607">
        <v>0</v>
      </c>
      <c r="J569" s="597">
        <f t="shared" si="513"/>
        <v>1696000</v>
      </c>
      <c r="K569" s="607">
        <f t="shared" si="514"/>
        <v>1696000</v>
      </c>
      <c r="N569" s="568">
        <f>'2.1 Comparativo_Alimentación'!$M$9</f>
        <v>33548</v>
      </c>
      <c r="O569" s="568">
        <f t="shared" si="515"/>
        <v>1778044</v>
      </c>
      <c r="P569" s="569">
        <f t="shared" si="516"/>
        <v>-4.6142840109693606E-2</v>
      </c>
      <c r="Q569" s="295">
        <f t="shared" si="478"/>
        <v>0</v>
      </c>
    </row>
    <row r="570" spans="2:17" ht="148.5" x14ac:dyDescent="0.25">
      <c r="B570" s="595">
        <v>8</v>
      </c>
      <c r="C570" s="615" t="s">
        <v>1391</v>
      </c>
      <c r="D570" s="619" t="s">
        <v>238</v>
      </c>
      <c r="E570" s="614">
        <v>1</v>
      </c>
      <c r="F570" s="600">
        <v>2000000</v>
      </c>
      <c r="G570" s="632">
        <v>1</v>
      </c>
      <c r="H570" s="571">
        <f t="shared" si="517"/>
        <v>2000000</v>
      </c>
      <c r="I570" s="607">
        <v>0</v>
      </c>
      <c r="J570" s="597">
        <f t="shared" si="513"/>
        <v>2000000</v>
      </c>
      <c r="K570" s="607">
        <f t="shared" si="514"/>
        <v>2000000</v>
      </c>
      <c r="N570" s="568">
        <f>'8.1 Comparativo_Tallerista'!$N$7</f>
        <v>2455526</v>
      </c>
      <c r="O570" s="568">
        <f t="shared" si="515"/>
        <v>2455526</v>
      </c>
      <c r="P570" s="569">
        <f t="shared" si="516"/>
        <v>-0.18551055863387311</v>
      </c>
      <c r="Q570" s="295">
        <f t="shared" si="478"/>
        <v>0</v>
      </c>
    </row>
    <row r="571" spans="2:17" ht="108" x14ac:dyDescent="0.25">
      <c r="B571" s="570">
        <v>9</v>
      </c>
      <c r="C571" s="618" t="s">
        <v>1393</v>
      </c>
      <c r="D571" s="619" t="s">
        <v>238</v>
      </c>
      <c r="E571" s="614">
        <v>1</v>
      </c>
      <c r="F571" s="620">
        <v>2500000</v>
      </c>
      <c r="G571" s="131">
        <v>1</v>
      </c>
      <c r="H571" s="571">
        <f>F571*E571*G571</f>
        <v>2500000</v>
      </c>
      <c r="I571" s="607">
        <v>0</v>
      </c>
      <c r="J571" s="597">
        <f t="shared" si="513"/>
        <v>2500000</v>
      </c>
      <c r="K571" s="607">
        <f t="shared" si="514"/>
        <v>2500000</v>
      </c>
      <c r="N571" s="568">
        <f>'9.1 Comparativo_Sabedor'!$N$7</f>
        <v>2829639</v>
      </c>
      <c r="O571" s="568">
        <f t="shared" si="515"/>
        <v>2829639</v>
      </c>
      <c r="P571" s="569">
        <f t="shared" si="516"/>
        <v>-0.11649507233961642</v>
      </c>
      <c r="Q571" s="295">
        <f t="shared" si="478"/>
        <v>0</v>
      </c>
    </row>
    <row r="572" spans="2:17" ht="94.5" x14ac:dyDescent="0.25">
      <c r="B572" s="570">
        <v>10</v>
      </c>
      <c r="C572" s="618" t="s">
        <v>1394</v>
      </c>
      <c r="D572" s="599" t="s">
        <v>1062</v>
      </c>
      <c r="E572" s="614">
        <v>1</v>
      </c>
      <c r="F572" s="600">
        <v>4000000</v>
      </c>
      <c r="G572" s="632">
        <v>1</v>
      </c>
      <c r="H572" s="571">
        <f>E572*F572*G572</f>
        <v>4000000</v>
      </c>
      <c r="I572" s="607">
        <v>0</v>
      </c>
      <c r="J572" s="597">
        <f t="shared" si="513"/>
        <v>4000000</v>
      </c>
      <c r="K572" s="607">
        <f t="shared" si="514"/>
        <v>4000000</v>
      </c>
      <c r="N572" s="568">
        <f>'6.1 Comparativo_Grupo_Armoniz'!$N$7</f>
        <v>6875473</v>
      </c>
      <c r="O572" s="568">
        <f t="shared" ref="O572" si="518">N572*G572*E572</f>
        <v>6875473</v>
      </c>
      <c r="P572" s="569">
        <f t="shared" ref="P572" si="519">K572/O572-1</f>
        <v>-0.41822184451891531</v>
      </c>
      <c r="Q572" s="295">
        <f t="shared" si="478"/>
        <v>0</v>
      </c>
    </row>
    <row r="573" spans="2:17" ht="56.25" customHeight="1" x14ac:dyDescent="0.25">
      <c r="B573" s="595">
        <v>11</v>
      </c>
      <c r="C573" s="618" t="s">
        <v>1429</v>
      </c>
      <c r="D573" s="619" t="s">
        <v>1063</v>
      </c>
      <c r="E573" s="621">
        <v>50</v>
      </c>
      <c r="F573" s="597">
        <v>500000</v>
      </c>
      <c r="G573" s="134">
        <v>3</v>
      </c>
      <c r="H573" s="622">
        <f t="shared" ref="H573:H575" si="520">F573*E573*G573</f>
        <v>75000000</v>
      </c>
      <c r="I573" s="607">
        <v>0</v>
      </c>
      <c r="J573" s="597">
        <f t="shared" si="513"/>
        <v>75000000</v>
      </c>
      <c r="K573" s="607">
        <f t="shared" si="514"/>
        <v>75000000</v>
      </c>
      <c r="N573" s="104">
        <f>'5.1 Comparativo_Viáticos'!$Q$15</f>
        <v>76612425</v>
      </c>
      <c r="O573" s="104">
        <f>N573</f>
        <v>76612425</v>
      </c>
      <c r="P573" s="438">
        <f>K573/O573-1</f>
        <v>-2.1046520848282735E-2</v>
      </c>
      <c r="Q573" s="295">
        <f t="shared" si="478"/>
        <v>0</v>
      </c>
    </row>
    <row r="574" spans="2:17" ht="51" customHeight="1" x14ac:dyDescent="0.25">
      <c r="B574" s="570">
        <v>12</v>
      </c>
      <c r="C574" s="618" t="s">
        <v>1392</v>
      </c>
      <c r="D574" s="613" t="s">
        <v>238</v>
      </c>
      <c r="E574" s="621">
        <v>3</v>
      </c>
      <c r="F574" s="617">
        <v>400000</v>
      </c>
      <c r="G574" s="134">
        <v>3</v>
      </c>
      <c r="H574" s="622">
        <f t="shared" si="520"/>
        <v>3600000</v>
      </c>
      <c r="I574" s="607">
        <v>0</v>
      </c>
      <c r="J574" s="597">
        <f t="shared" si="513"/>
        <v>3600000</v>
      </c>
      <c r="K574" s="607">
        <f t="shared" si="514"/>
        <v>3600000</v>
      </c>
      <c r="N574" s="568">
        <f>'5.1 Comparativo_Viáticos'!$Q$13</f>
        <v>4596746</v>
      </c>
      <c r="O574" s="568">
        <f>N574</f>
        <v>4596746</v>
      </c>
      <c r="P574" s="569">
        <f t="shared" ref="P574" si="521">K574/O574-1</f>
        <v>-0.21683730186527606</v>
      </c>
      <c r="Q574" s="295">
        <f t="shared" si="478"/>
        <v>0</v>
      </c>
    </row>
    <row r="575" spans="2:17" ht="60" customHeight="1" x14ac:dyDescent="0.25">
      <c r="B575" s="629">
        <v>13</v>
      </c>
      <c r="C575" s="624" t="s">
        <v>1425</v>
      </c>
      <c r="D575" s="613" t="s">
        <v>238</v>
      </c>
      <c r="E575" s="639">
        <v>3</v>
      </c>
      <c r="F575" s="617">
        <v>1000000</v>
      </c>
      <c r="G575" s="621">
        <v>2</v>
      </c>
      <c r="H575" s="622">
        <f t="shared" si="520"/>
        <v>6000000</v>
      </c>
      <c r="I575" s="607">
        <v>0</v>
      </c>
      <c r="J575" s="597">
        <f t="shared" si="513"/>
        <v>6000000</v>
      </c>
      <c r="K575" s="607">
        <f t="shared" si="514"/>
        <v>6000000</v>
      </c>
      <c r="N575" s="568">
        <f>'4.1 Comparativo_Transporte'!$N$27</f>
        <v>1188475</v>
      </c>
      <c r="O575" s="568">
        <f t="shared" ref="O575:O576" si="522">N575*G575*E575</f>
        <v>7130850</v>
      </c>
      <c r="P575" s="569">
        <f t="shared" ref="P575:P577" si="523">K575/O575-1</f>
        <v>-0.15858558236395381</v>
      </c>
      <c r="Q575" s="295">
        <f t="shared" si="478"/>
        <v>0</v>
      </c>
    </row>
    <row r="576" spans="2:17" ht="93" customHeight="1" x14ac:dyDescent="0.25">
      <c r="B576" s="595">
        <v>14</v>
      </c>
      <c r="C576" s="608" t="s">
        <v>1497</v>
      </c>
      <c r="D576" s="605" t="s">
        <v>396</v>
      </c>
      <c r="E576" s="640">
        <v>50</v>
      </c>
      <c r="F576" s="617">
        <v>100000</v>
      </c>
      <c r="G576" s="640">
        <v>1</v>
      </c>
      <c r="H576" s="567">
        <f>E576*F576*G576</f>
        <v>5000000</v>
      </c>
      <c r="I576" s="607">
        <v>0</v>
      </c>
      <c r="J576" s="597">
        <f t="shared" si="513"/>
        <v>5000000</v>
      </c>
      <c r="K576" s="607">
        <f t="shared" si="514"/>
        <v>5000000</v>
      </c>
      <c r="N576" s="568">
        <f>'7.1 Comparativo_Kit_Herrami'!$N$7</f>
        <v>102170</v>
      </c>
      <c r="O576" s="568">
        <f t="shared" si="522"/>
        <v>5108500</v>
      </c>
      <c r="P576" s="569">
        <f t="shared" si="523"/>
        <v>-2.1239111285113021E-2</v>
      </c>
      <c r="Q576" s="295">
        <f t="shared" si="478"/>
        <v>0</v>
      </c>
    </row>
    <row r="577" spans="2:17" ht="15.75" customHeight="1" x14ac:dyDescent="0.25">
      <c r="B577" s="809" t="s">
        <v>426</v>
      </c>
      <c r="C577" s="786"/>
      <c r="D577" s="786"/>
      <c r="E577" s="787"/>
      <c r="F577" s="643">
        <f>SUM(F563:F576)</f>
        <v>16834000</v>
      </c>
      <c r="G577" s="641"/>
      <c r="H577" s="644">
        <f t="shared" ref="H577:K577" si="524">SUM(H563:H576)</f>
        <v>111602000</v>
      </c>
      <c r="I577" s="642">
        <f t="shared" si="524"/>
        <v>0</v>
      </c>
      <c r="J577" s="642">
        <f t="shared" si="524"/>
        <v>111602000</v>
      </c>
      <c r="K577" s="642">
        <f t="shared" si="524"/>
        <v>111602000</v>
      </c>
      <c r="N577" s="642">
        <f t="shared" ref="N577:O577" si="525">SUM(N563:N576)</f>
        <v>102523738</v>
      </c>
      <c r="O577" s="642">
        <f t="shared" si="525"/>
        <v>120893409</v>
      </c>
      <c r="P577" s="569">
        <f t="shared" si="523"/>
        <v>-7.6856208099814638E-2</v>
      </c>
      <c r="Q577" s="295"/>
    </row>
    <row r="578" spans="2:17" ht="22.5" customHeight="1" x14ac:dyDescent="0.25">
      <c r="B578" s="805" t="s">
        <v>1500</v>
      </c>
      <c r="C578" s="782"/>
      <c r="D578" s="782"/>
      <c r="E578" s="782"/>
      <c r="F578" s="782"/>
      <c r="G578" s="782"/>
      <c r="H578" s="782"/>
      <c r="I578" s="782"/>
      <c r="J578" s="782"/>
      <c r="K578" s="783"/>
      <c r="Q578" s="295">
        <f t="shared" si="478"/>
        <v>0</v>
      </c>
    </row>
    <row r="579" spans="2:17" ht="57" customHeight="1" x14ac:dyDescent="0.25">
      <c r="B579" s="593">
        <v>1</v>
      </c>
      <c r="C579" s="608" t="s">
        <v>1501</v>
      </c>
      <c r="D579" s="131" t="s">
        <v>1061</v>
      </c>
      <c r="E579" s="131">
        <v>1</v>
      </c>
      <c r="F579" s="594">
        <v>3500000</v>
      </c>
      <c r="G579" s="630">
        <v>1</v>
      </c>
      <c r="H579" s="567">
        <f t="shared" ref="H579:H581" si="526">F579*E579*G579</f>
        <v>3500000</v>
      </c>
      <c r="I579" s="607">
        <v>0</v>
      </c>
      <c r="J579" s="597">
        <f t="shared" ref="J579:J592" si="527">H579</f>
        <v>3500000</v>
      </c>
      <c r="K579" s="607">
        <f t="shared" ref="K579:K592" si="528">I579+J579</f>
        <v>3500000</v>
      </c>
      <c r="N579" s="568">
        <f>'3.1 Comparativo_Logística'!$M$7</f>
        <v>3585068</v>
      </c>
      <c r="O579" s="568">
        <f t="shared" ref="O579:O587" si="529">N579*G579*E579</f>
        <v>3585068</v>
      </c>
      <c r="P579" s="569">
        <f t="shared" ref="P579:P587" si="530">K579/O579-1</f>
        <v>-2.3728420214065626E-2</v>
      </c>
      <c r="Q579" s="295">
        <f t="shared" si="478"/>
        <v>0</v>
      </c>
    </row>
    <row r="580" spans="2:17" ht="36" customHeight="1" x14ac:dyDescent="0.25">
      <c r="B580" s="595">
        <v>2</v>
      </c>
      <c r="C580" s="608" t="s">
        <v>1416</v>
      </c>
      <c r="D580" s="631" t="s">
        <v>396</v>
      </c>
      <c r="E580" s="134">
        <v>1</v>
      </c>
      <c r="F580" s="597">
        <v>900000</v>
      </c>
      <c r="G580" s="632">
        <v>1</v>
      </c>
      <c r="H580" s="571">
        <f t="shared" si="526"/>
        <v>900000</v>
      </c>
      <c r="I580" s="607">
        <v>0</v>
      </c>
      <c r="J580" s="597">
        <f t="shared" si="527"/>
        <v>900000</v>
      </c>
      <c r="K580" s="607">
        <f t="shared" si="528"/>
        <v>900000</v>
      </c>
      <c r="N580" s="568">
        <f>'3.1 Comparativo_Logística'!$M$20</f>
        <v>1176347</v>
      </c>
      <c r="O580" s="568">
        <f t="shared" si="529"/>
        <v>1176347</v>
      </c>
      <c r="P580" s="569">
        <f t="shared" si="530"/>
        <v>-0.23491962830695368</v>
      </c>
      <c r="Q580" s="295">
        <f t="shared" si="478"/>
        <v>0</v>
      </c>
    </row>
    <row r="581" spans="2:17" ht="45" customHeight="1" x14ac:dyDescent="0.25">
      <c r="B581" s="570">
        <v>3</v>
      </c>
      <c r="C581" s="608" t="s">
        <v>1417</v>
      </c>
      <c r="D581" s="611" t="s">
        <v>238</v>
      </c>
      <c r="E581" s="599">
        <v>2</v>
      </c>
      <c r="F581" s="600">
        <v>200000</v>
      </c>
      <c r="G581" s="633">
        <v>1</v>
      </c>
      <c r="H581" s="571">
        <f t="shared" si="526"/>
        <v>400000</v>
      </c>
      <c r="I581" s="607">
        <v>0</v>
      </c>
      <c r="J581" s="597">
        <f t="shared" si="527"/>
        <v>400000</v>
      </c>
      <c r="K581" s="607">
        <f t="shared" si="528"/>
        <v>400000</v>
      </c>
      <c r="N581" s="568">
        <f>'3.1 Comparativo_Logística'!$M$29</f>
        <v>249230</v>
      </c>
      <c r="O581" s="568">
        <f t="shared" si="529"/>
        <v>498460</v>
      </c>
      <c r="P581" s="569">
        <f t="shared" si="530"/>
        <v>-0.19752838743329459</v>
      </c>
      <c r="Q581" s="295">
        <f t="shared" si="478"/>
        <v>0</v>
      </c>
    </row>
    <row r="582" spans="2:17" ht="108" x14ac:dyDescent="0.25">
      <c r="B582" s="564">
        <v>4</v>
      </c>
      <c r="C582" s="618" t="s">
        <v>1385</v>
      </c>
      <c r="D582" s="613" t="s">
        <v>238</v>
      </c>
      <c r="E582" s="613">
        <v>1</v>
      </c>
      <c r="F582" s="617">
        <v>1600000</v>
      </c>
      <c r="G582" s="634">
        <v>1</v>
      </c>
      <c r="H582" s="571">
        <f t="shared" ref="H582:H586" si="531">E582*F582*G582</f>
        <v>1600000</v>
      </c>
      <c r="I582" s="607">
        <v>0</v>
      </c>
      <c r="J582" s="597">
        <f t="shared" si="527"/>
        <v>1600000</v>
      </c>
      <c r="K582" s="607">
        <f t="shared" si="528"/>
        <v>1600000</v>
      </c>
      <c r="N582" s="568">
        <f>'3.1 Comparativo_Logística'!$M$37</f>
        <v>2714721</v>
      </c>
      <c r="O582" s="568">
        <f t="shared" si="529"/>
        <v>2714721</v>
      </c>
      <c r="P582" s="569">
        <f t="shared" si="530"/>
        <v>-0.41062083359579127</v>
      </c>
      <c r="Q582" s="295">
        <f t="shared" si="478"/>
        <v>0</v>
      </c>
    </row>
    <row r="583" spans="2:17" ht="45" customHeight="1" x14ac:dyDescent="0.25">
      <c r="B583" s="570">
        <v>5</v>
      </c>
      <c r="C583" s="618" t="s">
        <v>1418</v>
      </c>
      <c r="D583" s="613" t="s">
        <v>396</v>
      </c>
      <c r="E583" s="613">
        <v>53</v>
      </c>
      <c r="F583" s="617">
        <v>32000</v>
      </c>
      <c r="G583" s="634">
        <v>1</v>
      </c>
      <c r="H583" s="571">
        <f t="shared" si="531"/>
        <v>1696000</v>
      </c>
      <c r="I583" s="607">
        <v>0</v>
      </c>
      <c r="J583" s="597">
        <f t="shared" si="527"/>
        <v>1696000</v>
      </c>
      <c r="K583" s="607">
        <f t="shared" si="528"/>
        <v>1696000</v>
      </c>
      <c r="N583" s="568">
        <f>'2.1 Comparativo_Alimentación'!$M$7</f>
        <v>33548</v>
      </c>
      <c r="O583" s="568">
        <f t="shared" si="529"/>
        <v>1778044</v>
      </c>
      <c r="P583" s="569">
        <f t="shared" si="530"/>
        <v>-4.6142840109693606E-2</v>
      </c>
      <c r="Q583" s="295">
        <f t="shared" si="478"/>
        <v>0</v>
      </c>
    </row>
    <row r="584" spans="2:17" ht="45" customHeight="1" x14ac:dyDescent="0.25">
      <c r="B584" s="564">
        <v>6</v>
      </c>
      <c r="C584" s="618" t="s">
        <v>1419</v>
      </c>
      <c r="D584" s="613" t="s">
        <v>396</v>
      </c>
      <c r="E584" s="613">
        <v>53</v>
      </c>
      <c r="F584" s="617">
        <v>70000</v>
      </c>
      <c r="G584" s="634">
        <v>1</v>
      </c>
      <c r="H584" s="571">
        <f t="shared" si="531"/>
        <v>3710000</v>
      </c>
      <c r="I584" s="607">
        <v>0</v>
      </c>
      <c r="J584" s="597">
        <f t="shared" si="527"/>
        <v>3710000</v>
      </c>
      <c r="K584" s="607">
        <f t="shared" si="528"/>
        <v>3710000</v>
      </c>
      <c r="N584" s="568">
        <f>'2.1 Comparativo_Alimentación'!$M$8</f>
        <v>70822</v>
      </c>
      <c r="O584" s="568">
        <f t="shared" si="529"/>
        <v>3753566</v>
      </c>
      <c r="P584" s="569">
        <f t="shared" si="530"/>
        <v>-1.1606562932422126E-2</v>
      </c>
      <c r="Q584" s="295">
        <f t="shared" si="478"/>
        <v>0</v>
      </c>
    </row>
    <row r="585" spans="2:17" ht="45" customHeight="1" x14ac:dyDescent="0.25">
      <c r="B585" s="570">
        <v>7</v>
      </c>
      <c r="C585" s="618" t="s">
        <v>1420</v>
      </c>
      <c r="D585" s="613" t="s">
        <v>396</v>
      </c>
      <c r="E585" s="613">
        <v>53</v>
      </c>
      <c r="F585" s="617">
        <v>32000</v>
      </c>
      <c r="G585" s="634">
        <v>1</v>
      </c>
      <c r="H585" s="571">
        <f t="shared" si="531"/>
        <v>1696000</v>
      </c>
      <c r="I585" s="607">
        <v>0</v>
      </c>
      <c r="J585" s="597">
        <f t="shared" si="527"/>
        <v>1696000</v>
      </c>
      <c r="K585" s="607">
        <f t="shared" si="528"/>
        <v>1696000</v>
      </c>
      <c r="N585" s="568">
        <f>'2.1 Comparativo_Alimentación'!$M$9</f>
        <v>33548</v>
      </c>
      <c r="O585" s="568">
        <f t="shared" si="529"/>
        <v>1778044</v>
      </c>
      <c r="P585" s="569">
        <f t="shared" si="530"/>
        <v>-4.6142840109693606E-2</v>
      </c>
      <c r="Q585" s="295">
        <f t="shared" si="478"/>
        <v>0</v>
      </c>
    </row>
    <row r="586" spans="2:17" ht="148.5" x14ac:dyDescent="0.25">
      <c r="B586" s="595">
        <v>8</v>
      </c>
      <c r="C586" s="615" t="s">
        <v>1391</v>
      </c>
      <c r="D586" s="619" t="s">
        <v>238</v>
      </c>
      <c r="E586" s="614">
        <v>1</v>
      </c>
      <c r="F586" s="600">
        <v>2000000</v>
      </c>
      <c r="G586" s="632">
        <v>1</v>
      </c>
      <c r="H586" s="571">
        <f t="shared" si="531"/>
        <v>2000000</v>
      </c>
      <c r="I586" s="607">
        <v>0</v>
      </c>
      <c r="J586" s="597">
        <f t="shared" si="527"/>
        <v>2000000</v>
      </c>
      <c r="K586" s="607">
        <f t="shared" si="528"/>
        <v>2000000</v>
      </c>
      <c r="N586" s="568">
        <f>'8.1 Comparativo_Tallerista'!$N$7</f>
        <v>2455526</v>
      </c>
      <c r="O586" s="568">
        <f t="shared" si="529"/>
        <v>2455526</v>
      </c>
      <c r="P586" s="569">
        <f t="shared" si="530"/>
        <v>-0.18551055863387311</v>
      </c>
      <c r="Q586" s="295">
        <f t="shared" si="478"/>
        <v>0</v>
      </c>
    </row>
    <row r="587" spans="2:17" ht="108" x14ac:dyDescent="0.25">
      <c r="B587" s="570">
        <v>9</v>
      </c>
      <c r="C587" s="618" t="s">
        <v>1393</v>
      </c>
      <c r="D587" s="619" t="s">
        <v>238</v>
      </c>
      <c r="E587" s="614">
        <v>1</v>
      </c>
      <c r="F587" s="620">
        <v>2500000</v>
      </c>
      <c r="G587" s="131">
        <v>1</v>
      </c>
      <c r="H587" s="571">
        <f>F587*E587*G587</f>
        <v>2500000</v>
      </c>
      <c r="I587" s="607">
        <v>0</v>
      </c>
      <c r="J587" s="597">
        <f t="shared" si="527"/>
        <v>2500000</v>
      </c>
      <c r="K587" s="607">
        <f t="shared" si="528"/>
        <v>2500000</v>
      </c>
      <c r="N587" s="568">
        <f>'9.1 Comparativo_Sabedor'!$N$7</f>
        <v>2829639</v>
      </c>
      <c r="O587" s="568">
        <f t="shared" si="529"/>
        <v>2829639</v>
      </c>
      <c r="P587" s="569">
        <f t="shared" si="530"/>
        <v>-0.11649507233961642</v>
      </c>
      <c r="Q587" s="295">
        <f t="shared" si="478"/>
        <v>0</v>
      </c>
    </row>
    <row r="588" spans="2:17" ht="94.5" x14ac:dyDescent="0.25">
      <c r="B588" s="570">
        <v>10</v>
      </c>
      <c r="C588" s="618" t="s">
        <v>1394</v>
      </c>
      <c r="D588" s="599" t="s">
        <v>1062</v>
      </c>
      <c r="E588" s="614">
        <v>1</v>
      </c>
      <c r="F588" s="600">
        <v>4000000</v>
      </c>
      <c r="G588" s="632">
        <v>1</v>
      </c>
      <c r="H588" s="571">
        <f>E588*F588*G588</f>
        <v>4000000</v>
      </c>
      <c r="I588" s="607">
        <v>0</v>
      </c>
      <c r="J588" s="597">
        <f t="shared" si="527"/>
        <v>4000000</v>
      </c>
      <c r="K588" s="607">
        <f t="shared" si="528"/>
        <v>4000000</v>
      </c>
      <c r="N588" s="568">
        <f>'6.1 Comparativo_Grupo_Armoniz'!$N$7</f>
        <v>6875473</v>
      </c>
      <c r="O588" s="568">
        <f t="shared" ref="O588" si="532">N588*G588*E588</f>
        <v>6875473</v>
      </c>
      <c r="P588" s="569">
        <f t="shared" ref="P588" si="533">K588/O588-1</f>
        <v>-0.41822184451891531</v>
      </c>
      <c r="Q588" s="295">
        <f t="shared" si="478"/>
        <v>0</v>
      </c>
    </row>
    <row r="589" spans="2:17" ht="55.5" customHeight="1" x14ac:dyDescent="0.25">
      <c r="B589" s="595">
        <v>11</v>
      </c>
      <c r="C589" s="618" t="s">
        <v>1429</v>
      </c>
      <c r="D589" s="619" t="s">
        <v>1063</v>
      </c>
      <c r="E589" s="621">
        <v>50</v>
      </c>
      <c r="F589" s="597">
        <v>500000</v>
      </c>
      <c r="G589" s="134">
        <v>3</v>
      </c>
      <c r="H589" s="622">
        <f t="shared" ref="H589:H591" si="534">F589*E589*G589</f>
        <v>75000000</v>
      </c>
      <c r="I589" s="607">
        <v>0</v>
      </c>
      <c r="J589" s="597">
        <f t="shared" si="527"/>
        <v>75000000</v>
      </c>
      <c r="K589" s="607">
        <f t="shared" si="528"/>
        <v>75000000</v>
      </c>
      <c r="N589" s="104">
        <f>'5.1 Comparativo_Viáticos'!$Q$15</f>
        <v>76612425</v>
      </c>
      <c r="O589" s="104">
        <f>N589</f>
        <v>76612425</v>
      </c>
      <c r="P589" s="438">
        <f>K589/O589-1</f>
        <v>-2.1046520848282735E-2</v>
      </c>
      <c r="Q589" s="295">
        <f t="shared" ref="Q589:Q652" si="535">+E589*F589*G589-H589</f>
        <v>0</v>
      </c>
    </row>
    <row r="590" spans="2:17" ht="45" customHeight="1" x14ac:dyDescent="0.25">
      <c r="B590" s="570">
        <v>12</v>
      </c>
      <c r="C590" s="618" t="s">
        <v>1392</v>
      </c>
      <c r="D590" s="613" t="s">
        <v>238</v>
      </c>
      <c r="E590" s="621">
        <v>3</v>
      </c>
      <c r="F590" s="617">
        <v>400000</v>
      </c>
      <c r="G590" s="134">
        <v>3</v>
      </c>
      <c r="H590" s="622">
        <f t="shared" si="534"/>
        <v>3600000</v>
      </c>
      <c r="I590" s="607">
        <v>0</v>
      </c>
      <c r="J590" s="597">
        <f t="shared" si="527"/>
        <v>3600000</v>
      </c>
      <c r="K590" s="607">
        <f t="shared" si="528"/>
        <v>3600000</v>
      </c>
      <c r="N590" s="568">
        <f>'5.1 Comparativo_Viáticos'!$Q$13</f>
        <v>4596746</v>
      </c>
      <c r="O590" s="568">
        <f>N590</f>
        <v>4596746</v>
      </c>
      <c r="P590" s="569">
        <f t="shared" ref="P590" si="536">K590/O590-1</f>
        <v>-0.21683730186527606</v>
      </c>
      <c r="Q590" s="295">
        <f t="shared" si="535"/>
        <v>0</v>
      </c>
    </row>
    <row r="591" spans="2:17" ht="60" customHeight="1" x14ac:dyDescent="0.25">
      <c r="B591" s="629">
        <v>13</v>
      </c>
      <c r="C591" s="624" t="s">
        <v>1425</v>
      </c>
      <c r="D591" s="613" t="s">
        <v>238</v>
      </c>
      <c r="E591" s="639">
        <v>3</v>
      </c>
      <c r="F591" s="617">
        <v>1000000</v>
      </c>
      <c r="G591" s="621">
        <v>2</v>
      </c>
      <c r="H591" s="622">
        <f t="shared" si="534"/>
        <v>6000000</v>
      </c>
      <c r="I591" s="607">
        <v>0</v>
      </c>
      <c r="J591" s="597">
        <f t="shared" si="527"/>
        <v>6000000</v>
      </c>
      <c r="K591" s="607">
        <f t="shared" si="528"/>
        <v>6000000</v>
      </c>
      <c r="N591" s="568">
        <f>'4.1 Comparativo_Transporte'!$N$27</f>
        <v>1188475</v>
      </c>
      <c r="O591" s="568">
        <f t="shared" ref="O591:O592" si="537">N591*G591*E591</f>
        <v>7130850</v>
      </c>
      <c r="P591" s="569">
        <f t="shared" ref="P591:P593" si="538">K591/O591-1</f>
        <v>-0.15858558236395381</v>
      </c>
      <c r="Q591" s="295">
        <f t="shared" si="535"/>
        <v>0</v>
      </c>
    </row>
    <row r="592" spans="2:17" ht="93" customHeight="1" x14ac:dyDescent="0.25">
      <c r="B592" s="595">
        <v>14</v>
      </c>
      <c r="C592" s="608" t="s">
        <v>1497</v>
      </c>
      <c r="D592" s="605" t="s">
        <v>396</v>
      </c>
      <c r="E592" s="640">
        <v>50</v>
      </c>
      <c r="F592" s="617">
        <v>100000</v>
      </c>
      <c r="G592" s="640">
        <v>1</v>
      </c>
      <c r="H592" s="567">
        <f>E592*F592*G592</f>
        <v>5000000</v>
      </c>
      <c r="I592" s="607">
        <v>0</v>
      </c>
      <c r="J592" s="597">
        <f t="shared" si="527"/>
        <v>5000000</v>
      </c>
      <c r="K592" s="607">
        <f t="shared" si="528"/>
        <v>5000000</v>
      </c>
      <c r="N592" s="568">
        <f>'7.1 Comparativo_Kit_Herrami'!$N$7</f>
        <v>102170</v>
      </c>
      <c r="O592" s="568">
        <f t="shared" si="537"/>
        <v>5108500</v>
      </c>
      <c r="P592" s="569">
        <f t="shared" si="538"/>
        <v>-2.1239111285113021E-2</v>
      </c>
      <c r="Q592" s="295">
        <f t="shared" si="535"/>
        <v>0</v>
      </c>
    </row>
    <row r="593" spans="2:17" ht="15.75" customHeight="1" x14ac:dyDescent="0.25">
      <c r="B593" s="809" t="s">
        <v>427</v>
      </c>
      <c r="C593" s="786"/>
      <c r="D593" s="786"/>
      <c r="E593" s="787"/>
      <c r="F593" s="643">
        <f>SUM(F579:F592)</f>
        <v>16834000</v>
      </c>
      <c r="G593" s="641"/>
      <c r="H593" s="644">
        <f t="shared" ref="H593:K593" si="539">SUM(H579:H592)</f>
        <v>111602000</v>
      </c>
      <c r="I593" s="642">
        <f t="shared" si="539"/>
        <v>0</v>
      </c>
      <c r="J593" s="642">
        <f t="shared" si="539"/>
        <v>111602000</v>
      </c>
      <c r="K593" s="642">
        <f t="shared" si="539"/>
        <v>111602000</v>
      </c>
      <c r="N593" s="642">
        <f t="shared" ref="N593:O593" si="540">SUM(N579:N592)</f>
        <v>102523738</v>
      </c>
      <c r="O593" s="642">
        <f t="shared" si="540"/>
        <v>120893409</v>
      </c>
      <c r="P593" s="569">
        <f t="shared" si="538"/>
        <v>-7.6856208099814638E-2</v>
      </c>
      <c r="Q593" s="295"/>
    </row>
    <row r="594" spans="2:17" ht="15.75" customHeight="1" x14ac:dyDescent="0.25">
      <c r="B594" s="784" t="s">
        <v>1502</v>
      </c>
      <c r="C594" s="782"/>
      <c r="D594" s="782"/>
      <c r="E594" s="782"/>
      <c r="F594" s="782"/>
      <c r="G594" s="782"/>
      <c r="H594" s="782"/>
      <c r="I594" s="782"/>
      <c r="J594" s="782"/>
      <c r="K594" s="783"/>
      <c r="Q594" s="295">
        <f t="shared" si="535"/>
        <v>0</v>
      </c>
    </row>
    <row r="595" spans="2:17" ht="60.75" customHeight="1" x14ac:dyDescent="0.25">
      <c r="B595" s="593">
        <v>1</v>
      </c>
      <c r="C595" s="608" t="s">
        <v>1503</v>
      </c>
      <c r="D595" s="131" t="s">
        <v>1061</v>
      </c>
      <c r="E595" s="131">
        <v>1</v>
      </c>
      <c r="F595" s="594">
        <v>3500000</v>
      </c>
      <c r="G595" s="630">
        <v>1</v>
      </c>
      <c r="H595" s="567">
        <f t="shared" ref="H595:H597" si="541">F595*E595*G595</f>
        <v>3500000</v>
      </c>
      <c r="I595" s="607">
        <v>0</v>
      </c>
      <c r="J595" s="597">
        <f t="shared" ref="J595:J608" si="542">H595</f>
        <v>3500000</v>
      </c>
      <c r="K595" s="607">
        <f t="shared" ref="K595:K608" si="543">I595+J595</f>
        <v>3500000</v>
      </c>
      <c r="N595" s="568">
        <f>'3.1 Comparativo_Logística'!$M$7</f>
        <v>3585068</v>
      </c>
      <c r="O595" s="568">
        <f t="shared" ref="O595:O603" si="544">N595*G595*E595</f>
        <v>3585068</v>
      </c>
      <c r="P595" s="569">
        <f t="shared" ref="P595:P603" si="545">K595/O595-1</f>
        <v>-2.3728420214065626E-2</v>
      </c>
      <c r="Q595" s="295">
        <f t="shared" si="535"/>
        <v>0</v>
      </c>
    </row>
    <row r="596" spans="2:17" ht="31.5" customHeight="1" x14ac:dyDescent="0.25">
      <c r="B596" s="595">
        <v>2</v>
      </c>
      <c r="C596" s="608" t="s">
        <v>1416</v>
      </c>
      <c r="D596" s="631" t="s">
        <v>396</v>
      </c>
      <c r="E596" s="134">
        <v>1</v>
      </c>
      <c r="F596" s="597">
        <v>900000</v>
      </c>
      <c r="G596" s="632">
        <v>1</v>
      </c>
      <c r="H596" s="571">
        <f t="shared" si="541"/>
        <v>900000</v>
      </c>
      <c r="I596" s="607">
        <v>0</v>
      </c>
      <c r="J596" s="597">
        <f t="shared" si="542"/>
        <v>900000</v>
      </c>
      <c r="K596" s="607">
        <f t="shared" si="543"/>
        <v>900000</v>
      </c>
      <c r="N596" s="568">
        <f>'3.1 Comparativo_Logística'!$M$20</f>
        <v>1176347</v>
      </c>
      <c r="O596" s="568">
        <f t="shared" si="544"/>
        <v>1176347</v>
      </c>
      <c r="P596" s="569">
        <f t="shared" si="545"/>
        <v>-0.23491962830695368</v>
      </c>
      <c r="Q596" s="295">
        <f t="shared" si="535"/>
        <v>0</v>
      </c>
    </row>
    <row r="597" spans="2:17" ht="37.5" customHeight="1" x14ac:dyDescent="0.25">
      <c r="B597" s="570">
        <v>3</v>
      </c>
      <c r="C597" s="608" t="s">
        <v>1417</v>
      </c>
      <c r="D597" s="611" t="s">
        <v>238</v>
      </c>
      <c r="E597" s="599">
        <v>2</v>
      </c>
      <c r="F597" s="600">
        <v>200000</v>
      </c>
      <c r="G597" s="633">
        <v>1</v>
      </c>
      <c r="H597" s="571">
        <f t="shared" si="541"/>
        <v>400000</v>
      </c>
      <c r="I597" s="607">
        <v>0</v>
      </c>
      <c r="J597" s="597">
        <f t="shared" si="542"/>
        <v>400000</v>
      </c>
      <c r="K597" s="607">
        <f t="shared" si="543"/>
        <v>400000</v>
      </c>
      <c r="N597" s="568">
        <f>'3.1 Comparativo_Logística'!$M$29</f>
        <v>249230</v>
      </c>
      <c r="O597" s="568">
        <f t="shared" si="544"/>
        <v>498460</v>
      </c>
      <c r="P597" s="569">
        <f t="shared" si="545"/>
        <v>-0.19752838743329459</v>
      </c>
      <c r="Q597" s="295">
        <f t="shared" si="535"/>
        <v>0</v>
      </c>
    </row>
    <row r="598" spans="2:17" ht="108" x14ac:dyDescent="0.25">
      <c r="B598" s="564">
        <v>4</v>
      </c>
      <c r="C598" s="618" t="s">
        <v>1385</v>
      </c>
      <c r="D598" s="613" t="s">
        <v>238</v>
      </c>
      <c r="E598" s="613">
        <v>1</v>
      </c>
      <c r="F598" s="617">
        <v>1600000</v>
      </c>
      <c r="G598" s="634">
        <v>1</v>
      </c>
      <c r="H598" s="571">
        <f t="shared" ref="H598:H602" si="546">E598*F598*G598</f>
        <v>1600000</v>
      </c>
      <c r="I598" s="607">
        <v>0</v>
      </c>
      <c r="J598" s="597">
        <f t="shared" si="542"/>
        <v>1600000</v>
      </c>
      <c r="K598" s="607">
        <f t="shared" si="543"/>
        <v>1600000</v>
      </c>
      <c r="N598" s="568">
        <f>'3.1 Comparativo_Logística'!$M$37</f>
        <v>2714721</v>
      </c>
      <c r="O598" s="568">
        <f t="shared" si="544"/>
        <v>2714721</v>
      </c>
      <c r="P598" s="569">
        <f t="shared" si="545"/>
        <v>-0.41062083359579127</v>
      </c>
      <c r="Q598" s="295">
        <f t="shared" si="535"/>
        <v>0</v>
      </c>
    </row>
    <row r="599" spans="2:17" ht="45" customHeight="1" x14ac:dyDescent="0.25">
      <c r="B599" s="570">
        <v>5</v>
      </c>
      <c r="C599" s="618" t="s">
        <v>1418</v>
      </c>
      <c r="D599" s="613" t="s">
        <v>396</v>
      </c>
      <c r="E599" s="613">
        <v>53</v>
      </c>
      <c r="F599" s="617">
        <v>32000</v>
      </c>
      <c r="G599" s="634">
        <v>1</v>
      </c>
      <c r="H599" s="571">
        <f t="shared" si="546"/>
        <v>1696000</v>
      </c>
      <c r="I599" s="607">
        <v>0</v>
      </c>
      <c r="J599" s="597">
        <f t="shared" si="542"/>
        <v>1696000</v>
      </c>
      <c r="K599" s="607">
        <f t="shared" si="543"/>
        <v>1696000</v>
      </c>
      <c r="N599" s="568">
        <f>'2.1 Comparativo_Alimentación'!$M$7</f>
        <v>33548</v>
      </c>
      <c r="O599" s="568">
        <f t="shared" si="544"/>
        <v>1778044</v>
      </c>
      <c r="P599" s="569">
        <f t="shared" si="545"/>
        <v>-4.6142840109693606E-2</v>
      </c>
      <c r="Q599" s="295">
        <f t="shared" si="535"/>
        <v>0</v>
      </c>
    </row>
    <row r="600" spans="2:17" ht="45" customHeight="1" x14ac:dyDescent="0.25">
      <c r="B600" s="564">
        <v>6</v>
      </c>
      <c r="C600" s="618" t="s">
        <v>1419</v>
      </c>
      <c r="D600" s="613" t="s">
        <v>396</v>
      </c>
      <c r="E600" s="613">
        <v>53</v>
      </c>
      <c r="F600" s="617">
        <v>70000</v>
      </c>
      <c r="G600" s="634">
        <v>1</v>
      </c>
      <c r="H600" s="571">
        <f t="shared" si="546"/>
        <v>3710000</v>
      </c>
      <c r="I600" s="607">
        <v>0</v>
      </c>
      <c r="J600" s="597">
        <f t="shared" si="542"/>
        <v>3710000</v>
      </c>
      <c r="K600" s="607">
        <f t="shared" si="543"/>
        <v>3710000</v>
      </c>
      <c r="N600" s="568">
        <f>'2.1 Comparativo_Alimentación'!$M$8</f>
        <v>70822</v>
      </c>
      <c r="O600" s="568">
        <f t="shared" si="544"/>
        <v>3753566</v>
      </c>
      <c r="P600" s="569">
        <f t="shared" si="545"/>
        <v>-1.1606562932422126E-2</v>
      </c>
      <c r="Q600" s="295">
        <f t="shared" si="535"/>
        <v>0</v>
      </c>
    </row>
    <row r="601" spans="2:17" ht="45" customHeight="1" x14ac:dyDescent="0.25">
      <c r="B601" s="570">
        <v>7</v>
      </c>
      <c r="C601" s="618" t="s">
        <v>1420</v>
      </c>
      <c r="D601" s="613" t="s">
        <v>396</v>
      </c>
      <c r="E601" s="613">
        <v>53</v>
      </c>
      <c r="F601" s="617">
        <v>32000</v>
      </c>
      <c r="G601" s="634">
        <v>1</v>
      </c>
      <c r="H601" s="571">
        <f t="shared" si="546"/>
        <v>1696000</v>
      </c>
      <c r="I601" s="607">
        <v>0</v>
      </c>
      <c r="J601" s="597">
        <f t="shared" si="542"/>
        <v>1696000</v>
      </c>
      <c r="K601" s="607">
        <f t="shared" si="543"/>
        <v>1696000</v>
      </c>
      <c r="N601" s="568">
        <f>'2.1 Comparativo_Alimentación'!$M$9</f>
        <v>33548</v>
      </c>
      <c r="O601" s="568">
        <f t="shared" si="544"/>
        <v>1778044</v>
      </c>
      <c r="P601" s="569">
        <f t="shared" si="545"/>
        <v>-4.6142840109693606E-2</v>
      </c>
      <c r="Q601" s="295">
        <f t="shared" si="535"/>
        <v>0</v>
      </c>
    </row>
    <row r="602" spans="2:17" ht="148.5" x14ac:dyDescent="0.25">
      <c r="B602" s="595">
        <v>8</v>
      </c>
      <c r="C602" s="615" t="s">
        <v>1391</v>
      </c>
      <c r="D602" s="619" t="s">
        <v>238</v>
      </c>
      <c r="E602" s="614">
        <v>1</v>
      </c>
      <c r="F602" s="600">
        <v>2000000</v>
      </c>
      <c r="G602" s="632">
        <v>1</v>
      </c>
      <c r="H602" s="571">
        <f t="shared" si="546"/>
        <v>2000000</v>
      </c>
      <c r="I602" s="607">
        <v>0</v>
      </c>
      <c r="J602" s="597">
        <f t="shared" si="542"/>
        <v>2000000</v>
      </c>
      <c r="K602" s="607">
        <f t="shared" si="543"/>
        <v>2000000</v>
      </c>
      <c r="N602" s="568">
        <f>'8.1 Comparativo_Tallerista'!$N$7</f>
        <v>2455526</v>
      </c>
      <c r="O602" s="568">
        <f t="shared" si="544"/>
        <v>2455526</v>
      </c>
      <c r="P602" s="569">
        <f t="shared" si="545"/>
        <v>-0.18551055863387311</v>
      </c>
      <c r="Q602" s="295">
        <f t="shared" si="535"/>
        <v>0</v>
      </c>
    </row>
    <row r="603" spans="2:17" ht="108" x14ac:dyDescent="0.25">
      <c r="B603" s="570">
        <v>9</v>
      </c>
      <c r="C603" s="618" t="s">
        <v>1393</v>
      </c>
      <c r="D603" s="619" t="s">
        <v>238</v>
      </c>
      <c r="E603" s="614">
        <v>1</v>
      </c>
      <c r="F603" s="620">
        <v>2500000</v>
      </c>
      <c r="G603" s="131">
        <v>1</v>
      </c>
      <c r="H603" s="571">
        <f>F603*E603*G603</f>
        <v>2500000</v>
      </c>
      <c r="I603" s="607">
        <v>0</v>
      </c>
      <c r="J603" s="597">
        <f t="shared" si="542"/>
        <v>2500000</v>
      </c>
      <c r="K603" s="607">
        <f t="shared" si="543"/>
        <v>2500000</v>
      </c>
      <c r="N603" s="568">
        <f>'9.1 Comparativo_Sabedor'!$N$7</f>
        <v>2829639</v>
      </c>
      <c r="O603" s="568">
        <f t="shared" si="544"/>
        <v>2829639</v>
      </c>
      <c r="P603" s="569">
        <f t="shared" si="545"/>
        <v>-0.11649507233961642</v>
      </c>
      <c r="Q603" s="295">
        <f t="shared" si="535"/>
        <v>0</v>
      </c>
    </row>
    <row r="604" spans="2:17" ht="94.5" x14ac:dyDescent="0.25">
      <c r="B604" s="570">
        <v>10</v>
      </c>
      <c r="C604" s="618" t="s">
        <v>1394</v>
      </c>
      <c r="D604" s="599" t="s">
        <v>1062</v>
      </c>
      <c r="E604" s="614">
        <v>1</v>
      </c>
      <c r="F604" s="600">
        <v>4000000</v>
      </c>
      <c r="G604" s="632">
        <v>1</v>
      </c>
      <c r="H604" s="571">
        <f>E604*F604*G604</f>
        <v>4000000</v>
      </c>
      <c r="I604" s="607">
        <v>0</v>
      </c>
      <c r="J604" s="597">
        <f t="shared" si="542"/>
        <v>4000000</v>
      </c>
      <c r="K604" s="607">
        <f t="shared" si="543"/>
        <v>4000000</v>
      </c>
      <c r="N604" s="568">
        <f>'6.1 Comparativo_Grupo_Armoniz'!$N$7</f>
        <v>6875473</v>
      </c>
      <c r="O604" s="568">
        <f t="shared" ref="O604" si="547">N604*G604*E604</f>
        <v>6875473</v>
      </c>
      <c r="P604" s="569">
        <f t="shared" ref="P604" si="548">K604/O604-1</f>
        <v>-0.41822184451891531</v>
      </c>
      <c r="Q604" s="295">
        <f t="shared" si="535"/>
        <v>0</v>
      </c>
    </row>
    <row r="605" spans="2:17" ht="57.75" customHeight="1" x14ac:dyDescent="0.25">
      <c r="B605" s="595">
        <v>11</v>
      </c>
      <c r="C605" s="618" t="s">
        <v>1429</v>
      </c>
      <c r="D605" s="619" t="s">
        <v>238</v>
      </c>
      <c r="E605" s="621">
        <v>50</v>
      </c>
      <c r="F605" s="597">
        <v>500000</v>
      </c>
      <c r="G605" s="134">
        <v>3</v>
      </c>
      <c r="H605" s="622">
        <f t="shared" ref="H605:H607" si="549">F605*E605*G605</f>
        <v>75000000</v>
      </c>
      <c r="I605" s="607">
        <v>0</v>
      </c>
      <c r="J605" s="597">
        <f t="shared" si="542"/>
        <v>75000000</v>
      </c>
      <c r="K605" s="607">
        <f t="shared" si="543"/>
        <v>75000000</v>
      </c>
      <c r="N605" s="104">
        <f>'5.1 Comparativo_Viáticos'!$Q$15</f>
        <v>76612425</v>
      </c>
      <c r="O605" s="104">
        <f>N605</f>
        <v>76612425</v>
      </c>
      <c r="P605" s="438">
        <f>K605/O605-1</f>
        <v>-2.1046520848282735E-2</v>
      </c>
      <c r="Q605" s="295">
        <f t="shared" si="535"/>
        <v>0</v>
      </c>
    </row>
    <row r="606" spans="2:17" ht="51" customHeight="1" x14ac:dyDescent="0.25">
      <c r="B606" s="570">
        <v>12</v>
      </c>
      <c r="C606" s="618" t="s">
        <v>1392</v>
      </c>
      <c r="D606" s="613" t="s">
        <v>238</v>
      </c>
      <c r="E606" s="621">
        <v>3</v>
      </c>
      <c r="F606" s="617">
        <v>400000</v>
      </c>
      <c r="G606" s="134">
        <v>3</v>
      </c>
      <c r="H606" s="622">
        <f t="shared" si="549"/>
        <v>3600000</v>
      </c>
      <c r="I606" s="607">
        <v>0</v>
      </c>
      <c r="J606" s="597">
        <f t="shared" si="542"/>
        <v>3600000</v>
      </c>
      <c r="K606" s="607">
        <f t="shared" si="543"/>
        <v>3600000</v>
      </c>
      <c r="N606" s="568">
        <f>'5.1 Comparativo_Viáticos'!$Q$13</f>
        <v>4596746</v>
      </c>
      <c r="O606" s="568">
        <f>N606</f>
        <v>4596746</v>
      </c>
      <c r="P606" s="569">
        <f t="shared" ref="P606" si="550">K606/O606-1</f>
        <v>-0.21683730186527606</v>
      </c>
      <c r="Q606" s="295">
        <f t="shared" si="535"/>
        <v>0</v>
      </c>
    </row>
    <row r="607" spans="2:17" ht="33.75" customHeight="1" x14ac:dyDescent="0.25">
      <c r="B607" s="629">
        <v>13</v>
      </c>
      <c r="C607" s="624" t="s">
        <v>1425</v>
      </c>
      <c r="D607" s="613" t="s">
        <v>238</v>
      </c>
      <c r="E607" s="639">
        <v>3</v>
      </c>
      <c r="F607" s="617">
        <v>1000000</v>
      </c>
      <c r="G607" s="621">
        <v>2</v>
      </c>
      <c r="H607" s="622">
        <f t="shared" si="549"/>
        <v>6000000</v>
      </c>
      <c r="I607" s="607">
        <v>0</v>
      </c>
      <c r="J607" s="597">
        <f t="shared" si="542"/>
        <v>6000000</v>
      </c>
      <c r="K607" s="607">
        <f t="shared" si="543"/>
        <v>6000000</v>
      </c>
      <c r="N607" s="568">
        <f>'4.1 Comparativo_Transporte'!$N$27</f>
        <v>1188475</v>
      </c>
      <c r="O607" s="568">
        <f t="shared" ref="O607:O608" si="551">N607*G607*E607</f>
        <v>7130850</v>
      </c>
      <c r="P607" s="569">
        <f t="shared" ref="P607:P609" si="552">K607/O607-1</f>
        <v>-0.15858558236395381</v>
      </c>
      <c r="Q607" s="295">
        <f t="shared" si="535"/>
        <v>0</v>
      </c>
    </row>
    <row r="608" spans="2:17" ht="93" customHeight="1" x14ac:dyDescent="0.25">
      <c r="B608" s="595">
        <v>14</v>
      </c>
      <c r="C608" s="608" t="s">
        <v>1504</v>
      </c>
      <c r="D608" s="605" t="s">
        <v>396</v>
      </c>
      <c r="E608" s="640">
        <v>50</v>
      </c>
      <c r="F608" s="617">
        <v>100000</v>
      </c>
      <c r="G608" s="640">
        <v>1</v>
      </c>
      <c r="H608" s="567">
        <f>E608*F608*G608</f>
        <v>5000000</v>
      </c>
      <c r="I608" s="607">
        <v>0</v>
      </c>
      <c r="J608" s="597">
        <f t="shared" si="542"/>
        <v>5000000</v>
      </c>
      <c r="K608" s="607">
        <f t="shared" si="543"/>
        <v>5000000</v>
      </c>
      <c r="N608" s="568">
        <f>'7.1 Comparativo_Kit_Herrami'!$N$7</f>
        <v>102170</v>
      </c>
      <c r="O608" s="568">
        <f t="shared" si="551"/>
        <v>5108500</v>
      </c>
      <c r="P608" s="569">
        <f t="shared" si="552"/>
        <v>-2.1239111285113021E-2</v>
      </c>
      <c r="Q608" s="295">
        <f t="shared" si="535"/>
        <v>0</v>
      </c>
    </row>
    <row r="609" spans="2:17" ht="15.75" customHeight="1" x14ac:dyDescent="0.25">
      <c r="B609" s="809" t="s">
        <v>428</v>
      </c>
      <c r="C609" s="786"/>
      <c r="D609" s="786"/>
      <c r="E609" s="787"/>
      <c r="F609" s="643">
        <f>SUM(F595:F608)</f>
        <v>16834000</v>
      </c>
      <c r="G609" s="641"/>
      <c r="H609" s="644">
        <f t="shared" ref="H609:K609" si="553">SUM(H595:H608)</f>
        <v>111602000</v>
      </c>
      <c r="I609" s="642">
        <f t="shared" si="553"/>
        <v>0</v>
      </c>
      <c r="J609" s="642">
        <f t="shared" si="553"/>
        <v>111602000</v>
      </c>
      <c r="K609" s="642">
        <f t="shared" si="553"/>
        <v>111602000</v>
      </c>
      <c r="N609" s="642">
        <f t="shared" ref="N609:O609" si="554">SUM(N595:N608)</f>
        <v>102523738</v>
      </c>
      <c r="O609" s="642">
        <f t="shared" si="554"/>
        <v>120893409</v>
      </c>
      <c r="P609" s="569">
        <f t="shared" si="552"/>
        <v>-7.6856208099814638E-2</v>
      </c>
      <c r="Q609" s="295"/>
    </row>
    <row r="610" spans="2:17" ht="15.75" customHeight="1" x14ac:dyDescent="0.25">
      <c r="B610" s="784" t="s">
        <v>1505</v>
      </c>
      <c r="C610" s="782"/>
      <c r="D610" s="782"/>
      <c r="E610" s="782"/>
      <c r="F610" s="782"/>
      <c r="G610" s="782"/>
      <c r="H610" s="782"/>
      <c r="I610" s="782"/>
      <c r="J610" s="782"/>
      <c r="K610" s="783"/>
      <c r="Q610" s="295">
        <f t="shared" si="535"/>
        <v>0</v>
      </c>
    </row>
    <row r="611" spans="2:17" ht="58.5" customHeight="1" x14ac:dyDescent="0.25">
      <c r="B611" s="593">
        <v>1</v>
      </c>
      <c r="C611" s="608" t="s">
        <v>1506</v>
      </c>
      <c r="D611" s="131" t="s">
        <v>1061</v>
      </c>
      <c r="E611" s="131">
        <v>1</v>
      </c>
      <c r="F611" s="594">
        <v>3500000</v>
      </c>
      <c r="G611" s="630">
        <v>1</v>
      </c>
      <c r="H611" s="567">
        <f t="shared" ref="H611:H613" si="555">F611*E611*G611</f>
        <v>3500000</v>
      </c>
      <c r="I611" s="607">
        <v>0</v>
      </c>
      <c r="J611" s="597">
        <f t="shared" ref="J611:J624" si="556">H611</f>
        <v>3500000</v>
      </c>
      <c r="K611" s="607">
        <f t="shared" ref="K611:K624" si="557">I611+J611</f>
        <v>3500000</v>
      </c>
      <c r="N611" s="568">
        <f>'3.1 Comparativo_Logística'!$M$7</f>
        <v>3585068</v>
      </c>
      <c r="O611" s="568">
        <f t="shared" ref="O611:O619" si="558">N611*G611*E611</f>
        <v>3585068</v>
      </c>
      <c r="P611" s="569">
        <f t="shared" ref="P611:P619" si="559">K611/O611-1</f>
        <v>-2.3728420214065626E-2</v>
      </c>
      <c r="Q611" s="295">
        <f t="shared" si="535"/>
        <v>0</v>
      </c>
    </row>
    <row r="612" spans="2:17" ht="39.75" customHeight="1" x14ac:dyDescent="0.25">
      <c r="B612" s="595">
        <v>2</v>
      </c>
      <c r="C612" s="608" t="s">
        <v>1416</v>
      </c>
      <c r="D612" s="631" t="s">
        <v>396</v>
      </c>
      <c r="E612" s="134">
        <v>1</v>
      </c>
      <c r="F612" s="597">
        <v>900000</v>
      </c>
      <c r="G612" s="632">
        <v>1</v>
      </c>
      <c r="H612" s="571">
        <f t="shared" si="555"/>
        <v>900000</v>
      </c>
      <c r="I612" s="607">
        <v>0</v>
      </c>
      <c r="J612" s="597">
        <f t="shared" si="556"/>
        <v>900000</v>
      </c>
      <c r="K612" s="607">
        <f t="shared" si="557"/>
        <v>900000</v>
      </c>
      <c r="N612" s="568">
        <f>'3.1 Comparativo_Logística'!$M$20</f>
        <v>1176347</v>
      </c>
      <c r="O612" s="568">
        <f t="shared" si="558"/>
        <v>1176347</v>
      </c>
      <c r="P612" s="569">
        <f t="shared" si="559"/>
        <v>-0.23491962830695368</v>
      </c>
      <c r="Q612" s="295">
        <f t="shared" si="535"/>
        <v>0</v>
      </c>
    </row>
    <row r="613" spans="2:17" ht="39.75" customHeight="1" x14ac:dyDescent="0.25">
      <c r="B613" s="570">
        <v>3</v>
      </c>
      <c r="C613" s="608" t="s">
        <v>1417</v>
      </c>
      <c r="D613" s="611" t="s">
        <v>238</v>
      </c>
      <c r="E613" s="599">
        <v>2</v>
      </c>
      <c r="F613" s="600">
        <v>200000</v>
      </c>
      <c r="G613" s="633">
        <v>1</v>
      </c>
      <c r="H613" s="571">
        <f t="shared" si="555"/>
        <v>400000</v>
      </c>
      <c r="I613" s="607">
        <v>0</v>
      </c>
      <c r="J613" s="597">
        <f t="shared" si="556"/>
        <v>400000</v>
      </c>
      <c r="K613" s="607">
        <f t="shared" si="557"/>
        <v>400000</v>
      </c>
      <c r="N613" s="568">
        <f>'3.1 Comparativo_Logística'!$M$29</f>
        <v>249230</v>
      </c>
      <c r="O613" s="568">
        <f t="shared" si="558"/>
        <v>498460</v>
      </c>
      <c r="P613" s="569">
        <f t="shared" si="559"/>
        <v>-0.19752838743329459</v>
      </c>
      <c r="Q613" s="295">
        <f t="shared" si="535"/>
        <v>0</v>
      </c>
    </row>
    <row r="614" spans="2:17" ht="108" x14ac:dyDescent="0.25">
      <c r="B614" s="564">
        <v>4</v>
      </c>
      <c r="C614" s="618" t="s">
        <v>1385</v>
      </c>
      <c r="D614" s="613" t="s">
        <v>238</v>
      </c>
      <c r="E614" s="613">
        <v>1</v>
      </c>
      <c r="F614" s="617">
        <v>1600000</v>
      </c>
      <c r="G614" s="634">
        <v>1</v>
      </c>
      <c r="H614" s="571">
        <f t="shared" ref="H614:H618" si="560">E614*F614*G614</f>
        <v>1600000</v>
      </c>
      <c r="I614" s="607">
        <v>0</v>
      </c>
      <c r="J614" s="597">
        <f t="shared" si="556"/>
        <v>1600000</v>
      </c>
      <c r="K614" s="607">
        <f t="shared" si="557"/>
        <v>1600000</v>
      </c>
      <c r="N614" s="568">
        <f>'3.1 Comparativo_Logística'!$M$37</f>
        <v>2714721</v>
      </c>
      <c r="O614" s="568">
        <f t="shared" si="558"/>
        <v>2714721</v>
      </c>
      <c r="P614" s="569">
        <f t="shared" si="559"/>
        <v>-0.41062083359579127</v>
      </c>
      <c r="Q614" s="295">
        <f t="shared" si="535"/>
        <v>0</v>
      </c>
    </row>
    <row r="615" spans="2:17" ht="45" customHeight="1" x14ac:dyDescent="0.25">
      <c r="B615" s="570">
        <v>5</v>
      </c>
      <c r="C615" s="618" t="s">
        <v>1418</v>
      </c>
      <c r="D615" s="613" t="s">
        <v>396</v>
      </c>
      <c r="E615" s="613">
        <v>53</v>
      </c>
      <c r="F615" s="617">
        <v>32000</v>
      </c>
      <c r="G615" s="634">
        <v>1</v>
      </c>
      <c r="H615" s="571">
        <f t="shared" si="560"/>
        <v>1696000</v>
      </c>
      <c r="I615" s="607">
        <v>0</v>
      </c>
      <c r="J615" s="597">
        <f t="shared" si="556"/>
        <v>1696000</v>
      </c>
      <c r="K615" s="607">
        <f t="shared" si="557"/>
        <v>1696000</v>
      </c>
      <c r="N615" s="568">
        <f>'2.1 Comparativo_Alimentación'!$M$7</f>
        <v>33548</v>
      </c>
      <c r="O615" s="568">
        <f t="shared" si="558"/>
        <v>1778044</v>
      </c>
      <c r="P615" s="569">
        <f t="shared" si="559"/>
        <v>-4.6142840109693606E-2</v>
      </c>
      <c r="Q615" s="295">
        <f t="shared" si="535"/>
        <v>0</v>
      </c>
    </row>
    <row r="616" spans="2:17" ht="45" customHeight="1" x14ac:dyDescent="0.25">
      <c r="B616" s="564">
        <v>6</v>
      </c>
      <c r="C616" s="618" t="s">
        <v>1419</v>
      </c>
      <c r="D616" s="613" t="s">
        <v>396</v>
      </c>
      <c r="E616" s="613">
        <v>53</v>
      </c>
      <c r="F616" s="617">
        <v>70000</v>
      </c>
      <c r="G616" s="634">
        <v>1</v>
      </c>
      <c r="H616" s="571">
        <f t="shared" si="560"/>
        <v>3710000</v>
      </c>
      <c r="I616" s="607">
        <v>0</v>
      </c>
      <c r="J616" s="597">
        <f t="shared" si="556"/>
        <v>3710000</v>
      </c>
      <c r="K616" s="607">
        <f t="shared" si="557"/>
        <v>3710000</v>
      </c>
      <c r="N616" s="568">
        <f>'2.1 Comparativo_Alimentación'!$M$8</f>
        <v>70822</v>
      </c>
      <c r="O616" s="568">
        <f t="shared" si="558"/>
        <v>3753566</v>
      </c>
      <c r="P616" s="569">
        <f t="shared" si="559"/>
        <v>-1.1606562932422126E-2</v>
      </c>
      <c r="Q616" s="295">
        <f t="shared" si="535"/>
        <v>0</v>
      </c>
    </row>
    <row r="617" spans="2:17" ht="81" x14ac:dyDescent="0.25">
      <c r="B617" s="570">
        <v>7</v>
      </c>
      <c r="C617" s="618" t="s">
        <v>1420</v>
      </c>
      <c r="D617" s="613" t="s">
        <v>396</v>
      </c>
      <c r="E617" s="613">
        <v>53</v>
      </c>
      <c r="F617" s="617">
        <v>32000</v>
      </c>
      <c r="G617" s="634">
        <v>1</v>
      </c>
      <c r="H617" s="571">
        <f t="shared" si="560"/>
        <v>1696000</v>
      </c>
      <c r="I617" s="607">
        <v>0</v>
      </c>
      <c r="J617" s="597">
        <f t="shared" si="556"/>
        <v>1696000</v>
      </c>
      <c r="K617" s="607">
        <f t="shared" si="557"/>
        <v>1696000</v>
      </c>
      <c r="N617" s="568">
        <f>'2.1 Comparativo_Alimentación'!$M$9</f>
        <v>33548</v>
      </c>
      <c r="O617" s="568">
        <f t="shared" si="558"/>
        <v>1778044</v>
      </c>
      <c r="P617" s="569">
        <f t="shared" si="559"/>
        <v>-4.6142840109693606E-2</v>
      </c>
      <c r="Q617" s="295">
        <f t="shared" si="535"/>
        <v>0</v>
      </c>
    </row>
    <row r="618" spans="2:17" ht="148.5" x14ac:dyDescent="0.25">
      <c r="B618" s="595">
        <v>8</v>
      </c>
      <c r="C618" s="615" t="s">
        <v>1391</v>
      </c>
      <c r="D618" s="619" t="s">
        <v>238</v>
      </c>
      <c r="E618" s="614">
        <v>1</v>
      </c>
      <c r="F618" s="600">
        <v>2000000</v>
      </c>
      <c r="G618" s="632">
        <v>1</v>
      </c>
      <c r="H618" s="571">
        <f t="shared" si="560"/>
        <v>2000000</v>
      </c>
      <c r="I618" s="607">
        <v>0</v>
      </c>
      <c r="J618" s="597">
        <f t="shared" si="556"/>
        <v>2000000</v>
      </c>
      <c r="K618" s="607">
        <f t="shared" si="557"/>
        <v>2000000</v>
      </c>
      <c r="N618" s="568">
        <f>'8.1 Comparativo_Tallerista'!$N$7</f>
        <v>2455526</v>
      </c>
      <c r="O618" s="568">
        <f t="shared" si="558"/>
        <v>2455526</v>
      </c>
      <c r="P618" s="569">
        <f t="shared" si="559"/>
        <v>-0.18551055863387311</v>
      </c>
      <c r="Q618" s="295">
        <f t="shared" si="535"/>
        <v>0</v>
      </c>
    </row>
    <row r="619" spans="2:17" ht="108" x14ac:dyDescent="0.25">
      <c r="B619" s="570">
        <v>9</v>
      </c>
      <c r="C619" s="618" t="s">
        <v>1393</v>
      </c>
      <c r="D619" s="619" t="s">
        <v>238</v>
      </c>
      <c r="E619" s="614">
        <v>1</v>
      </c>
      <c r="F619" s="620">
        <v>2500000</v>
      </c>
      <c r="G619" s="131">
        <v>1</v>
      </c>
      <c r="H619" s="571">
        <f>F619*E619*G619</f>
        <v>2500000</v>
      </c>
      <c r="I619" s="607">
        <v>0</v>
      </c>
      <c r="J619" s="597">
        <f t="shared" si="556"/>
        <v>2500000</v>
      </c>
      <c r="K619" s="607">
        <f t="shared" si="557"/>
        <v>2500000</v>
      </c>
      <c r="N619" s="568">
        <f>'9.1 Comparativo_Sabedor'!$N$7</f>
        <v>2829639</v>
      </c>
      <c r="O619" s="568">
        <f t="shared" si="558"/>
        <v>2829639</v>
      </c>
      <c r="P619" s="569">
        <f t="shared" si="559"/>
        <v>-0.11649507233961642</v>
      </c>
      <c r="Q619" s="295">
        <f t="shared" si="535"/>
        <v>0</v>
      </c>
    </row>
    <row r="620" spans="2:17" ht="94.5" x14ac:dyDescent="0.25">
      <c r="B620" s="570">
        <v>10</v>
      </c>
      <c r="C620" s="618" t="s">
        <v>1394</v>
      </c>
      <c r="D620" s="599" t="s">
        <v>1062</v>
      </c>
      <c r="E620" s="614">
        <v>1</v>
      </c>
      <c r="F620" s="600">
        <v>4000000</v>
      </c>
      <c r="G620" s="632">
        <v>1</v>
      </c>
      <c r="H620" s="571">
        <f>E620*F620*G620</f>
        <v>4000000</v>
      </c>
      <c r="I620" s="607">
        <v>0</v>
      </c>
      <c r="J620" s="597">
        <f t="shared" si="556"/>
        <v>4000000</v>
      </c>
      <c r="K620" s="607">
        <f t="shared" si="557"/>
        <v>4000000</v>
      </c>
      <c r="N620" s="568">
        <f>'6.1 Comparativo_Grupo_Armoniz'!$N$7</f>
        <v>6875473</v>
      </c>
      <c r="O620" s="568">
        <f t="shared" ref="O620" si="561">N620*G620*E620</f>
        <v>6875473</v>
      </c>
      <c r="P620" s="569">
        <f t="shared" ref="P620" si="562">K620/O620-1</f>
        <v>-0.41822184451891531</v>
      </c>
      <c r="Q620" s="295">
        <f t="shared" si="535"/>
        <v>0</v>
      </c>
    </row>
    <row r="621" spans="2:17" ht="57" customHeight="1" x14ac:dyDescent="0.25">
      <c r="B621" s="595">
        <v>11</v>
      </c>
      <c r="C621" s="618" t="s">
        <v>1429</v>
      </c>
      <c r="D621" s="619" t="s">
        <v>238</v>
      </c>
      <c r="E621" s="621">
        <v>50</v>
      </c>
      <c r="F621" s="597">
        <v>500000</v>
      </c>
      <c r="G621" s="134">
        <v>3</v>
      </c>
      <c r="H621" s="622">
        <f t="shared" ref="H621:H623" si="563">F621*E621*G621</f>
        <v>75000000</v>
      </c>
      <c r="I621" s="607">
        <v>0</v>
      </c>
      <c r="J621" s="597">
        <f t="shared" si="556"/>
        <v>75000000</v>
      </c>
      <c r="K621" s="607">
        <f t="shared" si="557"/>
        <v>75000000</v>
      </c>
      <c r="N621" s="104">
        <f>'5.1 Comparativo_Viáticos'!$Q$15</f>
        <v>76612425</v>
      </c>
      <c r="O621" s="104">
        <f>N621</f>
        <v>76612425</v>
      </c>
      <c r="P621" s="438">
        <f>K621/O621-1</f>
        <v>-2.1046520848282735E-2</v>
      </c>
      <c r="Q621" s="295">
        <f t="shared" si="535"/>
        <v>0</v>
      </c>
    </row>
    <row r="622" spans="2:17" ht="81" x14ac:dyDescent="0.25">
      <c r="B622" s="570">
        <v>12</v>
      </c>
      <c r="C622" s="618" t="s">
        <v>1392</v>
      </c>
      <c r="D622" s="613" t="s">
        <v>238</v>
      </c>
      <c r="E622" s="621">
        <v>3</v>
      </c>
      <c r="F622" s="617">
        <v>400000</v>
      </c>
      <c r="G622" s="134">
        <v>3</v>
      </c>
      <c r="H622" s="622">
        <f t="shared" si="563"/>
        <v>3600000</v>
      </c>
      <c r="I622" s="607">
        <v>0</v>
      </c>
      <c r="J622" s="597">
        <f t="shared" si="556"/>
        <v>3600000</v>
      </c>
      <c r="K622" s="607">
        <f t="shared" si="557"/>
        <v>3600000</v>
      </c>
      <c r="N622" s="568">
        <f>'5.1 Comparativo_Viáticos'!$Q$13</f>
        <v>4596746</v>
      </c>
      <c r="O622" s="568">
        <f>N622</f>
        <v>4596746</v>
      </c>
      <c r="P622" s="569">
        <f t="shared" ref="P622" si="564">K622/O622-1</f>
        <v>-0.21683730186527606</v>
      </c>
      <c r="Q622" s="295">
        <f t="shared" si="535"/>
        <v>0</v>
      </c>
    </row>
    <row r="623" spans="2:17" ht="94.5" x14ac:dyDescent="0.25">
      <c r="B623" s="629">
        <v>13</v>
      </c>
      <c r="C623" s="624" t="s">
        <v>1425</v>
      </c>
      <c r="D623" s="613" t="s">
        <v>238</v>
      </c>
      <c r="E623" s="639">
        <v>3</v>
      </c>
      <c r="F623" s="617">
        <v>1000000</v>
      </c>
      <c r="G623" s="621">
        <v>2</v>
      </c>
      <c r="H623" s="622">
        <f t="shared" si="563"/>
        <v>6000000</v>
      </c>
      <c r="I623" s="607">
        <v>0</v>
      </c>
      <c r="J623" s="597">
        <f t="shared" si="556"/>
        <v>6000000</v>
      </c>
      <c r="K623" s="607">
        <f t="shared" si="557"/>
        <v>6000000</v>
      </c>
      <c r="N623" s="568">
        <f>'4.1 Comparativo_Transporte'!$N$27</f>
        <v>1188475</v>
      </c>
      <c r="O623" s="568">
        <f t="shared" ref="O623:O624" si="565">N623*G623*E623</f>
        <v>7130850</v>
      </c>
      <c r="P623" s="569">
        <f t="shared" ref="P623:P625" si="566">K623/O623-1</f>
        <v>-0.15858558236395381</v>
      </c>
      <c r="Q623" s="295">
        <f t="shared" si="535"/>
        <v>0</v>
      </c>
    </row>
    <row r="624" spans="2:17" ht="93" customHeight="1" x14ac:dyDescent="0.25">
      <c r="B624" s="595">
        <v>14</v>
      </c>
      <c r="C624" s="608" t="s">
        <v>1504</v>
      </c>
      <c r="D624" s="605" t="s">
        <v>396</v>
      </c>
      <c r="E624" s="640">
        <v>50</v>
      </c>
      <c r="F624" s="617">
        <v>100000</v>
      </c>
      <c r="G624" s="640">
        <v>1</v>
      </c>
      <c r="H624" s="567">
        <f>E624*F624*G624</f>
        <v>5000000</v>
      </c>
      <c r="I624" s="607">
        <v>0</v>
      </c>
      <c r="J624" s="597">
        <f t="shared" si="556"/>
        <v>5000000</v>
      </c>
      <c r="K624" s="607">
        <f t="shared" si="557"/>
        <v>5000000</v>
      </c>
      <c r="N624" s="568">
        <f>'7.1 Comparativo_Kit_Herrami'!$N$7</f>
        <v>102170</v>
      </c>
      <c r="O624" s="568">
        <f t="shared" si="565"/>
        <v>5108500</v>
      </c>
      <c r="P624" s="569">
        <f t="shared" si="566"/>
        <v>-2.1239111285113021E-2</v>
      </c>
      <c r="Q624" s="295">
        <f t="shared" si="535"/>
        <v>0</v>
      </c>
    </row>
    <row r="625" spans="2:17" ht="15.75" customHeight="1" x14ac:dyDescent="0.25">
      <c r="B625" s="809" t="s">
        <v>429</v>
      </c>
      <c r="C625" s="786"/>
      <c r="D625" s="786"/>
      <c r="E625" s="787"/>
      <c r="F625" s="643">
        <f>SUM(F611:F624)</f>
        <v>16834000</v>
      </c>
      <c r="G625" s="641"/>
      <c r="H625" s="644">
        <f t="shared" ref="H625:K625" si="567">SUM(H611:H624)</f>
        <v>111602000</v>
      </c>
      <c r="I625" s="642">
        <f t="shared" si="567"/>
        <v>0</v>
      </c>
      <c r="J625" s="642">
        <f t="shared" si="567"/>
        <v>111602000</v>
      </c>
      <c r="K625" s="642">
        <f t="shared" si="567"/>
        <v>111602000</v>
      </c>
      <c r="N625" s="642">
        <f t="shared" ref="N625:O625" si="568">SUM(N611:N624)</f>
        <v>102523738</v>
      </c>
      <c r="O625" s="642">
        <f t="shared" si="568"/>
        <v>120893409</v>
      </c>
      <c r="P625" s="569">
        <f t="shared" si="566"/>
        <v>-7.6856208099814638E-2</v>
      </c>
      <c r="Q625" s="295"/>
    </row>
    <row r="626" spans="2:17" ht="15.75" customHeight="1" x14ac:dyDescent="0.25">
      <c r="B626" s="784" t="s">
        <v>1507</v>
      </c>
      <c r="C626" s="782"/>
      <c r="D626" s="782"/>
      <c r="E626" s="782"/>
      <c r="F626" s="782"/>
      <c r="G626" s="782"/>
      <c r="H626" s="782"/>
      <c r="I626" s="782"/>
      <c r="J626" s="782"/>
      <c r="K626" s="783"/>
      <c r="Q626" s="295">
        <f t="shared" si="535"/>
        <v>0</v>
      </c>
    </row>
    <row r="627" spans="2:17" ht="57" customHeight="1" x14ac:dyDescent="0.25">
      <c r="B627" s="593">
        <v>1</v>
      </c>
      <c r="C627" s="608" t="s">
        <v>1508</v>
      </c>
      <c r="D627" s="131" t="s">
        <v>1061</v>
      </c>
      <c r="E627" s="131">
        <v>1</v>
      </c>
      <c r="F627" s="594">
        <v>3500000</v>
      </c>
      <c r="G627" s="630">
        <v>1</v>
      </c>
      <c r="H627" s="567">
        <f t="shared" ref="H627:H629" si="569">F627*E627*G627</f>
        <v>3500000</v>
      </c>
      <c r="I627" s="607">
        <v>0</v>
      </c>
      <c r="J627" s="597">
        <f t="shared" ref="J627:J640" si="570">H627</f>
        <v>3500000</v>
      </c>
      <c r="K627" s="607">
        <f t="shared" ref="K627:K640" si="571">I627+J627</f>
        <v>3500000</v>
      </c>
      <c r="N627" s="568">
        <f>'3.1 Comparativo_Logística'!$M$7</f>
        <v>3585068</v>
      </c>
      <c r="O627" s="568">
        <f t="shared" ref="O627:O635" si="572">N627*G627*E627</f>
        <v>3585068</v>
      </c>
      <c r="P627" s="569">
        <f t="shared" ref="P627:P635" si="573">K627/O627-1</f>
        <v>-2.3728420214065626E-2</v>
      </c>
      <c r="Q627" s="295">
        <f t="shared" si="535"/>
        <v>0</v>
      </c>
    </row>
    <row r="628" spans="2:17" ht="54" x14ac:dyDescent="0.25">
      <c r="B628" s="595">
        <v>2</v>
      </c>
      <c r="C628" s="608" t="s">
        <v>1432</v>
      </c>
      <c r="D628" s="631" t="s">
        <v>396</v>
      </c>
      <c r="E628" s="134">
        <v>1</v>
      </c>
      <c r="F628" s="597">
        <v>900000</v>
      </c>
      <c r="G628" s="632">
        <v>1</v>
      </c>
      <c r="H628" s="571">
        <f t="shared" si="569"/>
        <v>900000</v>
      </c>
      <c r="I628" s="607">
        <v>0</v>
      </c>
      <c r="J628" s="597">
        <f t="shared" si="570"/>
        <v>900000</v>
      </c>
      <c r="K628" s="607">
        <f t="shared" si="571"/>
        <v>900000</v>
      </c>
      <c r="N628" s="568">
        <f>'3.1 Comparativo_Logística'!$M$20</f>
        <v>1176347</v>
      </c>
      <c r="O628" s="568">
        <f t="shared" si="572"/>
        <v>1176347</v>
      </c>
      <c r="P628" s="569">
        <f t="shared" si="573"/>
        <v>-0.23491962830695368</v>
      </c>
      <c r="Q628" s="295">
        <f t="shared" si="535"/>
        <v>0</v>
      </c>
    </row>
    <row r="629" spans="2:17" ht="67.5" x14ac:dyDescent="0.25">
      <c r="B629" s="570">
        <v>3</v>
      </c>
      <c r="C629" s="608" t="s">
        <v>1433</v>
      </c>
      <c r="D629" s="611" t="s">
        <v>238</v>
      </c>
      <c r="E629" s="599">
        <v>3</v>
      </c>
      <c r="F629" s="600">
        <v>200000</v>
      </c>
      <c r="G629" s="633">
        <v>1</v>
      </c>
      <c r="H629" s="571">
        <f t="shared" si="569"/>
        <v>600000</v>
      </c>
      <c r="I629" s="607">
        <v>0</v>
      </c>
      <c r="J629" s="597">
        <f t="shared" si="570"/>
        <v>600000</v>
      </c>
      <c r="K629" s="607">
        <f t="shared" si="571"/>
        <v>600000</v>
      </c>
      <c r="N629" s="568">
        <f>'3.1 Comparativo_Logística'!$M$29</f>
        <v>249230</v>
      </c>
      <c r="O629" s="568">
        <f t="shared" si="572"/>
        <v>747690</v>
      </c>
      <c r="P629" s="569">
        <f t="shared" si="573"/>
        <v>-0.19752838743329459</v>
      </c>
      <c r="Q629" s="295">
        <f t="shared" si="535"/>
        <v>0</v>
      </c>
    </row>
    <row r="630" spans="2:17" ht="108" x14ac:dyDescent="0.25">
      <c r="B630" s="564">
        <v>4</v>
      </c>
      <c r="C630" s="618" t="s">
        <v>1385</v>
      </c>
      <c r="D630" s="613" t="s">
        <v>238</v>
      </c>
      <c r="E630" s="613">
        <v>1</v>
      </c>
      <c r="F630" s="617">
        <v>1600000</v>
      </c>
      <c r="G630" s="634">
        <v>1</v>
      </c>
      <c r="H630" s="571">
        <f t="shared" ref="H630:H634" si="574">E630*F630*G630</f>
        <v>1600000</v>
      </c>
      <c r="I630" s="607">
        <v>0</v>
      </c>
      <c r="J630" s="597">
        <f t="shared" si="570"/>
        <v>1600000</v>
      </c>
      <c r="K630" s="607">
        <f t="shared" si="571"/>
        <v>1600000</v>
      </c>
      <c r="N630" s="568">
        <f>'3.1 Comparativo_Logística'!$M$37</f>
        <v>2714721</v>
      </c>
      <c r="O630" s="568">
        <f t="shared" si="572"/>
        <v>2714721</v>
      </c>
      <c r="P630" s="569">
        <f t="shared" si="573"/>
        <v>-0.41062083359579127</v>
      </c>
      <c r="Q630" s="295">
        <f t="shared" si="535"/>
        <v>0</v>
      </c>
    </row>
    <row r="631" spans="2:17" ht="45" customHeight="1" x14ac:dyDescent="0.25">
      <c r="B631" s="570">
        <v>5</v>
      </c>
      <c r="C631" s="618" t="s">
        <v>1434</v>
      </c>
      <c r="D631" s="613" t="s">
        <v>396</v>
      </c>
      <c r="E631" s="613">
        <v>63</v>
      </c>
      <c r="F631" s="617">
        <v>32000</v>
      </c>
      <c r="G631" s="634">
        <v>1</v>
      </c>
      <c r="H631" s="571">
        <f t="shared" si="574"/>
        <v>2016000</v>
      </c>
      <c r="I631" s="607">
        <v>0</v>
      </c>
      <c r="J631" s="597">
        <f t="shared" si="570"/>
        <v>2016000</v>
      </c>
      <c r="K631" s="607">
        <f t="shared" si="571"/>
        <v>2016000</v>
      </c>
      <c r="N631" s="568">
        <f>'2.1 Comparativo_Alimentación'!$M$7</f>
        <v>33548</v>
      </c>
      <c r="O631" s="568">
        <f t="shared" si="572"/>
        <v>2113524</v>
      </c>
      <c r="P631" s="569">
        <f t="shared" si="573"/>
        <v>-4.6142840109693606E-2</v>
      </c>
      <c r="Q631" s="295">
        <f t="shared" si="535"/>
        <v>0</v>
      </c>
    </row>
    <row r="632" spans="2:17" ht="45" customHeight="1" x14ac:dyDescent="0.25">
      <c r="B632" s="564">
        <v>6</v>
      </c>
      <c r="C632" s="618" t="s">
        <v>1435</v>
      </c>
      <c r="D632" s="613" t="s">
        <v>396</v>
      </c>
      <c r="E632" s="613">
        <v>63</v>
      </c>
      <c r="F632" s="617">
        <v>70000</v>
      </c>
      <c r="G632" s="634">
        <v>1</v>
      </c>
      <c r="H632" s="571">
        <f t="shared" si="574"/>
        <v>4410000</v>
      </c>
      <c r="I632" s="607">
        <v>0</v>
      </c>
      <c r="J632" s="597">
        <f t="shared" si="570"/>
        <v>4410000</v>
      </c>
      <c r="K632" s="607">
        <f t="shared" si="571"/>
        <v>4410000</v>
      </c>
      <c r="N632" s="568">
        <f>'2.1 Comparativo_Alimentación'!$M$8</f>
        <v>70822</v>
      </c>
      <c r="O632" s="568">
        <f t="shared" si="572"/>
        <v>4461786</v>
      </c>
      <c r="P632" s="569">
        <f t="shared" si="573"/>
        <v>-1.1606562932422126E-2</v>
      </c>
      <c r="Q632" s="295">
        <f t="shared" si="535"/>
        <v>0</v>
      </c>
    </row>
    <row r="633" spans="2:17" ht="45" customHeight="1" x14ac:dyDescent="0.25">
      <c r="B633" s="570">
        <v>7</v>
      </c>
      <c r="C633" s="618" t="s">
        <v>1436</v>
      </c>
      <c r="D633" s="613" t="s">
        <v>396</v>
      </c>
      <c r="E633" s="613">
        <v>63</v>
      </c>
      <c r="F633" s="617">
        <v>32000</v>
      </c>
      <c r="G633" s="634">
        <v>1</v>
      </c>
      <c r="H633" s="571">
        <f t="shared" si="574"/>
        <v>2016000</v>
      </c>
      <c r="I633" s="607">
        <v>0</v>
      </c>
      <c r="J633" s="597">
        <f t="shared" si="570"/>
        <v>2016000</v>
      </c>
      <c r="K633" s="607">
        <f t="shared" si="571"/>
        <v>2016000</v>
      </c>
      <c r="N633" s="568">
        <f>'2.1 Comparativo_Alimentación'!$M$9</f>
        <v>33548</v>
      </c>
      <c r="O633" s="568">
        <f t="shared" si="572"/>
        <v>2113524</v>
      </c>
      <c r="P633" s="569">
        <f t="shared" si="573"/>
        <v>-4.6142840109693606E-2</v>
      </c>
      <c r="Q633" s="295">
        <f t="shared" si="535"/>
        <v>0</v>
      </c>
    </row>
    <row r="634" spans="2:17" ht="148.5" x14ac:dyDescent="0.25">
      <c r="B634" s="595">
        <v>8</v>
      </c>
      <c r="C634" s="615" t="s">
        <v>1391</v>
      </c>
      <c r="D634" s="619" t="s">
        <v>238</v>
      </c>
      <c r="E634" s="614">
        <v>1</v>
      </c>
      <c r="F634" s="600">
        <v>2000000</v>
      </c>
      <c r="G634" s="632">
        <v>1</v>
      </c>
      <c r="H634" s="571">
        <f t="shared" si="574"/>
        <v>2000000</v>
      </c>
      <c r="I634" s="607">
        <v>0</v>
      </c>
      <c r="J634" s="597">
        <f t="shared" si="570"/>
        <v>2000000</v>
      </c>
      <c r="K634" s="607">
        <f t="shared" si="571"/>
        <v>2000000</v>
      </c>
      <c r="N634" s="568">
        <f>'8.1 Comparativo_Tallerista'!$N$7</f>
        <v>2455526</v>
      </c>
      <c r="O634" s="568">
        <f t="shared" si="572"/>
        <v>2455526</v>
      </c>
      <c r="P634" s="569">
        <f t="shared" si="573"/>
        <v>-0.18551055863387311</v>
      </c>
      <c r="Q634" s="295">
        <f t="shared" si="535"/>
        <v>0</v>
      </c>
    </row>
    <row r="635" spans="2:17" ht="108" x14ac:dyDescent="0.25">
      <c r="B635" s="570">
        <v>9</v>
      </c>
      <c r="C635" s="618" t="s">
        <v>1393</v>
      </c>
      <c r="D635" s="619" t="s">
        <v>238</v>
      </c>
      <c r="E635" s="614">
        <v>1</v>
      </c>
      <c r="F635" s="620">
        <v>2500000</v>
      </c>
      <c r="G635" s="131">
        <v>1</v>
      </c>
      <c r="H635" s="571">
        <f>F635*E635*G635</f>
        <v>2500000</v>
      </c>
      <c r="I635" s="607">
        <v>0</v>
      </c>
      <c r="J635" s="597">
        <f t="shared" si="570"/>
        <v>2500000</v>
      </c>
      <c r="K635" s="607">
        <f t="shared" si="571"/>
        <v>2500000</v>
      </c>
      <c r="N635" s="568">
        <f>'9.1 Comparativo_Sabedor'!$N$7</f>
        <v>2829639</v>
      </c>
      <c r="O635" s="568">
        <f t="shared" si="572"/>
        <v>2829639</v>
      </c>
      <c r="P635" s="569">
        <f t="shared" si="573"/>
        <v>-0.11649507233961642</v>
      </c>
      <c r="Q635" s="295">
        <f t="shared" si="535"/>
        <v>0</v>
      </c>
    </row>
    <row r="636" spans="2:17" ht="94.5" x14ac:dyDescent="0.25">
      <c r="B636" s="570">
        <v>10</v>
      </c>
      <c r="C636" s="618" t="s">
        <v>1394</v>
      </c>
      <c r="D636" s="599" t="s">
        <v>1062</v>
      </c>
      <c r="E636" s="614">
        <v>1</v>
      </c>
      <c r="F636" s="600">
        <v>4000000</v>
      </c>
      <c r="G636" s="632">
        <v>1</v>
      </c>
      <c r="H636" s="571">
        <f>E636*F636*G636</f>
        <v>4000000</v>
      </c>
      <c r="I636" s="607">
        <v>0</v>
      </c>
      <c r="J636" s="597">
        <f t="shared" si="570"/>
        <v>4000000</v>
      </c>
      <c r="K636" s="607">
        <f t="shared" si="571"/>
        <v>4000000</v>
      </c>
      <c r="N636" s="568">
        <f>'6.1 Comparativo_Grupo_Armoniz'!$N$7</f>
        <v>6875473</v>
      </c>
      <c r="O636" s="568">
        <f t="shared" ref="O636" si="575">N636*G636*E636</f>
        <v>6875473</v>
      </c>
      <c r="P636" s="569">
        <f t="shared" ref="P636" si="576">K636/O636-1</f>
        <v>-0.41822184451891531</v>
      </c>
      <c r="Q636" s="295">
        <f t="shared" si="535"/>
        <v>0</v>
      </c>
    </row>
    <row r="637" spans="2:17" ht="94.5" x14ac:dyDescent="0.25">
      <c r="B637" s="595">
        <v>11</v>
      </c>
      <c r="C637" s="618" t="s">
        <v>1437</v>
      </c>
      <c r="D637" s="619" t="s">
        <v>238</v>
      </c>
      <c r="E637" s="621">
        <v>60</v>
      </c>
      <c r="F637" s="597">
        <v>500000</v>
      </c>
      <c r="G637" s="134">
        <v>3</v>
      </c>
      <c r="H637" s="622">
        <f t="shared" ref="H637:H639" si="577">F637*E637*G637</f>
        <v>90000000</v>
      </c>
      <c r="I637" s="607">
        <v>0</v>
      </c>
      <c r="J637" s="597">
        <f t="shared" si="570"/>
        <v>90000000</v>
      </c>
      <c r="K637" s="607">
        <f t="shared" si="571"/>
        <v>90000000</v>
      </c>
      <c r="N637" s="104">
        <f>'5.1 Comparativo_Viáticos'!$Q$17</f>
        <v>91934910</v>
      </c>
      <c r="O637" s="104">
        <f>N637</f>
        <v>91934910</v>
      </c>
      <c r="P637" s="438">
        <f>K637/O637-1</f>
        <v>-2.1046520848282735E-2</v>
      </c>
      <c r="Q637" s="295">
        <f t="shared" si="535"/>
        <v>0</v>
      </c>
    </row>
    <row r="638" spans="2:17" ht="81" x14ac:dyDescent="0.25">
      <c r="B638" s="570">
        <v>12</v>
      </c>
      <c r="C638" s="618" t="s">
        <v>1392</v>
      </c>
      <c r="D638" s="613" t="s">
        <v>238</v>
      </c>
      <c r="E638" s="621">
        <v>3</v>
      </c>
      <c r="F638" s="617">
        <v>400000</v>
      </c>
      <c r="G638" s="134">
        <v>3</v>
      </c>
      <c r="H638" s="622">
        <f t="shared" si="577"/>
        <v>3600000</v>
      </c>
      <c r="I638" s="607">
        <v>0</v>
      </c>
      <c r="J638" s="597">
        <f t="shared" si="570"/>
        <v>3600000</v>
      </c>
      <c r="K638" s="607">
        <f t="shared" si="571"/>
        <v>3600000</v>
      </c>
      <c r="N638" s="568">
        <f>'5.1 Comparativo_Viáticos'!$Q$13</f>
        <v>4596746</v>
      </c>
      <c r="O638" s="568">
        <f>N638</f>
        <v>4596746</v>
      </c>
      <c r="P638" s="569">
        <f t="shared" ref="P638" si="578">K638/O638-1</f>
        <v>-0.21683730186527606</v>
      </c>
      <c r="Q638" s="295">
        <f t="shared" si="535"/>
        <v>0</v>
      </c>
    </row>
    <row r="639" spans="2:17" ht="94.5" x14ac:dyDescent="0.25">
      <c r="B639" s="629">
        <v>13</v>
      </c>
      <c r="C639" s="624" t="s">
        <v>1425</v>
      </c>
      <c r="D639" s="613" t="s">
        <v>238</v>
      </c>
      <c r="E639" s="639">
        <v>3</v>
      </c>
      <c r="F639" s="617">
        <v>1000000</v>
      </c>
      <c r="G639" s="621">
        <v>2</v>
      </c>
      <c r="H639" s="622">
        <f t="shared" si="577"/>
        <v>6000000</v>
      </c>
      <c r="I639" s="607">
        <v>0</v>
      </c>
      <c r="J639" s="597">
        <f t="shared" si="570"/>
        <v>6000000</v>
      </c>
      <c r="K639" s="607">
        <f t="shared" si="571"/>
        <v>6000000</v>
      </c>
      <c r="N639" s="568">
        <f>'4.1 Comparativo_Transporte'!$N$27</f>
        <v>1188475</v>
      </c>
      <c r="O639" s="568">
        <f t="shared" ref="O639:O640" si="579">N639*G639*E639</f>
        <v>7130850</v>
      </c>
      <c r="P639" s="569">
        <f t="shared" ref="P639:P641" si="580">K639/O639-1</f>
        <v>-0.15858558236395381</v>
      </c>
      <c r="Q639" s="295">
        <f t="shared" si="535"/>
        <v>0</v>
      </c>
    </row>
    <row r="640" spans="2:17" ht="202.5" x14ac:dyDescent="0.25">
      <c r="B640" s="595">
        <v>14</v>
      </c>
      <c r="C640" s="608" t="s">
        <v>1509</v>
      </c>
      <c r="D640" s="605" t="s">
        <v>396</v>
      </c>
      <c r="E640" s="640">
        <v>60</v>
      </c>
      <c r="F640" s="617">
        <v>100000</v>
      </c>
      <c r="G640" s="640">
        <v>1</v>
      </c>
      <c r="H640" s="567">
        <f>E640*F640*G640</f>
        <v>6000000</v>
      </c>
      <c r="I640" s="607">
        <v>0</v>
      </c>
      <c r="J640" s="597">
        <f t="shared" si="570"/>
        <v>6000000</v>
      </c>
      <c r="K640" s="607">
        <f t="shared" si="571"/>
        <v>6000000</v>
      </c>
      <c r="N640" s="568">
        <f>'7.1 Comparativo_Kit_Herrami'!$N$7</f>
        <v>102170</v>
      </c>
      <c r="O640" s="568">
        <f t="shared" si="579"/>
        <v>6130200</v>
      </c>
      <c r="P640" s="569">
        <f t="shared" si="580"/>
        <v>-2.1239111285113021E-2</v>
      </c>
      <c r="Q640" s="295">
        <f t="shared" si="535"/>
        <v>0</v>
      </c>
    </row>
    <row r="641" spans="2:17" ht="15.75" customHeight="1" x14ac:dyDescent="0.25">
      <c r="B641" s="809" t="s">
        <v>430</v>
      </c>
      <c r="C641" s="786"/>
      <c r="D641" s="786"/>
      <c r="E641" s="787"/>
      <c r="F641" s="643">
        <f>SUM(F627:F640)</f>
        <v>16834000</v>
      </c>
      <c r="G641" s="641"/>
      <c r="H641" s="644">
        <f t="shared" ref="H641:K641" si="581">SUM(H627:H640)</f>
        <v>129142000</v>
      </c>
      <c r="I641" s="642">
        <f t="shared" si="581"/>
        <v>0</v>
      </c>
      <c r="J641" s="642">
        <f t="shared" si="581"/>
        <v>129142000</v>
      </c>
      <c r="K641" s="642">
        <f t="shared" si="581"/>
        <v>129142000</v>
      </c>
      <c r="N641" s="642">
        <f t="shared" ref="N641:O641" si="582">SUM(N627:N640)</f>
        <v>117846223</v>
      </c>
      <c r="O641" s="642">
        <f t="shared" si="582"/>
        <v>138866004</v>
      </c>
      <c r="P641" s="569">
        <f t="shared" si="580"/>
        <v>-7.0024366798946747E-2</v>
      </c>
      <c r="Q641" s="295"/>
    </row>
    <row r="642" spans="2:17" ht="15.75" customHeight="1" x14ac:dyDescent="0.25">
      <c r="B642" s="784" t="s">
        <v>1510</v>
      </c>
      <c r="C642" s="782"/>
      <c r="D642" s="782"/>
      <c r="E642" s="782"/>
      <c r="F642" s="782"/>
      <c r="G642" s="782"/>
      <c r="H642" s="782"/>
      <c r="I642" s="782"/>
      <c r="J642" s="782"/>
      <c r="K642" s="783"/>
      <c r="Q642" s="295">
        <f t="shared" si="535"/>
        <v>0</v>
      </c>
    </row>
    <row r="643" spans="2:17" ht="57" customHeight="1" x14ac:dyDescent="0.25">
      <c r="B643" s="593">
        <v>1</v>
      </c>
      <c r="C643" s="608" t="s">
        <v>1511</v>
      </c>
      <c r="D643" s="131" t="s">
        <v>1061</v>
      </c>
      <c r="E643" s="131">
        <v>1</v>
      </c>
      <c r="F643" s="594">
        <v>3500000</v>
      </c>
      <c r="G643" s="630">
        <v>1</v>
      </c>
      <c r="H643" s="567">
        <f t="shared" ref="H643:H645" si="583">F643*E643*G643</f>
        <v>3500000</v>
      </c>
      <c r="I643" s="607">
        <v>0</v>
      </c>
      <c r="J643" s="597">
        <f t="shared" ref="J643:J656" si="584">H643</f>
        <v>3500000</v>
      </c>
      <c r="K643" s="607">
        <f t="shared" ref="K643:K656" si="585">I643+J643</f>
        <v>3500000</v>
      </c>
      <c r="N643" s="568">
        <f>'3.1 Comparativo_Logística'!$M$7</f>
        <v>3585068</v>
      </c>
      <c r="O643" s="568">
        <f t="shared" ref="O643:O651" si="586">N643*G643*E643</f>
        <v>3585068</v>
      </c>
      <c r="P643" s="569">
        <f t="shared" ref="P643:P651" si="587">K643/O643-1</f>
        <v>-2.3728420214065626E-2</v>
      </c>
      <c r="Q643" s="295">
        <f t="shared" si="535"/>
        <v>0</v>
      </c>
    </row>
    <row r="644" spans="2:17" ht="54" x14ac:dyDescent="0.25">
      <c r="B644" s="595">
        <v>2</v>
      </c>
      <c r="C644" s="608" t="s">
        <v>1416</v>
      </c>
      <c r="D644" s="631" t="s">
        <v>396</v>
      </c>
      <c r="E644" s="134">
        <v>1</v>
      </c>
      <c r="F644" s="597">
        <v>900000</v>
      </c>
      <c r="G644" s="632">
        <v>1</v>
      </c>
      <c r="H644" s="571">
        <f t="shared" si="583"/>
        <v>900000</v>
      </c>
      <c r="I644" s="607">
        <v>0</v>
      </c>
      <c r="J644" s="597">
        <f t="shared" si="584"/>
        <v>900000</v>
      </c>
      <c r="K644" s="607">
        <f t="shared" si="585"/>
        <v>900000</v>
      </c>
      <c r="N644" s="568">
        <f>'3.1 Comparativo_Logística'!$M$20</f>
        <v>1176347</v>
      </c>
      <c r="O644" s="568">
        <f t="shared" si="586"/>
        <v>1176347</v>
      </c>
      <c r="P644" s="569">
        <f t="shared" si="587"/>
        <v>-0.23491962830695368</v>
      </c>
      <c r="Q644" s="295">
        <f t="shared" si="535"/>
        <v>0</v>
      </c>
    </row>
    <row r="645" spans="2:17" ht="67.5" x14ac:dyDescent="0.25">
      <c r="B645" s="570">
        <v>3</v>
      </c>
      <c r="C645" s="608" t="s">
        <v>1417</v>
      </c>
      <c r="D645" s="611" t="s">
        <v>238</v>
      </c>
      <c r="E645" s="599">
        <v>2</v>
      </c>
      <c r="F645" s="600">
        <v>200000</v>
      </c>
      <c r="G645" s="633">
        <v>1</v>
      </c>
      <c r="H645" s="571">
        <f t="shared" si="583"/>
        <v>400000</v>
      </c>
      <c r="I645" s="607">
        <v>0</v>
      </c>
      <c r="J645" s="597">
        <f t="shared" si="584"/>
        <v>400000</v>
      </c>
      <c r="K645" s="607">
        <f t="shared" si="585"/>
        <v>400000</v>
      </c>
      <c r="N645" s="568">
        <f>'3.1 Comparativo_Logística'!$M$29</f>
        <v>249230</v>
      </c>
      <c r="O645" s="568">
        <f t="shared" si="586"/>
        <v>498460</v>
      </c>
      <c r="P645" s="569">
        <f t="shared" si="587"/>
        <v>-0.19752838743329459</v>
      </c>
      <c r="Q645" s="295">
        <f t="shared" si="535"/>
        <v>0</v>
      </c>
    </row>
    <row r="646" spans="2:17" ht="108" x14ac:dyDescent="0.25">
      <c r="B646" s="564">
        <v>4</v>
      </c>
      <c r="C646" s="618" t="s">
        <v>1385</v>
      </c>
      <c r="D646" s="613" t="s">
        <v>238</v>
      </c>
      <c r="E646" s="613">
        <v>1</v>
      </c>
      <c r="F646" s="617">
        <v>1600000</v>
      </c>
      <c r="G646" s="634">
        <v>1</v>
      </c>
      <c r="H646" s="571">
        <f t="shared" ref="H646:H650" si="588">E646*F646*G646</f>
        <v>1600000</v>
      </c>
      <c r="I646" s="607">
        <v>0</v>
      </c>
      <c r="J646" s="597">
        <f t="shared" si="584"/>
        <v>1600000</v>
      </c>
      <c r="K646" s="607">
        <f t="shared" si="585"/>
        <v>1600000</v>
      </c>
      <c r="N646" s="568">
        <f>'3.1 Comparativo_Logística'!$M$37</f>
        <v>2714721</v>
      </c>
      <c r="O646" s="568">
        <f t="shared" si="586"/>
        <v>2714721</v>
      </c>
      <c r="P646" s="569">
        <f t="shared" si="587"/>
        <v>-0.41062083359579127</v>
      </c>
      <c r="Q646" s="295">
        <f t="shared" si="535"/>
        <v>0</v>
      </c>
    </row>
    <row r="647" spans="2:17" ht="45" customHeight="1" x14ac:dyDescent="0.25">
      <c r="B647" s="570">
        <v>5</v>
      </c>
      <c r="C647" s="618" t="s">
        <v>1418</v>
      </c>
      <c r="D647" s="613" t="s">
        <v>396</v>
      </c>
      <c r="E647" s="613">
        <v>53</v>
      </c>
      <c r="F647" s="617">
        <v>32000</v>
      </c>
      <c r="G647" s="634">
        <v>1</v>
      </c>
      <c r="H647" s="571">
        <f t="shared" si="588"/>
        <v>1696000</v>
      </c>
      <c r="I647" s="607">
        <v>0</v>
      </c>
      <c r="J647" s="597">
        <f t="shared" si="584"/>
        <v>1696000</v>
      </c>
      <c r="K647" s="607">
        <f t="shared" si="585"/>
        <v>1696000</v>
      </c>
      <c r="N647" s="568">
        <f>'2.1 Comparativo_Alimentación'!$M$7</f>
        <v>33548</v>
      </c>
      <c r="O647" s="568">
        <f t="shared" si="586"/>
        <v>1778044</v>
      </c>
      <c r="P647" s="569">
        <f t="shared" si="587"/>
        <v>-4.6142840109693606E-2</v>
      </c>
      <c r="Q647" s="295">
        <f t="shared" si="535"/>
        <v>0</v>
      </c>
    </row>
    <row r="648" spans="2:17" ht="45" customHeight="1" x14ac:dyDescent="0.25">
      <c r="B648" s="564">
        <v>6</v>
      </c>
      <c r="C648" s="618" t="s">
        <v>1419</v>
      </c>
      <c r="D648" s="613" t="s">
        <v>396</v>
      </c>
      <c r="E648" s="613">
        <v>53</v>
      </c>
      <c r="F648" s="617">
        <v>70000</v>
      </c>
      <c r="G648" s="634">
        <v>1</v>
      </c>
      <c r="H648" s="571">
        <f t="shared" si="588"/>
        <v>3710000</v>
      </c>
      <c r="I648" s="607">
        <v>0</v>
      </c>
      <c r="J648" s="597">
        <f t="shared" si="584"/>
        <v>3710000</v>
      </c>
      <c r="K648" s="607">
        <f t="shared" si="585"/>
        <v>3710000</v>
      </c>
      <c r="N648" s="568">
        <f>'2.1 Comparativo_Alimentación'!$M$8</f>
        <v>70822</v>
      </c>
      <c r="O648" s="568">
        <f t="shared" si="586"/>
        <v>3753566</v>
      </c>
      <c r="P648" s="569">
        <f t="shared" si="587"/>
        <v>-1.1606562932422126E-2</v>
      </c>
      <c r="Q648" s="295">
        <f t="shared" si="535"/>
        <v>0</v>
      </c>
    </row>
    <row r="649" spans="2:17" ht="45" customHeight="1" x14ac:dyDescent="0.25">
      <c r="B649" s="570">
        <v>7</v>
      </c>
      <c r="C649" s="618" t="s">
        <v>1420</v>
      </c>
      <c r="D649" s="613" t="s">
        <v>396</v>
      </c>
      <c r="E649" s="613">
        <v>53</v>
      </c>
      <c r="F649" s="617">
        <v>32000</v>
      </c>
      <c r="G649" s="634">
        <v>1</v>
      </c>
      <c r="H649" s="571">
        <f t="shared" si="588"/>
        <v>1696000</v>
      </c>
      <c r="I649" s="607">
        <v>0</v>
      </c>
      <c r="J649" s="597">
        <f t="shared" si="584"/>
        <v>1696000</v>
      </c>
      <c r="K649" s="607">
        <f t="shared" si="585"/>
        <v>1696000</v>
      </c>
      <c r="N649" s="568">
        <f>'2.1 Comparativo_Alimentación'!$M$9</f>
        <v>33548</v>
      </c>
      <c r="O649" s="568">
        <f t="shared" si="586"/>
        <v>1778044</v>
      </c>
      <c r="P649" s="569">
        <f t="shared" si="587"/>
        <v>-4.6142840109693606E-2</v>
      </c>
      <c r="Q649" s="295">
        <f t="shared" si="535"/>
        <v>0</v>
      </c>
    </row>
    <row r="650" spans="2:17" ht="148.5" x14ac:dyDescent="0.25">
      <c r="B650" s="595">
        <v>8</v>
      </c>
      <c r="C650" s="615" t="s">
        <v>1391</v>
      </c>
      <c r="D650" s="619" t="s">
        <v>238</v>
      </c>
      <c r="E650" s="614">
        <v>1</v>
      </c>
      <c r="F650" s="600">
        <v>2000000</v>
      </c>
      <c r="G650" s="632">
        <v>1</v>
      </c>
      <c r="H650" s="571">
        <f t="shared" si="588"/>
        <v>2000000</v>
      </c>
      <c r="I650" s="607">
        <v>0</v>
      </c>
      <c r="J650" s="597">
        <f t="shared" si="584"/>
        <v>2000000</v>
      </c>
      <c r="K650" s="607">
        <f t="shared" si="585"/>
        <v>2000000</v>
      </c>
      <c r="N650" s="568">
        <f>'8.1 Comparativo_Tallerista'!$N$7</f>
        <v>2455526</v>
      </c>
      <c r="O650" s="568">
        <f t="shared" si="586"/>
        <v>2455526</v>
      </c>
      <c r="P650" s="569">
        <f t="shared" si="587"/>
        <v>-0.18551055863387311</v>
      </c>
      <c r="Q650" s="295">
        <f t="shared" si="535"/>
        <v>0</v>
      </c>
    </row>
    <row r="651" spans="2:17" ht="108" x14ac:dyDescent="0.25">
      <c r="B651" s="570">
        <v>9</v>
      </c>
      <c r="C651" s="618" t="s">
        <v>1393</v>
      </c>
      <c r="D651" s="619" t="s">
        <v>238</v>
      </c>
      <c r="E651" s="614">
        <v>1</v>
      </c>
      <c r="F651" s="620">
        <v>2500000</v>
      </c>
      <c r="G651" s="131">
        <v>1</v>
      </c>
      <c r="H651" s="571">
        <f>F651*E651*G651</f>
        <v>2500000</v>
      </c>
      <c r="I651" s="607">
        <v>0</v>
      </c>
      <c r="J651" s="597">
        <f t="shared" si="584"/>
        <v>2500000</v>
      </c>
      <c r="K651" s="607">
        <f t="shared" si="585"/>
        <v>2500000</v>
      </c>
      <c r="N651" s="568">
        <f>'9.1 Comparativo_Sabedor'!$N$7</f>
        <v>2829639</v>
      </c>
      <c r="O651" s="568">
        <f t="shared" si="586"/>
        <v>2829639</v>
      </c>
      <c r="P651" s="569">
        <f t="shared" si="587"/>
        <v>-0.11649507233961642</v>
      </c>
      <c r="Q651" s="295">
        <f t="shared" si="535"/>
        <v>0</v>
      </c>
    </row>
    <row r="652" spans="2:17" ht="94.5" x14ac:dyDescent="0.25">
      <c r="B652" s="570">
        <v>10</v>
      </c>
      <c r="C652" s="618" t="s">
        <v>1394</v>
      </c>
      <c r="D652" s="599" t="s">
        <v>1062</v>
      </c>
      <c r="E652" s="614">
        <v>1</v>
      </c>
      <c r="F652" s="600">
        <v>4000000</v>
      </c>
      <c r="G652" s="632">
        <v>1</v>
      </c>
      <c r="H652" s="571">
        <f>E652*F652*G652</f>
        <v>4000000</v>
      </c>
      <c r="I652" s="607">
        <v>0</v>
      </c>
      <c r="J652" s="597">
        <f t="shared" si="584"/>
        <v>4000000</v>
      </c>
      <c r="K652" s="607">
        <f t="shared" si="585"/>
        <v>4000000</v>
      </c>
      <c r="N652" s="568">
        <f>'6.1 Comparativo_Grupo_Armoniz'!$N$7</f>
        <v>6875473</v>
      </c>
      <c r="O652" s="568">
        <f t="shared" ref="O652" si="589">N652*G652*E652</f>
        <v>6875473</v>
      </c>
      <c r="P652" s="569">
        <f t="shared" ref="P652" si="590">K652/O652-1</f>
        <v>-0.41822184451891531</v>
      </c>
      <c r="Q652" s="295">
        <f t="shared" si="535"/>
        <v>0</v>
      </c>
    </row>
    <row r="653" spans="2:17" ht="94.5" x14ac:dyDescent="0.25">
      <c r="B653" s="595">
        <v>11</v>
      </c>
      <c r="C653" s="618" t="s">
        <v>1429</v>
      </c>
      <c r="D653" s="619" t="s">
        <v>238</v>
      </c>
      <c r="E653" s="621">
        <v>50</v>
      </c>
      <c r="F653" s="597">
        <v>500000</v>
      </c>
      <c r="G653" s="134">
        <v>3</v>
      </c>
      <c r="H653" s="622">
        <f t="shared" ref="H653:H655" si="591">F653*E653*G653</f>
        <v>75000000</v>
      </c>
      <c r="I653" s="607">
        <v>0</v>
      </c>
      <c r="J653" s="597">
        <f t="shared" si="584"/>
        <v>75000000</v>
      </c>
      <c r="K653" s="607">
        <f t="shared" si="585"/>
        <v>75000000</v>
      </c>
      <c r="N653" s="104">
        <f>'5.1 Comparativo_Viáticos'!$Q$15</f>
        <v>76612425</v>
      </c>
      <c r="O653" s="104">
        <f>N653</f>
        <v>76612425</v>
      </c>
      <c r="P653" s="438">
        <f>K653/O653-1</f>
        <v>-2.1046520848282735E-2</v>
      </c>
      <c r="Q653" s="295">
        <f t="shared" ref="Q653:Q716" si="592">+E653*F653*G653-H653</f>
        <v>0</v>
      </c>
    </row>
    <row r="654" spans="2:17" ht="81" x14ac:dyDescent="0.25">
      <c r="B654" s="570">
        <v>12</v>
      </c>
      <c r="C654" s="618" t="s">
        <v>1392</v>
      </c>
      <c r="D654" s="613" t="s">
        <v>238</v>
      </c>
      <c r="E654" s="621">
        <v>3</v>
      </c>
      <c r="F654" s="617">
        <v>400000</v>
      </c>
      <c r="G654" s="134">
        <v>3</v>
      </c>
      <c r="H654" s="622">
        <f t="shared" si="591"/>
        <v>3600000</v>
      </c>
      <c r="I654" s="607">
        <v>0</v>
      </c>
      <c r="J654" s="597">
        <f t="shared" si="584"/>
        <v>3600000</v>
      </c>
      <c r="K654" s="607">
        <f t="shared" si="585"/>
        <v>3600000</v>
      </c>
      <c r="N654" s="568">
        <f>'5.1 Comparativo_Viáticos'!$Q$13</f>
        <v>4596746</v>
      </c>
      <c r="O654" s="568">
        <f>N654</f>
        <v>4596746</v>
      </c>
      <c r="P654" s="569">
        <f t="shared" ref="P654" si="593">K654/O654-1</f>
        <v>-0.21683730186527606</v>
      </c>
      <c r="Q654" s="295">
        <f t="shared" si="592"/>
        <v>0</v>
      </c>
    </row>
    <row r="655" spans="2:17" ht="94.5" x14ac:dyDescent="0.25">
      <c r="B655" s="629">
        <v>13</v>
      </c>
      <c r="C655" s="624" t="s">
        <v>1425</v>
      </c>
      <c r="D655" s="613" t="s">
        <v>238</v>
      </c>
      <c r="E655" s="639">
        <v>3</v>
      </c>
      <c r="F655" s="617">
        <v>1000000</v>
      </c>
      <c r="G655" s="621">
        <v>2</v>
      </c>
      <c r="H655" s="622">
        <f t="shared" si="591"/>
        <v>6000000</v>
      </c>
      <c r="I655" s="607">
        <v>0</v>
      </c>
      <c r="J655" s="597">
        <f t="shared" si="584"/>
        <v>6000000</v>
      </c>
      <c r="K655" s="607">
        <f t="shared" si="585"/>
        <v>6000000</v>
      </c>
      <c r="N655" s="568">
        <f>'4.1 Comparativo_Transporte'!$N$27</f>
        <v>1188475</v>
      </c>
      <c r="O655" s="568">
        <f t="shared" ref="O655:O656" si="594">N655*G655*E655</f>
        <v>7130850</v>
      </c>
      <c r="P655" s="569">
        <f t="shared" ref="P655:P657" si="595">K655/O655-1</f>
        <v>-0.15858558236395381</v>
      </c>
      <c r="Q655" s="295">
        <f t="shared" si="592"/>
        <v>0</v>
      </c>
    </row>
    <row r="656" spans="2:17" ht="202.5" x14ac:dyDescent="0.25">
      <c r="B656" s="595">
        <v>14</v>
      </c>
      <c r="C656" s="608" t="s">
        <v>1497</v>
      </c>
      <c r="D656" s="605" t="s">
        <v>396</v>
      </c>
      <c r="E656" s="640">
        <v>50</v>
      </c>
      <c r="F656" s="617">
        <v>100000</v>
      </c>
      <c r="G656" s="640">
        <v>1</v>
      </c>
      <c r="H656" s="567">
        <f>E656*F656*G656</f>
        <v>5000000</v>
      </c>
      <c r="I656" s="607">
        <v>0</v>
      </c>
      <c r="J656" s="597">
        <f t="shared" si="584"/>
        <v>5000000</v>
      </c>
      <c r="K656" s="607">
        <f t="shared" si="585"/>
        <v>5000000</v>
      </c>
      <c r="N656" s="568">
        <f>'7.1 Comparativo_Kit_Herrami'!$N$7</f>
        <v>102170</v>
      </c>
      <c r="O656" s="568">
        <f t="shared" si="594"/>
        <v>5108500</v>
      </c>
      <c r="P656" s="569">
        <f t="shared" si="595"/>
        <v>-2.1239111285113021E-2</v>
      </c>
      <c r="Q656" s="295">
        <f t="shared" si="592"/>
        <v>0</v>
      </c>
    </row>
    <row r="657" spans="2:17" ht="15.75" customHeight="1" x14ac:dyDescent="0.25">
      <c r="B657" s="809" t="s">
        <v>431</v>
      </c>
      <c r="C657" s="786"/>
      <c r="D657" s="786"/>
      <c r="E657" s="787"/>
      <c r="F657" s="643">
        <f>SUM(F643:F656)</f>
        <v>16834000</v>
      </c>
      <c r="G657" s="641"/>
      <c r="H657" s="644">
        <f t="shared" ref="H657:K657" si="596">SUM(H643:H656)</f>
        <v>111602000</v>
      </c>
      <c r="I657" s="642">
        <f t="shared" si="596"/>
        <v>0</v>
      </c>
      <c r="J657" s="642">
        <f t="shared" si="596"/>
        <v>111602000</v>
      </c>
      <c r="K657" s="642">
        <f t="shared" si="596"/>
        <v>111602000</v>
      </c>
      <c r="N657" s="642">
        <f t="shared" ref="N657:O657" si="597">SUM(N643:N656)</f>
        <v>102523738</v>
      </c>
      <c r="O657" s="642">
        <f t="shared" si="597"/>
        <v>120893409</v>
      </c>
      <c r="P657" s="569">
        <f t="shared" si="595"/>
        <v>-7.6856208099814638E-2</v>
      </c>
      <c r="Q657" s="295"/>
    </row>
    <row r="658" spans="2:17" ht="15.75" customHeight="1" x14ac:dyDescent="0.25">
      <c r="B658" s="784" t="s">
        <v>1512</v>
      </c>
      <c r="C658" s="782"/>
      <c r="D658" s="782"/>
      <c r="E658" s="782"/>
      <c r="F658" s="782"/>
      <c r="G658" s="782"/>
      <c r="H658" s="782"/>
      <c r="I658" s="782"/>
      <c r="J658" s="782"/>
      <c r="K658" s="783"/>
      <c r="Q658" s="295">
        <f t="shared" si="592"/>
        <v>0</v>
      </c>
    </row>
    <row r="659" spans="2:17" ht="58.5" customHeight="1" x14ac:dyDescent="0.25">
      <c r="B659" s="593">
        <v>1</v>
      </c>
      <c r="C659" s="608" t="s">
        <v>1513</v>
      </c>
      <c r="D659" s="131" t="s">
        <v>1061</v>
      </c>
      <c r="E659" s="131">
        <v>1</v>
      </c>
      <c r="F659" s="594">
        <v>4500000</v>
      </c>
      <c r="G659" s="630">
        <v>1</v>
      </c>
      <c r="H659" s="567">
        <f t="shared" ref="H659:H661" si="598">F659*E659*G659</f>
        <v>4500000</v>
      </c>
      <c r="I659" s="607">
        <v>0</v>
      </c>
      <c r="J659" s="607">
        <f t="shared" ref="J659:J672" si="599">H659</f>
        <v>4500000</v>
      </c>
      <c r="K659" s="607">
        <f t="shared" ref="K659:K672" si="600">I659+J659</f>
        <v>4500000</v>
      </c>
      <c r="N659" s="568">
        <f>'3.1 Comparativo_Logística'!$M$8</f>
        <v>4364288</v>
      </c>
      <c r="O659" s="568">
        <f t="shared" ref="O659:O667" si="601">N659*G659*E659</f>
        <v>4364288</v>
      </c>
      <c r="P659" s="569">
        <f t="shared" ref="P659:P667" si="602">K659/O659-1</f>
        <v>3.1096022993899686E-2</v>
      </c>
      <c r="Q659" s="295">
        <f t="shared" si="592"/>
        <v>0</v>
      </c>
    </row>
    <row r="660" spans="2:17" ht="54" x14ac:dyDescent="0.25">
      <c r="B660" s="595">
        <v>2</v>
      </c>
      <c r="C660" s="608" t="s">
        <v>1454</v>
      </c>
      <c r="D660" s="631" t="s">
        <v>396</v>
      </c>
      <c r="E660" s="134">
        <v>1</v>
      </c>
      <c r="F660" s="597">
        <v>1200000</v>
      </c>
      <c r="G660" s="632">
        <v>1</v>
      </c>
      <c r="H660" s="571">
        <f t="shared" si="598"/>
        <v>1200000</v>
      </c>
      <c r="I660" s="607">
        <v>0</v>
      </c>
      <c r="J660" s="607">
        <f t="shared" si="599"/>
        <v>1200000</v>
      </c>
      <c r="K660" s="607">
        <f t="shared" si="600"/>
        <v>1200000</v>
      </c>
      <c r="N660" s="568">
        <f>'3.1 Comparativo_Logística'!$M$21</f>
        <v>2006538</v>
      </c>
      <c r="O660" s="568">
        <f t="shared" si="601"/>
        <v>2006538</v>
      </c>
      <c r="P660" s="569">
        <f t="shared" si="602"/>
        <v>-0.40195500907533277</v>
      </c>
      <c r="Q660" s="295">
        <f t="shared" si="592"/>
        <v>0</v>
      </c>
    </row>
    <row r="661" spans="2:17" ht="67.5" x14ac:dyDescent="0.25">
      <c r="B661" s="570">
        <v>3</v>
      </c>
      <c r="C661" s="608" t="s">
        <v>1455</v>
      </c>
      <c r="D661" s="611" t="s">
        <v>238</v>
      </c>
      <c r="E661" s="599">
        <v>4</v>
      </c>
      <c r="F661" s="600">
        <v>200000</v>
      </c>
      <c r="G661" s="633">
        <v>1</v>
      </c>
      <c r="H661" s="571">
        <f t="shared" si="598"/>
        <v>800000</v>
      </c>
      <c r="I661" s="607">
        <v>0</v>
      </c>
      <c r="J661" s="607">
        <f t="shared" si="599"/>
        <v>800000</v>
      </c>
      <c r="K661" s="607">
        <f t="shared" si="600"/>
        <v>800000</v>
      </c>
      <c r="N661" s="568">
        <f>'3.1 Comparativo_Logística'!$M$29</f>
        <v>249230</v>
      </c>
      <c r="O661" s="568">
        <f t="shared" si="601"/>
        <v>996920</v>
      </c>
      <c r="P661" s="569">
        <f t="shared" si="602"/>
        <v>-0.19752838743329459</v>
      </c>
      <c r="Q661" s="295">
        <f t="shared" si="592"/>
        <v>0</v>
      </c>
    </row>
    <row r="662" spans="2:17" ht="108" x14ac:dyDescent="0.25">
      <c r="B662" s="564">
        <v>4</v>
      </c>
      <c r="C662" s="618" t="s">
        <v>1385</v>
      </c>
      <c r="D662" s="613" t="s">
        <v>238</v>
      </c>
      <c r="E662" s="613">
        <v>1</v>
      </c>
      <c r="F662" s="617">
        <v>1600000</v>
      </c>
      <c r="G662" s="634">
        <v>1</v>
      </c>
      <c r="H662" s="571">
        <f t="shared" ref="H662:H666" si="603">E662*F662*G662</f>
        <v>1600000</v>
      </c>
      <c r="I662" s="607">
        <v>0</v>
      </c>
      <c r="J662" s="607">
        <f t="shared" si="599"/>
        <v>1600000</v>
      </c>
      <c r="K662" s="607">
        <f t="shared" si="600"/>
        <v>1600000</v>
      </c>
      <c r="N662" s="568">
        <f>'3.1 Comparativo_Logística'!$M$37</f>
        <v>2714721</v>
      </c>
      <c r="O662" s="568">
        <f t="shared" si="601"/>
        <v>2714721</v>
      </c>
      <c r="P662" s="569">
        <f t="shared" si="602"/>
        <v>-0.41062083359579127</v>
      </c>
      <c r="Q662" s="295">
        <f t="shared" si="592"/>
        <v>0</v>
      </c>
    </row>
    <row r="663" spans="2:17" ht="45" customHeight="1" x14ac:dyDescent="0.25">
      <c r="B663" s="570">
        <v>5</v>
      </c>
      <c r="C663" s="618" t="s">
        <v>1456</v>
      </c>
      <c r="D663" s="613" t="s">
        <v>396</v>
      </c>
      <c r="E663" s="613">
        <v>103</v>
      </c>
      <c r="F663" s="617">
        <v>32000</v>
      </c>
      <c r="G663" s="634">
        <v>1</v>
      </c>
      <c r="H663" s="571">
        <f t="shared" si="603"/>
        <v>3296000</v>
      </c>
      <c r="I663" s="607">
        <v>0</v>
      </c>
      <c r="J663" s="607">
        <f t="shared" si="599"/>
        <v>3296000</v>
      </c>
      <c r="K663" s="607">
        <f t="shared" si="600"/>
        <v>3296000</v>
      </c>
      <c r="N663" s="568">
        <f>'2.1 Comparativo_Alimentación'!$M$7</f>
        <v>33548</v>
      </c>
      <c r="O663" s="568">
        <f t="shared" si="601"/>
        <v>3455444</v>
      </c>
      <c r="P663" s="569">
        <f t="shared" si="602"/>
        <v>-4.6142840109693606E-2</v>
      </c>
      <c r="Q663" s="295">
        <f t="shared" si="592"/>
        <v>0</v>
      </c>
    </row>
    <row r="664" spans="2:17" ht="45" customHeight="1" x14ac:dyDescent="0.25">
      <c r="B664" s="564">
        <v>6</v>
      </c>
      <c r="C664" s="618" t="s">
        <v>1457</v>
      </c>
      <c r="D664" s="613" t="s">
        <v>396</v>
      </c>
      <c r="E664" s="613">
        <v>103</v>
      </c>
      <c r="F664" s="617">
        <v>70000</v>
      </c>
      <c r="G664" s="634">
        <v>1</v>
      </c>
      <c r="H664" s="571">
        <f t="shared" si="603"/>
        <v>7210000</v>
      </c>
      <c r="I664" s="607">
        <v>0</v>
      </c>
      <c r="J664" s="607">
        <f t="shared" si="599"/>
        <v>7210000</v>
      </c>
      <c r="K664" s="607">
        <f t="shared" si="600"/>
        <v>7210000</v>
      </c>
      <c r="N664" s="568">
        <f>'2.1 Comparativo_Alimentación'!$M$8</f>
        <v>70822</v>
      </c>
      <c r="O664" s="568">
        <f t="shared" si="601"/>
        <v>7294666</v>
      </c>
      <c r="P664" s="569">
        <f t="shared" si="602"/>
        <v>-1.1606562932422126E-2</v>
      </c>
      <c r="Q664" s="295">
        <f t="shared" si="592"/>
        <v>0</v>
      </c>
    </row>
    <row r="665" spans="2:17" ht="45" customHeight="1" x14ac:dyDescent="0.25">
      <c r="B665" s="570">
        <v>7</v>
      </c>
      <c r="C665" s="618" t="s">
        <v>1458</v>
      </c>
      <c r="D665" s="613" t="s">
        <v>396</v>
      </c>
      <c r="E665" s="613">
        <v>103</v>
      </c>
      <c r="F665" s="617">
        <v>32000</v>
      </c>
      <c r="G665" s="634">
        <v>1</v>
      </c>
      <c r="H665" s="571">
        <f t="shared" si="603"/>
        <v>3296000</v>
      </c>
      <c r="I665" s="607">
        <v>0</v>
      </c>
      <c r="J665" s="607">
        <f t="shared" si="599"/>
        <v>3296000</v>
      </c>
      <c r="K665" s="607">
        <f t="shared" si="600"/>
        <v>3296000</v>
      </c>
      <c r="N665" s="568">
        <f>'2.1 Comparativo_Alimentación'!$M$9</f>
        <v>33548</v>
      </c>
      <c r="O665" s="568">
        <f t="shared" si="601"/>
        <v>3455444</v>
      </c>
      <c r="P665" s="569">
        <f t="shared" si="602"/>
        <v>-4.6142840109693606E-2</v>
      </c>
      <c r="Q665" s="295">
        <f t="shared" si="592"/>
        <v>0</v>
      </c>
    </row>
    <row r="666" spans="2:17" ht="148.5" x14ac:dyDescent="0.25">
      <c r="B666" s="595">
        <v>8</v>
      </c>
      <c r="C666" s="615" t="s">
        <v>1391</v>
      </c>
      <c r="D666" s="619" t="s">
        <v>238</v>
      </c>
      <c r="E666" s="614">
        <v>1</v>
      </c>
      <c r="F666" s="617">
        <v>2000000</v>
      </c>
      <c r="G666" s="634">
        <v>1</v>
      </c>
      <c r="H666" s="571">
        <f t="shared" si="603"/>
        <v>2000000</v>
      </c>
      <c r="I666" s="607">
        <v>0</v>
      </c>
      <c r="J666" s="607">
        <f t="shared" si="599"/>
        <v>2000000</v>
      </c>
      <c r="K666" s="607">
        <f t="shared" si="600"/>
        <v>2000000</v>
      </c>
      <c r="N666" s="568">
        <f>'8.1 Comparativo_Tallerista'!$N$7</f>
        <v>2455526</v>
      </c>
      <c r="O666" s="568">
        <f t="shared" si="601"/>
        <v>2455526</v>
      </c>
      <c r="P666" s="569">
        <f t="shared" si="602"/>
        <v>-0.18551055863387311</v>
      </c>
      <c r="Q666" s="295">
        <f t="shared" si="592"/>
        <v>0</v>
      </c>
    </row>
    <row r="667" spans="2:17" ht="108" x14ac:dyDescent="0.25">
      <c r="B667" s="570">
        <v>9</v>
      </c>
      <c r="C667" s="618" t="s">
        <v>1393</v>
      </c>
      <c r="D667" s="619" t="s">
        <v>238</v>
      </c>
      <c r="E667" s="614">
        <v>1</v>
      </c>
      <c r="F667" s="620">
        <v>2500000</v>
      </c>
      <c r="G667" s="131">
        <v>1</v>
      </c>
      <c r="H667" s="571">
        <f>F667*E667*G667</f>
        <v>2500000</v>
      </c>
      <c r="I667" s="607">
        <v>0</v>
      </c>
      <c r="J667" s="597">
        <f t="shared" si="599"/>
        <v>2500000</v>
      </c>
      <c r="K667" s="607">
        <f t="shared" si="600"/>
        <v>2500000</v>
      </c>
      <c r="N667" s="568">
        <f>'9.1 Comparativo_Sabedor'!$N$7</f>
        <v>2829639</v>
      </c>
      <c r="O667" s="568">
        <f t="shared" si="601"/>
        <v>2829639</v>
      </c>
      <c r="P667" s="569">
        <f t="shared" si="602"/>
        <v>-0.11649507233961642</v>
      </c>
      <c r="Q667" s="295">
        <f t="shared" si="592"/>
        <v>0</v>
      </c>
    </row>
    <row r="668" spans="2:17" ht="94.5" x14ac:dyDescent="0.25">
      <c r="B668" s="570">
        <v>10</v>
      </c>
      <c r="C668" s="618" t="s">
        <v>1394</v>
      </c>
      <c r="D668" s="599" t="s">
        <v>1062</v>
      </c>
      <c r="E668" s="614">
        <v>1</v>
      </c>
      <c r="F668" s="600">
        <v>4000000</v>
      </c>
      <c r="G668" s="632">
        <v>1</v>
      </c>
      <c r="H668" s="571">
        <f t="shared" ref="H668:H672" si="604">E668*F668*G668</f>
        <v>4000000</v>
      </c>
      <c r="I668" s="607">
        <v>0</v>
      </c>
      <c r="J668" s="597">
        <f t="shared" si="599"/>
        <v>4000000</v>
      </c>
      <c r="K668" s="607">
        <f t="shared" si="600"/>
        <v>4000000</v>
      </c>
      <c r="N668" s="568">
        <f>'6.1 Comparativo_Grupo_Armoniz'!$N$7</f>
        <v>6875473</v>
      </c>
      <c r="O668" s="568">
        <f t="shared" ref="O668" si="605">N668*G668*E668</f>
        <v>6875473</v>
      </c>
      <c r="P668" s="569">
        <f t="shared" ref="P668" si="606">K668/O668-1</f>
        <v>-0.41822184451891531</v>
      </c>
      <c r="Q668" s="295">
        <f t="shared" si="592"/>
        <v>0</v>
      </c>
    </row>
    <row r="669" spans="2:17" ht="216" x14ac:dyDescent="0.25">
      <c r="B669" s="645">
        <v>11</v>
      </c>
      <c r="C669" s="618" t="s">
        <v>1514</v>
      </c>
      <c r="D669" s="619" t="s">
        <v>238</v>
      </c>
      <c r="E669" s="621">
        <v>100</v>
      </c>
      <c r="F669" s="617">
        <v>755000</v>
      </c>
      <c r="G669" s="634">
        <v>3</v>
      </c>
      <c r="H669" s="571">
        <f t="shared" si="604"/>
        <v>226500000</v>
      </c>
      <c r="I669" s="607">
        <v>0</v>
      </c>
      <c r="J669" s="607">
        <f t="shared" si="599"/>
        <v>226500000</v>
      </c>
      <c r="K669" s="607">
        <f t="shared" si="600"/>
        <v>226500000</v>
      </c>
      <c r="N669" s="646">
        <f>'5.1 Comparativo_Viáticos'!$Q$23</f>
        <v>252939229</v>
      </c>
      <c r="O669" s="646">
        <f>N669</f>
        <v>252939229</v>
      </c>
      <c r="P669" s="124">
        <f>K669/O669-1</f>
        <v>-0.1045279892111951</v>
      </c>
      <c r="Q669" s="295">
        <f t="shared" si="592"/>
        <v>0</v>
      </c>
    </row>
    <row r="670" spans="2:17" ht="81" x14ac:dyDescent="0.25">
      <c r="B670" s="570">
        <v>12</v>
      </c>
      <c r="C670" s="618" t="s">
        <v>1392</v>
      </c>
      <c r="D670" s="613" t="s">
        <v>238</v>
      </c>
      <c r="E670" s="621">
        <v>3</v>
      </c>
      <c r="F670" s="620">
        <v>400000</v>
      </c>
      <c r="G670" s="647">
        <v>3</v>
      </c>
      <c r="H670" s="571">
        <f t="shared" si="604"/>
        <v>3600000</v>
      </c>
      <c r="I670" s="607">
        <v>0</v>
      </c>
      <c r="J670" s="607">
        <f t="shared" si="599"/>
        <v>3600000</v>
      </c>
      <c r="K670" s="607">
        <f t="shared" si="600"/>
        <v>3600000</v>
      </c>
      <c r="N670" s="568">
        <f>'5.1 Comparativo_Viáticos'!$Q$13</f>
        <v>4596746</v>
      </c>
      <c r="O670" s="568">
        <f>N670</f>
        <v>4596746</v>
      </c>
      <c r="P670" s="569">
        <f t="shared" ref="P670" si="607">K670/O670-1</f>
        <v>-0.21683730186527606</v>
      </c>
      <c r="Q670" s="295">
        <f t="shared" si="592"/>
        <v>0</v>
      </c>
    </row>
    <row r="671" spans="2:17" ht="36" customHeight="1" x14ac:dyDescent="0.25">
      <c r="B671" s="629">
        <v>13</v>
      </c>
      <c r="C671" s="624" t="s">
        <v>1425</v>
      </c>
      <c r="D671" s="613" t="s">
        <v>238</v>
      </c>
      <c r="E671" s="639">
        <v>3</v>
      </c>
      <c r="F671" s="617">
        <v>1000000</v>
      </c>
      <c r="G671" s="647">
        <v>2</v>
      </c>
      <c r="H671" s="571">
        <f t="shared" si="604"/>
        <v>6000000</v>
      </c>
      <c r="I671" s="607">
        <v>0</v>
      </c>
      <c r="J671" s="607">
        <f t="shared" si="599"/>
        <v>6000000</v>
      </c>
      <c r="K671" s="607">
        <f t="shared" si="600"/>
        <v>6000000</v>
      </c>
      <c r="N671" s="568">
        <f>'4.1 Comparativo_Transporte'!$N$27</f>
        <v>1188475</v>
      </c>
      <c r="O671" s="568">
        <f t="shared" ref="O671:O672" si="608">N671*G671*E671</f>
        <v>7130850</v>
      </c>
      <c r="P671" s="569">
        <f t="shared" ref="P671:P673" si="609">K671/O671-1</f>
        <v>-0.15858558236395381</v>
      </c>
      <c r="Q671" s="295">
        <f t="shared" si="592"/>
        <v>0</v>
      </c>
    </row>
    <row r="672" spans="2:17" ht="202.5" x14ac:dyDescent="0.25">
      <c r="B672" s="595">
        <v>14</v>
      </c>
      <c r="C672" s="608" t="s">
        <v>1515</v>
      </c>
      <c r="D672" s="605" t="s">
        <v>396</v>
      </c>
      <c r="E672" s="640">
        <v>100</v>
      </c>
      <c r="F672" s="600">
        <v>100000</v>
      </c>
      <c r="G672" s="632">
        <v>1</v>
      </c>
      <c r="H672" s="571">
        <f t="shared" si="604"/>
        <v>10000000</v>
      </c>
      <c r="I672" s="607">
        <v>0</v>
      </c>
      <c r="J672" s="607">
        <f t="shared" si="599"/>
        <v>10000000</v>
      </c>
      <c r="K672" s="607">
        <f t="shared" si="600"/>
        <v>10000000</v>
      </c>
      <c r="N672" s="568">
        <f>'7.1 Comparativo_Kit_Herrami'!$N$7</f>
        <v>102170</v>
      </c>
      <c r="O672" s="568">
        <f t="shared" si="608"/>
        <v>10217000</v>
      </c>
      <c r="P672" s="569">
        <f t="shared" si="609"/>
        <v>-2.1239111285113021E-2</v>
      </c>
      <c r="Q672" s="295">
        <f t="shared" si="592"/>
        <v>0</v>
      </c>
    </row>
    <row r="673" spans="2:17" ht="15.75" customHeight="1" x14ac:dyDescent="0.25">
      <c r="B673" s="809" t="s">
        <v>432</v>
      </c>
      <c r="C673" s="786"/>
      <c r="D673" s="786"/>
      <c r="E673" s="787"/>
      <c r="F673" s="643">
        <f>SUM(F659:F672)</f>
        <v>18389000</v>
      </c>
      <c r="G673" s="641"/>
      <c r="H673" s="644">
        <f t="shared" ref="H673:K673" si="610">SUM(H659:H672)</f>
        <v>276502000</v>
      </c>
      <c r="I673" s="642">
        <f t="shared" si="610"/>
        <v>0</v>
      </c>
      <c r="J673" s="642">
        <f t="shared" si="610"/>
        <v>276502000</v>
      </c>
      <c r="K673" s="642">
        <f t="shared" si="610"/>
        <v>276502000</v>
      </c>
      <c r="N673" s="642">
        <f t="shared" ref="N673:O673" si="611">SUM(N659:N672)</f>
        <v>280459953</v>
      </c>
      <c r="O673" s="642">
        <f t="shared" si="611"/>
        <v>311332484</v>
      </c>
      <c r="P673" s="569">
        <f t="shared" si="609"/>
        <v>-0.11187552147626201</v>
      </c>
      <c r="Q673" s="295"/>
    </row>
    <row r="674" spans="2:17" ht="15.75" customHeight="1" x14ac:dyDescent="0.25">
      <c r="B674" s="784" t="s">
        <v>1516</v>
      </c>
      <c r="C674" s="782"/>
      <c r="D674" s="782"/>
      <c r="E674" s="782"/>
      <c r="F674" s="782"/>
      <c r="G674" s="782"/>
      <c r="H674" s="782"/>
      <c r="I674" s="782"/>
      <c r="J674" s="782"/>
      <c r="K674" s="783"/>
      <c r="Q674" s="295">
        <f t="shared" si="592"/>
        <v>0</v>
      </c>
    </row>
    <row r="675" spans="2:17" ht="58.5" customHeight="1" x14ac:dyDescent="0.25">
      <c r="B675" s="593">
        <v>1</v>
      </c>
      <c r="C675" s="608" t="s">
        <v>1517</v>
      </c>
      <c r="D675" s="131" t="s">
        <v>1061</v>
      </c>
      <c r="E675" s="131">
        <v>1</v>
      </c>
      <c r="F675" s="594">
        <v>3500000</v>
      </c>
      <c r="G675" s="630">
        <v>1</v>
      </c>
      <c r="H675" s="567">
        <f t="shared" ref="H675:H677" si="612">F675*E675*G675</f>
        <v>3500000</v>
      </c>
      <c r="I675" s="607">
        <v>0</v>
      </c>
      <c r="J675" s="597">
        <f t="shared" ref="J675:J688" si="613">H675</f>
        <v>3500000</v>
      </c>
      <c r="K675" s="607">
        <f t="shared" ref="K675:K688" si="614">I675+J675</f>
        <v>3500000</v>
      </c>
      <c r="N675" s="568">
        <f>'3.1 Comparativo_Logística'!$M$7</f>
        <v>3585068</v>
      </c>
      <c r="O675" s="568">
        <f t="shared" ref="O675:O683" si="615">N675*G675*E675</f>
        <v>3585068</v>
      </c>
      <c r="P675" s="569">
        <f t="shared" ref="P675:P683" si="616">K675/O675-1</f>
        <v>-2.3728420214065626E-2</v>
      </c>
      <c r="Q675" s="295">
        <f t="shared" si="592"/>
        <v>0</v>
      </c>
    </row>
    <row r="676" spans="2:17" ht="37.5" customHeight="1" x14ac:dyDescent="0.25">
      <c r="B676" s="595">
        <v>2</v>
      </c>
      <c r="C676" s="608" t="s">
        <v>1416</v>
      </c>
      <c r="D676" s="631" t="s">
        <v>396</v>
      </c>
      <c r="E676" s="134">
        <v>1</v>
      </c>
      <c r="F676" s="597">
        <v>900000</v>
      </c>
      <c r="G676" s="632">
        <v>1</v>
      </c>
      <c r="H676" s="571">
        <f t="shared" si="612"/>
        <v>900000</v>
      </c>
      <c r="I676" s="607">
        <v>0</v>
      </c>
      <c r="J676" s="597">
        <f t="shared" si="613"/>
        <v>900000</v>
      </c>
      <c r="K676" s="607">
        <f t="shared" si="614"/>
        <v>900000</v>
      </c>
      <c r="N676" s="568">
        <f>'3.1 Comparativo_Logística'!$M$20</f>
        <v>1176347</v>
      </c>
      <c r="O676" s="568">
        <f t="shared" si="615"/>
        <v>1176347</v>
      </c>
      <c r="P676" s="569">
        <f t="shared" si="616"/>
        <v>-0.23491962830695368</v>
      </c>
      <c r="Q676" s="295">
        <f t="shared" si="592"/>
        <v>0</v>
      </c>
    </row>
    <row r="677" spans="2:17" ht="45" customHeight="1" x14ac:dyDescent="0.25">
      <c r="B677" s="570">
        <v>3</v>
      </c>
      <c r="C677" s="608" t="s">
        <v>1417</v>
      </c>
      <c r="D677" s="611" t="s">
        <v>238</v>
      </c>
      <c r="E677" s="599">
        <v>2</v>
      </c>
      <c r="F677" s="600">
        <v>200000</v>
      </c>
      <c r="G677" s="633">
        <v>1</v>
      </c>
      <c r="H677" s="571">
        <f t="shared" si="612"/>
        <v>400000</v>
      </c>
      <c r="I677" s="607">
        <v>0</v>
      </c>
      <c r="J677" s="597">
        <f t="shared" si="613"/>
        <v>400000</v>
      </c>
      <c r="K677" s="607">
        <f t="shared" si="614"/>
        <v>400000</v>
      </c>
      <c r="N677" s="568">
        <f>'3.1 Comparativo_Logística'!$M$29</f>
        <v>249230</v>
      </c>
      <c r="O677" s="568">
        <f t="shared" si="615"/>
        <v>498460</v>
      </c>
      <c r="P677" s="569">
        <f t="shared" si="616"/>
        <v>-0.19752838743329459</v>
      </c>
      <c r="Q677" s="295">
        <f t="shared" si="592"/>
        <v>0</v>
      </c>
    </row>
    <row r="678" spans="2:17" ht="108" x14ac:dyDescent="0.25">
      <c r="B678" s="564">
        <v>4</v>
      </c>
      <c r="C678" s="618" t="s">
        <v>1385</v>
      </c>
      <c r="D678" s="613" t="s">
        <v>238</v>
      </c>
      <c r="E678" s="613">
        <v>1</v>
      </c>
      <c r="F678" s="617">
        <v>1600000</v>
      </c>
      <c r="G678" s="634">
        <v>1</v>
      </c>
      <c r="H678" s="571">
        <f t="shared" ref="H678:H682" si="617">E678*F678*G678</f>
        <v>1600000</v>
      </c>
      <c r="I678" s="607">
        <v>0</v>
      </c>
      <c r="J678" s="597">
        <f t="shared" si="613"/>
        <v>1600000</v>
      </c>
      <c r="K678" s="607">
        <f t="shared" si="614"/>
        <v>1600000</v>
      </c>
      <c r="N678" s="568">
        <f>'3.1 Comparativo_Logística'!$M$37</f>
        <v>2714721</v>
      </c>
      <c r="O678" s="568">
        <f t="shared" si="615"/>
        <v>2714721</v>
      </c>
      <c r="P678" s="569">
        <f t="shared" si="616"/>
        <v>-0.41062083359579127</v>
      </c>
      <c r="Q678" s="295">
        <f t="shared" si="592"/>
        <v>0</v>
      </c>
    </row>
    <row r="679" spans="2:17" ht="45" customHeight="1" x14ac:dyDescent="0.25">
      <c r="B679" s="570">
        <v>5</v>
      </c>
      <c r="C679" s="618" t="s">
        <v>1418</v>
      </c>
      <c r="D679" s="613" t="s">
        <v>396</v>
      </c>
      <c r="E679" s="613">
        <v>53</v>
      </c>
      <c r="F679" s="617">
        <v>32000</v>
      </c>
      <c r="G679" s="634">
        <v>1</v>
      </c>
      <c r="H679" s="571">
        <f t="shared" si="617"/>
        <v>1696000</v>
      </c>
      <c r="I679" s="607">
        <v>0</v>
      </c>
      <c r="J679" s="597">
        <f t="shared" si="613"/>
        <v>1696000</v>
      </c>
      <c r="K679" s="607">
        <f t="shared" si="614"/>
        <v>1696000</v>
      </c>
      <c r="N679" s="568">
        <f>'2.1 Comparativo_Alimentación'!$M$7</f>
        <v>33548</v>
      </c>
      <c r="O679" s="568">
        <f t="shared" si="615"/>
        <v>1778044</v>
      </c>
      <c r="P679" s="569">
        <f t="shared" si="616"/>
        <v>-4.6142840109693606E-2</v>
      </c>
      <c r="Q679" s="295">
        <f t="shared" si="592"/>
        <v>0</v>
      </c>
    </row>
    <row r="680" spans="2:17" ht="45" customHeight="1" x14ac:dyDescent="0.25">
      <c r="B680" s="564">
        <v>6</v>
      </c>
      <c r="C680" s="618" t="s">
        <v>1419</v>
      </c>
      <c r="D680" s="613" t="s">
        <v>396</v>
      </c>
      <c r="E680" s="613">
        <v>53</v>
      </c>
      <c r="F680" s="617">
        <v>70000</v>
      </c>
      <c r="G680" s="634">
        <v>1</v>
      </c>
      <c r="H680" s="571">
        <f t="shared" si="617"/>
        <v>3710000</v>
      </c>
      <c r="I680" s="607">
        <v>0</v>
      </c>
      <c r="J680" s="597">
        <f t="shared" si="613"/>
        <v>3710000</v>
      </c>
      <c r="K680" s="607">
        <f t="shared" si="614"/>
        <v>3710000</v>
      </c>
      <c r="N680" s="568">
        <f>'2.1 Comparativo_Alimentación'!$M$8</f>
        <v>70822</v>
      </c>
      <c r="O680" s="568">
        <f t="shared" si="615"/>
        <v>3753566</v>
      </c>
      <c r="P680" s="569">
        <f t="shared" si="616"/>
        <v>-1.1606562932422126E-2</v>
      </c>
      <c r="Q680" s="295">
        <f t="shared" si="592"/>
        <v>0</v>
      </c>
    </row>
    <row r="681" spans="2:17" ht="45" customHeight="1" x14ac:dyDescent="0.25">
      <c r="B681" s="570">
        <v>7</v>
      </c>
      <c r="C681" s="618" t="s">
        <v>1420</v>
      </c>
      <c r="D681" s="613" t="s">
        <v>396</v>
      </c>
      <c r="E681" s="613">
        <v>53</v>
      </c>
      <c r="F681" s="617">
        <v>32000</v>
      </c>
      <c r="G681" s="634">
        <v>1</v>
      </c>
      <c r="H681" s="571">
        <f t="shared" si="617"/>
        <v>1696000</v>
      </c>
      <c r="I681" s="607">
        <v>0</v>
      </c>
      <c r="J681" s="597">
        <f t="shared" si="613"/>
        <v>1696000</v>
      </c>
      <c r="K681" s="607">
        <f t="shared" si="614"/>
        <v>1696000</v>
      </c>
      <c r="N681" s="568">
        <f>'2.1 Comparativo_Alimentación'!$M$9</f>
        <v>33548</v>
      </c>
      <c r="O681" s="568">
        <f t="shared" si="615"/>
        <v>1778044</v>
      </c>
      <c r="P681" s="569">
        <f t="shared" si="616"/>
        <v>-4.6142840109693606E-2</v>
      </c>
      <c r="Q681" s="295">
        <f t="shared" si="592"/>
        <v>0</v>
      </c>
    </row>
    <row r="682" spans="2:17" ht="148.5" x14ac:dyDescent="0.25">
      <c r="B682" s="595">
        <v>8</v>
      </c>
      <c r="C682" s="615" t="s">
        <v>1391</v>
      </c>
      <c r="D682" s="619" t="s">
        <v>238</v>
      </c>
      <c r="E682" s="614">
        <v>1</v>
      </c>
      <c r="F682" s="600">
        <v>2000000</v>
      </c>
      <c r="G682" s="632">
        <v>1</v>
      </c>
      <c r="H682" s="571">
        <f t="shared" si="617"/>
        <v>2000000</v>
      </c>
      <c r="I682" s="607">
        <v>0</v>
      </c>
      <c r="J682" s="597">
        <f t="shared" si="613"/>
        <v>2000000</v>
      </c>
      <c r="K682" s="607">
        <f t="shared" si="614"/>
        <v>2000000</v>
      </c>
      <c r="N682" s="568">
        <f>'8.1 Comparativo_Tallerista'!$N$7</f>
        <v>2455526</v>
      </c>
      <c r="O682" s="568">
        <f t="shared" si="615"/>
        <v>2455526</v>
      </c>
      <c r="P682" s="569">
        <f t="shared" si="616"/>
        <v>-0.18551055863387311</v>
      </c>
      <c r="Q682" s="295">
        <f t="shared" si="592"/>
        <v>0</v>
      </c>
    </row>
    <row r="683" spans="2:17" ht="108" x14ac:dyDescent="0.25">
      <c r="B683" s="570">
        <v>9</v>
      </c>
      <c r="C683" s="618" t="s">
        <v>1393</v>
      </c>
      <c r="D683" s="619" t="s">
        <v>238</v>
      </c>
      <c r="E683" s="614">
        <v>1</v>
      </c>
      <c r="F683" s="620">
        <v>2500000</v>
      </c>
      <c r="G683" s="131">
        <v>1</v>
      </c>
      <c r="H683" s="571">
        <f>F683*E683*G683</f>
        <v>2500000</v>
      </c>
      <c r="I683" s="607">
        <v>0</v>
      </c>
      <c r="J683" s="597">
        <f t="shared" si="613"/>
        <v>2500000</v>
      </c>
      <c r="K683" s="607">
        <f t="shared" si="614"/>
        <v>2500000</v>
      </c>
      <c r="N683" s="568">
        <f>'9.1 Comparativo_Sabedor'!$N$7</f>
        <v>2829639</v>
      </c>
      <c r="O683" s="568">
        <f t="shared" si="615"/>
        <v>2829639</v>
      </c>
      <c r="P683" s="569">
        <f t="shared" si="616"/>
        <v>-0.11649507233961642</v>
      </c>
      <c r="Q683" s="295">
        <f t="shared" si="592"/>
        <v>0</v>
      </c>
    </row>
    <row r="684" spans="2:17" ht="94.5" x14ac:dyDescent="0.25">
      <c r="B684" s="570">
        <v>10</v>
      </c>
      <c r="C684" s="618" t="s">
        <v>1394</v>
      </c>
      <c r="D684" s="599" t="s">
        <v>1062</v>
      </c>
      <c r="E684" s="614">
        <v>1</v>
      </c>
      <c r="F684" s="600">
        <v>4000000</v>
      </c>
      <c r="G684" s="632">
        <v>1</v>
      </c>
      <c r="H684" s="571">
        <f>E684*F684*G684</f>
        <v>4000000</v>
      </c>
      <c r="I684" s="607">
        <v>0</v>
      </c>
      <c r="J684" s="597">
        <f t="shared" si="613"/>
        <v>4000000</v>
      </c>
      <c r="K684" s="607">
        <f t="shared" si="614"/>
        <v>4000000</v>
      </c>
      <c r="N684" s="568">
        <f>'6.1 Comparativo_Grupo_Armoniz'!$N$7</f>
        <v>6875473</v>
      </c>
      <c r="O684" s="568">
        <f t="shared" ref="O684" si="618">N684*G684*E684</f>
        <v>6875473</v>
      </c>
      <c r="P684" s="569">
        <f t="shared" ref="P684" si="619">K684/O684-1</f>
        <v>-0.41822184451891531</v>
      </c>
      <c r="Q684" s="295">
        <f t="shared" si="592"/>
        <v>0</v>
      </c>
    </row>
    <row r="685" spans="2:17" ht="94.5" x14ac:dyDescent="0.25">
      <c r="B685" s="595">
        <v>11</v>
      </c>
      <c r="C685" s="618" t="s">
        <v>1429</v>
      </c>
      <c r="D685" s="619" t="s">
        <v>238</v>
      </c>
      <c r="E685" s="621">
        <v>50</v>
      </c>
      <c r="F685" s="597">
        <v>500000</v>
      </c>
      <c r="G685" s="134">
        <v>3</v>
      </c>
      <c r="H685" s="622">
        <f t="shared" ref="H685:H687" si="620">F685*E685*G685</f>
        <v>75000000</v>
      </c>
      <c r="I685" s="607">
        <v>0</v>
      </c>
      <c r="J685" s="597">
        <f t="shared" si="613"/>
        <v>75000000</v>
      </c>
      <c r="K685" s="607">
        <f t="shared" si="614"/>
        <v>75000000</v>
      </c>
      <c r="N685" s="104">
        <f>'5.1 Comparativo_Viáticos'!$Q$15</f>
        <v>76612425</v>
      </c>
      <c r="O685" s="104">
        <f>N685</f>
        <v>76612425</v>
      </c>
      <c r="P685" s="438">
        <f>K685/O685-1</f>
        <v>-2.1046520848282735E-2</v>
      </c>
      <c r="Q685" s="295">
        <f t="shared" si="592"/>
        <v>0</v>
      </c>
    </row>
    <row r="686" spans="2:17" ht="81" x14ac:dyDescent="0.25">
      <c r="B686" s="570">
        <v>12</v>
      </c>
      <c r="C686" s="618" t="s">
        <v>1392</v>
      </c>
      <c r="D686" s="613" t="s">
        <v>238</v>
      </c>
      <c r="E686" s="621">
        <v>3</v>
      </c>
      <c r="F686" s="617">
        <v>400000</v>
      </c>
      <c r="G686" s="134">
        <v>3</v>
      </c>
      <c r="H686" s="622">
        <f t="shared" si="620"/>
        <v>3600000</v>
      </c>
      <c r="I686" s="607">
        <v>0</v>
      </c>
      <c r="J686" s="597">
        <f t="shared" si="613"/>
        <v>3600000</v>
      </c>
      <c r="K686" s="607">
        <f t="shared" si="614"/>
        <v>3600000</v>
      </c>
      <c r="N686" s="568">
        <f>'5.1 Comparativo_Viáticos'!$Q$13</f>
        <v>4596746</v>
      </c>
      <c r="O686" s="568">
        <f>N686</f>
        <v>4596746</v>
      </c>
      <c r="P686" s="569">
        <f t="shared" ref="P686" si="621">K686/O686-1</f>
        <v>-0.21683730186527606</v>
      </c>
      <c r="Q686" s="295">
        <f t="shared" si="592"/>
        <v>0</v>
      </c>
    </row>
    <row r="687" spans="2:17" ht="49.5" customHeight="1" x14ac:dyDescent="0.25">
      <c r="B687" s="629">
        <v>13</v>
      </c>
      <c r="C687" s="624" t="s">
        <v>1425</v>
      </c>
      <c r="D687" s="613" t="s">
        <v>238</v>
      </c>
      <c r="E687" s="639">
        <v>3</v>
      </c>
      <c r="F687" s="617">
        <v>1000000</v>
      </c>
      <c r="G687" s="621">
        <v>2</v>
      </c>
      <c r="H687" s="622">
        <f t="shared" si="620"/>
        <v>6000000</v>
      </c>
      <c r="I687" s="607">
        <v>0</v>
      </c>
      <c r="J687" s="597">
        <f t="shared" si="613"/>
        <v>6000000</v>
      </c>
      <c r="K687" s="607">
        <f t="shared" si="614"/>
        <v>6000000</v>
      </c>
      <c r="N687" s="568">
        <f>'4.1 Comparativo_Transporte'!$N$27</f>
        <v>1188475</v>
      </c>
      <c r="O687" s="568">
        <f t="shared" ref="O687:O688" si="622">N687*G687*E687</f>
        <v>7130850</v>
      </c>
      <c r="P687" s="569">
        <f t="shared" ref="P687:P689" si="623">K687/O687-1</f>
        <v>-0.15858558236395381</v>
      </c>
      <c r="Q687" s="295">
        <f t="shared" si="592"/>
        <v>0</v>
      </c>
    </row>
    <row r="688" spans="2:17" ht="93" customHeight="1" x14ac:dyDescent="0.25">
      <c r="B688" s="595">
        <v>14</v>
      </c>
      <c r="C688" s="608" t="s">
        <v>1497</v>
      </c>
      <c r="D688" s="605" t="s">
        <v>396</v>
      </c>
      <c r="E688" s="640">
        <v>50</v>
      </c>
      <c r="F688" s="617">
        <v>100000</v>
      </c>
      <c r="G688" s="640">
        <v>1</v>
      </c>
      <c r="H688" s="567">
        <f>E688*F688*G688</f>
        <v>5000000</v>
      </c>
      <c r="I688" s="607">
        <v>0</v>
      </c>
      <c r="J688" s="597">
        <f t="shared" si="613"/>
        <v>5000000</v>
      </c>
      <c r="K688" s="607">
        <f t="shared" si="614"/>
        <v>5000000</v>
      </c>
      <c r="N688" s="568">
        <f>'7.1 Comparativo_Kit_Herrami'!$N$7</f>
        <v>102170</v>
      </c>
      <c r="O688" s="568">
        <f t="shared" si="622"/>
        <v>5108500</v>
      </c>
      <c r="P688" s="569">
        <f t="shared" si="623"/>
        <v>-2.1239111285113021E-2</v>
      </c>
      <c r="Q688" s="295">
        <f t="shared" si="592"/>
        <v>0</v>
      </c>
    </row>
    <row r="689" spans="2:17" ht="15.75" customHeight="1" x14ac:dyDescent="0.25">
      <c r="B689" s="809" t="s">
        <v>433</v>
      </c>
      <c r="C689" s="786"/>
      <c r="D689" s="786"/>
      <c r="E689" s="787"/>
      <c r="F689" s="643">
        <f>SUM(F675:F688)</f>
        <v>16834000</v>
      </c>
      <c r="G689" s="641"/>
      <c r="H689" s="644">
        <f t="shared" ref="H689:K689" si="624">SUM(H675:H688)</f>
        <v>111602000</v>
      </c>
      <c r="I689" s="642">
        <f t="shared" si="624"/>
        <v>0</v>
      </c>
      <c r="J689" s="642">
        <f t="shared" si="624"/>
        <v>111602000</v>
      </c>
      <c r="K689" s="642">
        <f t="shared" si="624"/>
        <v>111602000</v>
      </c>
      <c r="N689" s="642">
        <f t="shared" ref="N689:O689" si="625">SUM(N675:N688)</f>
        <v>102523738</v>
      </c>
      <c r="O689" s="642">
        <f t="shared" si="625"/>
        <v>120893409</v>
      </c>
      <c r="P689" s="569">
        <f t="shared" si="623"/>
        <v>-7.6856208099814638E-2</v>
      </c>
      <c r="Q689" s="295"/>
    </row>
    <row r="690" spans="2:17" ht="15.75" customHeight="1" x14ac:dyDescent="0.25">
      <c r="B690" s="784" t="s">
        <v>1518</v>
      </c>
      <c r="C690" s="782"/>
      <c r="D690" s="782"/>
      <c r="E690" s="782"/>
      <c r="F690" s="782"/>
      <c r="G690" s="782"/>
      <c r="H690" s="782"/>
      <c r="I690" s="782"/>
      <c r="J690" s="782"/>
      <c r="K690" s="783"/>
      <c r="Q690" s="295">
        <f t="shared" si="592"/>
        <v>0</v>
      </c>
    </row>
    <row r="691" spans="2:17" ht="57" customHeight="1" x14ac:dyDescent="0.25">
      <c r="B691" s="593">
        <v>1</v>
      </c>
      <c r="C691" s="608" t="s">
        <v>1519</v>
      </c>
      <c r="D691" s="131" t="s">
        <v>1061</v>
      </c>
      <c r="E691" s="131">
        <v>1</v>
      </c>
      <c r="F691" s="594">
        <v>3500000</v>
      </c>
      <c r="G691" s="630">
        <v>1</v>
      </c>
      <c r="H691" s="567">
        <f t="shared" ref="H691:H693" si="626">F691*E691*G691</f>
        <v>3500000</v>
      </c>
      <c r="I691" s="607">
        <v>0</v>
      </c>
      <c r="J691" s="597">
        <f t="shared" ref="J691:J704" si="627">H691</f>
        <v>3500000</v>
      </c>
      <c r="K691" s="607">
        <f t="shared" ref="K691:K704" si="628">I691+J691</f>
        <v>3500000</v>
      </c>
      <c r="N691" s="568">
        <f>'3.1 Comparativo_Logística'!$M$7</f>
        <v>3585068</v>
      </c>
      <c r="O691" s="568">
        <f t="shared" ref="O691:O699" si="629">N691*G691*E691</f>
        <v>3585068</v>
      </c>
      <c r="P691" s="569">
        <f t="shared" ref="P691:P699" si="630">K691/O691-1</f>
        <v>-2.3728420214065626E-2</v>
      </c>
      <c r="Q691" s="295">
        <f t="shared" si="592"/>
        <v>0</v>
      </c>
    </row>
    <row r="692" spans="2:17" ht="54" x14ac:dyDescent="0.25">
      <c r="B692" s="595">
        <v>2</v>
      </c>
      <c r="C692" s="608" t="s">
        <v>1416</v>
      </c>
      <c r="D692" s="631" t="s">
        <v>396</v>
      </c>
      <c r="E692" s="134">
        <v>1</v>
      </c>
      <c r="F692" s="597">
        <v>900000</v>
      </c>
      <c r="G692" s="632">
        <v>1</v>
      </c>
      <c r="H692" s="571">
        <f t="shared" si="626"/>
        <v>900000</v>
      </c>
      <c r="I692" s="607">
        <v>0</v>
      </c>
      <c r="J692" s="597">
        <f t="shared" si="627"/>
        <v>900000</v>
      </c>
      <c r="K692" s="607">
        <f t="shared" si="628"/>
        <v>900000</v>
      </c>
      <c r="N692" s="568">
        <f>'3.1 Comparativo_Logística'!$M$20</f>
        <v>1176347</v>
      </c>
      <c r="O692" s="568">
        <f t="shared" si="629"/>
        <v>1176347</v>
      </c>
      <c r="P692" s="569">
        <f t="shared" si="630"/>
        <v>-0.23491962830695368</v>
      </c>
      <c r="Q692" s="295">
        <f t="shared" si="592"/>
        <v>0</v>
      </c>
    </row>
    <row r="693" spans="2:17" ht="67.5" x14ac:dyDescent="0.25">
      <c r="B693" s="570">
        <v>3</v>
      </c>
      <c r="C693" s="608" t="s">
        <v>1417</v>
      </c>
      <c r="D693" s="611" t="s">
        <v>238</v>
      </c>
      <c r="E693" s="599">
        <v>2</v>
      </c>
      <c r="F693" s="600">
        <v>200000</v>
      </c>
      <c r="G693" s="633">
        <v>1</v>
      </c>
      <c r="H693" s="571">
        <f t="shared" si="626"/>
        <v>400000</v>
      </c>
      <c r="I693" s="607">
        <v>0</v>
      </c>
      <c r="J693" s="597">
        <f t="shared" si="627"/>
        <v>400000</v>
      </c>
      <c r="K693" s="607">
        <f t="shared" si="628"/>
        <v>400000</v>
      </c>
      <c r="N693" s="568">
        <f>'3.1 Comparativo_Logística'!$M$29</f>
        <v>249230</v>
      </c>
      <c r="O693" s="568">
        <f t="shared" si="629"/>
        <v>498460</v>
      </c>
      <c r="P693" s="569">
        <f t="shared" si="630"/>
        <v>-0.19752838743329459</v>
      </c>
      <c r="Q693" s="295">
        <f t="shared" si="592"/>
        <v>0</v>
      </c>
    </row>
    <row r="694" spans="2:17" ht="108" x14ac:dyDescent="0.25">
      <c r="B694" s="564">
        <v>4</v>
      </c>
      <c r="C694" s="618" t="s">
        <v>1385</v>
      </c>
      <c r="D694" s="613" t="s">
        <v>238</v>
      </c>
      <c r="E694" s="613">
        <v>1</v>
      </c>
      <c r="F694" s="617">
        <v>1600000</v>
      </c>
      <c r="G694" s="634">
        <v>1</v>
      </c>
      <c r="H694" s="571">
        <f t="shared" ref="H694:H698" si="631">E694*F694*G694</f>
        <v>1600000</v>
      </c>
      <c r="I694" s="607">
        <v>0</v>
      </c>
      <c r="J694" s="597">
        <f t="shared" si="627"/>
        <v>1600000</v>
      </c>
      <c r="K694" s="607">
        <f t="shared" si="628"/>
        <v>1600000</v>
      </c>
      <c r="N694" s="568">
        <f>'3.1 Comparativo_Logística'!$M$37</f>
        <v>2714721</v>
      </c>
      <c r="O694" s="568">
        <f t="shared" si="629"/>
        <v>2714721</v>
      </c>
      <c r="P694" s="569">
        <f t="shared" si="630"/>
        <v>-0.41062083359579127</v>
      </c>
      <c r="Q694" s="295">
        <f t="shared" si="592"/>
        <v>0</v>
      </c>
    </row>
    <row r="695" spans="2:17" ht="45" customHeight="1" x14ac:dyDescent="0.25">
      <c r="B695" s="570">
        <v>5</v>
      </c>
      <c r="C695" s="618" t="s">
        <v>1418</v>
      </c>
      <c r="D695" s="613" t="s">
        <v>396</v>
      </c>
      <c r="E695" s="613">
        <v>53</v>
      </c>
      <c r="F695" s="617">
        <v>32000</v>
      </c>
      <c r="G695" s="634">
        <v>1</v>
      </c>
      <c r="H695" s="571">
        <f t="shared" si="631"/>
        <v>1696000</v>
      </c>
      <c r="I695" s="607">
        <v>0</v>
      </c>
      <c r="J695" s="597">
        <f t="shared" si="627"/>
        <v>1696000</v>
      </c>
      <c r="K695" s="607">
        <f t="shared" si="628"/>
        <v>1696000</v>
      </c>
      <c r="N695" s="568">
        <f>'2.1 Comparativo_Alimentación'!$M$7</f>
        <v>33548</v>
      </c>
      <c r="O695" s="568">
        <f t="shared" si="629"/>
        <v>1778044</v>
      </c>
      <c r="P695" s="569">
        <f t="shared" si="630"/>
        <v>-4.6142840109693606E-2</v>
      </c>
      <c r="Q695" s="295">
        <f t="shared" si="592"/>
        <v>0</v>
      </c>
    </row>
    <row r="696" spans="2:17" ht="45" customHeight="1" x14ac:dyDescent="0.25">
      <c r="B696" s="564">
        <v>6</v>
      </c>
      <c r="C696" s="618" t="s">
        <v>1419</v>
      </c>
      <c r="D696" s="613" t="s">
        <v>396</v>
      </c>
      <c r="E696" s="613">
        <v>53</v>
      </c>
      <c r="F696" s="617">
        <v>70000</v>
      </c>
      <c r="G696" s="634">
        <v>1</v>
      </c>
      <c r="H696" s="571">
        <f t="shared" si="631"/>
        <v>3710000</v>
      </c>
      <c r="I696" s="607">
        <v>0</v>
      </c>
      <c r="J696" s="597">
        <f t="shared" si="627"/>
        <v>3710000</v>
      </c>
      <c r="K696" s="607">
        <f t="shared" si="628"/>
        <v>3710000</v>
      </c>
      <c r="N696" s="568">
        <f>'2.1 Comparativo_Alimentación'!$M$8</f>
        <v>70822</v>
      </c>
      <c r="O696" s="568">
        <f t="shared" si="629"/>
        <v>3753566</v>
      </c>
      <c r="P696" s="569">
        <f t="shared" si="630"/>
        <v>-1.1606562932422126E-2</v>
      </c>
      <c r="Q696" s="295">
        <f t="shared" si="592"/>
        <v>0</v>
      </c>
    </row>
    <row r="697" spans="2:17" ht="45" customHeight="1" x14ac:dyDescent="0.25">
      <c r="B697" s="570">
        <v>7</v>
      </c>
      <c r="C697" s="618" t="s">
        <v>1420</v>
      </c>
      <c r="D697" s="613" t="s">
        <v>396</v>
      </c>
      <c r="E697" s="613">
        <v>53</v>
      </c>
      <c r="F697" s="617">
        <v>32000</v>
      </c>
      <c r="G697" s="634">
        <v>1</v>
      </c>
      <c r="H697" s="571">
        <f t="shared" si="631"/>
        <v>1696000</v>
      </c>
      <c r="I697" s="607">
        <v>0</v>
      </c>
      <c r="J697" s="597">
        <f t="shared" si="627"/>
        <v>1696000</v>
      </c>
      <c r="K697" s="607">
        <f t="shared" si="628"/>
        <v>1696000</v>
      </c>
      <c r="N697" s="568">
        <f>'2.1 Comparativo_Alimentación'!$M$9</f>
        <v>33548</v>
      </c>
      <c r="O697" s="568">
        <f t="shared" si="629"/>
        <v>1778044</v>
      </c>
      <c r="P697" s="569">
        <f t="shared" si="630"/>
        <v>-4.6142840109693606E-2</v>
      </c>
      <c r="Q697" s="295">
        <f t="shared" si="592"/>
        <v>0</v>
      </c>
    </row>
    <row r="698" spans="2:17" ht="148.5" x14ac:dyDescent="0.25">
      <c r="B698" s="595">
        <v>8</v>
      </c>
      <c r="C698" s="615" t="s">
        <v>1391</v>
      </c>
      <c r="D698" s="619" t="s">
        <v>238</v>
      </c>
      <c r="E698" s="614">
        <v>1</v>
      </c>
      <c r="F698" s="600">
        <v>2000000</v>
      </c>
      <c r="G698" s="632">
        <v>1</v>
      </c>
      <c r="H698" s="571">
        <f t="shared" si="631"/>
        <v>2000000</v>
      </c>
      <c r="I698" s="607">
        <v>0</v>
      </c>
      <c r="J698" s="597">
        <f t="shared" si="627"/>
        <v>2000000</v>
      </c>
      <c r="K698" s="607">
        <f t="shared" si="628"/>
        <v>2000000</v>
      </c>
      <c r="N698" s="568">
        <f>'8.1 Comparativo_Tallerista'!$N$7</f>
        <v>2455526</v>
      </c>
      <c r="O698" s="568">
        <f t="shared" si="629"/>
        <v>2455526</v>
      </c>
      <c r="P698" s="569">
        <f t="shared" si="630"/>
        <v>-0.18551055863387311</v>
      </c>
      <c r="Q698" s="295">
        <f t="shared" si="592"/>
        <v>0</v>
      </c>
    </row>
    <row r="699" spans="2:17" ht="108" x14ac:dyDescent="0.25">
      <c r="B699" s="570">
        <v>9</v>
      </c>
      <c r="C699" s="618" t="s">
        <v>1393</v>
      </c>
      <c r="D699" s="619" t="s">
        <v>238</v>
      </c>
      <c r="E699" s="614">
        <v>1</v>
      </c>
      <c r="F699" s="620">
        <v>2500000</v>
      </c>
      <c r="G699" s="131">
        <v>1</v>
      </c>
      <c r="H699" s="571">
        <f>F699*E699*G699</f>
        <v>2500000</v>
      </c>
      <c r="I699" s="607">
        <v>0</v>
      </c>
      <c r="J699" s="597">
        <f t="shared" si="627"/>
        <v>2500000</v>
      </c>
      <c r="K699" s="607">
        <f t="shared" si="628"/>
        <v>2500000</v>
      </c>
      <c r="N699" s="568">
        <f>'9.1 Comparativo_Sabedor'!$N$7</f>
        <v>2829639</v>
      </c>
      <c r="O699" s="568">
        <f t="shared" si="629"/>
        <v>2829639</v>
      </c>
      <c r="P699" s="569">
        <f t="shared" si="630"/>
        <v>-0.11649507233961642</v>
      </c>
      <c r="Q699" s="295">
        <f t="shared" si="592"/>
        <v>0</v>
      </c>
    </row>
    <row r="700" spans="2:17" ht="94.5" x14ac:dyDescent="0.25">
      <c r="B700" s="570">
        <v>10</v>
      </c>
      <c r="C700" s="618" t="s">
        <v>1394</v>
      </c>
      <c r="D700" s="599" t="s">
        <v>1062</v>
      </c>
      <c r="E700" s="614">
        <v>1</v>
      </c>
      <c r="F700" s="600">
        <v>4000000</v>
      </c>
      <c r="G700" s="632">
        <v>1</v>
      </c>
      <c r="H700" s="571">
        <f>E700*F700*G700</f>
        <v>4000000</v>
      </c>
      <c r="I700" s="607">
        <v>0</v>
      </c>
      <c r="J700" s="597">
        <f t="shared" si="627"/>
        <v>4000000</v>
      </c>
      <c r="K700" s="607">
        <f t="shared" si="628"/>
        <v>4000000</v>
      </c>
      <c r="N700" s="568">
        <f>'6.1 Comparativo_Grupo_Armoniz'!$N$7</f>
        <v>6875473</v>
      </c>
      <c r="O700" s="568">
        <f t="shared" ref="O700" si="632">N700*G700*E700</f>
        <v>6875473</v>
      </c>
      <c r="P700" s="569">
        <f t="shared" ref="P700" si="633">K700/O700-1</f>
        <v>-0.41822184451891531</v>
      </c>
      <c r="Q700" s="295">
        <f t="shared" si="592"/>
        <v>0</v>
      </c>
    </row>
    <row r="701" spans="2:17" ht="58.5" customHeight="1" x14ac:dyDescent="0.25">
      <c r="B701" s="595">
        <v>11</v>
      </c>
      <c r="C701" s="618" t="s">
        <v>1429</v>
      </c>
      <c r="D701" s="619" t="s">
        <v>238</v>
      </c>
      <c r="E701" s="621">
        <v>50</v>
      </c>
      <c r="F701" s="597">
        <v>500000</v>
      </c>
      <c r="G701" s="134">
        <v>3</v>
      </c>
      <c r="H701" s="622">
        <f t="shared" ref="H701:H703" si="634">F701*E701*G701</f>
        <v>75000000</v>
      </c>
      <c r="I701" s="607">
        <v>0</v>
      </c>
      <c r="J701" s="597">
        <f t="shared" si="627"/>
        <v>75000000</v>
      </c>
      <c r="K701" s="607">
        <f t="shared" si="628"/>
        <v>75000000</v>
      </c>
      <c r="N701" s="104">
        <f>'5.1 Comparativo_Viáticos'!$Q$15</f>
        <v>76612425</v>
      </c>
      <c r="O701" s="104">
        <f>N701</f>
        <v>76612425</v>
      </c>
      <c r="P701" s="438">
        <f>K701/O701-1</f>
        <v>-2.1046520848282735E-2</v>
      </c>
      <c r="Q701" s="295">
        <f t="shared" si="592"/>
        <v>0</v>
      </c>
    </row>
    <row r="702" spans="2:17" ht="46.5" customHeight="1" x14ac:dyDescent="0.25">
      <c r="B702" s="570">
        <v>12</v>
      </c>
      <c r="C702" s="618" t="s">
        <v>1392</v>
      </c>
      <c r="D702" s="613" t="s">
        <v>238</v>
      </c>
      <c r="E702" s="621">
        <v>3</v>
      </c>
      <c r="F702" s="617">
        <v>400000</v>
      </c>
      <c r="G702" s="134">
        <v>3</v>
      </c>
      <c r="H702" s="622">
        <f t="shared" si="634"/>
        <v>3600000</v>
      </c>
      <c r="I702" s="607">
        <v>0</v>
      </c>
      <c r="J702" s="597">
        <f t="shared" si="627"/>
        <v>3600000</v>
      </c>
      <c r="K702" s="607">
        <f t="shared" si="628"/>
        <v>3600000</v>
      </c>
      <c r="N702" s="568">
        <f>'5.1 Comparativo_Viáticos'!$Q$13</f>
        <v>4596746</v>
      </c>
      <c r="O702" s="568">
        <f>N702</f>
        <v>4596746</v>
      </c>
      <c r="P702" s="569">
        <f t="shared" ref="P702" si="635">K702/O702-1</f>
        <v>-0.21683730186527606</v>
      </c>
      <c r="Q702" s="295">
        <f t="shared" si="592"/>
        <v>0</v>
      </c>
    </row>
    <row r="703" spans="2:17" ht="94.5" x14ac:dyDescent="0.25">
      <c r="B703" s="629">
        <v>13</v>
      </c>
      <c r="C703" s="624" t="s">
        <v>1425</v>
      </c>
      <c r="D703" s="613" t="s">
        <v>238</v>
      </c>
      <c r="E703" s="639">
        <v>3</v>
      </c>
      <c r="F703" s="617">
        <v>1000000</v>
      </c>
      <c r="G703" s="621">
        <v>2</v>
      </c>
      <c r="H703" s="622">
        <f t="shared" si="634"/>
        <v>6000000</v>
      </c>
      <c r="I703" s="607">
        <v>0</v>
      </c>
      <c r="J703" s="597">
        <f t="shared" si="627"/>
        <v>6000000</v>
      </c>
      <c r="K703" s="607">
        <f t="shared" si="628"/>
        <v>6000000</v>
      </c>
      <c r="N703" s="568">
        <f>'4.1 Comparativo_Transporte'!$N$27</f>
        <v>1188475</v>
      </c>
      <c r="O703" s="568">
        <f t="shared" ref="O703:O704" si="636">N703*G703*E703</f>
        <v>7130850</v>
      </c>
      <c r="P703" s="569">
        <f t="shared" ref="P703:P707" si="637">K703/O703-1</f>
        <v>-0.15858558236395381</v>
      </c>
      <c r="Q703" s="295">
        <f t="shared" si="592"/>
        <v>0</v>
      </c>
    </row>
    <row r="704" spans="2:17" ht="91.5" customHeight="1" x14ac:dyDescent="0.25">
      <c r="B704" s="595">
        <v>14</v>
      </c>
      <c r="C704" s="608" t="s">
        <v>1497</v>
      </c>
      <c r="D704" s="605" t="s">
        <v>396</v>
      </c>
      <c r="E704" s="640">
        <v>50</v>
      </c>
      <c r="F704" s="617">
        <v>100000</v>
      </c>
      <c r="G704" s="640">
        <v>1</v>
      </c>
      <c r="H704" s="567">
        <f>E704*F704*G704</f>
        <v>5000000</v>
      </c>
      <c r="I704" s="607">
        <v>0</v>
      </c>
      <c r="J704" s="597">
        <f t="shared" si="627"/>
        <v>5000000</v>
      </c>
      <c r="K704" s="607">
        <f t="shared" si="628"/>
        <v>5000000</v>
      </c>
      <c r="N704" s="568">
        <f>'7.1 Comparativo_Kit_Herrami'!$N$7</f>
        <v>102170</v>
      </c>
      <c r="O704" s="568">
        <f t="shared" si="636"/>
        <v>5108500</v>
      </c>
      <c r="P704" s="569">
        <f t="shared" si="637"/>
        <v>-2.1239111285113021E-2</v>
      </c>
      <c r="Q704" s="295">
        <f t="shared" si="592"/>
        <v>0</v>
      </c>
    </row>
    <row r="705" spans="2:25" ht="15.75" customHeight="1" x14ac:dyDescent="0.25">
      <c r="B705" s="814" t="s">
        <v>434</v>
      </c>
      <c r="C705" s="782"/>
      <c r="D705" s="782"/>
      <c r="E705" s="783"/>
      <c r="F705" s="685">
        <f>SUM(F691:F704)</f>
        <v>16834000</v>
      </c>
      <c r="G705" s="677"/>
      <c r="H705" s="687">
        <f t="shared" ref="H705:K705" si="638">SUM(H691:H704)</f>
        <v>111602000</v>
      </c>
      <c r="I705" s="679">
        <f t="shared" si="638"/>
        <v>0</v>
      </c>
      <c r="J705" s="679">
        <f t="shared" si="638"/>
        <v>111602000</v>
      </c>
      <c r="K705" s="679">
        <f t="shared" si="638"/>
        <v>111602000</v>
      </c>
      <c r="N705" s="679">
        <f t="shared" ref="N705:O705" si="639">SUM(N691:N704)</f>
        <v>102523738</v>
      </c>
      <c r="O705" s="679">
        <f t="shared" si="639"/>
        <v>120893409</v>
      </c>
      <c r="P705" s="569">
        <f t="shared" si="637"/>
        <v>-7.6856208099814638E-2</v>
      </c>
      <c r="Q705" s="295"/>
    </row>
    <row r="706" spans="2:25" ht="15.75" customHeight="1" x14ac:dyDescent="0.25">
      <c r="B706" s="785" t="s">
        <v>435</v>
      </c>
      <c r="C706" s="786"/>
      <c r="D706" s="786"/>
      <c r="E706" s="787"/>
      <c r="F706" s="692">
        <f>F177+F193+F209+F225+F241+F257+F273+F289+F305+F321+F337+F353+F369+F385+F401+F417+F433+F449+F465+F481+F497+F513+F529+F545+F561+F577+F593+F609+F625+F641+F657+F673+F689+F705</f>
        <v>580131000</v>
      </c>
      <c r="G706" s="689"/>
      <c r="H706" s="692">
        <f t="shared" ref="H706:K706" si="640">H177+H193+H209+H225+H241+H257+H273+H289+H305+H321+H337+H353+H369+H385+H401+H417+H433+H449+H465+H481+H497+H513+H529+H545+H561+H577+H593+H609+H625+H641+H657+H673+H689+H705</f>
        <v>4706468000</v>
      </c>
      <c r="I706" s="691">
        <f t="shared" si="640"/>
        <v>0</v>
      </c>
      <c r="J706" s="691">
        <f t="shared" si="640"/>
        <v>4706468000</v>
      </c>
      <c r="K706" s="691">
        <f t="shared" si="640"/>
        <v>4706468000</v>
      </c>
      <c r="N706" s="691">
        <f t="shared" ref="N706:O706" si="641">N177+N193+N209+N225+N241+N257+N273+N289+N305+N321+N337+N353+N369+N385+N401+N417+N433+N449+N465+N481+N497+N513+N529+N545+N561+N577+N593+N609+N625+N641+N657+N673+N689+N705</f>
        <v>4452100592</v>
      </c>
      <c r="O706" s="691">
        <f t="shared" si="641"/>
        <v>5152185026</v>
      </c>
      <c r="P706" s="569">
        <f t="shared" si="637"/>
        <v>-8.6510291022300678E-2</v>
      </c>
      <c r="Q706" s="295"/>
    </row>
    <row r="707" spans="2:25" ht="15.75" customHeight="1" x14ac:dyDescent="0.25">
      <c r="B707" s="804" t="s">
        <v>436</v>
      </c>
      <c r="C707" s="782"/>
      <c r="D707" s="782"/>
      <c r="E707" s="783"/>
      <c r="F707" s="693">
        <f>F160+F706</f>
        <v>1238467000</v>
      </c>
      <c r="G707" s="669"/>
      <c r="H707" s="693">
        <f t="shared" ref="H707:K707" si="642">H160+H706</f>
        <v>5936016000</v>
      </c>
      <c r="I707" s="666">
        <f t="shared" si="642"/>
        <v>0</v>
      </c>
      <c r="J707" s="666">
        <f t="shared" si="642"/>
        <v>5936016000</v>
      </c>
      <c r="K707" s="666">
        <f t="shared" si="642"/>
        <v>5936016000</v>
      </c>
      <c r="N707" s="666">
        <f t="shared" ref="N707:O707" si="643">N160+N706</f>
        <v>5611552934</v>
      </c>
      <c r="O707" s="666">
        <f t="shared" si="643"/>
        <v>6413270342</v>
      </c>
      <c r="P707" s="569">
        <f t="shared" si="637"/>
        <v>-7.4416688608072379E-2</v>
      </c>
      <c r="Q707" s="295"/>
    </row>
    <row r="708" spans="2:25" ht="13.5" x14ac:dyDescent="0.25">
      <c r="B708" s="781" t="s">
        <v>312</v>
      </c>
      <c r="C708" s="782"/>
      <c r="D708" s="782"/>
      <c r="E708" s="782"/>
      <c r="F708" s="782"/>
      <c r="G708" s="782"/>
      <c r="H708" s="782"/>
      <c r="I708" s="782"/>
      <c r="J708" s="782"/>
      <c r="K708" s="783"/>
      <c r="Q708" s="295">
        <f t="shared" si="592"/>
        <v>0</v>
      </c>
    </row>
    <row r="709" spans="2:25" ht="15.75" customHeight="1" x14ac:dyDescent="0.25">
      <c r="B709" s="805" t="s">
        <v>1520</v>
      </c>
      <c r="C709" s="782"/>
      <c r="D709" s="782"/>
      <c r="E709" s="782"/>
      <c r="F709" s="782"/>
      <c r="G709" s="782"/>
      <c r="H709" s="782"/>
      <c r="I709" s="782"/>
      <c r="J709" s="782"/>
      <c r="K709" s="783"/>
      <c r="Q709" s="295">
        <f t="shared" si="592"/>
        <v>0</v>
      </c>
    </row>
    <row r="710" spans="2:25" ht="80.25" customHeight="1" x14ac:dyDescent="0.25">
      <c r="B710" s="593">
        <v>1</v>
      </c>
      <c r="C710" s="576" t="s">
        <v>1521</v>
      </c>
      <c r="D710" s="605" t="s">
        <v>1061</v>
      </c>
      <c r="E710" s="605">
        <v>1</v>
      </c>
      <c r="F710" s="606">
        <v>5000000</v>
      </c>
      <c r="G710" s="605">
        <v>3</v>
      </c>
      <c r="H710" s="567">
        <f t="shared" ref="H710:H723" si="644">E710*F710*G710</f>
        <v>15000000</v>
      </c>
      <c r="I710" s="607">
        <v>0</v>
      </c>
      <c r="J710" s="597">
        <f t="shared" ref="J710:J723" si="645">H710</f>
        <v>15000000</v>
      </c>
      <c r="K710" s="607">
        <f t="shared" ref="K710:K723" si="646">I710+J710</f>
        <v>15000000</v>
      </c>
      <c r="N710" s="568">
        <f>'3.1 Comparativo_Logística'!$M$9</f>
        <v>4960599</v>
      </c>
      <c r="O710" s="568">
        <f t="shared" ref="O710:O717" si="647">N710*G710*E710</f>
        <v>14881797</v>
      </c>
      <c r="P710" s="569">
        <f t="shared" ref="P710:P717" si="648">K710/O710-1</f>
        <v>7.9427907799038966E-3</v>
      </c>
      <c r="Q710" s="295">
        <f t="shared" si="592"/>
        <v>0</v>
      </c>
    </row>
    <row r="711" spans="2:25" ht="54" x14ac:dyDescent="0.25">
      <c r="B711" s="595">
        <v>2</v>
      </c>
      <c r="C711" s="608" t="s">
        <v>1522</v>
      </c>
      <c r="D711" s="605" t="s">
        <v>396</v>
      </c>
      <c r="E711" s="605">
        <v>1</v>
      </c>
      <c r="F711" s="606">
        <v>900000</v>
      </c>
      <c r="G711" s="605">
        <v>3</v>
      </c>
      <c r="H711" s="571">
        <f t="shared" si="644"/>
        <v>2700000</v>
      </c>
      <c r="I711" s="607">
        <v>0</v>
      </c>
      <c r="J711" s="597">
        <f t="shared" si="645"/>
        <v>2700000</v>
      </c>
      <c r="K711" s="607">
        <f t="shared" si="646"/>
        <v>2700000</v>
      </c>
      <c r="N711" s="568">
        <f>'3.1 Comparativo_Logística'!$M$20</f>
        <v>1176347</v>
      </c>
      <c r="O711" s="568">
        <f t="shared" si="647"/>
        <v>3529041</v>
      </c>
      <c r="P711" s="569">
        <f t="shared" si="648"/>
        <v>-0.23491962830695368</v>
      </c>
      <c r="Q711" s="295">
        <f t="shared" si="592"/>
        <v>0</v>
      </c>
    </row>
    <row r="712" spans="2:25" ht="67.5" x14ac:dyDescent="0.25">
      <c r="B712" s="570">
        <v>3</v>
      </c>
      <c r="C712" s="608" t="s">
        <v>1366</v>
      </c>
      <c r="D712" s="605" t="s">
        <v>238</v>
      </c>
      <c r="E712" s="605">
        <v>4</v>
      </c>
      <c r="F712" s="606">
        <v>200000</v>
      </c>
      <c r="G712" s="605">
        <v>3</v>
      </c>
      <c r="H712" s="571">
        <f t="shared" si="644"/>
        <v>2400000</v>
      </c>
      <c r="I712" s="607">
        <v>0</v>
      </c>
      <c r="J712" s="597">
        <f t="shared" si="645"/>
        <v>2400000</v>
      </c>
      <c r="K712" s="607">
        <f t="shared" si="646"/>
        <v>2400000</v>
      </c>
      <c r="L712" s="649"/>
      <c r="M712" s="649"/>
      <c r="N712" s="568">
        <f>'3.1 Comparativo_Logística'!$M$29</f>
        <v>249230</v>
      </c>
      <c r="O712" s="568">
        <f t="shared" si="647"/>
        <v>2990760</v>
      </c>
      <c r="P712" s="569">
        <f t="shared" si="648"/>
        <v>-0.19752838743329459</v>
      </c>
      <c r="Q712" s="295">
        <f t="shared" si="592"/>
        <v>0</v>
      </c>
      <c r="R712" s="649"/>
      <c r="S712" s="649"/>
      <c r="T712" s="649"/>
      <c r="U712" s="649"/>
      <c r="V712" s="649"/>
      <c r="W712" s="649"/>
      <c r="X712" s="649"/>
      <c r="Y712" s="649"/>
    </row>
    <row r="713" spans="2:25" ht="108" x14ac:dyDescent="0.25">
      <c r="B713" s="570">
        <v>4</v>
      </c>
      <c r="C713" s="581" t="s">
        <v>1367</v>
      </c>
      <c r="D713" s="605" t="s">
        <v>238</v>
      </c>
      <c r="E713" s="605">
        <v>1</v>
      </c>
      <c r="F713" s="606">
        <v>1600000</v>
      </c>
      <c r="G713" s="605">
        <v>3</v>
      </c>
      <c r="H713" s="571">
        <f t="shared" si="644"/>
        <v>4800000</v>
      </c>
      <c r="I713" s="607">
        <v>0</v>
      </c>
      <c r="J713" s="597">
        <f t="shared" si="645"/>
        <v>4800000</v>
      </c>
      <c r="K713" s="607">
        <f t="shared" si="646"/>
        <v>4800000</v>
      </c>
      <c r="N713" s="568">
        <f>'3.1 Comparativo_Logística'!$M$37</f>
        <v>2714721</v>
      </c>
      <c r="O713" s="568">
        <f t="shared" si="647"/>
        <v>8144163</v>
      </c>
      <c r="P713" s="569">
        <f t="shared" si="648"/>
        <v>-0.41062083359579127</v>
      </c>
      <c r="Q713" s="295">
        <f t="shared" si="592"/>
        <v>0</v>
      </c>
    </row>
    <row r="714" spans="2:25" ht="108" x14ac:dyDescent="0.25">
      <c r="B714" s="564">
        <v>5</v>
      </c>
      <c r="C714" s="608" t="s">
        <v>1523</v>
      </c>
      <c r="D714" s="605" t="s">
        <v>396</v>
      </c>
      <c r="E714" s="605">
        <v>68</v>
      </c>
      <c r="F714" s="606">
        <v>32000</v>
      </c>
      <c r="G714" s="605">
        <v>3</v>
      </c>
      <c r="H714" s="571">
        <f t="shared" si="644"/>
        <v>6528000</v>
      </c>
      <c r="I714" s="607">
        <v>0</v>
      </c>
      <c r="J714" s="597">
        <f t="shared" si="645"/>
        <v>6528000</v>
      </c>
      <c r="K714" s="607">
        <f t="shared" si="646"/>
        <v>6528000</v>
      </c>
      <c r="N714" s="568">
        <f>'2.1 Comparativo_Alimentación'!$M$7</f>
        <v>33548</v>
      </c>
      <c r="O714" s="568">
        <f t="shared" si="647"/>
        <v>6843792</v>
      </c>
      <c r="P714" s="569">
        <f t="shared" si="648"/>
        <v>-4.6142840109693606E-2</v>
      </c>
      <c r="Q714" s="295">
        <f t="shared" si="592"/>
        <v>0</v>
      </c>
    </row>
    <row r="715" spans="2:25" ht="108" x14ac:dyDescent="0.25">
      <c r="B715" s="570">
        <v>6</v>
      </c>
      <c r="C715" s="608" t="s">
        <v>1369</v>
      </c>
      <c r="D715" s="605" t="s">
        <v>396</v>
      </c>
      <c r="E715" s="605">
        <v>68</v>
      </c>
      <c r="F715" s="606">
        <v>70000</v>
      </c>
      <c r="G715" s="605">
        <v>3</v>
      </c>
      <c r="H715" s="571">
        <f t="shared" si="644"/>
        <v>14280000</v>
      </c>
      <c r="I715" s="607">
        <v>0</v>
      </c>
      <c r="J715" s="597">
        <f t="shared" si="645"/>
        <v>14280000</v>
      </c>
      <c r="K715" s="607">
        <f t="shared" si="646"/>
        <v>14280000</v>
      </c>
      <c r="N715" s="568">
        <f>'2.1 Comparativo_Alimentación'!$M$8</f>
        <v>70822</v>
      </c>
      <c r="O715" s="568">
        <f t="shared" si="647"/>
        <v>14447688</v>
      </c>
      <c r="P715" s="569">
        <f t="shared" si="648"/>
        <v>-1.1606562932422126E-2</v>
      </c>
      <c r="Q715" s="295">
        <f t="shared" si="592"/>
        <v>0</v>
      </c>
    </row>
    <row r="716" spans="2:25" ht="108" x14ac:dyDescent="0.25">
      <c r="B716" s="570">
        <v>7</v>
      </c>
      <c r="C716" s="608" t="s">
        <v>1370</v>
      </c>
      <c r="D716" s="605" t="s">
        <v>396</v>
      </c>
      <c r="E716" s="605">
        <v>68</v>
      </c>
      <c r="F716" s="606">
        <v>32000</v>
      </c>
      <c r="G716" s="605">
        <v>3</v>
      </c>
      <c r="H716" s="571">
        <f t="shared" si="644"/>
        <v>6528000</v>
      </c>
      <c r="I716" s="607">
        <v>0</v>
      </c>
      <c r="J716" s="597">
        <f t="shared" si="645"/>
        <v>6528000</v>
      </c>
      <c r="K716" s="607">
        <f t="shared" si="646"/>
        <v>6528000</v>
      </c>
      <c r="L716" s="649"/>
      <c r="M716" s="649"/>
      <c r="N716" s="568">
        <f>'2.1 Comparativo_Alimentación'!$M$9</f>
        <v>33548</v>
      </c>
      <c r="O716" s="568">
        <f t="shared" si="647"/>
        <v>6843792</v>
      </c>
      <c r="P716" s="569">
        <f t="shared" si="648"/>
        <v>-4.6142840109693606E-2</v>
      </c>
      <c r="Q716" s="295">
        <f t="shared" si="592"/>
        <v>0</v>
      </c>
      <c r="R716" s="649"/>
      <c r="S716" s="649"/>
      <c r="T716" s="649"/>
      <c r="U716" s="649"/>
      <c r="V716" s="649"/>
      <c r="W716" s="649"/>
      <c r="X716" s="649"/>
      <c r="Y716" s="649"/>
    </row>
    <row r="717" spans="2:25" ht="54" x14ac:dyDescent="0.25">
      <c r="B717" s="595">
        <v>8</v>
      </c>
      <c r="C717" s="608" t="s">
        <v>1524</v>
      </c>
      <c r="D717" s="605" t="s">
        <v>390</v>
      </c>
      <c r="E717" s="605">
        <v>1</v>
      </c>
      <c r="F717" s="606">
        <v>80010000</v>
      </c>
      <c r="G717" s="605">
        <v>1</v>
      </c>
      <c r="H717" s="571">
        <f t="shared" si="644"/>
        <v>80010000</v>
      </c>
      <c r="I717" s="607">
        <v>0</v>
      </c>
      <c r="J717" s="597">
        <f t="shared" si="645"/>
        <v>80010000</v>
      </c>
      <c r="K717" s="607">
        <f t="shared" si="646"/>
        <v>80010000</v>
      </c>
      <c r="N717" s="568">
        <f>'4.1 Comparativo_Transporte'!N18</f>
        <v>89079938</v>
      </c>
      <c r="O717" s="568">
        <f t="shared" si="647"/>
        <v>89079938</v>
      </c>
      <c r="P717" s="569">
        <f t="shared" si="648"/>
        <v>-0.10181796489350947</v>
      </c>
      <c r="Q717" s="295">
        <f t="shared" ref="Q717:Q745" si="649">+E717*F717*G717-H717</f>
        <v>0</v>
      </c>
    </row>
    <row r="718" spans="2:25" ht="77.25" customHeight="1" x14ac:dyDescent="0.25">
      <c r="B718" s="595">
        <v>9</v>
      </c>
      <c r="C718" s="608" t="s">
        <v>1372</v>
      </c>
      <c r="D718" s="605" t="s">
        <v>238</v>
      </c>
      <c r="E718" s="605">
        <v>48</v>
      </c>
      <c r="F718" s="606">
        <v>500000</v>
      </c>
      <c r="G718" s="605">
        <v>5</v>
      </c>
      <c r="H718" s="571">
        <f t="shared" si="644"/>
        <v>120000000</v>
      </c>
      <c r="I718" s="607">
        <v>0</v>
      </c>
      <c r="J718" s="597">
        <f t="shared" si="645"/>
        <v>120000000</v>
      </c>
      <c r="K718" s="607">
        <f t="shared" si="646"/>
        <v>120000000</v>
      </c>
      <c r="N718" s="104">
        <f>'5.1 Comparativo_Viáticos'!Q37</f>
        <v>120484488</v>
      </c>
      <c r="O718" s="104">
        <f>N718</f>
        <v>120484488</v>
      </c>
      <c r="P718" s="438">
        <f>K718/O718-1</f>
        <v>-4.0211649486363577E-3</v>
      </c>
      <c r="Q718" s="295">
        <f t="shared" si="649"/>
        <v>0</v>
      </c>
    </row>
    <row r="719" spans="2:25" ht="92.25" customHeight="1" x14ac:dyDescent="0.25">
      <c r="B719" s="595">
        <v>10</v>
      </c>
      <c r="C719" s="608" t="s">
        <v>1525</v>
      </c>
      <c r="D719" s="605" t="s">
        <v>238</v>
      </c>
      <c r="E719" s="605">
        <v>20</v>
      </c>
      <c r="F719" s="606">
        <v>400000</v>
      </c>
      <c r="G719" s="605">
        <v>5</v>
      </c>
      <c r="H719" s="571">
        <f t="shared" si="644"/>
        <v>40000000</v>
      </c>
      <c r="I719" s="607">
        <v>0</v>
      </c>
      <c r="J719" s="597">
        <f t="shared" si="645"/>
        <v>40000000</v>
      </c>
      <c r="K719" s="607">
        <f t="shared" si="646"/>
        <v>40000000</v>
      </c>
      <c r="N719" s="104">
        <f>'5.1 Comparativo_Viáticos'!Q35</f>
        <v>50201870</v>
      </c>
      <c r="O719" s="104">
        <f>N719</f>
        <v>50201870</v>
      </c>
      <c r="P719" s="438">
        <f>K719/O719-1</f>
        <v>-0.20321693195890911</v>
      </c>
      <c r="Q719" s="295">
        <f t="shared" si="649"/>
        <v>0</v>
      </c>
    </row>
    <row r="720" spans="2:25" ht="108" x14ac:dyDescent="0.25">
      <c r="B720" s="610">
        <v>11</v>
      </c>
      <c r="C720" s="624" t="s">
        <v>1526</v>
      </c>
      <c r="D720" s="650" t="s">
        <v>238</v>
      </c>
      <c r="E720" s="650">
        <v>48</v>
      </c>
      <c r="F720" s="651">
        <v>1200000</v>
      </c>
      <c r="G720" s="650">
        <v>2</v>
      </c>
      <c r="H720" s="636">
        <f t="shared" si="644"/>
        <v>115200000</v>
      </c>
      <c r="I720" s="637">
        <v>0</v>
      </c>
      <c r="J720" s="638">
        <f t="shared" si="645"/>
        <v>115200000</v>
      </c>
      <c r="K720" s="607">
        <f t="shared" si="646"/>
        <v>115200000</v>
      </c>
      <c r="N720" s="568">
        <f>'4.1 Comparativo_Transporte'!$N$29</f>
        <v>1188475</v>
      </c>
      <c r="O720" s="568">
        <f t="shared" ref="O720:O723" si="650">N720*G720*E720</f>
        <v>114093600</v>
      </c>
      <c r="P720" s="569">
        <f t="shared" ref="P720:P724" si="651">K720/O720-1</f>
        <v>9.6973011632555117E-3</v>
      </c>
      <c r="Q720" s="295">
        <f t="shared" si="649"/>
        <v>0</v>
      </c>
    </row>
    <row r="721" spans="2:25" ht="135" x14ac:dyDescent="0.25">
      <c r="B721" s="629">
        <v>12</v>
      </c>
      <c r="C721" s="624" t="s">
        <v>1527</v>
      </c>
      <c r="D721" s="650" t="s">
        <v>238</v>
      </c>
      <c r="E721" s="650">
        <v>20</v>
      </c>
      <c r="F721" s="651">
        <v>1200000</v>
      </c>
      <c r="G721" s="650">
        <v>2</v>
      </c>
      <c r="H721" s="636">
        <f t="shared" si="644"/>
        <v>48000000</v>
      </c>
      <c r="I721" s="637">
        <v>0</v>
      </c>
      <c r="J721" s="638">
        <f t="shared" si="645"/>
        <v>48000000</v>
      </c>
      <c r="K721" s="607">
        <f t="shared" si="646"/>
        <v>48000000</v>
      </c>
      <c r="L721" s="649"/>
      <c r="M721" s="649"/>
      <c r="N721" s="568">
        <f>'4.1 Comparativo_Transporte'!$N$28</f>
        <v>1188475</v>
      </c>
      <c r="O721" s="568">
        <f t="shared" si="650"/>
        <v>47539000</v>
      </c>
      <c r="P721" s="569">
        <f t="shared" si="651"/>
        <v>9.6973011632555117E-3</v>
      </c>
      <c r="Q721" s="295">
        <f t="shared" si="649"/>
        <v>0</v>
      </c>
      <c r="R721" s="649"/>
      <c r="S721" s="649"/>
      <c r="T721" s="649"/>
      <c r="U721" s="649"/>
      <c r="V721" s="649"/>
      <c r="W721" s="649"/>
      <c r="X721" s="649"/>
      <c r="Y721" s="649"/>
    </row>
    <row r="722" spans="2:25" ht="108" x14ac:dyDescent="0.25">
      <c r="B722" s="570">
        <v>13</v>
      </c>
      <c r="C722" s="608" t="s">
        <v>1376</v>
      </c>
      <c r="D722" s="605" t="s">
        <v>1062</v>
      </c>
      <c r="E722" s="605">
        <v>1</v>
      </c>
      <c r="F722" s="606">
        <v>4000000</v>
      </c>
      <c r="G722" s="605">
        <v>3</v>
      </c>
      <c r="H722" s="571">
        <f t="shared" si="644"/>
        <v>12000000</v>
      </c>
      <c r="I722" s="607">
        <v>0</v>
      </c>
      <c r="J722" s="597">
        <f t="shared" si="645"/>
        <v>12000000</v>
      </c>
      <c r="K722" s="607">
        <f t="shared" si="646"/>
        <v>12000000</v>
      </c>
      <c r="N722" s="568">
        <f>'6.1 Comparativo_Grupo_Armoniz'!$N$7</f>
        <v>6875473</v>
      </c>
      <c r="O722" s="568">
        <f t="shared" si="650"/>
        <v>20626419</v>
      </c>
      <c r="P722" s="569">
        <f t="shared" si="651"/>
        <v>-0.41822184451891531</v>
      </c>
      <c r="Q722" s="295">
        <f t="shared" si="649"/>
        <v>0</v>
      </c>
    </row>
    <row r="723" spans="2:25" ht="105" customHeight="1" x14ac:dyDescent="0.25">
      <c r="B723" s="602">
        <v>14</v>
      </c>
      <c r="C723" s="624" t="s">
        <v>1528</v>
      </c>
      <c r="D723" s="650" t="s">
        <v>396</v>
      </c>
      <c r="E723" s="650">
        <v>58</v>
      </c>
      <c r="F723" s="651">
        <v>100000</v>
      </c>
      <c r="G723" s="650">
        <v>1</v>
      </c>
      <c r="H723" s="636">
        <f t="shared" si="644"/>
        <v>5800000</v>
      </c>
      <c r="I723" s="637">
        <v>0</v>
      </c>
      <c r="J723" s="638">
        <f t="shared" si="645"/>
        <v>5800000</v>
      </c>
      <c r="K723" s="607">
        <f t="shared" si="646"/>
        <v>5800000</v>
      </c>
      <c r="N723" s="568">
        <f>'7.1 Comparativo_Kit_Herrami'!$N$7</f>
        <v>102170</v>
      </c>
      <c r="O723" s="568">
        <f t="shared" si="650"/>
        <v>5925860</v>
      </c>
      <c r="P723" s="569">
        <f t="shared" si="651"/>
        <v>-2.1239111285113021E-2</v>
      </c>
      <c r="Q723" s="295">
        <f t="shared" si="649"/>
        <v>0</v>
      </c>
    </row>
    <row r="724" spans="2:25" ht="22.5" customHeight="1" x14ac:dyDescent="0.25">
      <c r="B724" s="820" t="s">
        <v>437</v>
      </c>
      <c r="C724" s="786"/>
      <c r="D724" s="786"/>
      <c r="E724" s="787"/>
      <c r="F724" s="694">
        <f>SUM(F710:F723)</f>
        <v>95244000</v>
      </c>
      <c r="G724" s="695"/>
      <c r="H724" s="694">
        <f t="shared" ref="H724:K724" si="652">SUM(H710:H723)</f>
        <v>473246000</v>
      </c>
      <c r="I724" s="694">
        <f t="shared" si="652"/>
        <v>0</v>
      </c>
      <c r="J724" s="694">
        <f t="shared" si="652"/>
        <v>473246000</v>
      </c>
      <c r="K724" s="694">
        <f t="shared" si="652"/>
        <v>473246000</v>
      </c>
      <c r="L724" s="649"/>
      <c r="M724" s="649"/>
      <c r="N724" s="694">
        <f t="shared" ref="N724:O724" si="653">SUM(N710:N723)</f>
        <v>278359704</v>
      </c>
      <c r="O724" s="694">
        <f t="shared" si="653"/>
        <v>505632208</v>
      </c>
      <c r="P724" s="569">
        <f t="shared" si="651"/>
        <v>-6.4050919794254924E-2</v>
      </c>
      <c r="Q724" s="295"/>
      <c r="R724" s="649"/>
      <c r="S724" s="649"/>
      <c r="T724" s="649"/>
      <c r="U724" s="649"/>
      <c r="V724" s="649"/>
      <c r="W724" s="649"/>
      <c r="X724" s="649"/>
      <c r="Y724" s="649"/>
    </row>
    <row r="725" spans="2:25" ht="15.75" customHeight="1" x14ac:dyDescent="0.25">
      <c r="B725" s="784" t="s">
        <v>1529</v>
      </c>
      <c r="C725" s="782"/>
      <c r="D725" s="782"/>
      <c r="E725" s="782"/>
      <c r="F725" s="782"/>
      <c r="G725" s="782"/>
      <c r="H725" s="782"/>
      <c r="I725" s="782"/>
      <c r="J725" s="782"/>
      <c r="K725" s="783"/>
      <c r="Q725" s="295">
        <f t="shared" si="649"/>
        <v>0</v>
      </c>
    </row>
    <row r="726" spans="2:25" ht="105" customHeight="1" x14ac:dyDescent="0.25">
      <c r="B726" s="593">
        <v>1</v>
      </c>
      <c r="C726" s="576" t="s">
        <v>1530</v>
      </c>
      <c r="D726" s="605" t="s">
        <v>1061</v>
      </c>
      <c r="E726" s="605">
        <v>1</v>
      </c>
      <c r="F726" s="606">
        <v>8650000</v>
      </c>
      <c r="G726" s="605">
        <v>2</v>
      </c>
      <c r="H726" s="567">
        <f t="shared" ref="H726:H739" si="654">E726*F726*G726</f>
        <v>17300000</v>
      </c>
      <c r="I726" s="607">
        <v>0</v>
      </c>
      <c r="J726" s="597">
        <f t="shared" ref="J726:J739" si="655">H726</f>
        <v>17300000</v>
      </c>
      <c r="K726" s="607">
        <f t="shared" ref="K726:K739" si="656">I726+J726</f>
        <v>17300000</v>
      </c>
      <c r="N726" s="568">
        <f>'3.1 Comparativo_Logística'!M10</f>
        <v>9324886</v>
      </c>
      <c r="O726" s="568">
        <f t="shared" ref="O726:O733" si="657">N726*G726*E726</f>
        <v>18649772</v>
      </c>
      <c r="P726" s="569">
        <f t="shared" ref="P726:P733" si="658">K726/O726-1</f>
        <v>-7.2374718575648034E-2</v>
      </c>
      <c r="Q726" s="295">
        <f t="shared" si="649"/>
        <v>0</v>
      </c>
    </row>
    <row r="727" spans="2:25" ht="54" x14ac:dyDescent="0.25">
      <c r="B727" s="595">
        <v>2</v>
      </c>
      <c r="C727" s="608" t="s">
        <v>1531</v>
      </c>
      <c r="D727" s="605" t="s">
        <v>396</v>
      </c>
      <c r="E727" s="605">
        <v>1</v>
      </c>
      <c r="F727" s="606">
        <v>1975000</v>
      </c>
      <c r="G727" s="605">
        <v>2</v>
      </c>
      <c r="H727" s="571">
        <f t="shared" si="654"/>
        <v>3950000</v>
      </c>
      <c r="I727" s="607">
        <v>0</v>
      </c>
      <c r="J727" s="597">
        <f t="shared" si="655"/>
        <v>3950000</v>
      </c>
      <c r="K727" s="607">
        <f t="shared" si="656"/>
        <v>3950000</v>
      </c>
      <c r="N727" s="568">
        <f>'3.1 Comparativo_Logística'!M22</f>
        <v>5023570</v>
      </c>
      <c r="O727" s="568">
        <f t="shared" si="657"/>
        <v>10047140</v>
      </c>
      <c r="P727" s="569">
        <f t="shared" si="658"/>
        <v>-0.60685329357409179</v>
      </c>
      <c r="Q727" s="295">
        <f t="shared" si="649"/>
        <v>0</v>
      </c>
    </row>
    <row r="728" spans="2:25" ht="67.5" x14ac:dyDescent="0.25">
      <c r="B728" s="570">
        <v>3</v>
      </c>
      <c r="C728" s="608" t="s">
        <v>1532</v>
      </c>
      <c r="D728" s="605" t="s">
        <v>238</v>
      </c>
      <c r="E728" s="605">
        <v>8</v>
      </c>
      <c r="F728" s="606">
        <v>200000</v>
      </c>
      <c r="G728" s="605">
        <v>2</v>
      </c>
      <c r="H728" s="571">
        <f t="shared" si="654"/>
        <v>3200000</v>
      </c>
      <c r="I728" s="607">
        <v>0</v>
      </c>
      <c r="J728" s="597">
        <f t="shared" si="655"/>
        <v>3200000</v>
      </c>
      <c r="K728" s="607">
        <f t="shared" si="656"/>
        <v>3200000</v>
      </c>
      <c r="N728" s="568">
        <f>'3.1 Comparativo_Logística'!$M$29</f>
        <v>249230</v>
      </c>
      <c r="O728" s="568">
        <f t="shared" si="657"/>
        <v>3987680</v>
      </c>
      <c r="P728" s="569">
        <f t="shared" si="658"/>
        <v>-0.19752838743329459</v>
      </c>
      <c r="Q728" s="295">
        <f t="shared" si="649"/>
        <v>0</v>
      </c>
    </row>
    <row r="729" spans="2:25" ht="109.5" customHeight="1" x14ac:dyDescent="0.25">
      <c r="B729" s="570">
        <v>4</v>
      </c>
      <c r="C729" s="581" t="s">
        <v>1533</v>
      </c>
      <c r="D729" s="605" t="s">
        <v>238</v>
      </c>
      <c r="E729" s="605">
        <v>1</v>
      </c>
      <c r="F729" s="606">
        <v>2350000</v>
      </c>
      <c r="G729" s="605">
        <v>2</v>
      </c>
      <c r="H729" s="571">
        <f t="shared" si="654"/>
        <v>4700000</v>
      </c>
      <c r="I729" s="607">
        <v>0</v>
      </c>
      <c r="J729" s="597">
        <f t="shared" si="655"/>
        <v>4700000</v>
      </c>
      <c r="K729" s="607">
        <f t="shared" si="656"/>
        <v>4700000</v>
      </c>
      <c r="N729" s="568">
        <f>'3.1 Comparativo_Logística'!M38</f>
        <v>2714721</v>
      </c>
      <c r="O729" s="568">
        <f t="shared" si="657"/>
        <v>5429442</v>
      </c>
      <c r="P729" s="569">
        <f t="shared" si="658"/>
        <v>-0.13434934934381837</v>
      </c>
      <c r="Q729" s="295">
        <f t="shared" si="649"/>
        <v>0</v>
      </c>
    </row>
    <row r="730" spans="2:25" ht="121.5" x14ac:dyDescent="0.25">
      <c r="B730" s="570">
        <v>6</v>
      </c>
      <c r="C730" s="608" t="s">
        <v>1534</v>
      </c>
      <c r="D730" s="605" t="s">
        <v>396</v>
      </c>
      <c r="E730" s="605">
        <v>257</v>
      </c>
      <c r="F730" s="606">
        <v>32000</v>
      </c>
      <c r="G730" s="605">
        <v>2</v>
      </c>
      <c r="H730" s="571">
        <f t="shared" si="654"/>
        <v>16448000</v>
      </c>
      <c r="I730" s="607">
        <v>0</v>
      </c>
      <c r="J730" s="597">
        <f t="shared" si="655"/>
        <v>16448000</v>
      </c>
      <c r="K730" s="607">
        <f t="shared" si="656"/>
        <v>16448000</v>
      </c>
      <c r="N730" s="568">
        <f>'2.1 Comparativo_Alimentación'!$M$7</f>
        <v>33548</v>
      </c>
      <c r="O730" s="568">
        <f t="shared" si="657"/>
        <v>17243672</v>
      </c>
      <c r="P730" s="569">
        <f t="shared" si="658"/>
        <v>-4.6142840109693606E-2</v>
      </c>
      <c r="Q730" s="295">
        <f t="shared" si="649"/>
        <v>0</v>
      </c>
    </row>
    <row r="731" spans="2:25" ht="121.5" x14ac:dyDescent="0.25">
      <c r="B731" s="570">
        <v>7</v>
      </c>
      <c r="C731" s="608" t="s">
        <v>1535</v>
      </c>
      <c r="D731" s="605" t="s">
        <v>396</v>
      </c>
      <c r="E731" s="605">
        <v>257</v>
      </c>
      <c r="F731" s="606">
        <v>70000</v>
      </c>
      <c r="G731" s="605">
        <v>2</v>
      </c>
      <c r="H731" s="571">
        <f t="shared" si="654"/>
        <v>35980000</v>
      </c>
      <c r="I731" s="607">
        <v>0</v>
      </c>
      <c r="J731" s="597">
        <f t="shared" si="655"/>
        <v>35980000</v>
      </c>
      <c r="K731" s="607">
        <f t="shared" si="656"/>
        <v>35980000</v>
      </c>
      <c r="N731" s="568">
        <f>'2.1 Comparativo_Alimentación'!$M$8</f>
        <v>70822</v>
      </c>
      <c r="O731" s="568">
        <f t="shared" si="657"/>
        <v>36402508</v>
      </c>
      <c r="P731" s="569">
        <f t="shared" si="658"/>
        <v>-1.1606562932422126E-2</v>
      </c>
      <c r="Q731" s="295">
        <f t="shared" si="649"/>
        <v>0</v>
      </c>
    </row>
    <row r="732" spans="2:25" ht="121.5" x14ac:dyDescent="0.25">
      <c r="B732" s="570">
        <v>8</v>
      </c>
      <c r="C732" s="608" t="s">
        <v>1536</v>
      </c>
      <c r="D732" s="605" t="s">
        <v>396</v>
      </c>
      <c r="E732" s="605">
        <v>257</v>
      </c>
      <c r="F732" s="606">
        <v>32000</v>
      </c>
      <c r="G732" s="605">
        <v>2</v>
      </c>
      <c r="H732" s="571">
        <f t="shared" si="654"/>
        <v>16448000</v>
      </c>
      <c r="I732" s="607">
        <v>0</v>
      </c>
      <c r="J732" s="597">
        <f t="shared" si="655"/>
        <v>16448000</v>
      </c>
      <c r="K732" s="607">
        <f t="shared" si="656"/>
        <v>16448000</v>
      </c>
      <c r="N732" s="568">
        <f>'2.1 Comparativo_Alimentación'!$M$9</f>
        <v>33548</v>
      </c>
      <c r="O732" s="568">
        <f t="shared" si="657"/>
        <v>17243672</v>
      </c>
      <c r="P732" s="569">
        <f t="shared" si="658"/>
        <v>-4.6142840109693606E-2</v>
      </c>
      <c r="Q732" s="295">
        <f t="shared" si="649"/>
        <v>0</v>
      </c>
    </row>
    <row r="733" spans="2:25" ht="54" x14ac:dyDescent="0.25">
      <c r="B733" s="595">
        <v>10</v>
      </c>
      <c r="C733" s="608" t="s">
        <v>1537</v>
      </c>
      <c r="D733" s="605" t="s">
        <v>390</v>
      </c>
      <c r="E733" s="605">
        <v>1</v>
      </c>
      <c r="F733" s="606">
        <v>334100000</v>
      </c>
      <c r="G733" s="605">
        <v>1</v>
      </c>
      <c r="H733" s="571">
        <f t="shared" si="654"/>
        <v>334100000</v>
      </c>
      <c r="I733" s="607">
        <v>0</v>
      </c>
      <c r="J733" s="597">
        <f t="shared" si="655"/>
        <v>334100000</v>
      </c>
      <c r="K733" s="607">
        <f t="shared" si="656"/>
        <v>334100000</v>
      </c>
      <c r="N733" s="568">
        <f>'4.1 Comparativo_Transporte'!N20</f>
        <v>439832191</v>
      </c>
      <c r="O733" s="568">
        <f t="shared" si="657"/>
        <v>439832191</v>
      </c>
      <c r="P733" s="569">
        <f t="shared" si="658"/>
        <v>-0.24039211581946263</v>
      </c>
      <c r="Q733" s="295">
        <f t="shared" si="649"/>
        <v>0</v>
      </c>
    </row>
    <row r="734" spans="2:25" ht="94.5" x14ac:dyDescent="0.25">
      <c r="B734" s="595">
        <v>11</v>
      </c>
      <c r="C734" s="608" t="s">
        <v>1538</v>
      </c>
      <c r="D734" s="605" t="s">
        <v>238</v>
      </c>
      <c r="E734" s="605">
        <v>237</v>
      </c>
      <c r="F734" s="606">
        <v>500000</v>
      </c>
      <c r="G734" s="605">
        <v>4</v>
      </c>
      <c r="H734" s="571">
        <f t="shared" si="654"/>
        <v>474000000</v>
      </c>
      <c r="I734" s="607">
        <v>0</v>
      </c>
      <c r="J734" s="597">
        <f t="shared" si="655"/>
        <v>474000000</v>
      </c>
      <c r="K734" s="607">
        <f t="shared" si="656"/>
        <v>474000000</v>
      </c>
      <c r="N734" s="104">
        <f>'5.1 Comparativo_Viáticos'!Q33</f>
        <v>479017527</v>
      </c>
      <c r="O734" s="104">
        <f>N734</f>
        <v>479017527</v>
      </c>
      <c r="P734" s="438">
        <f>K734/O734-1</f>
        <v>-1.0474620900458254E-2</v>
      </c>
      <c r="Q734" s="295">
        <f t="shared" si="649"/>
        <v>0</v>
      </c>
    </row>
    <row r="735" spans="2:25" ht="108" x14ac:dyDescent="0.25">
      <c r="B735" s="595">
        <v>12</v>
      </c>
      <c r="C735" s="608" t="s">
        <v>1539</v>
      </c>
      <c r="D735" s="605" t="s">
        <v>238</v>
      </c>
      <c r="E735" s="605">
        <v>20</v>
      </c>
      <c r="F735" s="606">
        <v>400000</v>
      </c>
      <c r="G735" s="605">
        <v>4</v>
      </c>
      <c r="H735" s="571">
        <f t="shared" si="654"/>
        <v>32000000</v>
      </c>
      <c r="I735" s="607">
        <v>0</v>
      </c>
      <c r="J735" s="597">
        <f t="shared" si="655"/>
        <v>32000000</v>
      </c>
      <c r="K735" s="607">
        <f t="shared" si="656"/>
        <v>32000000</v>
      </c>
      <c r="N735" s="104">
        <f>'5.1 Comparativo_Viáticos'!Q31</f>
        <v>40423420</v>
      </c>
      <c r="O735" s="104">
        <f>N735</f>
        <v>40423420</v>
      </c>
      <c r="P735" s="438">
        <f>K735/O735-1</f>
        <v>-0.2083796967203666</v>
      </c>
      <c r="Q735" s="295">
        <f t="shared" si="649"/>
        <v>0</v>
      </c>
    </row>
    <row r="736" spans="2:25" ht="108" x14ac:dyDescent="0.25">
      <c r="B736" s="629">
        <v>13</v>
      </c>
      <c r="C736" s="624" t="s">
        <v>1540</v>
      </c>
      <c r="D736" s="650" t="s">
        <v>238</v>
      </c>
      <c r="E736" s="650">
        <v>237</v>
      </c>
      <c r="F736" s="651">
        <v>1200000</v>
      </c>
      <c r="G736" s="650">
        <v>2</v>
      </c>
      <c r="H736" s="636">
        <f t="shared" si="654"/>
        <v>568800000</v>
      </c>
      <c r="I736" s="637">
        <v>0</v>
      </c>
      <c r="J736" s="638">
        <f t="shared" si="655"/>
        <v>568800000</v>
      </c>
      <c r="K736" s="607">
        <f t="shared" si="656"/>
        <v>568800000</v>
      </c>
      <c r="N736" s="568">
        <f>'4.1 Comparativo_Transporte'!$N$29</f>
        <v>1188475</v>
      </c>
      <c r="O736" s="568">
        <f t="shared" ref="O736:O739" si="659">N736*G736*E736</f>
        <v>563337150</v>
      </c>
      <c r="P736" s="569">
        <f t="shared" ref="P736:P739" si="660">K736/O736-1</f>
        <v>9.6973011632555117E-3</v>
      </c>
      <c r="Q736" s="295">
        <f t="shared" si="649"/>
        <v>0</v>
      </c>
    </row>
    <row r="737" spans="1:25" ht="135" x14ac:dyDescent="0.25">
      <c r="B737" s="629">
        <v>14</v>
      </c>
      <c r="C737" s="624" t="s">
        <v>1541</v>
      </c>
      <c r="D737" s="650" t="s">
        <v>238</v>
      </c>
      <c r="E737" s="650">
        <v>20</v>
      </c>
      <c r="F737" s="651">
        <v>1200000</v>
      </c>
      <c r="G737" s="650">
        <v>2</v>
      </c>
      <c r="H737" s="636">
        <f t="shared" si="654"/>
        <v>48000000</v>
      </c>
      <c r="I737" s="637">
        <v>0</v>
      </c>
      <c r="J737" s="638">
        <f t="shared" si="655"/>
        <v>48000000</v>
      </c>
      <c r="K737" s="607">
        <f t="shared" si="656"/>
        <v>48000000</v>
      </c>
      <c r="N737" s="568">
        <f>'4.1 Comparativo_Transporte'!$N$28</f>
        <v>1188475</v>
      </c>
      <c r="O737" s="568">
        <f t="shared" si="659"/>
        <v>47539000</v>
      </c>
      <c r="P737" s="569">
        <f t="shared" si="660"/>
        <v>9.6973011632555117E-3</v>
      </c>
      <c r="Q737" s="295">
        <f t="shared" si="649"/>
        <v>0</v>
      </c>
    </row>
    <row r="738" spans="1:25" ht="108" x14ac:dyDescent="0.25">
      <c r="B738" s="570">
        <v>15</v>
      </c>
      <c r="C738" s="608" t="s">
        <v>1542</v>
      </c>
      <c r="D738" s="605" t="s">
        <v>1062</v>
      </c>
      <c r="E738" s="605">
        <v>1</v>
      </c>
      <c r="F738" s="606">
        <v>4000000</v>
      </c>
      <c r="G738" s="605">
        <v>2</v>
      </c>
      <c r="H738" s="571">
        <f t="shared" si="654"/>
        <v>8000000</v>
      </c>
      <c r="I738" s="607">
        <v>0</v>
      </c>
      <c r="J738" s="597">
        <f t="shared" si="655"/>
        <v>8000000</v>
      </c>
      <c r="K738" s="607">
        <f t="shared" si="656"/>
        <v>8000000</v>
      </c>
      <c r="L738" s="649"/>
      <c r="M738" s="649"/>
      <c r="N738" s="568">
        <f>'6.1 Comparativo_Grupo_Armoniz'!$N$7</f>
        <v>6875473</v>
      </c>
      <c r="O738" s="568">
        <f t="shared" si="659"/>
        <v>13750946</v>
      </c>
      <c r="P738" s="569">
        <f t="shared" si="660"/>
        <v>-0.41822184451891531</v>
      </c>
      <c r="Q738" s="295">
        <f t="shared" si="649"/>
        <v>0</v>
      </c>
      <c r="R738" s="649"/>
      <c r="S738" s="649"/>
      <c r="T738" s="649"/>
      <c r="U738" s="649"/>
      <c r="V738" s="649"/>
      <c r="W738" s="649"/>
      <c r="X738" s="649"/>
      <c r="Y738" s="649"/>
    </row>
    <row r="739" spans="1:25" ht="120" customHeight="1" x14ac:dyDescent="0.25">
      <c r="B739" s="595">
        <v>16</v>
      </c>
      <c r="C739" s="624" t="s">
        <v>1543</v>
      </c>
      <c r="D739" s="650" t="s">
        <v>396</v>
      </c>
      <c r="E739" s="650">
        <v>247</v>
      </c>
      <c r="F739" s="651">
        <v>100000</v>
      </c>
      <c r="G739" s="650">
        <v>1</v>
      </c>
      <c r="H739" s="636">
        <f t="shared" si="654"/>
        <v>24700000</v>
      </c>
      <c r="I739" s="637">
        <v>0</v>
      </c>
      <c r="J739" s="638">
        <f t="shared" si="655"/>
        <v>24700000</v>
      </c>
      <c r="K739" s="607">
        <f t="shared" si="656"/>
        <v>24700000</v>
      </c>
      <c r="N739" s="568">
        <f>'7.1 Comparativo_Kit_Herrami'!$N$7</f>
        <v>102170</v>
      </c>
      <c r="O739" s="568">
        <f t="shared" si="659"/>
        <v>25235990</v>
      </c>
      <c r="P739" s="569">
        <f t="shared" si="660"/>
        <v>-2.1239111285113021E-2</v>
      </c>
      <c r="Q739" s="295">
        <f t="shared" si="649"/>
        <v>0</v>
      </c>
    </row>
    <row r="740" spans="1:25" ht="15.75" customHeight="1" x14ac:dyDescent="0.25">
      <c r="B740" s="821" t="s">
        <v>438</v>
      </c>
      <c r="C740" s="782"/>
      <c r="D740" s="782"/>
      <c r="E740" s="783"/>
      <c r="F740" s="696">
        <f>SUM(F726:F739)</f>
        <v>354809000</v>
      </c>
      <c r="G740" s="697"/>
      <c r="H740" s="698">
        <f t="shared" ref="H740:K740" si="661">SUM(H726:H739)</f>
        <v>1587626000</v>
      </c>
      <c r="I740" s="699">
        <f t="shared" si="661"/>
        <v>0</v>
      </c>
      <c r="J740" s="696">
        <f t="shared" si="661"/>
        <v>1587626000</v>
      </c>
      <c r="K740" s="699">
        <f t="shared" si="661"/>
        <v>1587626000</v>
      </c>
      <c r="N740" s="696">
        <f t="shared" ref="N740:O740" si="662">SUM(N726:N739)</f>
        <v>986078056</v>
      </c>
      <c r="O740" s="699">
        <f t="shared" si="662"/>
        <v>1718140110</v>
      </c>
      <c r="P740" s="569">
        <f t="shared" ref="P740:P742" si="663">K740/O740-1</f>
        <v>-7.59624370797094E-2</v>
      </c>
      <c r="Q740" s="653"/>
    </row>
    <row r="741" spans="1:25" ht="15.75" customHeight="1" x14ac:dyDescent="0.25">
      <c r="A741" s="657"/>
      <c r="B741" s="804" t="s">
        <v>439</v>
      </c>
      <c r="C741" s="782"/>
      <c r="D741" s="782"/>
      <c r="E741" s="783"/>
      <c r="F741" s="700">
        <f>F724+F740</f>
        <v>450053000</v>
      </c>
      <c r="G741" s="701"/>
      <c r="H741" s="700">
        <f t="shared" ref="H741:K741" si="664">H724+H740</f>
        <v>2060872000</v>
      </c>
      <c r="I741" s="666">
        <f t="shared" si="664"/>
        <v>0</v>
      </c>
      <c r="J741" s="667">
        <f t="shared" si="664"/>
        <v>2060872000</v>
      </c>
      <c r="K741" s="666">
        <f t="shared" si="664"/>
        <v>2060872000</v>
      </c>
      <c r="L741" s="657"/>
      <c r="M741" s="657"/>
      <c r="N741" s="667">
        <f t="shared" ref="N741:O741" si="665">N724+N740</f>
        <v>1264437760</v>
      </c>
      <c r="O741" s="666">
        <f t="shared" si="665"/>
        <v>2223772318</v>
      </c>
      <c r="P741" s="569">
        <f t="shared" si="663"/>
        <v>-7.325404524619139E-2</v>
      </c>
      <c r="Q741" s="653"/>
      <c r="R741" s="657"/>
      <c r="S741" s="657"/>
      <c r="T741" s="657"/>
      <c r="U741" s="657"/>
      <c r="V741" s="657"/>
      <c r="W741" s="657"/>
      <c r="X741" s="657"/>
      <c r="Y741" s="657"/>
    </row>
    <row r="742" spans="1:25" ht="18.75" customHeight="1" x14ac:dyDescent="0.25">
      <c r="B742" s="817" t="s">
        <v>440</v>
      </c>
      <c r="C742" s="786"/>
      <c r="D742" s="786"/>
      <c r="E742" s="787"/>
      <c r="F742" s="702">
        <f>F34+F52+F88+F707+F741</f>
        <v>1904030500</v>
      </c>
      <c r="G742" s="703"/>
      <c r="H742" s="702">
        <f t="shared" ref="H742:K742" si="666">H34+H52+H88+H707+H741</f>
        <v>9034000000</v>
      </c>
      <c r="I742" s="704">
        <f t="shared" si="666"/>
        <v>34000000</v>
      </c>
      <c r="J742" s="704">
        <f t="shared" si="666"/>
        <v>9000000000</v>
      </c>
      <c r="K742" s="704">
        <f t="shared" si="666"/>
        <v>9034000000</v>
      </c>
      <c r="L742" s="652"/>
      <c r="M742" s="649"/>
      <c r="N742" s="704">
        <f>N34+N52+N88+N707+N741</f>
        <v>7154350398.0396576</v>
      </c>
      <c r="O742" s="704">
        <f t="shared" ref="O742" si="667">O34+O52+O88+O707+O741</f>
        <v>9958462568.1583328</v>
      </c>
      <c r="P742" s="569">
        <f t="shared" si="663"/>
        <v>-9.2831856507073041E-2</v>
      </c>
      <c r="Q742" s="653"/>
      <c r="R742" s="649"/>
      <c r="S742" s="649"/>
      <c r="T742" s="649"/>
      <c r="U742" s="649"/>
      <c r="V742" s="649"/>
      <c r="W742" s="649"/>
      <c r="X742" s="649"/>
      <c r="Y742" s="649"/>
    </row>
    <row r="743" spans="1:25" ht="48.75" customHeight="1" x14ac:dyDescent="0.25">
      <c r="B743" s="818" t="s">
        <v>1544</v>
      </c>
      <c r="C743" s="782"/>
      <c r="D743" s="782"/>
      <c r="E743" s="782"/>
      <c r="F743" s="782"/>
      <c r="G743" s="782"/>
      <c r="H743" s="782"/>
      <c r="I743" s="782"/>
      <c r="J743" s="782"/>
      <c r="K743" s="783"/>
      <c r="L743" s="649"/>
      <c r="M743" s="649"/>
      <c r="N743" s="649"/>
      <c r="O743" s="649"/>
      <c r="P743" s="649"/>
      <c r="Q743" s="653">
        <f t="shared" si="649"/>
        <v>0</v>
      </c>
      <c r="R743" s="649"/>
      <c r="S743" s="649"/>
      <c r="T743" s="649"/>
      <c r="U743" s="649"/>
      <c r="V743" s="649"/>
      <c r="W743" s="649"/>
      <c r="X743" s="649"/>
      <c r="Y743" s="649"/>
    </row>
    <row r="744" spans="1:25" ht="63" customHeight="1" x14ac:dyDescent="0.25">
      <c r="B744" s="819" t="s">
        <v>1545</v>
      </c>
      <c r="C744" s="782"/>
      <c r="D744" s="782"/>
      <c r="E744" s="782"/>
      <c r="F744" s="782"/>
      <c r="G744" s="782"/>
      <c r="H744" s="782"/>
      <c r="I744" s="782"/>
      <c r="J744" s="782"/>
      <c r="K744" s="783"/>
      <c r="Q744" s="653">
        <f t="shared" si="649"/>
        <v>0</v>
      </c>
    </row>
    <row r="745" spans="1:25" ht="32.25" customHeight="1" x14ac:dyDescent="0.25">
      <c r="B745" s="816" t="s">
        <v>1342</v>
      </c>
      <c r="C745" s="782"/>
      <c r="D745" s="782"/>
      <c r="E745" s="782"/>
      <c r="F745" s="782"/>
      <c r="G745" s="782"/>
      <c r="H745" s="782"/>
      <c r="I745" s="782"/>
      <c r="J745" s="782"/>
      <c r="K745" s="783"/>
      <c r="Q745" s="653">
        <f t="shared" si="649"/>
        <v>0</v>
      </c>
    </row>
    <row r="746" spans="1:25" ht="32.25" customHeight="1" x14ac:dyDescent="0.25">
      <c r="B746" s="54"/>
      <c r="C746" s="284"/>
      <c r="D746" s="284"/>
      <c r="E746" s="284"/>
      <c r="F746" s="284"/>
      <c r="G746" s="284"/>
      <c r="H746" s="284"/>
      <c r="I746" s="284"/>
      <c r="J746" s="284"/>
      <c r="K746" s="284"/>
    </row>
    <row r="747" spans="1:25" ht="15.75" customHeight="1" x14ac:dyDescent="0.25">
      <c r="C747" s="54"/>
      <c r="F747" s="653"/>
      <c r="H747" s="653"/>
    </row>
    <row r="748" spans="1:25" ht="15.75" customHeight="1" x14ac:dyDescent="0.25">
      <c r="C748" s="54"/>
      <c r="F748" s="653"/>
      <c r="H748" s="653"/>
    </row>
    <row r="749" spans="1:25" ht="15.75" customHeight="1" x14ac:dyDescent="0.25">
      <c r="C749" s="54"/>
      <c r="F749" s="653"/>
      <c r="H749" s="653"/>
    </row>
    <row r="750" spans="1:25" ht="15.75" customHeight="1" x14ac:dyDescent="0.25">
      <c r="C750" s="54"/>
      <c r="F750" s="653"/>
      <c r="H750" s="653"/>
    </row>
    <row r="751" spans="1:25" ht="15.75" customHeight="1" x14ac:dyDescent="0.25">
      <c r="C751" s="54"/>
      <c r="F751" s="653"/>
      <c r="H751" s="653"/>
    </row>
    <row r="752" spans="1:25" ht="15.75" customHeight="1" x14ac:dyDescent="0.25">
      <c r="C752" s="54"/>
      <c r="F752" s="653"/>
      <c r="H752" s="653"/>
    </row>
    <row r="753" spans="3:8" ht="15.75" customHeight="1" x14ac:dyDescent="0.25">
      <c r="C753" s="54"/>
      <c r="F753" s="653"/>
      <c r="H753" s="653"/>
    </row>
    <row r="754" spans="3:8" ht="15.75" customHeight="1" x14ac:dyDescent="0.25">
      <c r="C754" s="54"/>
      <c r="F754" s="653"/>
      <c r="H754" s="653"/>
    </row>
    <row r="755" spans="3:8" ht="15.75" customHeight="1" x14ac:dyDescent="0.25">
      <c r="C755" s="54"/>
      <c r="F755" s="653"/>
      <c r="H755" s="653"/>
    </row>
    <row r="756" spans="3:8" ht="15.75" customHeight="1" x14ac:dyDescent="0.25">
      <c r="C756" s="54"/>
      <c r="F756" s="653"/>
      <c r="H756" s="653"/>
    </row>
    <row r="757" spans="3:8" ht="15.75" customHeight="1" x14ac:dyDescent="0.25">
      <c r="C757" s="54"/>
      <c r="F757" s="653"/>
      <c r="H757" s="653"/>
    </row>
    <row r="758" spans="3:8" ht="15.75" customHeight="1" x14ac:dyDescent="0.25">
      <c r="C758" s="54"/>
      <c r="F758" s="653"/>
      <c r="H758" s="653"/>
    </row>
    <row r="759" spans="3:8" ht="15.75" customHeight="1" x14ac:dyDescent="0.25">
      <c r="C759" s="54"/>
      <c r="F759" s="653"/>
      <c r="H759" s="653"/>
    </row>
    <row r="760" spans="3:8" ht="15.75" customHeight="1" x14ac:dyDescent="0.25">
      <c r="C760" s="54"/>
      <c r="F760" s="653"/>
      <c r="H760" s="653"/>
    </row>
    <row r="761" spans="3:8" ht="15.75" customHeight="1" x14ac:dyDescent="0.25">
      <c r="C761" s="54"/>
      <c r="F761" s="653"/>
      <c r="H761" s="653"/>
    </row>
    <row r="762" spans="3:8" ht="15.75" customHeight="1" x14ac:dyDescent="0.25">
      <c r="C762" s="54"/>
      <c r="F762" s="653"/>
      <c r="H762" s="653"/>
    </row>
    <row r="763" spans="3:8" ht="15.75" customHeight="1" x14ac:dyDescent="0.25">
      <c r="C763" s="54"/>
      <c r="F763" s="653"/>
      <c r="H763" s="653"/>
    </row>
    <row r="764" spans="3:8" ht="15.75" customHeight="1" x14ac:dyDescent="0.25">
      <c r="C764" s="54"/>
      <c r="F764" s="653"/>
      <c r="H764" s="653"/>
    </row>
    <row r="765" spans="3:8" ht="15.75" customHeight="1" x14ac:dyDescent="0.25">
      <c r="C765" s="54"/>
      <c r="F765" s="653"/>
      <c r="H765" s="653"/>
    </row>
    <row r="766" spans="3:8" ht="15.75" customHeight="1" x14ac:dyDescent="0.25">
      <c r="C766" s="54"/>
      <c r="F766" s="653"/>
      <c r="H766" s="653"/>
    </row>
    <row r="767" spans="3:8" ht="15.75" customHeight="1" x14ac:dyDescent="0.25">
      <c r="C767" s="54"/>
      <c r="F767" s="653"/>
      <c r="H767" s="653"/>
    </row>
    <row r="768" spans="3:8" ht="15.75" customHeight="1" x14ac:dyDescent="0.25">
      <c r="C768" s="54"/>
      <c r="F768" s="653"/>
      <c r="H768" s="653"/>
    </row>
    <row r="769" spans="3:8" ht="15.75" customHeight="1" x14ac:dyDescent="0.25">
      <c r="C769" s="54"/>
      <c r="F769" s="653"/>
      <c r="H769" s="653"/>
    </row>
    <row r="770" spans="3:8" ht="15.75" customHeight="1" x14ac:dyDescent="0.25">
      <c r="C770" s="54"/>
      <c r="F770" s="653"/>
      <c r="H770" s="653"/>
    </row>
    <row r="771" spans="3:8" ht="15.75" customHeight="1" x14ac:dyDescent="0.25">
      <c r="C771" s="54"/>
      <c r="F771" s="653"/>
      <c r="H771" s="653"/>
    </row>
    <row r="772" spans="3:8" ht="15.75" customHeight="1" x14ac:dyDescent="0.25">
      <c r="C772" s="54"/>
      <c r="F772" s="653"/>
      <c r="H772" s="653"/>
    </row>
    <row r="773" spans="3:8" ht="15.75" customHeight="1" x14ac:dyDescent="0.25">
      <c r="C773" s="54"/>
      <c r="F773" s="653"/>
      <c r="H773" s="653"/>
    </row>
    <row r="774" spans="3:8" ht="15.75" customHeight="1" x14ac:dyDescent="0.25">
      <c r="C774" s="54"/>
      <c r="F774" s="653"/>
      <c r="H774" s="653"/>
    </row>
    <row r="775" spans="3:8" ht="15.75" customHeight="1" x14ac:dyDescent="0.25">
      <c r="C775" s="54"/>
      <c r="F775" s="653"/>
      <c r="H775" s="653"/>
    </row>
    <row r="776" spans="3:8" ht="15.75" customHeight="1" x14ac:dyDescent="0.25">
      <c r="C776" s="54"/>
      <c r="F776" s="653"/>
      <c r="H776" s="653"/>
    </row>
    <row r="777" spans="3:8" ht="15.75" customHeight="1" x14ac:dyDescent="0.25">
      <c r="C777" s="54"/>
      <c r="F777" s="653"/>
      <c r="H777" s="653"/>
    </row>
    <row r="778" spans="3:8" ht="15.75" customHeight="1" x14ac:dyDescent="0.25">
      <c r="C778" s="54"/>
      <c r="F778" s="653"/>
      <c r="H778" s="653"/>
    </row>
    <row r="779" spans="3:8" ht="15.75" customHeight="1" x14ac:dyDescent="0.25">
      <c r="C779" s="54"/>
      <c r="F779" s="653"/>
      <c r="H779" s="653"/>
    </row>
    <row r="780" spans="3:8" ht="15.75" customHeight="1" x14ac:dyDescent="0.25">
      <c r="C780" s="54"/>
      <c r="F780" s="653"/>
      <c r="H780" s="653"/>
    </row>
    <row r="781" spans="3:8" ht="15.75" customHeight="1" x14ac:dyDescent="0.25">
      <c r="C781" s="54"/>
      <c r="F781" s="653"/>
      <c r="H781" s="653"/>
    </row>
    <row r="782" spans="3:8" ht="15.75" customHeight="1" x14ac:dyDescent="0.25">
      <c r="C782" s="54"/>
      <c r="F782" s="653"/>
      <c r="H782" s="653"/>
    </row>
    <row r="783" spans="3:8" ht="15.75" customHeight="1" x14ac:dyDescent="0.25">
      <c r="C783" s="54"/>
      <c r="F783" s="653"/>
      <c r="H783" s="653"/>
    </row>
    <row r="784" spans="3:8" ht="15.75" customHeight="1" x14ac:dyDescent="0.25">
      <c r="C784" s="54"/>
      <c r="F784" s="653"/>
      <c r="H784" s="653"/>
    </row>
    <row r="785" spans="3:8" ht="15.75" customHeight="1" x14ac:dyDescent="0.25">
      <c r="C785" s="54"/>
      <c r="F785" s="653"/>
      <c r="H785" s="653"/>
    </row>
    <row r="786" spans="3:8" ht="15.75" customHeight="1" x14ac:dyDescent="0.25">
      <c r="C786" s="54"/>
      <c r="F786" s="653"/>
      <c r="H786" s="653"/>
    </row>
    <row r="787" spans="3:8" ht="15.75" customHeight="1" x14ac:dyDescent="0.25">
      <c r="C787" s="54"/>
      <c r="F787" s="653"/>
      <c r="H787" s="653"/>
    </row>
    <row r="788" spans="3:8" ht="15.75" customHeight="1" x14ac:dyDescent="0.25">
      <c r="C788" s="54"/>
      <c r="F788" s="653"/>
      <c r="H788" s="653"/>
    </row>
    <row r="789" spans="3:8" ht="15.75" customHeight="1" x14ac:dyDescent="0.25">
      <c r="C789" s="54"/>
      <c r="F789" s="653"/>
      <c r="H789" s="653"/>
    </row>
    <row r="790" spans="3:8" ht="15.75" customHeight="1" x14ac:dyDescent="0.25">
      <c r="C790" s="54"/>
      <c r="F790" s="653"/>
      <c r="H790" s="653"/>
    </row>
    <row r="791" spans="3:8" ht="15.75" customHeight="1" x14ac:dyDescent="0.25">
      <c r="C791" s="54"/>
      <c r="F791" s="653"/>
      <c r="H791" s="653"/>
    </row>
    <row r="792" spans="3:8" ht="15.75" customHeight="1" x14ac:dyDescent="0.25">
      <c r="C792" s="54"/>
      <c r="F792" s="653"/>
      <c r="H792" s="653"/>
    </row>
    <row r="793" spans="3:8" ht="15.75" customHeight="1" x14ac:dyDescent="0.25">
      <c r="C793" s="54"/>
      <c r="F793" s="653"/>
      <c r="H793" s="653"/>
    </row>
    <row r="794" spans="3:8" ht="15.75" customHeight="1" x14ac:dyDescent="0.25">
      <c r="C794" s="54"/>
      <c r="F794" s="653"/>
      <c r="H794" s="653"/>
    </row>
    <row r="795" spans="3:8" ht="15.75" customHeight="1" x14ac:dyDescent="0.25">
      <c r="C795" s="54"/>
      <c r="F795" s="653"/>
      <c r="H795" s="653"/>
    </row>
    <row r="796" spans="3:8" ht="15.75" customHeight="1" x14ac:dyDescent="0.25">
      <c r="C796" s="54"/>
      <c r="F796" s="653"/>
      <c r="H796" s="653"/>
    </row>
    <row r="797" spans="3:8" ht="15.75" customHeight="1" x14ac:dyDescent="0.25">
      <c r="C797" s="54"/>
      <c r="F797" s="653"/>
      <c r="H797" s="653"/>
    </row>
    <row r="798" spans="3:8" ht="15.75" customHeight="1" x14ac:dyDescent="0.25">
      <c r="C798" s="54"/>
      <c r="F798" s="653"/>
      <c r="H798" s="653"/>
    </row>
    <row r="799" spans="3:8" ht="15.75" customHeight="1" x14ac:dyDescent="0.25">
      <c r="C799" s="54"/>
      <c r="F799" s="653"/>
      <c r="H799" s="653"/>
    </row>
    <row r="800" spans="3:8" ht="15.75" customHeight="1" x14ac:dyDescent="0.25">
      <c r="C800" s="54"/>
      <c r="F800" s="653"/>
      <c r="H800" s="653"/>
    </row>
    <row r="801" spans="3:8" ht="15.75" customHeight="1" x14ac:dyDescent="0.25">
      <c r="C801" s="54"/>
      <c r="F801" s="653"/>
      <c r="H801" s="653"/>
    </row>
    <row r="802" spans="3:8" ht="15.75" customHeight="1" x14ac:dyDescent="0.25">
      <c r="C802" s="54"/>
      <c r="F802" s="653"/>
      <c r="H802" s="653"/>
    </row>
    <row r="803" spans="3:8" ht="15.75" customHeight="1" x14ac:dyDescent="0.25">
      <c r="C803" s="54"/>
      <c r="F803" s="653"/>
      <c r="H803" s="653"/>
    </row>
    <row r="804" spans="3:8" ht="15.75" customHeight="1" x14ac:dyDescent="0.25">
      <c r="C804" s="54"/>
      <c r="F804" s="653"/>
      <c r="H804" s="653"/>
    </row>
    <row r="805" spans="3:8" ht="15.75" customHeight="1" x14ac:dyDescent="0.25">
      <c r="C805" s="54"/>
      <c r="F805" s="653"/>
      <c r="H805" s="653"/>
    </row>
    <row r="806" spans="3:8" ht="15.75" customHeight="1" x14ac:dyDescent="0.25">
      <c r="C806" s="54"/>
      <c r="F806" s="653"/>
      <c r="H806" s="653"/>
    </row>
    <row r="807" spans="3:8" ht="15.75" customHeight="1" x14ac:dyDescent="0.25">
      <c r="C807" s="54"/>
      <c r="F807" s="653"/>
      <c r="H807" s="653"/>
    </row>
    <row r="808" spans="3:8" ht="15.75" customHeight="1" x14ac:dyDescent="0.25">
      <c r="C808" s="54"/>
      <c r="F808" s="653"/>
      <c r="H808" s="653"/>
    </row>
    <row r="809" spans="3:8" ht="15.75" customHeight="1" x14ac:dyDescent="0.25">
      <c r="C809" s="54"/>
      <c r="F809" s="653"/>
      <c r="H809" s="653"/>
    </row>
    <row r="810" spans="3:8" ht="15.75" customHeight="1" x14ac:dyDescent="0.25">
      <c r="C810" s="54"/>
      <c r="F810" s="653"/>
      <c r="H810" s="653"/>
    </row>
    <row r="811" spans="3:8" ht="15.75" customHeight="1" x14ac:dyDescent="0.25">
      <c r="C811" s="54"/>
      <c r="F811" s="653"/>
      <c r="H811" s="653"/>
    </row>
    <row r="812" spans="3:8" ht="15.75" customHeight="1" x14ac:dyDescent="0.25">
      <c r="C812" s="54"/>
      <c r="F812" s="653"/>
      <c r="H812" s="653"/>
    </row>
    <row r="813" spans="3:8" ht="15.75" customHeight="1" x14ac:dyDescent="0.25">
      <c r="C813" s="54"/>
      <c r="F813" s="653"/>
      <c r="H813" s="653"/>
    </row>
    <row r="814" spans="3:8" ht="15.75" customHeight="1" x14ac:dyDescent="0.25">
      <c r="C814" s="54"/>
      <c r="F814" s="653"/>
      <c r="H814" s="653"/>
    </row>
    <row r="815" spans="3:8" ht="15.75" customHeight="1" x14ac:dyDescent="0.25">
      <c r="C815" s="54"/>
      <c r="F815" s="653"/>
      <c r="H815" s="653"/>
    </row>
    <row r="816" spans="3:8" ht="15.75" customHeight="1" x14ac:dyDescent="0.25">
      <c r="C816" s="54"/>
      <c r="F816" s="653"/>
      <c r="H816" s="653"/>
    </row>
    <row r="817" spans="3:8" ht="15.75" customHeight="1" x14ac:dyDescent="0.25">
      <c r="C817" s="54"/>
      <c r="F817" s="653"/>
      <c r="H817" s="653"/>
    </row>
    <row r="818" spans="3:8" ht="15.75" customHeight="1" x14ac:dyDescent="0.25">
      <c r="C818" s="54"/>
      <c r="F818" s="653"/>
      <c r="H818" s="653"/>
    </row>
    <row r="819" spans="3:8" ht="15.75" customHeight="1" x14ac:dyDescent="0.25">
      <c r="C819" s="54"/>
      <c r="F819" s="653"/>
      <c r="H819" s="653"/>
    </row>
    <row r="820" spans="3:8" ht="15.75" customHeight="1" x14ac:dyDescent="0.25">
      <c r="C820" s="54"/>
      <c r="F820" s="653"/>
      <c r="H820" s="653"/>
    </row>
    <row r="821" spans="3:8" ht="15.75" customHeight="1" x14ac:dyDescent="0.25">
      <c r="C821" s="54"/>
      <c r="F821" s="653"/>
      <c r="H821" s="653"/>
    </row>
    <row r="822" spans="3:8" ht="15.75" customHeight="1" x14ac:dyDescent="0.25">
      <c r="C822" s="54"/>
      <c r="F822" s="653"/>
      <c r="H822" s="653"/>
    </row>
    <row r="823" spans="3:8" ht="15.75" customHeight="1" x14ac:dyDescent="0.25">
      <c r="C823" s="54"/>
      <c r="F823" s="653"/>
      <c r="H823" s="653"/>
    </row>
    <row r="824" spans="3:8" ht="15.75" customHeight="1" x14ac:dyDescent="0.25">
      <c r="C824" s="54"/>
      <c r="F824" s="653"/>
      <c r="H824" s="653"/>
    </row>
    <row r="825" spans="3:8" ht="15.75" customHeight="1" x14ac:dyDescent="0.25">
      <c r="C825" s="54"/>
      <c r="F825" s="653"/>
      <c r="H825" s="653"/>
    </row>
    <row r="826" spans="3:8" ht="15.75" customHeight="1" x14ac:dyDescent="0.25">
      <c r="C826" s="54"/>
      <c r="F826" s="653"/>
      <c r="H826" s="653"/>
    </row>
    <row r="827" spans="3:8" ht="15.75" customHeight="1" x14ac:dyDescent="0.25">
      <c r="C827" s="54"/>
      <c r="F827" s="653"/>
      <c r="H827" s="653"/>
    </row>
    <row r="828" spans="3:8" ht="15.75" customHeight="1" x14ac:dyDescent="0.25">
      <c r="C828" s="54"/>
      <c r="F828" s="653"/>
      <c r="H828" s="653"/>
    </row>
    <row r="829" spans="3:8" ht="15.75" customHeight="1" x14ac:dyDescent="0.25">
      <c r="C829" s="54"/>
      <c r="F829" s="653"/>
      <c r="H829" s="653"/>
    </row>
    <row r="830" spans="3:8" ht="15.75" customHeight="1" x14ac:dyDescent="0.25">
      <c r="C830" s="54"/>
      <c r="F830" s="653"/>
      <c r="H830" s="653"/>
    </row>
    <row r="831" spans="3:8" ht="15.75" customHeight="1" x14ac:dyDescent="0.25">
      <c r="C831" s="54"/>
      <c r="F831" s="653"/>
      <c r="H831" s="653"/>
    </row>
    <row r="832" spans="3:8" ht="15.75" customHeight="1" x14ac:dyDescent="0.25">
      <c r="C832" s="54"/>
      <c r="F832" s="653"/>
      <c r="H832" s="653"/>
    </row>
    <row r="833" spans="3:8" ht="15.75" customHeight="1" x14ac:dyDescent="0.25">
      <c r="C833" s="54"/>
      <c r="F833" s="653"/>
      <c r="H833" s="653"/>
    </row>
    <row r="834" spans="3:8" ht="15.75" customHeight="1" x14ac:dyDescent="0.25">
      <c r="C834" s="54"/>
      <c r="F834" s="653"/>
      <c r="H834" s="653"/>
    </row>
    <row r="835" spans="3:8" ht="15.75" customHeight="1" x14ac:dyDescent="0.25">
      <c r="C835" s="54"/>
      <c r="F835" s="653"/>
      <c r="H835" s="653"/>
    </row>
    <row r="836" spans="3:8" ht="15.75" customHeight="1" x14ac:dyDescent="0.25">
      <c r="C836" s="54"/>
      <c r="F836" s="653"/>
      <c r="H836" s="653"/>
    </row>
    <row r="837" spans="3:8" ht="15.75" customHeight="1" x14ac:dyDescent="0.25">
      <c r="C837" s="54"/>
      <c r="F837" s="653"/>
      <c r="H837" s="653"/>
    </row>
    <row r="838" spans="3:8" ht="15.75" customHeight="1" x14ac:dyDescent="0.25">
      <c r="C838" s="54"/>
      <c r="F838" s="653"/>
      <c r="H838" s="653"/>
    </row>
    <row r="839" spans="3:8" ht="15.75" customHeight="1" x14ac:dyDescent="0.25">
      <c r="C839" s="54"/>
      <c r="F839" s="653"/>
      <c r="H839" s="653"/>
    </row>
    <row r="840" spans="3:8" ht="15.75" customHeight="1" x14ac:dyDescent="0.25">
      <c r="C840" s="54"/>
      <c r="F840" s="653"/>
      <c r="H840" s="653"/>
    </row>
    <row r="841" spans="3:8" ht="15.75" customHeight="1" x14ac:dyDescent="0.25">
      <c r="C841" s="54"/>
      <c r="F841" s="653"/>
      <c r="H841" s="653"/>
    </row>
    <row r="842" spans="3:8" ht="15.75" customHeight="1" x14ac:dyDescent="0.25">
      <c r="C842" s="54"/>
      <c r="F842" s="653"/>
      <c r="H842" s="653"/>
    </row>
    <row r="843" spans="3:8" ht="15.75" customHeight="1" x14ac:dyDescent="0.25">
      <c r="C843" s="54"/>
      <c r="F843" s="653"/>
      <c r="H843" s="653"/>
    </row>
    <row r="844" spans="3:8" ht="15.75" customHeight="1" x14ac:dyDescent="0.25">
      <c r="C844" s="54"/>
      <c r="F844" s="653"/>
      <c r="H844" s="653"/>
    </row>
    <row r="845" spans="3:8" ht="15.75" customHeight="1" x14ac:dyDescent="0.25">
      <c r="C845" s="54"/>
      <c r="F845" s="653"/>
      <c r="H845" s="653"/>
    </row>
    <row r="846" spans="3:8" ht="15.75" customHeight="1" x14ac:dyDescent="0.25">
      <c r="C846" s="54"/>
      <c r="F846" s="653"/>
      <c r="H846" s="653"/>
    </row>
    <row r="847" spans="3:8" ht="15.75" customHeight="1" x14ac:dyDescent="0.25">
      <c r="C847" s="54"/>
      <c r="F847" s="653"/>
      <c r="H847" s="653"/>
    </row>
    <row r="848" spans="3:8" ht="15.75" customHeight="1" x14ac:dyDescent="0.25">
      <c r="C848" s="54"/>
      <c r="F848" s="653"/>
      <c r="H848" s="653"/>
    </row>
    <row r="849" spans="3:8" ht="15.75" customHeight="1" x14ac:dyDescent="0.25">
      <c r="C849" s="54"/>
      <c r="F849" s="653"/>
      <c r="H849" s="653"/>
    </row>
    <row r="850" spans="3:8" ht="15.75" customHeight="1" x14ac:dyDescent="0.25">
      <c r="C850" s="54"/>
      <c r="F850" s="653"/>
      <c r="H850" s="653"/>
    </row>
    <row r="851" spans="3:8" ht="15.75" customHeight="1" x14ac:dyDescent="0.25">
      <c r="C851" s="54"/>
      <c r="F851" s="653"/>
      <c r="H851" s="653"/>
    </row>
    <row r="852" spans="3:8" ht="15.75" customHeight="1" x14ac:dyDescent="0.25">
      <c r="C852" s="54"/>
      <c r="F852" s="653"/>
      <c r="H852" s="653"/>
    </row>
    <row r="853" spans="3:8" ht="15.75" customHeight="1" x14ac:dyDescent="0.25">
      <c r="C853" s="54"/>
      <c r="F853" s="653"/>
      <c r="H853" s="653"/>
    </row>
    <row r="854" spans="3:8" ht="15.75" customHeight="1" x14ac:dyDescent="0.25">
      <c r="C854" s="54"/>
      <c r="F854" s="653"/>
      <c r="H854" s="653"/>
    </row>
    <row r="855" spans="3:8" ht="15.75" customHeight="1" x14ac:dyDescent="0.25">
      <c r="C855" s="54"/>
      <c r="F855" s="653"/>
      <c r="H855" s="653"/>
    </row>
    <row r="856" spans="3:8" ht="15.75" customHeight="1" x14ac:dyDescent="0.25">
      <c r="C856" s="54"/>
      <c r="F856" s="653"/>
      <c r="H856" s="653"/>
    </row>
    <row r="857" spans="3:8" ht="15.75" customHeight="1" x14ac:dyDescent="0.25">
      <c r="C857" s="54"/>
      <c r="F857" s="653"/>
      <c r="H857" s="653"/>
    </row>
    <row r="858" spans="3:8" ht="15.75" customHeight="1" x14ac:dyDescent="0.25">
      <c r="C858" s="54"/>
      <c r="F858" s="653"/>
      <c r="H858" s="653"/>
    </row>
    <row r="859" spans="3:8" ht="15.75" customHeight="1" x14ac:dyDescent="0.25">
      <c r="C859" s="54"/>
      <c r="F859" s="653"/>
      <c r="H859" s="653"/>
    </row>
    <row r="860" spans="3:8" ht="15.75" customHeight="1" x14ac:dyDescent="0.25">
      <c r="C860" s="54"/>
      <c r="F860" s="653"/>
      <c r="H860" s="653"/>
    </row>
    <row r="861" spans="3:8" ht="15.75" customHeight="1" x14ac:dyDescent="0.25">
      <c r="C861" s="54"/>
      <c r="F861" s="653"/>
      <c r="H861" s="653"/>
    </row>
    <row r="862" spans="3:8" ht="15.75" customHeight="1" x14ac:dyDescent="0.25">
      <c r="C862" s="54"/>
      <c r="F862" s="653"/>
      <c r="H862" s="653"/>
    </row>
    <row r="863" spans="3:8" ht="15.75" customHeight="1" x14ac:dyDescent="0.25">
      <c r="C863" s="54"/>
      <c r="F863" s="653"/>
      <c r="H863" s="653"/>
    </row>
    <row r="864" spans="3:8" ht="15.75" customHeight="1" x14ac:dyDescent="0.25">
      <c r="C864" s="54"/>
      <c r="F864" s="653"/>
      <c r="H864" s="653"/>
    </row>
    <row r="865" spans="3:8" ht="15.75" customHeight="1" x14ac:dyDescent="0.25">
      <c r="C865" s="54"/>
      <c r="F865" s="653"/>
      <c r="H865" s="653"/>
    </row>
    <row r="866" spans="3:8" ht="15.75" customHeight="1" x14ac:dyDescent="0.25">
      <c r="C866" s="54"/>
      <c r="F866" s="653"/>
      <c r="H866" s="653"/>
    </row>
    <row r="867" spans="3:8" ht="15.75" customHeight="1" x14ac:dyDescent="0.25">
      <c r="C867" s="54"/>
      <c r="F867" s="653"/>
      <c r="H867" s="653"/>
    </row>
    <row r="868" spans="3:8" ht="15.75" customHeight="1" x14ac:dyDescent="0.25">
      <c r="C868" s="54"/>
      <c r="F868" s="653"/>
      <c r="H868" s="653"/>
    </row>
    <row r="869" spans="3:8" ht="15.75" customHeight="1" x14ac:dyDescent="0.25">
      <c r="C869" s="54"/>
      <c r="F869" s="653"/>
      <c r="H869" s="653"/>
    </row>
    <row r="870" spans="3:8" ht="15.75" customHeight="1" x14ac:dyDescent="0.25">
      <c r="C870" s="54"/>
      <c r="F870" s="653"/>
      <c r="H870" s="653"/>
    </row>
    <row r="871" spans="3:8" ht="15.75" customHeight="1" x14ac:dyDescent="0.25">
      <c r="C871" s="54"/>
      <c r="F871" s="653"/>
      <c r="H871" s="653"/>
    </row>
    <row r="872" spans="3:8" ht="15.75" customHeight="1" x14ac:dyDescent="0.25">
      <c r="C872" s="54"/>
      <c r="F872" s="653"/>
      <c r="H872" s="653"/>
    </row>
    <row r="873" spans="3:8" ht="15.75" customHeight="1" x14ac:dyDescent="0.25">
      <c r="C873" s="54"/>
      <c r="F873" s="653"/>
      <c r="H873" s="653"/>
    </row>
    <row r="874" spans="3:8" ht="15.75" customHeight="1" x14ac:dyDescent="0.25">
      <c r="C874" s="54"/>
      <c r="F874" s="653"/>
      <c r="H874" s="653"/>
    </row>
    <row r="875" spans="3:8" ht="15.75" customHeight="1" x14ac:dyDescent="0.25">
      <c r="C875" s="54"/>
      <c r="F875" s="653"/>
      <c r="H875" s="653"/>
    </row>
    <row r="876" spans="3:8" ht="15.75" customHeight="1" x14ac:dyDescent="0.25">
      <c r="C876" s="54"/>
      <c r="F876" s="653"/>
      <c r="H876" s="653"/>
    </row>
    <row r="877" spans="3:8" ht="15.75" customHeight="1" x14ac:dyDescent="0.25">
      <c r="C877" s="54"/>
      <c r="F877" s="653"/>
      <c r="H877" s="653"/>
    </row>
    <row r="878" spans="3:8" ht="15.75" customHeight="1" x14ac:dyDescent="0.25">
      <c r="C878" s="54"/>
      <c r="F878" s="653"/>
      <c r="H878" s="653"/>
    </row>
    <row r="879" spans="3:8" ht="15.75" customHeight="1" x14ac:dyDescent="0.25">
      <c r="C879" s="54"/>
      <c r="F879" s="653"/>
      <c r="H879" s="653"/>
    </row>
    <row r="880" spans="3:8" ht="15.75" customHeight="1" x14ac:dyDescent="0.25">
      <c r="C880" s="54"/>
      <c r="F880" s="653"/>
      <c r="H880" s="653"/>
    </row>
    <row r="881" spans="3:8" ht="15.75" customHeight="1" x14ac:dyDescent="0.25">
      <c r="C881" s="54"/>
      <c r="F881" s="653"/>
      <c r="H881" s="653"/>
    </row>
    <row r="882" spans="3:8" ht="15.75" customHeight="1" x14ac:dyDescent="0.25">
      <c r="C882" s="54"/>
      <c r="F882" s="653"/>
      <c r="H882" s="653"/>
    </row>
    <row r="883" spans="3:8" ht="15.75" customHeight="1" x14ac:dyDescent="0.25">
      <c r="C883" s="54"/>
      <c r="F883" s="653"/>
      <c r="H883" s="653"/>
    </row>
    <row r="884" spans="3:8" ht="15.75" customHeight="1" x14ac:dyDescent="0.25">
      <c r="C884" s="54"/>
      <c r="F884" s="653"/>
      <c r="H884" s="653"/>
    </row>
    <row r="885" spans="3:8" ht="15.75" customHeight="1" x14ac:dyDescent="0.25">
      <c r="C885" s="54"/>
      <c r="F885" s="653"/>
      <c r="H885" s="653"/>
    </row>
    <row r="886" spans="3:8" ht="15.75" customHeight="1" x14ac:dyDescent="0.25">
      <c r="C886" s="54"/>
      <c r="F886" s="653"/>
      <c r="H886" s="653"/>
    </row>
    <row r="887" spans="3:8" ht="15.75" customHeight="1" x14ac:dyDescent="0.25">
      <c r="C887" s="54"/>
      <c r="F887" s="653"/>
      <c r="H887" s="653"/>
    </row>
    <row r="888" spans="3:8" ht="15.75" customHeight="1" x14ac:dyDescent="0.25">
      <c r="C888" s="54"/>
      <c r="F888" s="653"/>
      <c r="H888" s="653"/>
    </row>
    <row r="889" spans="3:8" ht="15.75" customHeight="1" x14ac:dyDescent="0.25">
      <c r="C889" s="54"/>
      <c r="F889" s="653"/>
      <c r="H889" s="653"/>
    </row>
    <row r="890" spans="3:8" ht="15.75" customHeight="1" x14ac:dyDescent="0.25">
      <c r="C890" s="54"/>
      <c r="F890" s="653"/>
      <c r="H890" s="653"/>
    </row>
    <row r="891" spans="3:8" ht="15.75" customHeight="1" x14ac:dyDescent="0.25">
      <c r="C891" s="54"/>
      <c r="F891" s="653"/>
      <c r="H891" s="653"/>
    </row>
    <row r="892" spans="3:8" ht="15.75" customHeight="1" x14ac:dyDescent="0.25">
      <c r="C892" s="54"/>
      <c r="F892" s="653"/>
      <c r="H892" s="653"/>
    </row>
    <row r="893" spans="3:8" ht="15.75" customHeight="1" x14ac:dyDescent="0.25">
      <c r="C893" s="54"/>
      <c r="F893" s="653"/>
      <c r="H893" s="653"/>
    </row>
    <row r="894" spans="3:8" ht="15.75" customHeight="1" x14ac:dyDescent="0.25">
      <c r="C894" s="54"/>
      <c r="F894" s="653"/>
      <c r="H894" s="653"/>
    </row>
    <row r="895" spans="3:8" ht="15.75" customHeight="1" x14ac:dyDescent="0.25">
      <c r="C895" s="54"/>
      <c r="F895" s="653"/>
      <c r="H895" s="653"/>
    </row>
    <row r="896" spans="3:8" ht="15.75" customHeight="1" x14ac:dyDescent="0.25">
      <c r="C896" s="54"/>
      <c r="F896" s="653"/>
      <c r="H896" s="653"/>
    </row>
    <row r="897" spans="3:8" ht="15.75" customHeight="1" x14ac:dyDescent="0.25">
      <c r="C897" s="54"/>
      <c r="F897" s="653"/>
      <c r="H897" s="653"/>
    </row>
    <row r="898" spans="3:8" ht="15.75" customHeight="1" x14ac:dyDescent="0.25">
      <c r="C898" s="54"/>
      <c r="F898" s="653"/>
      <c r="H898" s="653"/>
    </row>
    <row r="899" spans="3:8" ht="15.75" customHeight="1" x14ac:dyDescent="0.25">
      <c r="C899" s="54"/>
      <c r="F899" s="653"/>
      <c r="H899" s="653"/>
    </row>
    <row r="900" spans="3:8" ht="15.75" customHeight="1" x14ac:dyDescent="0.25">
      <c r="C900" s="54"/>
      <c r="F900" s="653"/>
      <c r="H900" s="653"/>
    </row>
    <row r="901" spans="3:8" ht="15.75" customHeight="1" x14ac:dyDescent="0.25">
      <c r="C901" s="54"/>
      <c r="F901" s="653"/>
      <c r="H901" s="653"/>
    </row>
    <row r="902" spans="3:8" ht="15.75" customHeight="1" x14ac:dyDescent="0.25">
      <c r="C902" s="54"/>
      <c r="F902" s="653"/>
      <c r="H902" s="653"/>
    </row>
    <row r="903" spans="3:8" ht="15.75" customHeight="1" x14ac:dyDescent="0.25">
      <c r="C903" s="54"/>
      <c r="F903" s="653"/>
      <c r="H903" s="653"/>
    </row>
    <row r="904" spans="3:8" ht="15.75" customHeight="1" x14ac:dyDescent="0.25">
      <c r="C904" s="54"/>
      <c r="F904" s="653"/>
      <c r="H904" s="653"/>
    </row>
    <row r="905" spans="3:8" ht="15.75" customHeight="1" x14ac:dyDescent="0.25">
      <c r="C905" s="54"/>
      <c r="F905" s="653"/>
      <c r="H905" s="653"/>
    </row>
    <row r="906" spans="3:8" ht="15.75" customHeight="1" x14ac:dyDescent="0.25">
      <c r="C906" s="54"/>
      <c r="F906" s="653"/>
      <c r="H906" s="653"/>
    </row>
    <row r="907" spans="3:8" ht="15.75" customHeight="1" x14ac:dyDescent="0.25">
      <c r="C907" s="54"/>
      <c r="F907" s="653"/>
      <c r="H907" s="653"/>
    </row>
    <row r="908" spans="3:8" ht="15.75" customHeight="1" x14ac:dyDescent="0.25">
      <c r="C908" s="54"/>
      <c r="F908" s="653"/>
      <c r="H908" s="653"/>
    </row>
    <row r="909" spans="3:8" ht="15.75" customHeight="1" x14ac:dyDescent="0.25">
      <c r="C909" s="54"/>
      <c r="F909" s="653"/>
      <c r="H909" s="653"/>
    </row>
    <row r="910" spans="3:8" ht="15.75" customHeight="1" x14ac:dyDescent="0.25">
      <c r="C910" s="54"/>
      <c r="F910" s="653"/>
      <c r="H910" s="653"/>
    </row>
    <row r="911" spans="3:8" ht="15.75" customHeight="1" x14ac:dyDescent="0.25">
      <c r="C911" s="54"/>
      <c r="F911" s="653"/>
      <c r="H911" s="653"/>
    </row>
    <row r="912" spans="3:8" ht="15.75" customHeight="1" x14ac:dyDescent="0.25">
      <c r="C912" s="54"/>
      <c r="F912" s="653"/>
      <c r="H912" s="653"/>
    </row>
    <row r="913" spans="3:8" ht="15.75" customHeight="1" x14ac:dyDescent="0.25">
      <c r="C913" s="54"/>
      <c r="F913" s="653"/>
      <c r="H913" s="653"/>
    </row>
    <row r="914" spans="3:8" ht="15.75" customHeight="1" x14ac:dyDescent="0.25">
      <c r="C914" s="54"/>
      <c r="F914" s="653"/>
      <c r="H914" s="653"/>
    </row>
    <row r="915" spans="3:8" ht="15.75" customHeight="1" x14ac:dyDescent="0.25">
      <c r="C915" s="54"/>
      <c r="F915" s="653"/>
      <c r="H915" s="653"/>
    </row>
    <row r="916" spans="3:8" ht="15.75" customHeight="1" x14ac:dyDescent="0.25">
      <c r="C916" s="54"/>
      <c r="F916" s="653"/>
      <c r="H916" s="653"/>
    </row>
    <row r="917" spans="3:8" ht="15.75" customHeight="1" x14ac:dyDescent="0.25">
      <c r="C917" s="54"/>
      <c r="F917" s="653"/>
      <c r="H917" s="653"/>
    </row>
    <row r="918" spans="3:8" ht="15.75" customHeight="1" x14ac:dyDescent="0.25">
      <c r="C918" s="54"/>
      <c r="F918" s="653"/>
      <c r="H918" s="653"/>
    </row>
    <row r="919" spans="3:8" ht="15.75" customHeight="1" x14ac:dyDescent="0.25">
      <c r="C919" s="54"/>
      <c r="F919" s="653"/>
      <c r="H919" s="653"/>
    </row>
    <row r="920" spans="3:8" ht="15.75" customHeight="1" x14ac:dyDescent="0.25">
      <c r="C920" s="54"/>
      <c r="F920" s="653"/>
      <c r="H920" s="653"/>
    </row>
    <row r="921" spans="3:8" ht="15.75" customHeight="1" x14ac:dyDescent="0.25">
      <c r="C921" s="54"/>
      <c r="F921" s="653"/>
      <c r="H921" s="653"/>
    </row>
    <row r="922" spans="3:8" ht="15.75" customHeight="1" x14ac:dyDescent="0.25">
      <c r="C922" s="54"/>
      <c r="F922" s="653"/>
      <c r="H922" s="653"/>
    </row>
    <row r="923" spans="3:8" ht="15.75" customHeight="1" x14ac:dyDescent="0.25">
      <c r="C923" s="54"/>
      <c r="F923" s="653"/>
      <c r="H923" s="653"/>
    </row>
    <row r="924" spans="3:8" ht="15.75" customHeight="1" x14ac:dyDescent="0.25">
      <c r="C924" s="54"/>
      <c r="F924" s="653"/>
      <c r="H924" s="653"/>
    </row>
    <row r="925" spans="3:8" ht="15.75" customHeight="1" x14ac:dyDescent="0.25">
      <c r="C925" s="54"/>
      <c r="F925" s="653"/>
      <c r="H925" s="653"/>
    </row>
    <row r="926" spans="3:8" ht="15.75" customHeight="1" x14ac:dyDescent="0.25">
      <c r="C926" s="54"/>
      <c r="F926" s="653"/>
      <c r="H926" s="653"/>
    </row>
    <row r="927" spans="3:8" ht="15.75" customHeight="1" x14ac:dyDescent="0.25">
      <c r="C927" s="54"/>
      <c r="F927" s="653"/>
      <c r="H927" s="653"/>
    </row>
    <row r="928" spans="3:8" ht="15.75" customHeight="1" x14ac:dyDescent="0.25">
      <c r="C928" s="54"/>
      <c r="F928" s="653"/>
      <c r="H928" s="653"/>
    </row>
    <row r="929" spans="3:8" ht="15.75" customHeight="1" x14ac:dyDescent="0.25">
      <c r="C929" s="54"/>
      <c r="F929" s="653"/>
      <c r="H929" s="653"/>
    </row>
    <row r="930" spans="3:8" ht="15.75" customHeight="1" x14ac:dyDescent="0.25">
      <c r="C930" s="54"/>
      <c r="F930" s="653"/>
      <c r="H930" s="653"/>
    </row>
    <row r="931" spans="3:8" ht="15.75" customHeight="1" x14ac:dyDescent="0.25">
      <c r="C931" s="54"/>
      <c r="F931" s="653"/>
      <c r="H931" s="653"/>
    </row>
    <row r="932" spans="3:8" ht="15.75" customHeight="1" x14ac:dyDescent="0.25">
      <c r="C932" s="54"/>
      <c r="F932" s="653"/>
      <c r="H932" s="653"/>
    </row>
    <row r="933" spans="3:8" ht="15.75" customHeight="1" x14ac:dyDescent="0.25">
      <c r="C933" s="54"/>
      <c r="F933" s="653"/>
      <c r="H933" s="653"/>
    </row>
    <row r="934" spans="3:8" ht="15.75" customHeight="1" x14ac:dyDescent="0.25">
      <c r="C934" s="54"/>
      <c r="F934" s="653"/>
      <c r="H934" s="653"/>
    </row>
    <row r="935" spans="3:8" ht="15.75" customHeight="1" x14ac:dyDescent="0.25">
      <c r="C935" s="54"/>
      <c r="F935" s="653"/>
      <c r="H935" s="653"/>
    </row>
    <row r="936" spans="3:8" ht="15.75" customHeight="1" x14ac:dyDescent="0.25">
      <c r="C936" s="54"/>
      <c r="F936" s="653"/>
      <c r="H936" s="653"/>
    </row>
    <row r="937" spans="3:8" ht="15.75" customHeight="1" x14ac:dyDescent="0.25">
      <c r="C937" s="54"/>
      <c r="F937" s="653"/>
      <c r="H937" s="653"/>
    </row>
    <row r="938" spans="3:8" ht="15.75" customHeight="1" x14ac:dyDescent="0.25">
      <c r="C938" s="54"/>
      <c r="F938" s="653"/>
      <c r="H938" s="653"/>
    </row>
    <row r="939" spans="3:8" ht="15.75" customHeight="1" x14ac:dyDescent="0.25">
      <c r="C939" s="54"/>
      <c r="F939" s="653"/>
      <c r="H939" s="653"/>
    </row>
    <row r="940" spans="3:8" ht="15.75" customHeight="1" x14ac:dyDescent="0.25">
      <c r="C940" s="54"/>
      <c r="F940" s="653"/>
      <c r="H940" s="653"/>
    </row>
    <row r="941" spans="3:8" ht="15.75" customHeight="1" x14ac:dyDescent="0.25">
      <c r="C941" s="54"/>
      <c r="F941" s="653"/>
      <c r="H941" s="653"/>
    </row>
  </sheetData>
  <autoFilter ref="A9:Y745" xr:uid="{A9B98E62-1A53-4692-A82E-09B9708D3FDC}"/>
  <mergeCells count="139">
    <mergeCell ref="B745:K745"/>
    <mergeCell ref="B741:E741"/>
    <mergeCell ref="B742:E742"/>
    <mergeCell ref="B743:K743"/>
    <mergeCell ref="B744:K744"/>
    <mergeCell ref="B707:E707"/>
    <mergeCell ref="B708:K708"/>
    <mergeCell ref="B709:K709"/>
    <mergeCell ref="B724:E724"/>
    <mergeCell ref="B725:K725"/>
    <mergeCell ref="B740:E740"/>
    <mergeCell ref="B673:E673"/>
    <mergeCell ref="B674:K674"/>
    <mergeCell ref="B689:E689"/>
    <mergeCell ref="B690:K690"/>
    <mergeCell ref="B705:E705"/>
    <mergeCell ref="B706:E706"/>
    <mergeCell ref="B625:E625"/>
    <mergeCell ref="B626:K626"/>
    <mergeCell ref="B641:E641"/>
    <mergeCell ref="B642:K642"/>
    <mergeCell ref="B657:E657"/>
    <mergeCell ref="B658:K658"/>
    <mergeCell ref="B577:E577"/>
    <mergeCell ref="B578:K578"/>
    <mergeCell ref="B593:E593"/>
    <mergeCell ref="B594:K594"/>
    <mergeCell ref="B609:E609"/>
    <mergeCell ref="B610:K610"/>
    <mergeCell ref="B529:E529"/>
    <mergeCell ref="B530:K530"/>
    <mergeCell ref="B545:E545"/>
    <mergeCell ref="B546:K546"/>
    <mergeCell ref="B561:E561"/>
    <mergeCell ref="B562:K562"/>
    <mergeCell ref="B481:E481"/>
    <mergeCell ref="B482:K482"/>
    <mergeCell ref="B497:E497"/>
    <mergeCell ref="B498:K498"/>
    <mergeCell ref="B513:E513"/>
    <mergeCell ref="B514:K514"/>
    <mergeCell ref="B433:E433"/>
    <mergeCell ref="B434:K434"/>
    <mergeCell ref="B449:E449"/>
    <mergeCell ref="B450:K450"/>
    <mergeCell ref="B465:E465"/>
    <mergeCell ref="B466:K466"/>
    <mergeCell ref="B385:E385"/>
    <mergeCell ref="B386:K386"/>
    <mergeCell ref="B401:E401"/>
    <mergeCell ref="B402:K402"/>
    <mergeCell ref="B417:E417"/>
    <mergeCell ref="B418:K418"/>
    <mergeCell ref="B337:E337"/>
    <mergeCell ref="B338:K338"/>
    <mergeCell ref="B353:E353"/>
    <mergeCell ref="B354:K354"/>
    <mergeCell ref="B369:E369"/>
    <mergeCell ref="B370:K370"/>
    <mergeCell ref="B289:E289"/>
    <mergeCell ref="B290:K290"/>
    <mergeCell ref="B305:E305"/>
    <mergeCell ref="B306:K306"/>
    <mergeCell ref="B321:E321"/>
    <mergeCell ref="B322:K322"/>
    <mergeCell ref="B241:E241"/>
    <mergeCell ref="B242:K242"/>
    <mergeCell ref="B257:E257"/>
    <mergeCell ref="B258:K258"/>
    <mergeCell ref="B273:E273"/>
    <mergeCell ref="B274:K274"/>
    <mergeCell ref="B193:E193"/>
    <mergeCell ref="B194:K194"/>
    <mergeCell ref="B209:E209"/>
    <mergeCell ref="B210:K210"/>
    <mergeCell ref="B225:E225"/>
    <mergeCell ref="B226:K226"/>
    <mergeCell ref="B159:E159"/>
    <mergeCell ref="B160:E160"/>
    <mergeCell ref="B161:K161"/>
    <mergeCell ref="B162:K162"/>
    <mergeCell ref="B177:E177"/>
    <mergeCell ref="B178:K178"/>
    <mergeCell ref="B108:E108"/>
    <mergeCell ref="B109:K109"/>
    <mergeCell ref="B125:E125"/>
    <mergeCell ref="B126:K126"/>
    <mergeCell ref="B142:E142"/>
    <mergeCell ref="B143:K143"/>
    <mergeCell ref="B87:E87"/>
    <mergeCell ref="B88:E88"/>
    <mergeCell ref="B89:K89"/>
    <mergeCell ref="B90:K90"/>
    <mergeCell ref="B91:K91"/>
    <mergeCell ref="B92:K92"/>
    <mergeCell ref="B65:E65"/>
    <mergeCell ref="B66:K66"/>
    <mergeCell ref="B81:E81"/>
    <mergeCell ref="B82:K82"/>
    <mergeCell ref="B84:E84"/>
    <mergeCell ref="B85:K85"/>
    <mergeCell ref="B56:E56"/>
    <mergeCell ref="B57:K57"/>
    <mergeCell ref="B59:E59"/>
    <mergeCell ref="B60:K60"/>
    <mergeCell ref="B62:E62"/>
    <mergeCell ref="B63:K63"/>
    <mergeCell ref="B48:D48"/>
    <mergeCell ref="B49:K49"/>
    <mergeCell ref="B51:D51"/>
    <mergeCell ref="B52:D52"/>
    <mergeCell ref="B53:K53"/>
    <mergeCell ref="B54:K54"/>
    <mergeCell ref="B25:D25"/>
    <mergeCell ref="B26:K26"/>
    <mergeCell ref="B33:D33"/>
    <mergeCell ref="B34:D34"/>
    <mergeCell ref="B35:K35"/>
    <mergeCell ref="B36:K36"/>
    <mergeCell ref="B24:D24"/>
    <mergeCell ref="B3:K7"/>
    <mergeCell ref="B8:B9"/>
    <mergeCell ref="C8:C9"/>
    <mergeCell ref="D8:D9"/>
    <mergeCell ref="E8:E9"/>
    <mergeCell ref="F8:F9"/>
    <mergeCell ref="G8:G9"/>
    <mergeCell ref="H8:H9"/>
    <mergeCell ref="I8:I9"/>
    <mergeCell ref="J8:J9"/>
    <mergeCell ref="N6:P7"/>
    <mergeCell ref="N8:N9"/>
    <mergeCell ref="O8:O9"/>
    <mergeCell ref="P8:P9"/>
    <mergeCell ref="K8:K9"/>
    <mergeCell ref="B10:K10"/>
    <mergeCell ref="B11:K11"/>
    <mergeCell ref="B17:D17"/>
    <mergeCell ref="B18:K18"/>
  </mergeCells>
  <conditionalFormatting sqref="P12:P742">
    <cfRule type="cellIs" dxfId="34" priority="1" operator="greaterThan">
      <formula>0</formula>
    </cfRule>
  </conditionalFormatting>
  <pageMargins left="0.7" right="0.7" top="0.75" bottom="0.75"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62855D-8CE4-419F-BE71-F522600C969C}">
  <sheetPr>
    <tabColor rgb="FFFFC000"/>
  </sheetPr>
  <dimension ref="A1"/>
  <sheetViews>
    <sheetView workbookViewId="0"/>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5850E-A8AD-436E-ACE9-BD432A060A2B}">
  <dimension ref="A2:S18"/>
  <sheetViews>
    <sheetView topLeftCell="A21" workbookViewId="0">
      <selection activeCell="G10" sqref="G10"/>
    </sheetView>
  </sheetViews>
  <sheetFormatPr baseColWidth="10" defaultColWidth="11.42578125" defaultRowHeight="13.5" customHeight="1" x14ac:dyDescent="0.2"/>
  <cols>
    <col min="1" max="1" width="1" style="66" customWidth="1"/>
    <col min="2" max="2" width="5.28515625" style="66" customWidth="1"/>
    <col min="3" max="3" width="11.28515625" style="66" customWidth="1"/>
    <col min="4" max="4" width="11.140625" style="66" customWidth="1"/>
    <col min="5" max="5" width="13.42578125" style="151" customWidth="1"/>
    <col min="6" max="6" width="9" style="66" customWidth="1"/>
    <col min="7" max="7" width="15.7109375" style="151" customWidth="1"/>
    <col min="8" max="8" width="23.28515625" style="66" customWidth="1"/>
    <col min="9" max="9" width="1.7109375" style="66" customWidth="1"/>
    <col min="10" max="10" width="16.85546875" style="78" customWidth="1"/>
    <col min="11" max="11" width="12.42578125" style="78" customWidth="1"/>
    <col min="12" max="12" width="11.42578125" style="78" customWidth="1"/>
    <col min="13" max="13" width="11.42578125" style="78" hidden="1" customWidth="1"/>
    <col min="14" max="14" width="15.5703125" style="78" customWidth="1"/>
    <col min="15" max="15" width="14.42578125" style="78" customWidth="1"/>
    <col min="16" max="16" width="13" style="78" customWidth="1"/>
    <col min="17" max="17" width="14.42578125" style="78" hidden="1" customWidth="1"/>
    <col min="18" max="18" width="13.28515625" style="78" customWidth="1"/>
    <col min="19" max="19" width="9.5703125" style="78" customWidth="1"/>
    <col min="20" max="16384" width="11.42578125" style="66"/>
  </cols>
  <sheetData>
    <row r="2" spans="1:19" ht="13.5" customHeight="1" x14ac:dyDescent="0.2">
      <c r="B2" s="824" t="s">
        <v>210</v>
      </c>
      <c r="C2" s="825"/>
      <c r="D2" s="825"/>
      <c r="E2" s="825"/>
      <c r="F2" s="825"/>
      <c r="G2" s="825"/>
      <c r="H2" s="825"/>
      <c r="I2" s="825"/>
      <c r="J2" s="825"/>
      <c r="K2" s="825"/>
      <c r="L2" s="825"/>
      <c r="M2" s="825"/>
      <c r="N2" s="825"/>
      <c r="O2" s="825"/>
    </row>
    <row r="4" spans="1:19" ht="13.5" customHeight="1" x14ac:dyDescent="0.2">
      <c r="B4" s="826" t="s">
        <v>352</v>
      </c>
      <c r="C4" s="827"/>
      <c r="D4" s="827"/>
      <c r="E4" s="827"/>
      <c r="F4" s="827"/>
      <c r="G4" s="827"/>
      <c r="H4" s="828"/>
      <c r="J4" s="837" t="s">
        <v>220</v>
      </c>
      <c r="K4" s="837"/>
      <c r="L4" s="837"/>
      <c r="M4" s="837"/>
      <c r="N4" s="837"/>
      <c r="O4" s="837"/>
      <c r="P4" s="837"/>
      <c r="Q4" s="152"/>
      <c r="R4" s="26"/>
      <c r="S4" s="26"/>
    </row>
    <row r="5" spans="1:19" ht="18.75" customHeight="1" x14ac:dyDescent="0.2">
      <c r="B5" s="140" t="s">
        <v>213</v>
      </c>
      <c r="C5" s="139" t="s">
        <v>214</v>
      </c>
      <c r="D5" s="139" t="s">
        <v>215</v>
      </c>
      <c r="E5" s="149" t="s">
        <v>148</v>
      </c>
      <c r="F5" s="139" t="s">
        <v>147</v>
      </c>
      <c r="G5" s="149" t="s">
        <v>216</v>
      </c>
      <c r="H5" s="139" t="s">
        <v>217</v>
      </c>
      <c r="J5" s="829" t="s">
        <v>221</v>
      </c>
      <c r="K5" s="830"/>
      <c r="L5" s="830"/>
      <c r="M5" s="831"/>
      <c r="N5" s="832" t="s">
        <v>222</v>
      </c>
      <c r="O5" s="833"/>
      <c r="P5" s="833"/>
      <c r="Q5" s="834"/>
      <c r="R5" s="835" t="s">
        <v>1070</v>
      </c>
      <c r="S5" s="835" t="s">
        <v>443</v>
      </c>
    </row>
    <row r="6" spans="1:19" ht="31.5" customHeight="1" x14ac:dyDescent="0.2">
      <c r="B6" s="822" t="s">
        <v>353</v>
      </c>
      <c r="C6" s="822"/>
      <c r="D6" s="822"/>
      <c r="E6" s="822"/>
      <c r="F6" s="822"/>
      <c r="G6" s="822"/>
      <c r="H6" s="822"/>
      <c r="J6" s="71" t="s">
        <v>224</v>
      </c>
      <c r="K6" s="71" t="s">
        <v>225</v>
      </c>
      <c r="L6" s="71" t="s">
        <v>226</v>
      </c>
      <c r="M6" s="71" t="s">
        <v>443</v>
      </c>
      <c r="N6" s="71" t="s">
        <v>224</v>
      </c>
      <c r="O6" s="71" t="s">
        <v>225</v>
      </c>
      <c r="P6" s="71" t="s">
        <v>226</v>
      </c>
      <c r="Q6" s="71" t="s">
        <v>443</v>
      </c>
      <c r="R6" s="836"/>
      <c r="S6" s="836"/>
    </row>
    <row r="7" spans="1:19" ht="83.25" customHeight="1" x14ac:dyDescent="0.2">
      <c r="A7" s="68"/>
      <c r="B7" s="431">
        <v>1</v>
      </c>
      <c r="C7" s="432" t="s">
        <v>441</v>
      </c>
      <c r="D7" s="431">
        <v>5</v>
      </c>
      <c r="E7" s="433">
        <v>6500000</v>
      </c>
      <c r="F7" s="431">
        <v>4</v>
      </c>
      <c r="G7" s="433">
        <f>D7*E7*F7</f>
        <v>130000000</v>
      </c>
      <c r="H7" s="434" t="s">
        <v>1048</v>
      </c>
      <c r="I7" s="68"/>
      <c r="J7" s="69" t="str">
        <f>'1.2 Resolucion 2157 DE 2024'!$B$2</f>
        <v>Resolución 2157 del 31 de octubre de 2024 con honorarios  de 2025 - Ministerio de Justicia</v>
      </c>
      <c r="K7" s="81" t="str">
        <f>'1.2 Resolucion 2157 DE 2024'!K13</f>
        <v>Profesionales 3</v>
      </c>
      <c r="L7" s="79">
        <f>'1.2 Resolucion 2157 DE 2024'!O13</f>
        <v>6950518</v>
      </c>
      <c r="M7" s="153">
        <f>E7/L7-1</f>
        <v>-6.4817902780771153E-2</v>
      </c>
      <c r="N7" s="69" t="str">
        <f>'1.3 Fuentes_Personal'!$D$5</f>
        <v>Circular No. 45 del 09 Dic 2024 - Tabla de honorarios de la Agencia Nacional de Tierras Vigencia 2025</v>
      </c>
      <c r="O7" s="69" t="s">
        <v>1056</v>
      </c>
      <c r="P7" s="79">
        <f>'1.3 Fuentes_Personal'!K19</f>
        <v>7382437</v>
      </c>
      <c r="Q7" s="202">
        <f>E7/P7-1</f>
        <v>-0.11953193775984816</v>
      </c>
      <c r="R7" s="82">
        <f>ROUND(AVERAGE(L7,P7),0)</f>
        <v>7166478</v>
      </c>
      <c r="S7" s="83">
        <f>E7/R7-1</f>
        <v>-9.2999378495266405E-2</v>
      </c>
    </row>
    <row r="8" spans="1:19" ht="30" customHeight="1" x14ac:dyDescent="0.2">
      <c r="A8" s="68"/>
      <c r="B8" s="822" t="s">
        <v>360</v>
      </c>
      <c r="C8" s="822"/>
      <c r="D8" s="822"/>
      <c r="E8" s="822"/>
      <c r="F8" s="822"/>
      <c r="G8" s="822"/>
      <c r="H8" s="822"/>
      <c r="I8" s="68"/>
      <c r="J8" s="829" t="s">
        <v>221</v>
      </c>
      <c r="K8" s="830"/>
      <c r="L8" s="830"/>
      <c r="M8" s="831"/>
      <c r="N8" s="832" t="s">
        <v>222</v>
      </c>
      <c r="O8" s="833"/>
      <c r="P8" s="833"/>
      <c r="Q8" s="834"/>
      <c r="R8" s="835" t="s">
        <v>1070</v>
      </c>
      <c r="S8" s="835" t="s">
        <v>443</v>
      </c>
    </row>
    <row r="9" spans="1:19" ht="30" customHeight="1" x14ac:dyDescent="0.2">
      <c r="A9" s="68"/>
      <c r="B9" s="822"/>
      <c r="C9" s="822"/>
      <c r="D9" s="822"/>
      <c r="E9" s="822"/>
      <c r="F9" s="822"/>
      <c r="G9" s="822"/>
      <c r="H9" s="822"/>
      <c r="I9" s="68"/>
      <c r="J9" s="71" t="s">
        <v>224</v>
      </c>
      <c r="K9" s="71" t="s">
        <v>225</v>
      </c>
      <c r="L9" s="71" t="s">
        <v>226</v>
      </c>
      <c r="M9" s="71" t="s">
        <v>443</v>
      </c>
      <c r="N9" s="71" t="s">
        <v>224</v>
      </c>
      <c r="O9" s="71" t="s">
        <v>225</v>
      </c>
      <c r="P9" s="71" t="s">
        <v>226</v>
      </c>
      <c r="Q9" s="71" t="s">
        <v>443</v>
      </c>
      <c r="R9" s="836"/>
      <c r="S9" s="836"/>
    </row>
    <row r="10" spans="1:19" ht="83.25" customHeight="1" x14ac:dyDescent="0.2">
      <c r="A10" s="68"/>
      <c r="B10" s="145">
        <v>2</v>
      </c>
      <c r="C10" s="148" t="s">
        <v>442</v>
      </c>
      <c r="D10" s="145">
        <v>5</v>
      </c>
      <c r="E10" s="429">
        <v>3500000</v>
      </c>
      <c r="F10" s="145">
        <v>4</v>
      </c>
      <c r="G10" s="429">
        <f>D10*E10*F10</f>
        <v>70000000</v>
      </c>
      <c r="H10" s="430" t="s">
        <v>1049</v>
      </c>
      <c r="J10" s="69" t="str">
        <f>'1.2 Resolucion 2157 DE 2024'!$B$2</f>
        <v>Resolución 2157 del 31 de octubre de 2024 con honorarios  de 2025 - Ministerio de Justicia</v>
      </c>
      <c r="K10" s="81" t="str">
        <f>'1.2 Resolucion 2157 DE 2024'!K16</f>
        <v>Técnicos 2</v>
      </c>
      <c r="L10" s="80">
        <f>'1.2 Resolucion 2157 DE 2024'!O16</f>
        <v>3870535</v>
      </c>
      <c r="M10" s="154">
        <f>E10/L10-1</f>
        <v>-9.5732243733747446E-2</v>
      </c>
      <c r="N10" s="69" t="str">
        <f>'1.3 Fuentes_Personal'!$D$5</f>
        <v>Circular No. 45 del 09 Dic 2024 - Tabla de honorarios de la Agencia Nacional de Tierras Vigencia 2025</v>
      </c>
      <c r="O10" s="69" t="s">
        <v>536</v>
      </c>
      <c r="P10" s="80">
        <f>'1.3 Fuentes_Personal'!K28</f>
        <v>3789009</v>
      </c>
      <c r="Q10" s="202">
        <f>E10/P10-1</f>
        <v>-7.6275617186446376E-2</v>
      </c>
      <c r="R10" s="82">
        <f>ROUND(AVERAGE(L10,P10),0)</f>
        <v>3829772</v>
      </c>
      <c r="S10" s="83">
        <f>E10/R10-1</f>
        <v>-8.6107475849737214E-2</v>
      </c>
    </row>
    <row r="11" spans="1:19" ht="16.5" customHeight="1" x14ac:dyDescent="0.2">
      <c r="B11" s="823" t="s">
        <v>1071</v>
      </c>
      <c r="C11" s="823"/>
      <c r="D11" s="823"/>
      <c r="E11" s="823"/>
      <c r="F11" s="823"/>
      <c r="G11" s="823"/>
      <c r="H11" s="823"/>
      <c r="J11" s="829" t="s">
        <v>221</v>
      </c>
      <c r="K11" s="830"/>
      <c r="L11" s="830"/>
      <c r="M11" s="831"/>
      <c r="N11" s="832" t="s">
        <v>222</v>
      </c>
      <c r="O11" s="833"/>
      <c r="P11" s="833"/>
      <c r="Q11" s="834"/>
      <c r="R11" s="835" t="s">
        <v>1070</v>
      </c>
      <c r="S11" s="835" t="s">
        <v>223</v>
      </c>
    </row>
    <row r="12" spans="1:19" ht="24" customHeight="1" x14ac:dyDescent="0.2">
      <c r="B12" s="823"/>
      <c r="C12" s="823"/>
      <c r="D12" s="823"/>
      <c r="E12" s="823"/>
      <c r="F12" s="823"/>
      <c r="G12" s="823"/>
      <c r="H12" s="823"/>
      <c r="J12" s="71" t="s">
        <v>224</v>
      </c>
      <c r="K12" s="71" t="s">
        <v>225</v>
      </c>
      <c r="L12" s="71" t="s">
        <v>226</v>
      </c>
      <c r="M12" s="71" t="s">
        <v>443</v>
      </c>
      <c r="N12" s="71" t="s">
        <v>224</v>
      </c>
      <c r="O12" s="71" t="s">
        <v>225</v>
      </c>
      <c r="P12" s="71" t="s">
        <v>226</v>
      </c>
      <c r="Q12" s="71" t="s">
        <v>443</v>
      </c>
      <c r="R12" s="836"/>
      <c r="S12" s="836"/>
    </row>
    <row r="13" spans="1:19" ht="63.75" customHeight="1" x14ac:dyDescent="0.2">
      <c r="A13" s="68"/>
      <c r="B13" s="146">
        <v>1</v>
      </c>
      <c r="C13" s="148" t="s">
        <v>256</v>
      </c>
      <c r="D13" s="146">
        <v>1</v>
      </c>
      <c r="E13" s="150">
        <v>10000000</v>
      </c>
      <c r="F13" s="146">
        <v>4</v>
      </c>
      <c r="G13" s="150">
        <f>D13*E13*F13</f>
        <v>40000000</v>
      </c>
      <c r="H13" s="147" t="s">
        <v>1050</v>
      </c>
      <c r="J13" s="69" t="str">
        <f>'1.2 Resolucion 2157 DE 2024'!$B$2</f>
        <v>Resolución 2157 del 31 de octubre de 2024 con honorarios  de 2025 - Ministerio de Justicia</v>
      </c>
      <c r="K13" s="81" t="str">
        <f>'1.2 Resolucion 2157 DE 2024'!K11</f>
        <v>Profesionales 5</v>
      </c>
      <c r="L13" s="80">
        <f>'1.2 Resolucion 2157 DE 2024'!O11</f>
        <v>11498986</v>
      </c>
      <c r="M13" s="154">
        <f t="shared" ref="M13:M18" si="0">E13/L13-1</f>
        <v>-0.13035810287967997</v>
      </c>
      <c r="N13" s="69" t="s">
        <v>482</v>
      </c>
      <c r="O13" s="69" t="s">
        <v>489</v>
      </c>
      <c r="P13" s="428">
        <f>'1.3 Fuentes_Personal'!M82</f>
        <v>9857700</v>
      </c>
      <c r="Q13" s="426">
        <f t="shared" ref="Q13:Q18" si="1">E13/P13-1</f>
        <v>1.443541596924236E-2</v>
      </c>
      <c r="R13" s="82">
        <f>ROUND(AVERAGE(L13,P13),0)</f>
        <v>10678343</v>
      </c>
      <c r="S13" s="83">
        <f>E13/R13-1</f>
        <v>-6.3525118082459087E-2</v>
      </c>
    </row>
    <row r="14" spans="1:19" ht="72" customHeight="1" x14ac:dyDescent="0.2">
      <c r="A14" s="68"/>
      <c r="B14" s="146">
        <v>2</v>
      </c>
      <c r="C14" s="148" t="s">
        <v>444</v>
      </c>
      <c r="D14" s="146">
        <v>1</v>
      </c>
      <c r="E14" s="150">
        <v>8000000</v>
      </c>
      <c r="F14" s="146">
        <v>4</v>
      </c>
      <c r="G14" s="150">
        <f>D14*E14*F14</f>
        <v>32000000</v>
      </c>
      <c r="H14" s="147" t="s">
        <v>1051</v>
      </c>
      <c r="J14" s="69" t="str">
        <f>'1.2 Resolucion 2157 DE 2024'!$B$2</f>
        <v>Resolución 2157 del 31 de octubre de 2024 con honorarios  de 2025 - Ministerio de Justicia</v>
      </c>
      <c r="K14" s="81" t="str">
        <f>'1.2 Resolucion 2157 DE 2024'!K12</f>
        <v>Profesionales 4</v>
      </c>
      <c r="L14" s="80">
        <f>'1.2 Resolucion 2157 DE 2024'!O12</f>
        <v>9147012</v>
      </c>
      <c r="M14" s="154">
        <f t="shared" si="0"/>
        <v>-0.12539745219531795</v>
      </c>
      <c r="N14" s="69" t="str">
        <f>'1.3 Fuentes_Personal'!$D$5</f>
        <v>Circular No. 45 del 09 Dic 2024 - Tabla de honorarios de la Agencia Nacional de Tierras Vigencia 2025</v>
      </c>
      <c r="O14" s="69" t="s">
        <v>1057</v>
      </c>
      <c r="P14" s="80">
        <f>'1.3 Fuentes_Personal'!$K$18</f>
        <v>8384320</v>
      </c>
      <c r="Q14" s="154">
        <f t="shared" si="1"/>
        <v>-4.5837945116598555E-2</v>
      </c>
      <c r="R14" s="82">
        <f>ROUND(AVERAGE(L14,P14),0)</f>
        <v>8765666</v>
      </c>
      <c r="S14" s="83">
        <f>E14/R14-1</f>
        <v>-8.7348297322759061E-2</v>
      </c>
    </row>
    <row r="15" spans="1:19" ht="86.25" customHeight="1" x14ac:dyDescent="0.2">
      <c r="A15" s="68"/>
      <c r="B15" s="146">
        <v>3</v>
      </c>
      <c r="C15" s="148" t="s">
        <v>370</v>
      </c>
      <c r="D15" s="146">
        <v>1</v>
      </c>
      <c r="E15" s="150">
        <v>3000000</v>
      </c>
      <c r="F15" s="146">
        <v>4</v>
      </c>
      <c r="G15" s="150">
        <f>D15*E15*F15</f>
        <v>12000000</v>
      </c>
      <c r="H15" s="147" t="s">
        <v>1052</v>
      </c>
      <c r="J15" s="69" t="str">
        <f>'1.2 Resolucion 2157 DE 2024'!$B$2</f>
        <v>Resolución 2157 del 31 de octubre de 2024 con honorarios  de 2025 - Ministerio de Justicia</v>
      </c>
      <c r="K15" s="81" t="str">
        <f>'1.2 Resolucion 2157 DE 2024'!K16</f>
        <v>Técnicos 2</v>
      </c>
      <c r="L15" s="208">
        <f>'1.2 Resolucion 2157 DE 2024'!O16</f>
        <v>3870535</v>
      </c>
      <c r="M15" s="426">
        <f t="shared" si="0"/>
        <v>-0.22491335177178351</v>
      </c>
      <c r="N15" s="69" t="str">
        <f>'1.3 Fuentes_Personal'!$D$5</f>
        <v>Circular No. 45 del 09 Dic 2024 - Tabla de honorarios de la Agencia Nacional de Tierras Vigencia 2025</v>
      </c>
      <c r="O15" s="69" t="s">
        <v>536</v>
      </c>
      <c r="P15" s="208">
        <f>'1.3 Fuentes_Personal'!K28</f>
        <v>3789009</v>
      </c>
      <c r="Q15" s="426">
        <f t="shared" si="1"/>
        <v>-0.20823624330266832</v>
      </c>
      <c r="R15" s="82">
        <f t="shared" ref="R15:R18" si="2">ROUND(AVERAGE(L15,P15),0)</f>
        <v>3829772</v>
      </c>
      <c r="S15" s="427">
        <f t="shared" ref="S15:S18" si="3">E15/R15-1</f>
        <v>-0.2166635507283462</v>
      </c>
    </row>
    <row r="16" spans="1:19" ht="72" customHeight="1" x14ac:dyDescent="0.2">
      <c r="A16" s="68"/>
      <c r="B16" s="146">
        <v>4</v>
      </c>
      <c r="C16" s="148" t="s">
        <v>371</v>
      </c>
      <c r="D16" s="146">
        <v>2</v>
      </c>
      <c r="E16" s="150">
        <v>4500000</v>
      </c>
      <c r="F16" s="146">
        <v>4</v>
      </c>
      <c r="G16" s="150">
        <f>D16*E16*F16</f>
        <v>36000000</v>
      </c>
      <c r="H16" s="147" t="s">
        <v>1053</v>
      </c>
      <c r="J16" s="69" t="str">
        <f>'1.2 Resolucion 2157 DE 2024'!$B$2</f>
        <v>Resolución 2157 del 31 de octubre de 2024 con honorarios  de 2025 - Ministerio de Justicia</v>
      </c>
      <c r="K16" s="81" t="str">
        <f>'1.2 Resolucion 2157 DE 2024'!K14</f>
        <v>Profesionales 2</v>
      </c>
      <c r="L16" s="80">
        <f>'1.2 Resolucion 2157 DE 2024'!O14</f>
        <v>5038808</v>
      </c>
      <c r="M16" s="154">
        <f t="shared" si="0"/>
        <v>-0.10693163938772821</v>
      </c>
      <c r="N16" s="69" t="str">
        <f>'1.3 Fuentes_Personal'!$D$5</f>
        <v>Circular No. 45 del 09 Dic 2024 - Tabla de honorarios de la Agencia Nacional de Tierras Vigencia 2025</v>
      </c>
      <c r="O16" s="67" t="s">
        <v>537</v>
      </c>
      <c r="P16" s="80">
        <f>'1.3 Fuentes_Personal'!K22</f>
        <v>5888196</v>
      </c>
      <c r="Q16" s="154">
        <f t="shared" si="1"/>
        <v>-0.23575913573529139</v>
      </c>
      <c r="R16" s="82">
        <f t="shared" si="2"/>
        <v>5463502</v>
      </c>
      <c r="S16" s="83">
        <f t="shared" si="3"/>
        <v>-0.17635245672098221</v>
      </c>
    </row>
    <row r="17" spans="1:19" ht="72" customHeight="1" x14ac:dyDescent="0.2">
      <c r="A17" s="68"/>
      <c r="B17" s="146">
        <v>5</v>
      </c>
      <c r="C17" s="148" t="s">
        <v>372</v>
      </c>
      <c r="D17" s="146">
        <v>3</v>
      </c>
      <c r="E17" s="150">
        <v>4500000</v>
      </c>
      <c r="F17" s="146">
        <v>4</v>
      </c>
      <c r="G17" s="150">
        <f t="shared" ref="G17:G18" si="4">D17*E17*F17</f>
        <v>54000000</v>
      </c>
      <c r="H17" s="147" t="s">
        <v>1054</v>
      </c>
      <c r="J17" s="69" t="str">
        <f>'1.2 Resolucion 2157 DE 2024'!$B$2</f>
        <v>Resolución 2157 del 31 de octubre de 2024 con honorarios  de 2025 - Ministerio de Justicia</v>
      </c>
      <c r="K17" s="81" t="str">
        <f>'1.2 Resolucion 2157 DE 2024'!K15</f>
        <v>Profesionales 1</v>
      </c>
      <c r="L17" s="80">
        <f>'1.2 Resolucion 2157 DE 2024'!O15</f>
        <v>4258974</v>
      </c>
      <c r="M17" s="154">
        <f t="shared" si="0"/>
        <v>5.6592503264870864E-2</v>
      </c>
      <c r="N17" s="69" t="str">
        <f>'1.3 Fuentes_Personal'!$D$5</f>
        <v>Circular No. 45 del 09 Dic 2024 - Tabla de honorarios de la Agencia Nacional de Tierras Vigencia 2025</v>
      </c>
      <c r="O17" s="69" t="s">
        <v>1058</v>
      </c>
      <c r="P17" s="207">
        <f>'1.3 Fuentes_Personal'!K24</f>
        <v>4880137</v>
      </c>
      <c r="Q17" s="154">
        <f t="shared" si="1"/>
        <v>-7.7894739430470872E-2</v>
      </c>
      <c r="R17" s="82">
        <f t="shared" si="2"/>
        <v>4569556</v>
      </c>
      <c r="S17" s="83">
        <f t="shared" si="3"/>
        <v>-1.5221610152058584E-2</v>
      </c>
    </row>
    <row r="18" spans="1:19" ht="72" customHeight="1" x14ac:dyDescent="0.2">
      <c r="A18" s="68"/>
      <c r="B18" s="146">
        <v>6</v>
      </c>
      <c r="C18" s="148" t="s">
        <v>201</v>
      </c>
      <c r="D18" s="146">
        <v>3</v>
      </c>
      <c r="E18" s="150">
        <v>3600000</v>
      </c>
      <c r="F18" s="146">
        <v>4</v>
      </c>
      <c r="G18" s="150">
        <f t="shared" si="4"/>
        <v>43200000</v>
      </c>
      <c r="H18" s="147" t="s">
        <v>1055</v>
      </c>
      <c r="J18" s="69" t="str">
        <f>'1.2 Resolucion 2157 DE 2024'!$B$2</f>
        <v>Resolución 2157 del 31 de octubre de 2024 con honorarios  de 2025 - Ministerio de Justicia</v>
      </c>
      <c r="K18" s="81" t="str">
        <f>'1.2 Resolucion 2157 DE 2024'!K16</f>
        <v>Técnicos 2</v>
      </c>
      <c r="L18" s="80">
        <f>'1.2 Resolucion 2157 DE 2024'!O16</f>
        <v>3870535</v>
      </c>
      <c r="M18" s="155">
        <f t="shared" si="0"/>
        <v>-6.9896022126140211E-2</v>
      </c>
      <c r="N18" s="69" t="str">
        <f>'1.3 Fuentes_Personal'!$D$5</f>
        <v>Circular No. 45 del 09 Dic 2024 - Tabla de honorarios de la Agencia Nacional de Tierras Vigencia 2025</v>
      </c>
      <c r="O18" s="69" t="s">
        <v>536</v>
      </c>
      <c r="P18" s="207">
        <f>'1.3 Fuentes_Personal'!K28</f>
        <v>3789009</v>
      </c>
      <c r="Q18" s="155">
        <f t="shared" si="1"/>
        <v>-4.9883491963201965E-2</v>
      </c>
      <c r="R18" s="82">
        <f t="shared" si="2"/>
        <v>3829772</v>
      </c>
      <c r="S18" s="83">
        <f t="shared" si="3"/>
        <v>-5.9996260874015439E-2</v>
      </c>
    </row>
  </sheetData>
  <mergeCells count="18">
    <mergeCell ref="R11:R12"/>
    <mergeCell ref="S11:S12"/>
    <mergeCell ref="S5:S6"/>
    <mergeCell ref="J4:P4"/>
    <mergeCell ref="R5:R6"/>
    <mergeCell ref="R8:R9"/>
    <mergeCell ref="S8:S9"/>
    <mergeCell ref="B6:H6"/>
    <mergeCell ref="B11:H12"/>
    <mergeCell ref="B2:O2"/>
    <mergeCell ref="B4:H4"/>
    <mergeCell ref="J5:M5"/>
    <mergeCell ref="N5:Q5"/>
    <mergeCell ref="N11:Q11"/>
    <mergeCell ref="J11:M11"/>
    <mergeCell ref="J8:M8"/>
    <mergeCell ref="N8:Q8"/>
    <mergeCell ref="B8:H9"/>
  </mergeCells>
  <phoneticPr fontId="5" type="noConversion"/>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355C9A-E6B6-4638-BDC1-697905E4F656}">
  <dimension ref="B2:O19"/>
  <sheetViews>
    <sheetView workbookViewId="0"/>
  </sheetViews>
  <sheetFormatPr baseColWidth="10" defaultRowHeight="15" x14ac:dyDescent="0.25"/>
  <cols>
    <col min="9" max="9" width="14" customWidth="1"/>
    <col min="11" max="11" width="15.7109375" customWidth="1"/>
    <col min="12" max="12" width="37.42578125" customWidth="1"/>
    <col min="13" max="13" width="31.7109375" customWidth="1"/>
    <col min="14" max="14" width="14.7109375" customWidth="1"/>
    <col min="15" max="15" width="15" customWidth="1"/>
  </cols>
  <sheetData>
    <row r="2" spans="2:15" x14ac:dyDescent="0.25">
      <c r="B2" s="838" t="s">
        <v>445</v>
      </c>
      <c r="C2" s="838"/>
      <c r="D2" s="838"/>
      <c r="E2" s="838"/>
      <c r="F2" s="838"/>
      <c r="G2" s="838"/>
      <c r="H2" s="838"/>
      <c r="I2" s="838"/>
    </row>
    <row r="3" spans="2:15" x14ac:dyDescent="0.25">
      <c r="B3" s="27" t="s">
        <v>159</v>
      </c>
      <c r="C3" s="28" t="s">
        <v>160</v>
      </c>
      <c r="D3" s="28"/>
      <c r="E3" s="28"/>
      <c r="F3" s="28"/>
      <c r="G3" s="28"/>
      <c r="H3" s="28"/>
      <c r="I3" s="28"/>
    </row>
    <row r="8" spans="2:15" ht="39.75" customHeight="1" x14ac:dyDescent="0.25">
      <c r="K8" s="29" t="s">
        <v>161</v>
      </c>
      <c r="L8" s="30" t="s">
        <v>162</v>
      </c>
      <c r="M8" s="29" t="s">
        <v>163</v>
      </c>
      <c r="N8" s="30" t="s">
        <v>164</v>
      </c>
      <c r="O8" s="30" t="s">
        <v>165</v>
      </c>
    </row>
    <row r="9" spans="2:15" ht="39.75" customHeight="1" x14ac:dyDescent="0.25">
      <c r="K9" s="31" t="s">
        <v>166</v>
      </c>
      <c r="L9" s="32" t="s">
        <v>167</v>
      </c>
      <c r="M9" s="32" t="s">
        <v>168</v>
      </c>
      <c r="N9" s="33">
        <v>13074467</v>
      </c>
      <c r="O9" s="33">
        <v>16003742</v>
      </c>
    </row>
    <row r="10" spans="2:15" ht="39.75" customHeight="1" x14ac:dyDescent="0.25">
      <c r="K10" s="31" t="s">
        <v>169</v>
      </c>
      <c r="L10" s="32" t="s">
        <v>170</v>
      </c>
      <c r="M10" s="32" t="s">
        <v>171</v>
      </c>
      <c r="N10" s="33">
        <v>11498987</v>
      </c>
      <c r="O10" s="33">
        <v>13074466</v>
      </c>
    </row>
    <row r="11" spans="2:15" ht="39.75" customHeight="1" x14ac:dyDescent="0.25">
      <c r="K11" s="31" t="s">
        <v>172</v>
      </c>
      <c r="L11" s="32" t="s">
        <v>170</v>
      </c>
      <c r="M11" s="32" t="s">
        <v>173</v>
      </c>
      <c r="N11" s="33">
        <v>9147014</v>
      </c>
      <c r="O11" s="33">
        <v>11498986</v>
      </c>
    </row>
    <row r="12" spans="2:15" ht="39.75" customHeight="1" x14ac:dyDescent="0.25">
      <c r="K12" s="31" t="s">
        <v>174</v>
      </c>
      <c r="L12" s="32" t="s">
        <v>170</v>
      </c>
      <c r="M12" s="32" t="s">
        <v>175</v>
      </c>
      <c r="N12" s="33">
        <v>6950519</v>
      </c>
      <c r="O12" s="33">
        <v>9147012</v>
      </c>
    </row>
    <row r="13" spans="2:15" ht="39.75" customHeight="1" x14ac:dyDescent="0.25">
      <c r="K13" s="31" t="s">
        <v>176</v>
      </c>
      <c r="L13" s="32" t="s">
        <v>170</v>
      </c>
      <c r="M13" s="32" t="s">
        <v>177</v>
      </c>
      <c r="N13" s="33">
        <v>5038809</v>
      </c>
      <c r="O13" s="33">
        <v>6950518</v>
      </c>
    </row>
    <row r="14" spans="2:15" ht="39.75" customHeight="1" x14ac:dyDescent="0.25">
      <c r="K14" s="31" t="s">
        <v>178</v>
      </c>
      <c r="L14" s="32" t="s">
        <v>179</v>
      </c>
      <c r="M14" s="32" t="s">
        <v>180</v>
      </c>
      <c r="N14" s="33">
        <v>4258975</v>
      </c>
      <c r="O14" s="33">
        <v>5038808</v>
      </c>
    </row>
    <row r="15" spans="2:15" ht="39.75" customHeight="1" x14ac:dyDescent="0.25">
      <c r="K15" s="31" t="s">
        <v>181</v>
      </c>
      <c r="L15" s="32" t="s">
        <v>179</v>
      </c>
      <c r="M15" s="32" t="s">
        <v>182</v>
      </c>
      <c r="N15" s="33">
        <v>3870536</v>
      </c>
      <c r="O15" s="33">
        <v>4258974</v>
      </c>
    </row>
    <row r="16" spans="2:15" ht="39.75" customHeight="1" x14ac:dyDescent="0.25">
      <c r="K16" s="31" t="s">
        <v>183</v>
      </c>
      <c r="L16" s="32" t="s">
        <v>184</v>
      </c>
      <c r="M16" s="32" t="s">
        <v>185</v>
      </c>
      <c r="N16" s="33">
        <v>3083574</v>
      </c>
      <c r="O16" s="33">
        <v>3870535</v>
      </c>
    </row>
    <row r="17" spans="11:15" ht="39.75" customHeight="1" x14ac:dyDescent="0.25">
      <c r="K17" s="31" t="s">
        <v>186</v>
      </c>
      <c r="L17" s="32" t="s">
        <v>187</v>
      </c>
      <c r="M17" s="32" t="s">
        <v>188</v>
      </c>
      <c r="N17" s="33">
        <v>2516162</v>
      </c>
      <c r="O17" s="33">
        <v>3083573</v>
      </c>
    </row>
    <row r="18" spans="11:15" ht="39.75" customHeight="1" x14ac:dyDescent="0.25">
      <c r="K18" s="31" t="s">
        <v>189</v>
      </c>
      <c r="L18" s="32" t="s">
        <v>190</v>
      </c>
      <c r="M18" s="32" t="s">
        <v>191</v>
      </c>
      <c r="N18" s="33">
        <v>2306332</v>
      </c>
      <c r="O18" s="33">
        <v>2516161</v>
      </c>
    </row>
    <row r="19" spans="11:15" ht="39.75" customHeight="1" x14ac:dyDescent="0.25">
      <c r="K19" s="31" t="s">
        <v>192</v>
      </c>
      <c r="L19" s="32" t="s">
        <v>193</v>
      </c>
      <c r="M19" s="32" t="s">
        <v>194</v>
      </c>
      <c r="N19" s="33">
        <v>2306330</v>
      </c>
      <c r="O19" s="33">
        <v>2306330</v>
      </c>
    </row>
  </sheetData>
  <mergeCells count="1">
    <mergeCell ref="B2:I2"/>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96C09-9D75-4B78-BD8B-CA57D460C294}">
  <dimension ref="B2:Q95"/>
  <sheetViews>
    <sheetView topLeftCell="A4" workbookViewId="0"/>
  </sheetViews>
  <sheetFormatPr baseColWidth="10" defaultColWidth="11.42578125" defaultRowHeight="13.5" x14ac:dyDescent="0.25"/>
  <cols>
    <col min="1" max="1" width="7.7109375" style="22" customWidth="1"/>
    <col min="2" max="2" width="20.28515625" style="22" bestFit="1" customWidth="1"/>
    <col min="3" max="3" width="23.140625" style="22" customWidth="1"/>
    <col min="4" max="4" width="26.140625" style="22" customWidth="1"/>
    <col min="5" max="5" width="15.7109375" style="22" customWidth="1"/>
    <col min="6" max="6" width="25.140625" style="22" customWidth="1"/>
    <col min="7" max="7" width="25" style="22" customWidth="1"/>
    <col min="8" max="8" width="34.7109375" style="43" customWidth="1"/>
    <col min="9" max="9" width="25.7109375" style="43" customWidth="1"/>
    <col min="10" max="10" width="23.7109375" style="42" customWidth="1"/>
    <col min="11" max="11" width="17.140625" style="43" customWidth="1"/>
    <col min="12" max="12" width="22.42578125" style="43" customWidth="1"/>
    <col min="13" max="13" width="25.7109375" style="22" customWidth="1"/>
    <col min="14" max="14" width="6.7109375" style="22" customWidth="1"/>
    <col min="15" max="15" width="12.7109375" style="22" customWidth="1"/>
    <col min="16" max="16" width="13.42578125" style="22" customWidth="1"/>
    <col min="17" max="17" width="12.42578125" style="22" bestFit="1" customWidth="1"/>
    <col min="18" max="16384" width="11.42578125" style="22"/>
  </cols>
  <sheetData>
    <row r="2" spans="2:15" x14ac:dyDescent="0.25">
      <c r="B2" s="855" t="s">
        <v>144</v>
      </c>
      <c r="C2" s="855"/>
      <c r="D2" s="855"/>
      <c r="E2" s="855"/>
      <c r="F2" s="855"/>
      <c r="G2" s="855"/>
      <c r="H2" s="855"/>
      <c r="I2" s="855"/>
      <c r="J2" s="855"/>
      <c r="K2" s="855"/>
      <c r="L2" s="855"/>
      <c r="M2" s="855"/>
      <c r="N2" s="855"/>
    </row>
    <row r="3" spans="2:15" x14ac:dyDescent="0.25">
      <c r="D3" s="22" t="str">
        <f>LOWER(D5)</f>
        <v>circular no. 45 del 09 dic 2024 - tabla de honorarios de la agencia nacional de tierras vigencia 2025</v>
      </c>
    </row>
    <row r="4" spans="2:15" ht="28.5" customHeight="1" x14ac:dyDescent="0.25">
      <c r="B4" s="34" t="s">
        <v>146</v>
      </c>
      <c r="C4" s="34" t="s">
        <v>5</v>
      </c>
      <c r="D4" s="841" t="s">
        <v>6</v>
      </c>
      <c r="E4" s="842"/>
      <c r="F4" s="842"/>
      <c r="G4" s="843"/>
      <c r="H4" s="853" t="s">
        <v>8</v>
      </c>
      <c r="I4" s="853"/>
      <c r="J4" s="853"/>
      <c r="K4" s="853"/>
      <c r="L4" s="853"/>
      <c r="M4" s="853"/>
    </row>
    <row r="5" spans="2:15" ht="39.75" customHeight="1" x14ac:dyDescent="0.25">
      <c r="B5" s="35">
        <v>1</v>
      </c>
      <c r="C5" s="36" t="s">
        <v>518</v>
      </c>
      <c r="D5" s="844" t="s">
        <v>535</v>
      </c>
      <c r="E5" s="845"/>
      <c r="F5" s="845"/>
      <c r="G5" s="846"/>
      <c r="H5" s="847" t="s">
        <v>517</v>
      </c>
      <c r="I5" s="848"/>
      <c r="J5" s="848"/>
      <c r="K5" s="848"/>
      <c r="L5" s="848"/>
      <c r="M5" s="848"/>
    </row>
    <row r="8" spans="2:15" ht="15" x14ac:dyDescent="0.25">
      <c r="B8"/>
      <c r="C8"/>
      <c r="D8"/>
      <c r="E8"/>
      <c r="F8"/>
      <c r="G8"/>
      <c r="H8"/>
      <c r="I8"/>
      <c r="J8" s="118"/>
      <c r="K8"/>
      <c r="L8"/>
      <c r="M8"/>
      <c r="N8"/>
      <c r="O8"/>
    </row>
    <row r="9" spans="2:15" ht="15" x14ac:dyDescent="0.25">
      <c r="B9"/>
      <c r="C9"/>
      <c r="D9"/>
      <c r="E9"/>
      <c r="F9"/>
      <c r="G9"/>
      <c r="H9"/>
      <c r="I9"/>
      <c r="J9" s="118"/>
      <c r="K9"/>
      <c r="L9"/>
      <c r="M9"/>
      <c r="N9"/>
      <c r="O9"/>
    </row>
    <row r="10" spans="2:15" ht="15" x14ac:dyDescent="0.25">
      <c r="B10"/>
      <c r="C10"/>
      <c r="D10"/>
      <c r="E10"/>
      <c r="F10"/>
      <c r="G10"/>
      <c r="H10"/>
      <c r="I10" s="204" t="s">
        <v>520</v>
      </c>
      <c r="J10" s="23" t="s">
        <v>521</v>
      </c>
      <c r="K10" s="204" t="s">
        <v>522</v>
      </c>
      <c r="L10" s="204" t="s">
        <v>523</v>
      </c>
      <c r="M10"/>
      <c r="N10"/>
      <c r="O10"/>
    </row>
    <row r="11" spans="2:15" ht="15" x14ac:dyDescent="0.25">
      <c r="B11"/>
      <c r="C11"/>
      <c r="D11"/>
      <c r="E11"/>
      <c r="F11"/>
      <c r="G11"/>
      <c r="H11"/>
      <c r="I11" s="204" t="s">
        <v>524</v>
      </c>
      <c r="J11" s="205" t="s">
        <v>530</v>
      </c>
      <c r="K11" s="206">
        <v>18486505</v>
      </c>
      <c r="L11" s="204"/>
      <c r="M11"/>
      <c r="N11"/>
      <c r="O11"/>
    </row>
    <row r="12" spans="2:15" ht="15" x14ac:dyDescent="0.25">
      <c r="B12"/>
      <c r="C12"/>
      <c r="D12"/>
      <c r="E12"/>
      <c r="F12"/>
      <c r="G12"/>
      <c r="H12"/>
      <c r="I12" s="204" t="s">
        <v>525</v>
      </c>
      <c r="J12" s="205" t="s">
        <v>531</v>
      </c>
      <c r="K12" s="206">
        <v>17574599</v>
      </c>
      <c r="L12" s="204"/>
      <c r="M12"/>
      <c r="N12"/>
      <c r="O12"/>
    </row>
    <row r="13" spans="2:15" ht="15" x14ac:dyDescent="0.25">
      <c r="B13"/>
      <c r="C13"/>
      <c r="D13"/>
      <c r="E13"/>
      <c r="F13"/>
      <c r="G13"/>
      <c r="H13"/>
      <c r="I13" s="204" t="s">
        <v>525</v>
      </c>
      <c r="J13" s="205" t="s">
        <v>532</v>
      </c>
      <c r="K13" s="206">
        <v>16184636</v>
      </c>
      <c r="L13" s="204"/>
      <c r="M13"/>
      <c r="N13"/>
      <c r="O13"/>
    </row>
    <row r="14" spans="2:15" ht="15" x14ac:dyDescent="0.25">
      <c r="B14"/>
      <c r="C14"/>
      <c r="D14"/>
      <c r="E14"/>
      <c r="F14"/>
      <c r="G14"/>
      <c r="H14"/>
      <c r="I14" s="204" t="s">
        <v>525</v>
      </c>
      <c r="J14" s="205" t="s">
        <v>533</v>
      </c>
      <c r="K14" s="206">
        <v>11887474</v>
      </c>
      <c r="L14" s="204"/>
      <c r="M14"/>
      <c r="N14"/>
      <c r="O14"/>
    </row>
    <row r="15" spans="2:15" ht="15" x14ac:dyDescent="0.25">
      <c r="B15"/>
      <c r="C15"/>
      <c r="D15"/>
      <c r="E15"/>
      <c r="F15"/>
      <c r="G15"/>
      <c r="H15"/>
      <c r="I15" s="204" t="s">
        <v>525</v>
      </c>
      <c r="J15" s="205" t="s">
        <v>534</v>
      </c>
      <c r="K15" s="206">
        <v>10323011</v>
      </c>
      <c r="L15" s="204"/>
      <c r="M15"/>
      <c r="N15"/>
      <c r="O15"/>
    </row>
    <row r="16" spans="2:15" ht="15" x14ac:dyDescent="0.25">
      <c r="B16"/>
      <c r="C16"/>
      <c r="D16"/>
      <c r="E16"/>
      <c r="F16"/>
      <c r="G16"/>
      <c r="H16"/>
      <c r="I16" s="204" t="s">
        <v>525</v>
      </c>
      <c r="J16" s="205" t="s">
        <v>530</v>
      </c>
      <c r="K16" s="206">
        <v>9817721</v>
      </c>
      <c r="L16" s="204"/>
      <c r="M16"/>
      <c r="N16"/>
      <c r="O16"/>
    </row>
    <row r="17" spans="2:15" ht="15" x14ac:dyDescent="0.25">
      <c r="B17"/>
      <c r="C17"/>
      <c r="D17"/>
      <c r="E17"/>
      <c r="F17"/>
      <c r="G17"/>
      <c r="H17"/>
      <c r="I17" s="204" t="s">
        <v>526</v>
      </c>
      <c r="J17" s="205" t="s">
        <v>532</v>
      </c>
      <c r="K17" s="206">
        <v>8983718</v>
      </c>
      <c r="L17" s="204"/>
      <c r="M17"/>
      <c r="N17"/>
      <c r="O17"/>
    </row>
    <row r="18" spans="2:15" ht="15" x14ac:dyDescent="0.25">
      <c r="B18"/>
      <c r="C18"/>
      <c r="D18"/>
      <c r="E18"/>
      <c r="F18"/>
      <c r="G18"/>
      <c r="H18"/>
      <c r="I18" s="204" t="s">
        <v>526</v>
      </c>
      <c r="J18" s="205" t="s">
        <v>533</v>
      </c>
      <c r="K18" s="206">
        <v>8384320</v>
      </c>
      <c r="L18" s="204"/>
      <c r="M18"/>
      <c r="N18"/>
      <c r="O18"/>
    </row>
    <row r="19" spans="2:15" ht="15" x14ac:dyDescent="0.25">
      <c r="B19"/>
      <c r="C19"/>
      <c r="D19"/>
      <c r="E19"/>
      <c r="F19"/>
      <c r="G19"/>
      <c r="H19"/>
      <c r="I19" s="204" t="s">
        <v>526</v>
      </c>
      <c r="J19" s="205" t="s">
        <v>534</v>
      </c>
      <c r="K19" s="206">
        <v>7382437</v>
      </c>
      <c r="L19" s="204"/>
      <c r="M19"/>
      <c r="N19"/>
      <c r="O19"/>
    </row>
    <row r="20" spans="2:15" ht="15" x14ac:dyDescent="0.25">
      <c r="B20"/>
      <c r="C20"/>
      <c r="D20"/>
      <c r="E20"/>
      <c r="F20"/>
      <c r="G20"/>
      <c r="H20"/>
      <c r="I20" s="204" t="s">
        <v>526</v>
      </c>
      <c r="J20" s="205" t="s">
        <v>530</v>
      </c>
      <c r="K20" s="206">
        <v>7018716</v>
      </c>
      <c r="L20" s="204"/>
      <c r="M20"/>
      <c r="N20"/>
      <c r="O20"/>
    </row>
    <row r="21" spans="2:15" ht="15" x14ac:dyDescent="0.25">
      <c r="B21"/>
      <c r="C21"/>
      <c r="D21"/>
      <c r="E21"/>
      <c r="F21"/>
      <c r="G21"/>
      <c r="H21"/>
      <c r="I21" s="204" t="s">
        <v>527</v>
      </c>
      <c r="J21" s="205" t="s">
        <v>532</v>
      </c>
      <c r="K21" s="206">
        <v>6510019</v>
      </c>
      <c r="L21" s="204"/>
      <c r="M21"/>
      <c r="N21"/>
      <c r="O21"/>
    </row>
    <row r="22" spans="2:15" ht="15" x14ac:dyDescent="0.25">
      <c r="B22"/>
      <c r="C22"/>
      <c r="D22"/>
      <c r="E22"/>
      <c r="F22"/>
      <c r="G22"/>
      <c r="H22"/>
      <c r="I22" s="204" t="s">
        <v>527</v>
      </c>
      <c r="J22" s="205" t="s">
        <v>533</v>
      </c>
      <c r="K22" s="206">
        <v>5888196</v>
      </c>
      <c r="L22" s="204"/>
      <c r="M22"/>
      <c r="N22"/>
      <c r="O22"/>
    </row>
    <row r="23" spans="2:15" ht="15" x14ac:dyDescent="0.25">
      <c r="B23"/>
      <c r="C23"/>
      <c r="D23"/>
      <c r="E23"/>
      <c r="F23"/>
      <c r="G23"/>
      <c r="H23"/>
      <c r="I23" s="204" t="s">
        <v>527</v>
      </c>
      <c r="J23" s="205" t="s">
        <v>534</v>
      </c>
      <c r="K23" s="206">
        <v>5502267</v>
      </c>
      <c r="L23" s="204"/>
      <c r="M23"/>
      <c r="N23"/>
      <c r="O23"/>
    </row>
    <row r="24" spans="2:15" ht="15" x14ac:dyDescent="0.25">
      <c r="B24"/>
      <c r="C24"/>
      <c r="D24"/>
      <c r="E24"/>
      <c r="F24"/>
      <c r="G24"/>
      <c r="H24"/>
      <c r="I24" s="204" t="s">
        <v>527</v>
      </c>
      <c r="J24" s="205" t="s">
        <v>530</v>
      </c>
      <c r="K24" s="206">
        <v>4880137</v>
      </c>
      <c r="L24" s="204"/>
      <c r="M24"/>
      <c r="N24"/>
      <c r="O24"/>
    </row>
    <row r="25" spans="2:15" ht="15" x14ac:dyDescent="0.25">
      <c r="B25"/>
      <c r="C25"/>
      <c r="D25"/>
      <c r="E25"/>
      <c r="F25"/>
      <c r="G25"/>
      <c r="H25"/>
      <c r="I25" s="204" t="s">
        <v>528</v>
      </c>
      <c r="J25" s="205" t="s">
        <v>531</v>
      </c>
      <c r="K25" s="206">
        <v>4786698</v>
      </c>
      <c r="L25" s="204"/>
      <c r="M25"/>
      <c r="N25"/>
      <c r="O25"/>
    </row>
    <row r="26" spans="2:15" ht="15" x14ac:dyDescent="0.25">
      <c r="B26"/>
      <c r="C26"/>
      <c r="D26"/>
      <c r="E26"/>
      <c r="F26"/>
      <c r="G26"/>
      <c r="H26"/>
      <c r="I26" s="204" t="s">
        <v>528</v>
      </c>
      <c r="J26" s="205" t="s">
        <v>532</v>
      </c>
      <c r="K26" s="206">
        <v>4258441</v>
      </c>
      <c r="L26" s="204"/>
      <c r="M26"/>
      <c r="N26"/>
      <c r="O26"/>
    </row>
    <row r="27" spans="2:15" ht="15" x14ac:dyDescent="0.25">
      <c r="B27"/>
      <c r="C27"/>
      <c r="D27"/>
      <c r="E27"/>
      <c r="F27"/>
      <c r="G27"/>
      <c r="H27"/>
      <c r="I27" s="204" t="s">
        <v>528</v>
      </c>
      <c r="J27" s="205" t="s">
        <v>533</v>
      </c>
      <c r="K27" s="206">
        <v>4056226</v>
      </c>
      <c r="L27" s="204"/>
      <c r="M27"/>
      <c r="N27"/>
      <c r="O27"/>
    </row>
    <row r="28" spans="2:15" ht="15" x14ac:dyDescent="0.25">
      <c r="B28"/>
      <c r="C28"/>
      <c r="D28"/>
      <c r="E28"/>
      <c r="F28"/>
      <c r="G28"/>
      <c r="H28"/>
      <c r="I28" s="204" t="s">
        <v>528</v>
      </c>
      <c r="J28" s="205" t="s">
        <v>534</v>
      </c>
      <c r="K28" s="206">
        <v>3789009</v>
      </c>
      <c r="L28" s="204"/>
      <c r="M28"/>
      <c r="N28"/>
      <c r="O28"/>
    </row>
    <row r="29" spans="2:15" ht="15" x14ac:dyDescent="0.25">
      <c r="B29"/>
      <c r="C29"/>
      <c r="D29"/>
      <c r="E29"/>
      <c r="F29"/>
      <c r="G29"/>
      <c r="H29"/>
      <c r="I29" s="204" t="s">
        <v>528</v>
      </c>
      <c r="J29" s="205" t="s">
        <v>530</v>
      </c>
      <c r="K29" s="206">
        <v>3208717</v>
      </c>
      <c r="L29" s="204"/>
      <c r="M29"/>
      <c r="N29"/>
      <c r="O29"/>
    </row>
    <row r="30" spans="2:15" ht="15" x14ac:dyDescent="0.25">
      <c r="B30"/>
      <c r="C30"/>
      <c r="D30"/>
      <c r="E30"/>
      <c r="F30"/>
      <c r="G30"/>
      <c r="H30"/>
      <c r="I30" s="204" t="s">
        <v>529</v>
      </c>
      <c r="J30" s="205" t="s">
        <v>532</v>
      </c>
      <c r="K30" s="206">
        <v>2695997</v>
      </c>
      <c r="L30" s="204"/>
      <c r="M30"/>
      <c r="N30"/>
      <c r="O30"/>
    </row>
    <row r="31" spans="2:15" ht="15" x14ac:dyDescent="0.25">
      <c r="B31"/>
      <c r="C31"/>
      <c r="D31"/>
      <c r="E31"/>
      <c r="F31"/>
      <c r="G31"/>
      <c r="H31"/>
      <c r="I31" s="204" t="s">
        <v>529</v>
      </c>
      <c r="J31" s="205" t="s">
        <v>533</v>
      </c>
      <c r="K31" s="206">
        <v>2511543</v>
      </c>
      <c r="L31" s="204"/>
      <c r="M31"/>
      <c r="N31"/>
      <c r="O31"/>
    </row>
    <row r="32" spans="2:15" ht="15" x14ac:dyDescent="0.25">
      <c r="B32"/>
      <c r="C32"/>
      <c r="D32"/>
      <c r="E32"/>
      <c r="F32"/>
      <c r="G32"/>
      <c r="H32"/>
      <c r="I32" s="204" t="s">
        <v>529</v>
      </c>
      <c r="J32" s="205" t="s">
        <v>534</v>
      </c>
      <c r="K32" s="206">
        <v>2282147</v>
      </c>
      <c r="L32" s="204"/>
      <c r="M32"/>
      <c r="N32"/>
      <c r="O32"/>
    </row>
    <row r="33" spans="2:15" ht="15" x14ac:dyDescent="0.25">
      <c r="B33"/>
      <c r="C33"/>
      <c r="D33"/>
      <c r="E33"/>
      <c r="F33"/>
      <c r="G33"/>
      <c r="H33"/>
      <c r="I33" s="204" t="s">
        <v>529</v>
      </c>
      <c r="J33" s="205" t="s">
        <v>530</v>
      </c>
      <c r="K33" s="206">
        <v>1735441</v>
      </c>
      <c r="L33" s="204"/>
      <c r="M33"/>
      <c r="N33"/>
      <c r="O33"/>
    </row>
    <row r="34" spans="2:15" ht="15" x14ac:dyDescent="0.25">
      <c r="B34"/>
      <c r="C34"/>
      <c r="D34"/>
      <c r="E34"/>
      <c r="F34"/>
      <c r="G34"/>
      <c r="H34"/>
      <c r="I34"/>
      <c r="J34" s="118"/>
      <c r="K34"/>
      <c r="L34"/>
      <c r="M34"/>
      <c r="N34"/>
      <c r="O34"/>
    </row>
    <row r="35" spans="2:15" ht="15" x14ac:dyDescent="0.25">
      <c r="B35"/>
      <c r="C35"/>
      <c r="D35"/>
      <c r="E35"/>
      <c r="F35"/>
      <c r="G35"/>
      <c r="H35"/>
      <c r="I35"/>
      <c r="J35" s="118"/>
      <c r="K35"/>
      <c r="L35"/>
      <c r="M35"/>
      <c r="N35"/>
      <c r="O35"/>
    </row>
    <row r="36" spans="2:15" ht="15" x14ac:dyDescent="0.25">
      <c r="B36"/>
      <c r="C36"/>
      <c r="D36"/>
      <c r="E36"/>
      <c r="F36"/>
      <c r="G36"/>
      <c r="H36"/>
      <c r="I36"/>
      <c r="J36" s="118"/>
      <c r="K36"/>
      <c r="L36"/>
      <c r="M36"/>
      <c r="N36"/>
      <c r="O36"/>
    </row>
    <row r="37" spans="2:15" ht="15" x14ac:dyDescent="0.25">
      <c r="B37"/>
      <c r="C37"/>
      <c r="D37"/>
      <c r="E37"/>
      <c r="F37"/>
      <c r="G37"/>
      <c r="H37"/>
      <c r="I37"/>
      <c r="J37" s="118"/>
      <c r="K37"/>
      <c r="L37"/>
      <c r="M37"/>
      <c r="N37"/>
      <c r="O37"/>
    </row>
    <row r="38" spans="2:15" ht="15" x14ac:dyDescent="0.25">
      <c r="B38"/>
      <c r="C38" t="s">
        <v>519</v>
      </c>
      <c r="D38"/>
      <c r="E38"/>
      <c r="F38"/>
      <c r="G38"/>
      <c r="H38"/>
      <c r="I38"/>
      <c r="J38" s="118"/>
      <c r="K38"/>
      <c r="L38"/>
      <c r="M38"/>
      <c r="N38"/>
      <c r="O38"/>
    </row>
    <row r="39" spans="2:15" ht="15" x14ac:dyDescent="0.25">
      <c r="B39"/>
      <c r="C39"/>
      <c r="D39"/>
      <c r="E39"/>
      <c r="F39"/>
      <c r="G39"/>
      <c r="H39"/>
      <c r="I39"/>
      <c r="J39" s="118"/>
      <c r="K39"/>
      <c r="L39"/>
      <c r="M39"/>
      <c r="N39"/>
      <c r="O39"/>
    </row>
    <row r="40" spans="2:15" ht="15" x14ac:dyDescent="0.25">
      <c r="B40"/>
      <c r="C40"/>
      <c r="D40"/>
      <c r="E40"/>
      <c r="F40"/>
      <c r="G40"/>
      <c r="H40"/>
      <c r="I40"/>
      <c r="J40" s="118"/>
      <c r="K40"/>
      <c r="L40"/>
      <c r="M40"/>
      <c r="N40"/>
      <c r="O40"/>
    </row>
    <row r="41" spans="2:15" ht="15" x14ac:dyDescent="0.25">
      <c r="B41"/>
      <c r="C41"/>
      <c r="D41"/>
      <c r="E41"/>
      <c r="F41"/>
      <c r="G41"/>
      <c r="H41"/>
      <c r="I41"/>
      <c r="J41" s="118"/>
      <c r="K41"/>
      <c r="L41"/>
      <c r="M41"/>
      <c r="N41"/>
      <c r="O41"/>
    </row>
    <row r="42" spans="2:15" ht="15" x14ac:dyDescent="0.25">
      <c r="B42"/>
      <c r="C42"/>
      <c r="D42"/>
      <c r="E42"/>
      <c r="F42"/>
      <c r="G42"/>
      <c r="H42"/>
      <c r="I42"/>
      <c r="J42" s="118"/>
      <c r="K42"/>
      <c r="L42"/>
      <c r="M42"/>
      <c r="N42"/>
      <c r="O42"/>
    </row>
    <row r="43" spans="2:15" ht="15" x14ac:dyDescent="0.25">
      <c r="B43"/>
      <c r="C43"/>
      <c r="D43"/>
      <c r="E43"/>
      <c r="F43"/>
      <c r="G43"/>
      <c r="H43"/>
      <c r="I43"/>
      <c r="J43" s="118"/>
      <c r="K43"/>
      <c r="L43"/>
      <c r="M43"/>
      <c r="N43"/>
      <c r="O43"/>
    </row>
    <row r="44" spans="2:15" ht="15" x14ac:dyDescent="0.25">
      <c r="B44"/>
      <c r="C44"/>
      <c r="D44"/>
      <c r="E44"/>
      <c r="F44"/>
      <c r="G44"/>
      <c r="H44"/>
      <c r="I44"/>
      <c r="J44" s="118"/>
      <c r="K44"/>
      <c r="L44"/>
      <c r="M44"/>
      <c r="N44"/>
      <c r="O44"/>
    </row>
    <row r="45" spans="2:15" ht="15" x14ac:dyDescent="0.25">
      <c r="B45"/>
      <c r="C45"/>
      <c r="D45"/>
      <c r="E45"/>
      <c r="F45"/>
      <c r="G45"/>
      <c r="H45"/>
      <c r="I45"/>
      <c r="J45" s="118"/>
      <c r="K45"/>
      <c r="L45"/>
      <c r="M45"/>
      <c r="N45"/>
      <c r="O45"/>
    </row>
    <row r="46" spans="2:15" ht="15" x14ac:dyDescent="0.25">
      <c r="B46"/>
      <c r="C46"/>
      <c r="D46"/>
      <c r="E46"/>
      <c r="F46"/>
      <c r="G46"/>
      <c r="H46"/>
      <c r="I46"/>
      <c r="J46" s="118"/>
      <c r="K46"/>
      <c r="L46"/>
      <c r="M46"/>
      <c r="N46"/>
      <c r="O46"/>
    </row>
    <row r="47" spans="2:15" ht="15" x14ac:dyDescent="0.25">
      <c r="B47"/>
      <c r="C47"/>
      <c r="D47"/>
      <c r="E47"/>
      <c r="F47"/>
      <c r="G47"/>
      <c r="H47"/>
      <c r="I47"/>
      <c r="J47" s="118"/>
      <c r="K47"/>
      <c r="L47"/>
      <c r="M47"/>
      <c r="N47"/>
      <c r="O47"/>
    </row>
    <row r="48" spans="2:15" ht="15" x14ac:dyDescent="0.25">
      <c r="B48"/>
      <c r="C48"/>
      <c r="D48"/>
      <c r="E48"/>
      <c r="F48"/>
      <c r="G48"/>
      <c r="H48"/>
      <c r="I48"/>
      <c r="J48" s="118"/>
      <c r="K48"/>
      <c r="L48"/>
      <c r="M48"/>
      <c r="N48"/>
      <c r="O48"/>
    </row>
    <row r="49" spans="2:15" ht="15" x14ac:dyDescent="0.25">
      <c r="B49"/>
      <c r="C49"/>
      <c r="D49"/>
      <c r="E49"/>
      <c r="F49"/>
      <c r="G49"/>
      <c r="H49"/>
      <c r="I49"/>
      <c r="J49" s="118"/>
      <c r="K49"/>
      <c r="L49"/>
      <c r="M49"/>
      <c r="N49"/>
      <c r="O49"/>
    </row>
    <row r="50" spans="2:15" ht="15" x14ac:dyDescent="0.25">
      <c r="B50"/>
      <c r="C50"/>
      <c r="D50"/>
      <c r="E50"/>
      <c r="F50"/>
      <c r="G50"/>
      <c r="H50"/>
      <c r="I50"/>
      <c r="J50" s="118"/>
      <c r="K50"/>
      <c r="L50"/>
      <c r="M50"/>
      <c r="N50"/>
      <c r="O50"/>
    </row>
    <row r="51" spans="2:15" ht="15" x14ac:dyDescent="0.25">
      <c r="B51"/>
      <c r="C51"/>
      <c r="D51"/>
      <c r="E51"/>
      <c r="F51"/>
      <c r="G51"/>
      <c r="H51"/>
      <c r="I51"/>
      <c r="J51" s="118"/>
      <c r="K51"/>
      <c r="L51"/>
      <c r="M51"/>
      <c r="N51"/>
      <c r="O51"/>
    </row>
    <row r="52" spans="2:15" ht="15" x14ac:dyDescent="0.25">
      <c r="B52"/>
      <c r="C52"/>
      <c r="D52"/>
      <c r="E52"/>
      <c r="F52"/>
      <c r="G52"/>
      <c r="H52"/>
      <c r="I52"/>
      <c r="J52" s="118"/>
      <c r="K52"/>
      <c r="L52"/>
      <c r="M52"/>
      <c r="N52"/>
      <c r="O52"/>
    </row>
    <row r="53" spans="2:15" ht="15" x14ac:dyDescent="0.25">
      <c r="B53"/>
      <c r="C53"/>
      <c r="D53"/>
      <c r="E53"/>
      <c r="F53"/>
      <c r="G53"/>
      <c r="H53"/>
      <c r="I53"/>
      <c r="J53" s="118"/>
      <c r="K53"/>
      <c r="L53"/>
      <c r="M53"/>
      <c r="N53"/>
      <c r="O53"/>
    </row>
    <row r="54" spans="2:15" ht="15" x14ac:dyDescent="0.25">
      <c r="B54"/>
      <c r="C54"/>
      <c r="D54"/>
      <c r="E54"/>
      <c r="F54"/>
      <c r="G54"/>
      <c r="H54"/>
      <c r="I54"/>
      <c r="J54" s="118"/>
      <c r="K54"/>
      <c r="L54"/>
      <c r="M54"/>
      <c r="N54"/>
      <c r="O54"/>
    </row>
    <row r="55" spans="2:15" ht="15" x14ac:dyDescent="0.25">
      <c r="B55"/>
      <c r="C55"/>
      <c r="D55"/>
      <c r="E55"/>
      <c r="F55"/>
      <c r="G55"/>
      <c r="H55"/>
      <c r="I55"/>
      <c r="J55" s="118"/>
      <c r="K55"/>
      <c r="L55"/>
      <c r="M55"/>
      <c r="N55"/>
      <c r="O55"/>
    </row>
    <row r="56" spans="2:15" ht="15" x14ac:dyDescent="0.25">
      <c r="B56"/>
      <c r="C56"/>
      <c r="D56"/>
      <c r="E56"/>
      <c r="F56"/>
      <c r="G56"/>
      <c r="H56"/>
      <c r="I56"/>
      <c r="J56" s="118"/>
      <c r="K56"/>
      <c r="L56"/>
      <c r="M56"/>
      <c r="N56"/>
      <c r="O56"/>
    </row>
    <row r="57" spans="2:15" ht="15" x14ac:dyDescent="0.25">
      <c r="B57"/>
      <c r="C57"/>
      <c r="D57"/>
      <c r="E57"/>
      <c r="F57"/>
      <c r="G57"/>
      <c r="H57"/>
      <c r="I57"/>
      <c r="J57" s="118"/>
      <c r="K57"/>
      <c r="L57"/>
      <c r="M57"/>
      <c r="N57"/>
      <c r="O57"/>
    </row>
    <row r="58" spans="2:15" ht="15" x14ac:dyDescent="0.25">
      <c r="B58"/>
      <c r="C58"/>
      <c r="D58"/>
      <c r="E58"/>
      <c r="F58"/>
      <c r="G58"/>
      <c r="H58"/>
      <c r="I58"/>
      <c r="J58" s="118"/>
      <c r="K58"/>
      <c r="L58"/>
      <c r="M58"/>
      <c r="N58"/>
      <c r="O58"/>
    </row>
    <row r="59" spans="2:15" x14ac:dyDescent="0.25">
      <c r="B59" s="34" t="s">
        <v>146</v>
      </c>
      <c r="C59" s="34" t="s">
        <v>5</v>
      </c>
      <c r="D59" s="25" t="s">
        <v>6</v>
      </c>
      <c r="E59" s="25" t="s">
        <v>145</v>
      </c>
      <c r="F59" s="25" t="s">
        <v>3</v>
      </c>
      <c r="G59" s="34" t="s">
        <v>7</v>
      </c>
      <c r="H59" s="853" t="s">
        <v>8</v>
      </c>
      <c r="I59" s="853"/>
      <c r="J59" s="853"/>
      <c r="K59" s="853"/>
      <c r="L59" s="853"/>
      <c r="M59" s="853"/>
    </row>
    <row r="60" spans="2:15" ht="21" customHeight="1" x14ac:dyDescent="0.25">
      <c r="B60" s="35">
        <v>2</v>
      </c>
      <c r="C60" s="36" t="s">
        <v>158</v>
      </c>
      <c r="D60" s="37" t="s">
        <v>246</v>
      </c>
      <c r="E60" s="36" t="s">
        <v>247</v>
      </c>
      <c r="F60" s="37">
        <v>2024</v>
      </c>
      <c r="G60" s="37" t="s">
        <v>1</v>
      </c>
      <c r="H60" s="847" t="s">
        <v>245</v>
      </c>
      <c r="I60" s="848"/>
      <c r="J60" s="848"/>
      <c r="K60" s="848"/>
      <c r="L60" s="848"/>
      <c r="M60" s="848"/>
    </row>
    <row r="63" spans="2:15" ht="28.5" customHeight="1" x14ac:dyDescent="0.25">
      <c r="B63" s="86" t="s">
        <v>213</v>
      </c>
      <c r="C63" s="87" t="s">
        <v>248</v>
      </c>
      <c r="D63" s="87" t="s">
        <v>249</v>
      </c>
      <c r="E63" s="87" t="s">
        <v>250</v>
      </c>
      <c r="F63" s="87" t="s">
        <v>251</v>
      </c>
      <c r="G63" s="87" t="s">
        <v>252</v>
      </c>
      <c r="H63" s="854" t="s">
        <v>253</v>
      </c>
      <c r="I63" s="854"/>
      <c r="J63" s="854" t="s">
        <v>254</v>
      </c>
      <c r="K63" s="854"/>
      <c r="L63" s="854"/>
      <c r="M63" s="88" t="s">
        <v>149</v>
      </c>
    </row>
    <row r="64" spans="2:15" x14ac:dyDescent="0.25">
      <c r="B64" s="89">
        <v>1</v>
      </c>
      <c r="C64" s="90" t="s">
        <v>255</v>
      </c>
      <c r="D64" s="91"/>
      <c r="E64" s="91"/>
      <c r="F64" s="91"/>
      <c r="G64" s="91"/>
      <c r="H64" s="200"/>
      <c r="I64" s="201"/>
      <c r="J64" s="203"/>
      <c r="K64" s="201"/>
      <c r="L64" s="201"/>
      <c r="M64" s="88" t="s">
        <v>153</v>
      </c>
    </row>
    <row r="65" spans="2:17" ht="99.75" customHeight="1" x14ac:dyDescent="0.25">
      <c r="B65" s="89" t="s">
        <v>257</v>
      </c>
      <c r="C65" s="93" t="s">
        <v>258</v>
      </c>
      <c r="D65" s="67">
        <v>7</v>
      </c>
      <c r="E65" s="94">
        <v>6357142.8571428582</v>
      </c>
      <c r="F65" s="67">
        <v>3</v>
      </c>
      <c r="G65" s="95">
        <v>133500000.00000003</v>
      </c>
      <c r="H65" s="851" t="s">
        <v>259</v>
      </c>
      <c r="I65" s="851"/>
      <c r="J65" s="852" t="s">
        <v>260</v>
      </c>
      <c r="K65" s="852"/>
      <c r="L65" s="852"/>
      <c r="M65" s="51">
        <f>ROUND(E65*(1+$Q$66),0)</f>
        <v>6962979</v>
      </c>
      <c r="P65" s="840" t="s">
        <v>150</v>
      </c>
      <c r="Q65" s="840"/>
    </row>
    <row r="66" spans="2:17" ht="99.75" customHeight="1" x14ac:dyDescent="0.25">
      <c r="B66" s="96" t="s">
        <v>261</v>
      </c>
      <c r="C66" s="93" t="s">
        <v>262</v>
      </c>
      <c r="D66" s="67">
        <v>1</v>
      </c>
      <c r="E66" s="94">
        <v>6000000</v>
      </c>
      <c r="F66" s="67">
        <v>3</v>
      </c>
      <c r="G66" s="95">
        <v>18000000</v>
      </c>
      <c r="H66" s="851" t="s">
        <v>263</v>
      </c>
      <c r="I66" s="851"/>
      <c r="J66" s="852" t="s">
        <v>264</v>
      </c>
      <c r="K66" s="852"/>
      <c r="L66" s="852"/>
      <c r="M66" s="51">
        <f t="shared" ref="M66:M72" si="0">ROUND(E66*(1+$Q$66),0)</f>
        <v>6571800</v>
      </c>
      <c r="P66" s="126" t="s">
        <v>516</v>
      </c>
      <c r="Q66" s="199">
        <v>9.5299999999999996E-2</v>
      </c>
    </row>
    <row r="67" spans="2:17" ht="99.75" customHeight="1" x14ac:dyDescent="0.25">
      <c r="B67" s="89" t="s">
        <v>265</v>
      </c>
      <c r="C67" s="93" t="s">
        <v>266</v>
      </c>
      <c r="D67" s="67">
        <v>1</v>
      </c>
      <c r="E67" s="94">
        <v>6000000</v>
      </c>
      <c r="F67" s="67">
        <v>3</v>
      </c>
      <c r="G67" s="95">
        <v>18000000</v>
      </c>
      <c r="H67" s="851" t="s">
        <v>267</v>
      </c>
      <c r="I67" s="851"/>
      <c r="J67" s="852" t="s">
        <v>268</v>
      </c>
      <c r="K67" s="852"/>
      <c r="L67" s="852"/>
      <c r="M67" s="51">
        <f t="shared" si="0"/>
        <v>6571800</v>
      </c>
    </row>
    <row r="68" spans="2:17" ht="99.75" customHeight="1" x14ac:dyDescent="0.25">
      <c r="B68" s="96" t="s">
        <v>269</v>
      </c>
      <c r="C68" s="97" t="s">
        <v>270</v>
      </c>
      <c r="D68" s="67">
        <v>2</v>
      </c>
      <c r="E68" s="94">
        <v>4000000</v>
      </c>
      <c r="F68" s="67">
        <v>3</v>
      </c>
      <c r="G68" s="95">
        <v>24000000</v>
      </c>
      <c r="H68" s="851" t="s">
        <v>271</v>
      </c>
      <c r="I68" s="851"/>
      <c r="J68" s="852" t="s">
        <v>272</v>
      </c>
      <c r="K68" s="852"/>
      <c r="L68" s="852"/>
      <c r="M68" s="51">
        <f t="shared" si="0"/>
        <v>4381200</v>
      </c>
    </row>
    <row r="69" spans="2:17" ht="99.75" customHeight="1" x14ac:dyDescent="0.25">
      <c r="B69" s="89" t="s">
        <v>273</v>
      </c>
      <c r="C69" s="93" t="s">
        <v>274</v>
      </c>
      <c r="D69" s="67">
        <v>7</v>
      </c>
      <c r="E69" s="94">
        <v>4600000</v>
      </c>
      <c r="F69" s="67">
        <v>3</v>
      </c>
      <c r="G69" s="95">
        <v>96600000</v>
      </c>
      <c r="H69" s="851" t="s">
        <v>275</v>
      </c>
      <c r="I69" s="851"/>
      <c r="J69" s="852" t="s">
        <v>276</v>
      </c>
      <c r="K69" s="852"/>
      <c r="L69" s="852"/>
      <c r="M69" s="51">
        <f t="shared" si="0"/>
        <v>5038380</v>
      </c>
    </row>
    <row r="70" spans="2:17" ht="23.25" customHeight="1" x14ac:dyDescent="0.25">
      <c r="B70" s="89">
        <v>2</v>
      </c>
      <c r="C70" s="90" t="s">
        <v>277</v>
      </c>
      <c r="D70" s="91"/>
      <c r="E70" s="91"/>
      <c r="F70" s="91"/>
      <c r="G70" s="91"/>
      <c r="H70" s="851"/>
      <c r="I70" s="851"/>
      <c r="J70" s="852"/>
      <c r="K70" s="852"/>
      <c r="L70" s="852"/>
      <c r="M70" s="51">
        <f t="shared" si="0"/>
        <v>0</v>
      </c>
    </row>
    <row r="71" spans="2:17" ht="99.75" customHeight="1" x14ac:dyDescent="0.25">
      <c r="B71" s="92" t="s">
        <v>278</v>
      </c>
      <c r="C71" s="93" t="s">
        <v>279</v>
      </c>
      <c r="D71" s="98">
        <v>1</v>
      </c>
      <c r="E71" s="94">
        <v>4000000</v>
      </c>
      <c r="F71" s="67">
        <v>3</v>
      </c>
      <c r="G71" s="99">
        <v>12000000</v>
      </c>
      <c r="H71" s="851" t="s">
        <v>280</v>
      </c>
      <c r="I71" s="851"/>
      <c r="J71" s="852" t="s">
        <v>281</v>
      </c>
      <c r="K71" s="852"/>
      <c r="L71" s="852"/>
      <c r="M71" s="51">
        <f t="shared" si="0"/>
        <v>4381200</v>
      </c>
    </row>
    <row r="72" spans="2:17" ht="99.75" customHeight="1" x14ac:dyDescent="0.25">
      <c r="B72" s="89" t="s">
        <v>282</v>
      </c>
      <c r="C72" s="93" t="s">
        <v>283</v>
      </c>
      <c r="D72" s="67">
        <v>1</v>
      </c>
      <c r="E72" s="94">
        <v>3500000</v>
      </c>
      <c r="F72" s="67">
        <v>3</v>
      </c>
      <c r="G72" s="99">
        <v>10500000</v>
      </c>
      <c r="H72" s="851" t="s">
        <v>284</v>
      </c>
      <c r="I72" s="851"/>
      <c r="J72" s="852" t="s">
        <v>285</v>
      </c>
      <c r="K72" s="852"/>
      <c r="L72" s="852"/>
      <c r="M72" s="51">
        <f t="shared" si="0"/>
        <v>3833550</v>
      </c>
    </row>
    <row r="77" spans="2:17" x14ac:dyDescent="0.25">
      <c r="B77" s="34" t="s">
        <v>146</v>
      </c>
      <c r="C77" s="34" t="s">
        <v>5</v>
      </c>
      <c r="D77" s="25" t="s">
        <v>6</v>
      </c>
      <c r="E77" s="25" t="s">
        <v>145</v>
      </c>
      <c r="F77" s="25" t="s">
        <v>3</v>
      </c>
      <c r="G77" s="34" t="s">
        <v>7</v>
      </c>
      <c r="H77" s="853" t="s">
        <v>8</v>
      </c>
      <c r="I77" s="853"/>
      <c r="J77" s="853"/>
      <c r="K77" s="853"/>
      <c r="L77" s="853"/>
      <c r="M77" s="853"/>
    </row>
    <row r="78" spans="2:17" x14ac:dyDescent="0.25">
      <c r="B78" s="35">
        <v>4</v>
      </c>
      <c r="C78" s="36" t="s">
        <v>334</v>
      </c>
      <c r="D78" s="37" t="s">
        <v>482</v>
      </c>
      <c r="E78" s="36" t="s">
        <v>483</v>
      </c>
      <c r="F78" s="37">
        <v>2024</v>
      </c>
      <c r="G78" s="37" t="s">
        <v>2</v>
      </c>
      <c r="H78" s="847" t="s">
        <v>484</v>
      </c>
      <c r="I78" s="848"/>
      <c r="J78" s="848"/>
      <c r="K78" s="848"/>
      <c r="L78" s="848"/>
      <c r="M78" s="848"/>
    </row>
    <row r="80" spans="2:17" ht="14.25" thickBot="1" x14ac:dyDescent="0.3">
      <c r="M80" s="38" t="s">
        <v>149</v>
      </c>
    </row>
    <row r="81" spans="2:13" x14ac:dyDescent="0.25">
      <c r="B81" s="194" t="s">
        <v>485</v>
      </c>
      <c r="C81" s="195" t="s">
        <v>215</v>
      </c>
      <c r="D81" s="195" t="s">
        <v>290</v>
      </c>
      <c r="E81" s="195" t="s">
        <v>486</v>
      </c>
      <c r="F81" s="195" t="s">
        <v>291</v>
      </c>
      <c r="G81" s="195" t="s">
        <v>487</v>
      </c>
      <c r="H81" s="849" t="s">
        <v>488</v>
      </c>
      <c r="I81" s="850"/>
      <c r="J81" s="850"/>
      <c r="K81" s="850"/>
      <c r="L81" s="850"/>
      <c r="M81" s="38" t="s">
        <v>153</v>
      </c>
    </row>
    <row r="82" spans="2:13" s="59" customFormat="1" ht="71.25" customHeight="1" x14ac:dyDescent="0.25">
      <c r="B82" s="62" t="s">
        <v>489</v>
      </c>
      <c r="C82" s="62">
        <v>1</v>
      </c>
      <c r="D82" s="62" t="s">
        <v>251</v>
      </c>
      <c r="E82" s="62">
        <v>4</v>
      </c>
      <c r="F82" s="196">
        <v>9000000</v>
      </c>
      <c r="G82" s="196">
        <v>36000000</v>
      </c>
      <c r="H82" s="839" t="s">
        <v>490</v>
      </c>
      <c r="I82" s="839"/>
      <c r="J82" s="839"/>
      <c r="K82" s="839"/>
      <c r="L82" s="839"/>
      <c r="M82" s="51">
        <f>ROUND(F82*(1+$Q$66),0)</f>
        <v>9857700</v>
      </c>
    </row>
    <row r="83" spans="2:13" s="59" customFormat="1" ht="71.25" customHeight="1" x14ac:dyDescent="0.25">
      <c r="B83" s="62" t="s">
        <v>491</v>
      </c>
      <c r="C83" s="62">
        <v>1</v>
      </c>
      <c r="D83" s="62" t="s">
        <v>251</v>
      </c>
      <c r="E83" s="62">
        <v>4</v>
      </c>
      <c r="F83" s="196">
        <v>7500000</v>
      </c>
      <c r="G83" s="196">
        <v>30000000</v>
      </c>
      <c r="H83" s="839" t="s">
        <v>492</v>
      </c>
      <c r="I83" s="839"/>
      <c r="J83" s="839"/>
      <c r="K83" s="839"/>
      <c r="L83" s="839"/>
      <c r="M83" s="51">
        <f t="shared" ref="M83:M95" si="1">ROUND(F83*(1+$Q$66),0)</f>
        <v>8214750</v>
      </c>
    </row>
    <row r="84" spans="2:13" s="59" customFormat="1" ht="71.25" customHeight="1" x14ac:dyDescent="0.25">
      <c r="B84" s="62" t="s">
        <v>493</v>
      </c>
      <c r="C84" s="62">
        <v>1</v>
      </c>
      <c r="D84" s="62" t="s">
        <v>251</v>
      </c>
      <c r="E84" s="62">
        <v>4</v>
      </c>
      <c r="F84" s="196">
        <v>5500000</v>
      </c>
      <c r="G84" s="196">
        <v>22000000</v>
      </c>
      <c r="H84" s="839" t="s">
        <v>494</v>
      </c>
      <c r="I84" s="839"/>
      <c r="J84" s="839"/>
      <c r="K84" s="839"/>
      <c r="L84" s="839"/>
      <c r="M84" s="51">
        <f t="shared" si="1"/>
        <v>6024150</v>
      </c>
    </row>
    <row r="85" spans="2:13" s="59" customFormat="1" ht="93" customHeight="1" x14ac:dyDescent="0.25">
      <c r="B85" s="197" t="s">
        <v>495</v>
      </c>
      <c r="C85" s="197">
        <v>3</v>
      </c>
      <c r="D85" s="197" t="s">
        <v>251</v>
      </c>
      <c r="E85" s="62">
        <v>4</v>
      </c>
      <c r="F85" s="198">
        <v>6000000</v>
      </c>
      <c r="G85" s="198">
        <v>72000000</v>
      </c>
      <c r="H85" s="839" t="s">
        <v>496</v>
      </c>
      <c r="I85" s="839"/>
      <c r="J85" s="839"/>
      <c r="K85" s="839"/>
      <c r="L85" s="839"/>
      <c r="M85" s="51">
        <f t="shared" si="1"/>
        <v>6571800</v>
      </c>
    </row>
    <row r="86" spans="2:13" s="59" customFormat="1" ht="71.25" customHeight="1" x14ac:dyDescent="0.25">
      <c r="B86" s="62" t="s">
        <v>258</v>
      </c>
      <c r="C86" s="62">
        <v>1</v>
      </c>
      <c r="D86" s="62" t="s">
        <v>251</v>
      </c>
      <c r="E86" s="62">
        <v>4</v>
      </c>
      <c r="F86" s="196">
        <v>7500000</v>
      </c>
      <c r="G86" s="196">
        <v>30000000</v>
      </c>
      <c r="H86" s="839" t="s">
        <v>497</v>
      </c>
      <c r="I86" s="839"/>
      <c r="J86" s="839"/>
      <c r="K86" s="839"/>
      <c r="L86" s="839"/>
      <c r="M86" s="51">
        <f t="shared" si="1"/>
        <v>8214750</v>
      </c>
    </row>
    <row r="87" spans="2:13" s="59" customFormat="1" ht="71.25" customHeight="1" x14ac:dyDescent="0.25">
      <c r="B87" s="62" t="s">
        <v>498</v>
      </c>
      <c r="C87" s="62">
        <v>1</v>
      </c>
      <c r="D87" s="62" t="s">
        <v>251</v>
      </c>
      <c r="E87" s="62">
        <v>4</v>
      </c>
      <c r="F87" s="196">
        <v>7500000</v>
      </c>
      <c r="G87" s="196">
        <v>30000000</v>
      </c>
      <c r="H87" s="839" t="s">
        <v>499</v>
      </c>
      <c r="I87" s="839"/>
      <c r="J87" s="839"/>
      <c r="K87" s="839"/>
      <c r="L87" s="839"/>
      <c r="M87" s="51">
        <f t="shared" si="1"/>
        <v>8214750</v>
      </c>
    </row>
    <row r="88" spans="2:13" s="59" customFormat="1" ht="71.25" customHeight="1" x14ac:dyDescent="0.25">
      <c r="B88" s="62" t="s">
        <v>500</v>
      </c>
      <c r="C88" s="62">
        <v>1</v>
      </c>
      <c r="D88" s="62" t="s">
        <v>251</v>
      </c>
      <c r="E88" s="62">
        <v>4</v>
      </c>
      <c r="F88" s="196">
        <v>7500000</v>
      </c>
      <c r="G88" s="196">
        <v>30000000</v>
      </c>
      <c r="H88" s="839" t="s">
        <v>501</v>
      </c>
      <c r="I88" s="839"/>
      <c r="J88" s="839"/>
      <c r="K88" s="839"/>
      <c r="L88" s="839"/>
      <c r="M88" s="51">
        <f t="shared" si="1"/>
        <v>8214750</v>
      </c>
    </row>
    <row r="89" spans="2:13" s="59" customFormat="1" ht="71.25" customHeight="1" x14ac:dyDescent="0.25">
      <c r="B89" s="62" t="s">
        <v>502</v>
      </c>
      <c r="C89" s="62">
        <v>3</v>
      </c>
      <c r="D89" s="62" t="s">
        <v>251</v>
      </c>
      <c r="E89" s="62">
        <v>4</v>
      </c>
      <c r="F89" s="196">
        <v>7500000</v>
      </c>
      <c r="G89" s="196">
        <v>90000000</v>
      </c>
      <c r="H89" s="839" t="s">
        <v>503</v>
      </c>
      <c r="I89" s="839"/>
      <c r="J89" s="839"/>
      <c r="K89" s="839"/>
      <c r="L89" s="839"/>
      <c r="M89" s="51">
        <f t="shared" si="1"/>
        <v>8214750</v>
      </c>
    </row>
    <row r="90" spans="2:13" s="59" customFormat="1" ht="71.25" customHeight="1" x14ac:dyDescent="0.25">
      <c r="B90" s="62" t="s">
        <v>504</v>
      </c>
      <c r="C90" s="62">
        <v>2</v>
      </c>
      <c r="D90" s="62" t="s">
        <v>251</v>
      </c>
      <c r="E90" s="62">
        <v>4</v>
      </c>
      <c r="F90" s="196">
        <v>7500000</v>
      </c>
      <c r="G90" s="196">
        <v>60000000</v>
      </c>
      <c r="H90" s="839" t="s">
        <v>505</v>
      </c>
      <c r="I90" s="839"/>
      <c r="J90" s="839"/>
      <c r="K90" s="839"/>
      <c r="L90" s="839"/>
      <c r="M90" s="51">
        <f t="shared" si="1"/>
        <v>8214750</v>
      </c>
    </row>
    <row r="91" spans="2:13" s="59" customFormat="1" ht="71.25" customHeight="1" x14ac:dyDescent="0.25">
      <c r="B91" s="197" t="s">
        <v>506</v>
      </c>
      <c r="C91" s="197">
        <v>4</v>
      </c>
      <c r="D91" s="197" t="s">
        <v>251</v>
      </c>
      <c r="E91" s="62">
        <v>4</v>
      </c>
      <c r="F91" s="198">
        <v>6000000</v>
      </c>
      <c r="G91" s="198">
        <v>96000000</v>
      </c>
      <c r="H91" s="839" t="s">
        <v>507</v>
      </c>
      <c r="I91" s="839"/>
      <c r="J91" s="839"/>
      <c r="K91" s="839"/>
      <c r="L91" s="839"/>
      <c r="M91" s="51">
        <f t="shared" si="1"/>
        <v>6571800</v>
      </c>
    </row>
    <row r="92" spans="2:13" s="59" customFormat="1" ht="71.25" customHeight="1" x14ac:dyDescent="0.25">
      <c r="B92" s="197" t="s">
        <v>508</v>
      </c>
      <c r="C92" s="197">
        <v>1</v>
      </c>
      <c r="D92" s="197" t="s">
        <v>251</v>
      </c>
      <c r="E92" s="62">
        <v>4</v>
      </c>
      <c r="F92" s="198">
        <v>6500000</v>
      </c>
      <c r="G92" s="198">
        <v>26000000</v>
      </c>
      <c r="H92" s="839" t="s">
        <v>509</v>
      </c>
      <c r="I92" s="839"/>
      <c r="J92" s="839"/>
      <c r="K92" s="839"/>
      <c r="L92" s="839"/>
      <c r="M92" s="51">
        <f t="shared" si="1"/>
        <v>7119450</v>
      </c>
    </row>
    <row r="93" spans="2:13" s="59" customFormat="1" ht="71.25" customHeight="1" x14ac:dyDescent="0.25">
      <c r="B93" s="197" t="s">
        <v>510</v>
      </c>
      <c r="C93" s="197">
        <v>1</v>
      </c>
      <c r="D93" s="197" t="s">
        <v>251</v>
      </c>
      <c r="E93" s="62">
        <v>4</v>
      </c>
      <c r="F93" s="198">
        <v>6500000</v>
      </c>
      <c r="G93" s="198">
        <v>26000000</v>
      </c>
      <c r="H93" s="839" t="s">
        <v>511</v>
      </c>
      <c r="I93" s="839"/>
      <c r="J93" s="839"/>
      <c r="K93" s="839"/>
      <c r="L93" s="839"/>
      <c r="M93" s="51">
        <f t="shared" si="1"/>
        <v>7119450</v>
      </c>
    </row>
    <row r="94" spans="2:13" s="59" customFormat="1" ht="71.25" customHeight="1" x14ac:dyDescent="0.25">
      <c r="B94" s="62" t="s">
        <v>512</v>
      </c>
      <c r="C94" s="62">
        <v>6</v>
      </c>
      <c r="D94" s="62" t="s">
        <v>251</v>
      </c>
      <c r="E94" s="62">
        <v>4</v>
      </c>
      <c r="F94" s="196">
        <v>7500000</v>
      </c>
      <c r="G94" s="196">
        <v>180000000</v>
      </c>
      <c r="H94" s="839" t="s">
        <v>513</v>
      </c>
      <c r="I94" s="839"/>
      <c r="J94" s="839"/>
      <c r="K94" s="839"/>
      <c r="L94" s="839"/>
      <c r="M94" s="51">
        <f t="shared" si="1"/>
        <v>8214750</v>
      </c>
    </row>
    <row r="95" spans="2:13" s="59" customFormat="1" ht="71.25" customHeight="1" x14ac:dyDescent="0.25">
      <c r="B95" s="62" t="s">
        <v>514</v>
      </c>
      <c r="C95" s="62">
        <v>1</v>
      </c>
      <c r="D95" s="62" t="s">
        <v>251</v>
      </c>
      <c r="E95" s="62">
        <v>4</v>
      </c>
      <c r="F95" s="196">
        <v>5000000</v>
      </c>
      <c r="G95" s="196">
        <v>20000000</v>
      </c>
      <c r="H95" s="839" t="s">
        <v>515</v>
      </c>
      <c r="I95" s="839"/>
      <c r="J95" s="839"/>
      <c r="K95" s="839"/>
      <c r="L95" s="839"/>
      <c r="M95" s="51">
        <f t="shared" si="1"/>
        <v>5476500</v>
      </c>
    </row>
  </sheetData>
  <mergeCells count="43">
    <mergeCell ref="B2:N2"/>
    <mergeCell ref="J66:L66"/>
    <mergeCell ref="J67:L67"/>
    <mergeCell ref="J65:L65"/>
    <mergeCell ref="H63:I63"/>
    <mergeCell ref="H70:I70"/>
    <mergeCell ref="H77:M77"/>
    <mergeCell ref="H4:M4"/>
    <mergeCell ref="H5:M5"/>
    <mergeCell ref="J71:L71"/>
    <mergeCell ref="H59:M59"/>
    <mergeCell ref="H60:M60"/>
    <mergeCell ref="J68:L68"/>
    <mergeCell ref="J69:L69"/>
    <mergeCell ref="J70:L70"/>
    <mergeCell ref="H65:I65"/>
    <mergeCell ref="H66:I66"/>
    <mergeCell ref="H67:I67"/>
    <mergeCell ref="H68:I68"/>
    <mergeCell ref="H69:I69"/>
    <mergeCell ref="J63:L63"/>
    <mergeCell ref="H82:L82"/>
    <mergeCell ref="H83:L83"/>
    <mergeCell ref="H84:L84"/>
    <mergeCell ref="H71:I71"/>
    <mergeCell ref="H72:I72"/>
    <mergeCell ref="J72:L72"/>
    <mergeCell ref="H95:L95"/>
    <mergeCell ref="P65:Q65"/>
    <mergeCell ref="D4:G4"/>
    <mergeCell ref="D5:G5"/>
    <mergeCell ref="H90:L90"/>
    <mergeCell ref="H91:L91"/>
    <mergeCell ref="H92:L92"/>
    <mergeCell ref="H93:L93"/>
    <mergeCell ref="H94:L94"/>
    <mergeCell ref="H85:L85"/>
    <mergeCell ref="H86:L86"/>
    <mergeCell ref="H87:L87"/>
    <mergeCell ref="H88:L88"/>
    <mergeCell ref="H89:L89"/>
    <mergeCell ref="H78:M78"/>
    <mergeCell ref="H81:L81"/>
  </mergeCells>
  <hyperlinks>
    <hyperlink ref="H60" r:id="rId1" xr:uid="{FD6579F4-0DD8-40AA-A360-326DD4327000}"/>
    <hyperlink ref="H78" r:id="rId2" xr:uid="{5CE4642D-4A65-485D-91D8-78E78E29CA11}"/>
    <hyperlink ref="H5" r:id="rId3" xr:uid="{DE6D4B4D-056F-4ACC-9025-1C0C221CCE14}"/>
  </hyperlinks>
  <pageMargins left="0.7" right="0.7" top="0.75" bottom="0.75" header="0.3" footer="0.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902D6-2E3B-4339-A2CB-F11A46669AB4}">
  <sheetPr>
    <tabColor rgb="FFFFC000"/>
  </sheetPr>
  <dimension ref="A1"/>
  <sheetViews>
    <sheetView workbookViewId="0"/>
  </sheetViews>
  <sheetFormatPr baseColWidth="10"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57217-5B5E-4D63-8EF5-F35BD587E27E}">
  <dimension ref="B2:N11"/>
  <sheetViews>
    <sheetView topLeftCell="A11" workbookViewId="0">
      <selection activeCell="A13" sqref="A13:XFD15"/>
    </sheetView>
  </sheetViews>
  <sheetFormatPr baseColWidth="10" defaultColWidth="11.42578125" defaultRowHeight="12.75" x14ac:dyDescent="0.25"/>
  <cols>
    <col min="1" max="1" width="5.42578125" style="182" customWidth="1"/>
    <col min="2" max="2" width="40.7109375" style="182" customWidth="1"/>
    <col min="3" max="3" width="16.7109375" style="169" customWidth="1"/>
    <col min="4" max="4" width="1.7109375" style="182" customWidth="1"/>
    <col min="5" max="5" width="13" style="182" customWidth="1"/>
    <col min="6" max="6" width="20.28515625" style="182" customWidth="1"/>
    <col min="7" max="7" width="11.42578125" style="169"/>
    <col min="8" max="8" width="0" style="182" hidden="1" customWidth="1"/>
    <col min="9" max="9" width="11.7109375" style="182" customWidth="1"/>
    <col min="10" max="10" width="17.140625" style="182" customWidth="1"/>
    <col min="11" max="11" width="11.42578125" style="169"/>
    <col min="12" max="12" width="0" style="182" hidden="1" customWidth="1"/>
    <col min="13" max="13" width="11.140625" style="169" customWidth="1"/>
    <col min="14" max="14" width="9.140625" style="169" customWidth="1"/>
    <col min="15" max="16384" width="11.42578125" style="182"/>
  </cols>
  <sheetData>
    <row r="2" spans="2:14" ht="15" customHeight="1" x14ac:dyDescent="0.25">
      <c r="B2" s="857" t="s">
        <v>157</v>
      </c>
      <c r="C2" s="858"/>
      <c r="D2" s="858"/>
      <c r="E2" s="858"/>
      <c r="F2" s="858"/>
      <c r="G2" s="858"/>
      <c r="H2" s="858"/>
      <c r="I2" s="858"/>
      <c r="J2" s="858"/>
      <c r="K2" s="858"/>
      <c r="L2" s="858"/>
      <c r="M2" s="858"/>
    </row>
    <row r="4" spans="2:14" ht="15" customHeight="1" x14ac:dyDescent="0.25">
      <c r="B4" s="859" t="s">
        <v>1073</v>
      </c>
      <c r="C4" s="859"/>
      <c r="E4" s="860" t="s">
        <v>220</v>
      </c>
      <c r="F4" s="861"/>
      <c r="G4" s="861"/>
      <c r="H4" s="861"/>
      <c r="I4" s="861"/>
      <c r="J4" s="861"/>
      <c r="K4" s="862"/>
      <c r="L4" s="181"/>
    </row>
    <row r="5" spans="2:14" ht="24" customHeight="1" x14ac:dyDescent="0.25">
      <c r="B5" s="859"/>
      <c r="C5" s="859"/>
      <c r="E5" s="863" t="s">
        <v>221</v>
      </c>
      <c r="F5" s="863"/>
      <c r="G5" s="863"/>
      <c r="H5" s="863"/>
      <c r="I5" s="863" t="s">
        <v>222</v>
      </c>
      <c r="J5" s="863"/>
      <c r="K5" s="863"/>
      <c r="L5" s="863"/>
      <c r="M5" s="835" t="s">
        <v>1072</v>
      </c>
      <c r="N5" s="835" t="s">
        <v>443</v>
      </c>
    </row>
    <row r="6" spans="2:14" ht="33" customHeight="1" x14ac:dyDescent="0.25">
      <c r="B6" s="183" t="s">
        <v>227</v>
      </c>
      <c r="C6" s="183" t="s">
        <v>228</v>
      </c>
      <c r="E6" s="183" t="s">
        <v>229</v>
      </c>
      <c r="F6" s="183" t="s">
        <v>230</v>
      </c>
      <c r="G6" s="183" t="s">
        <v>205</v>
      </c>
      <c r="H6" s="183" t="s">
        <v>443</v>
      </c>
      <c r="I6" s="183" t="s">
        <v>229</v>
      </c>
      <c r="J6" s="183" t="s">
        <v>230</v>
      </c>
      <c r="K6" s="183" t="s">
        <v>205</v>
      </c>
      <c r="L6" s="183" t="s">
        <v>443</v>
      </c>
      <c r="M6" s="836"/>
      <c r="N6" s="836"/>
    </row>
    <row r="7" spans="2:14" ht="78" customHeight="1" x14ac:dyDescent="0.25">
      <c r="B7" s="184" t="s">
        <v>446</v>
      </c>
      <c r="C7" s="185">
        <v>32000</v>
      </c>
      <c r="E7" s="186" t="str">
        <f>'2.2 Fuentes_Alimentación'!$D$6</f>
        <v>CD-399-2024.</v>
      </c>
      <c r="F7" s="184" t="str">
        <f>'2.2 Fuentes_Alimentación'!B10</f>
        <v>Refrigerios  ancestrales am (Delegados/as y Funcionarios/as)</v>
      </c>
      <c r="G7" s="415">
        <f>'2.2 Fuentes_Alimentación'!M10</f>
        <v>35360</v>
      </c>
      <c r="H7" s="188">
        <f>C7/G7-1</f>
        <v>-9.5022624434389136E-2</v>
      </c>
      <c r="I7" s="186" t="str">
        <f>'2.2 Fuentes_Alimentación'!$D$18</f>
        <v>MJD-LP-001-2025</v>
      </c>
      <c r="J7" s="184" t="s">
        <v>480</v>
      </c>
      <c r="K7" s="417">
        <f>'2.2 Fuentes_Alimentación'!F22</f>
        <v>31736</v>
      </c>
      <c r="L7" s="188">
        <f>C7/K7-1</f>
        <v>8.3186286866649972E-3</v>
      </c>
      <c r="M7" s="401">
        <f>ROUND(AVERAGE(G7,K7),0)</f>
        <v>33548</v>
      </c>
      <c r="N7" s="418">
        <f>C7/M7-1</f>
        <v>-4.6142840109693606E-2</v>
      </c>
    </row>
    <row r="8" spans="2:14" ht="72" customHeight="1" x14ac:dyDescent="0.25">
      <c r="B8" s="184" t="s">
        <v>447</v>
      </c>
      <c r="C8" s="185">
        <v>70000</v>
      </c>
      <c r="E8" s="186" t="str">
        <f>'2.2 Fuentes_Alimentación'!$D$6</f>
        <v>CD-399-2024.</v>
      </c>
      <c r="F8" s="184" t="str">
        <f>'2.2 Fuentes_Alimentación'!B12</f>
        <v>Almuerzos ancestrales (Delegados/as y Funcionarios/as)</v>
      </c>
      <c r="G8" s="415">
        <f>'2.2 Fuentes_Alimentación'!M12</f>
        <v>70719</v>
      </c>
      <c r="H8" s="188">
        <f t="shared" ref="H8:H9" si="0">C8/G8-1</f>
        <v>-1.0166998967745533E-2</v>
      </c>
      <c r="I8" s="186" t="str">
        <f>'2.2 Fuentes_Alimentación'!$D$18</f>
        <v>MJD-LP-001-2025</v>
      </c>
      <c r="J8" s="184" t="s">
        <v>481</v>
      </c>
      <c r="K8" s="417">
        <f>'2.2 Fuentes_Alimentación'!F27</f>
        <v>70924</v>
      </c>
      <c r="L8" s="188">
        <f t="shared" ref="L8:L9" si="1">C8/K8-1</f>
        <v>-1.3028030003947921E-2</v>
      </c>
      <c r="M8" s="401">
        <f>ROUND(AVERAGE(G8,K8),0)</f>
        <v>70822</v>
      </c>
      <c r="N8" s="418">
        <f>C8/M8-1</f>
        <v>-1.1606562932422126E-2</v>
      </c>
    </row>
    <row r="9" spans="2:14" ht="78.75" customHeight="1" x14ac:dyDescent="0.25">
      <c r="B9" s="184" t="s">
        <v>448</v>
      </c>
      <c r="C9" s="185">
        <v>32000</v>
      </c>
      <c r="E9" s="186" t="str">
        <f>'2.2 Fuentes_Alimentación'!$D$6</f>
        <v>CD-399-2024.</v>
      </c>
      <c r="F9" s="184" t="str">
        <f>'2.2 Fuentes_Alimentación'!B11</f>
        <v>Refrigerios  ancestrales pm (Delegados/as y Funcionarios/as)</v>
      </c>
      <c r="G9" s="415">
        <f>'2.2 Fuentes_Alimentación'!M11</f>
        <v>35360</v>
      </c>
      <c r="H9" s="188">
        <f t="shared" si="0"/>
        <v>-9.5022624434389136E-2</v>
      </c>
      <c r="I9" s="186" t="str">
        <f>'2.2 Fuentes_Alimentación'!$D$18</f>
        <v>MJD-LP-001-2025</v>
      </c>
      <c r="J9" s="184" t="s">
        <v>480</v>
      </c>
      <c r="K9" s="417">
        <f>'2.2 Fuentes_Alimentación'!F22</f>
        <v>31736</v>
      </c>
      <c r="L9" s="188">
        <f t="shared" si="1"/>
        <v>8.3186286866649972E-3</v>
      </c>
      <c r="M9" s="401">
        <f>ROUND(AVERAGE(G9,K9),0)</f>
        <v>33548</v>
      </c>
      <c r="N9" s="418">
        <f>C9/M9-1</f>
        <v>-4.6142840109693606E-2</v>
      </c>
    </row>
    <row r="10" spans="2:14" ht="30" customHeight="1" x14ac:dyDescent="0.25">
      <c r="B10" s="856" t="s">
        <v>449</v>
      </c>
      <c r="C10" s="856"/>
    </row>
    <row r="11" spans="2:14" x14ac:dyDescent="0.25">
      <c r="M11" s="435"/>
    </row>
  </sheetData>
  <mergeCells count="8">
    <mergeCell ref="B10:C10"/>
    <mergeCell ref="N5:N6"/>
    <mergeCell ref="B2:M2"/>
    <mergeCell ref="B4:C5"/>
    <mergeCell ref="M5:M6"/>
    <mergeCell ref="E4:K4"/>
    <mergeCell ref="I5:L5"/>
    <mergeCell ref="E5:H5"/>
  </mergeCells>
  <phoneticPr fontId="5"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14640-C31D-4DD5-A6A3-200A7503E278}">
  <dimension ref="B3:T37"/>
  <sheetViews>
    <sheetView topLeftCell="H5" workbookViewId="0"/>
  </sheetViews>
  <sheetFormatPr baseColWidth="10" defaultColWidth="11.42578125" defaultRowHeight="12.75" x14ac:dyDescent="0.25"/>
  <cols>
    <col min="1" max="1" width="3.7109375" style="167" customWidth="1"/>
    <col min="2" max="2" width="23.140625" style="167" customWidth="1"/>
    <col min="3" max="3" width="42.28515625" style="167" customWidth="1"/>
    <col min="4" max="4" width="21" style="167" customWidth="1"/>
    <col min="5" max="5" width="20.7109375" style="167" customWidth="1"/>
    <col min="6" max="6" width="21.7109375" style="167" customWidth="1"/>
    <col min="7" max="7" width="26" style="167" customWidth="1"/>
    <col min="8" max="8" width="15.140625" style="167" customWidth="1"/>
    <col min="9" max="9" width="16.140625" style="169" customWidth="1"/>
    <col min="10" max="10" width="18.7109375" style="167" customWidth="1"/>
    <col min="11" max="11" width="19.42578125" style="167" customWidth="1"/>
    <col min="12" max="12" width="11.42578125" style="167"/>
    <col min="13" max="13" width="11.42578125" style="167" bestFit="1" customWidth="1"/>
    <col min="14" max="14" width="16.42578125" style="167" customWidth="1"/>
    <col min="15" max="16384" width="11.42578125" style="167"/>
  </cols>
  <sheetData>
    <row r="3" spans="2:20" x14ac:dyDescent="0.25">
      <c r="B3" s="864" t="s">
        <v>144</v>
      </c>
      <c r="C3" s="864"/>
      <c r="D3" s="864"/>
      <c r="E3" s="864"/>
      <c r="F3" s="864"/>
      <c r="G3" s="864"/>
      <c r="H3" s="864"/>
      <c r="I3" s="864"/>
      <c r="J3" s="864"/>
      <c r="K3" s="864"/>
      <c r="L3" s="864"/>
      <c r="M3" s="864"/>
      <c r="N3" s="864"/>
    </row>
    <row r="4" spans="2:20" ht="22.5" customHeight="1" x14ac:dyDescent="0.25">
      <c r="B4" s="168"/>
    </row>
    <row r="5" spans="2:20" ht="28.5" customHeight="1" x14ac:dyDescent="0.25">
      <c r="B5" s="162" t="s">
        <v>146</v>
      </c>
      <c r="C5" s="162" t="s">
        <v>5</v>
      </c>
      <c r="D5" s="163" t="s">
        <v>6</v>
      </c>
      <c r="E5" s="163" t="s">
        <v>145</v>
      </c>
      <c r="F5" s="163" t="s">
        <v>3</v>
      </c>
      <c r="G5" s="162" t="s">
        <v>7</v>
      </c>
      <c r="H5" s="865" t="s">
        <v>8</v>
      </c>
      <c r="I5" s="865"/>
      <c r="J5" s="865"/>
      <c r="K5" s="865"/>
      <c r="L5" s="865"/>
      <c r="M5" s="865"/>
      <c r="N5" s="865"/>
    </row>
    <row r="6" spans="2:20" ht="37.5" customHeight="1" x14ac:dyDescent="0.25">
      <c r="B6" s="164">
        <v>1</v>
      </c>
      <c r="C6" s="165" t="s">
        <v>451</v>
      </c>
      <c r="D6" s="166" t="s">
        <v>476</v>
      </c>
      <c r="E6" s="165" t="s">
        <v>452</v>
      </c>
      <c r="F6" s="166">
        <v>2024</v>
      </c>
      <c r="G6" s="166"/>
      <c r="H6" s="847" t="s">
        <v>450</v>
      </c>
      <c r="I6" s="866"/>
      <c r="J6" s="866"/>
      <c r="K6" s="866"/>
      <c r="L6" s="866"/>
      <c r="M6" s="866"/>
      <c r="N6" s="866"/>
    </row>
    <row r="7" spans="2:20" ht="21" customHeight="1" x14ac:dyDescent="0.25">
      <c r="B7" s="170"/>
      <c r="C7" s="171"/>
      <c r="D7" s="169"/>
      <c r="E7" s="171"/>
      <c r="F7" s="169"/>
      <c r="G7" s="169"/>
      <c r="H7" s="172"/>
      <c r="I7" s="172"/>
      <c r="J7" s="172"/>
      <c r="K7" s="172"/>
      <c r="L7" s="172"/>
      <c r="M7" s="172"/>
      <c r="N7" s="172"/>
    </row>
    <row r="9" spans="2:20" ht="25.5" x14ac:dyDescent="0.25">
      <c r="B9" s="156" t="s">
        <v>453</v>
      </c>
      <c r="C9" s="156" t="s">
        <v>454</v>
      </c>
      <c r="D9" s="156" t="s">
        <v>455</v>
      </c>
      <c r="E9" s="156" t="s">
        <v>456</v>
      </c>
      <c r="F9" s="156" t="s">
        <v>457</v>
      </c>
      <c r="G9" s="156" t="s">
        <v>458</v>
      </c>
      <c r="H9" s="156" t="s">
        <v>459</v>
      </c>
      <c r="I9" s="156" t="s">
        <v>460</v>
      </c>
      <c r="J9" s="156" t="s">
        <v>461</v>
      </c>
      <c r="K9" s="156" t="s">
        <v>462</v>
      </c>
      <c r="L9" s="156" t="s">
        <v>463</v>
      </c>
      <c r="M9" s="173" t="s">
        <v>469</v>
      </c>
      <c r="O9" s="867" t="s">
        <v>150</v>
      </c>
      <c r="P9" s="868"/>
      <c r="Q9" s="867" t="s">
        <v>150</v>
      </c>
      <c r="R9" s="868"/>
      <c r="S9" s="867" t="s">
        <v>150</v>
      </c>
      <c r="T9" s="868"/>
    </row>
    <row r="10" spans="2:20" ht="25.5" x14ac:dyDescent="0.25">
      <c r="B10" s="157" t="s">
        <v>465</v>
      </c>
      <c r="C10" s="158">
        <v>2</v>
      </c>
      <c r="D10" s="158" t="s">
        <v>464</v>
      </c>
      <c r="E10" s="159">
        <v>30000</v>
      </c>
      <c r="F10" s="158">
        <v>70</v>
      </c>
      <c r="G10" s="158" t="s">
        <v>466</v>
      </c>
      <c r="H10" s="159">
        <f t="shared" ref="H10:H12" si="0">+E10*8%</f>
        <v>2400</v>
      </c>
      <c r="I10" s="160">
        <v>0.08</v>
      </c>
      <c r="J10" s="159">
        <f t="shared" ref="J10:J12" si="1">+H10+E10</f>
        <v>32400</v>
      </c>
      <c r="K10" s="159">
        <f t="shared" ref="K10:K12" si="2">+E10*F10*C10</f>
        <v>4200000</v>
      </c>
      <c r="L10" s="161">
        <f t="shared" ref="L10:L12" si="3">+J10*F10*C10</f>
        <v>4536000</v>
      </c>
      <c r="M10" s="174">
        <f>ROUND(J10*(1+$R$10)*(1+$T$10),0)</f>
        <v>35360</v>
      </c>
      <c r="O10" s="175" t="s">
        <v>154</v>
      </c>
      <c r="P10" s="176">
        <v>9.2799999999999994E-2</v>
      </c>
      <c r="Q10" s="175" t="s">
        <v>151</v>
      </c>
      <c r="R10" s="176">
        <v>5.1999999999999998E-2</v>
      </c>
      <c r="S10" s="175" t="s">
        <v>1074</v>
      </c>
      <c r="T10" s="176">
        <v>3.7400000000000003E-2</v>
      </c>
    </row>
    <row r="11" spans="2:20" ht="25.5" x14ac:dyDescent="0.25">
      <c r="B11" s="157" t="s">
        <v>467</v>
      </c>
      <c r="C11" s="158">
        <v>2</v>
      </c>
      <c r="D11" s="158" t="s">
        <v>464</v>
      </c>
      <c r="E11" s="159">
        <v>30000</v>
      </c>
      <c r="F11" s="158">
        <v>70</v>
      </c>
      <c r="G11" s="158" t="s">
        <v>466</v>
      </c>
      <c r="H11" s="159">
        <f t="shared" si="0"/>
        <v>2400</v>
      </c>
      <c r="I11" s="160">
        <v>0.08</v>
      </c>
      <c r="J11" s="159">
        <f t="shared" si="1"/>
        <v>32400</v>
      </c>
      <c r="K11" s="159">
        <f t="shared" si="2"/>
        <v>4200000</v>
      </c>
      <c r="L11" s="161">
        <f t="shared" si="3"/>
        <v>4536000</v>
      </c>
      <c r="M11" s="174">
        <f t="shared" ref="M11:M12" si="4">ROUND(J11*(1+$R$10)*(1+$T$10),0)</f>
        <v>35360</v>
      </c>
    </row>
    <row r="12" spans="2:20" ht="25.5" x14ac:dyDescent="0.25">
      <c r="B12" s="157" t="s">
        <v>468</v>
      </c>
      <c r="C12" s="158">
        <v>2</v>
      </c>
      <c r="D12" s="158" t="s">
        <v>464</v>
      </c>
      <c r="E12" s="159">
        <v>60000</v>
      </c>
      <c r="F12" s="158">
        <v>70</v>
      </c>
      <c r="G12" s="158" t="s">
        <v>315</v>
      </c>
      <c r="H12" s="159">
        <f t="shared" si="0"/>
        <v>4800</v>
      </c>
      <c r="I12" s="160">
        <v>0.08</v>
      </c>
      <c r="J12" s="159">
        <f t="shared" si="1"/>
        <v>64800</v>
      </c>
      <c r="K12" s="159">
        <f t="shared" si="2"/>
        <v>8400000</v>
      </c>
      <c r="L12" s="161">
        <f t="shared" si="3"/>
        <v>9072000</v>
      </c>
      <c r="M12" s="174">
        <f t="shared" si="4"/>
        <v>70719</v>
      </c>
    </row>
    <row r="17" spans="2:14" x14ac:dyDescent="0.25">
      <c r="B17" s="162" t="s">
        <v>146</v>
      </c>
      <c r="C17" s="162" t="s">
        <v>5</v>
      </c>
      <c r="D17" s="163" t="s">
        <v>6</v>
      </c>
      <c r="E17" s="163" t="s">
        <v>145</v>
      </c>
      <c r="F17" s="163" t="s">
        <v>3</v>
      </c>
      <c r="G17" s="162" t="s">
        <v>7</v>
      </c>
      <c r="H17" s="865" t="s">
        <v>8</v>
      </c>
      <c r="I17" s="865"/>
      <c r="J17" s="865"/>
      <c r="K17" s="865"/>
      <c r="L17" s="865"/>
      <c r="M17" s="865"/>
      <c r="N17" s="865"/>
    </row>
    <row r="18" spans="2:14" ht="29.25" customHeight="1" x14ac:dyDescent="0.25">
      <c r="B18" s="164">
        <v>1</v>
      </c>
      <c r="C18" s="165" t="s">
        <v>470</v>
      </c>
      <c r="D18" s="165" t="s">
        <v>478</v>
      </c>
      <c r="E18" s="165" t="s">
        <v>479</v>
      </c>
      <c r="F18" s="166">
        <v>2025</v>
      </c>
      <c r="G18" s="166"/>
      <c r="H18" s="847" t="s">
        <v>477</v>
      </c>
      <c r="I18" s="866"/>
      <c r="J18" s="866"/>
      <c r="K18" s="866"/>
      <c r="L18" s="866"/>
      <c r="M18" s="866"/>
      <c r="N18" s="866"/>
    </row>
    <row r="19" spans="2:14" x14ac:dyDescent="0.25">
      <c r="I19" s="167"/>
    </row>
    <row r="20" spans="2:14" ht="76.5" customHeight="1" x14ac:dyDescent="0.25">
      <c r="C20" s="177" t="s">
        <v>471</v>
      </c>
      <c r="D20" s="178">
        <v>1</v>
      </c>
      <c r="E20" s="179">
        <v>26250</v>
      </c>
      <c r="F20" s="180">
        <v>19819</v>
      </c>
      <c r="I20" s="167"/>
    </row>
    <row r="21" spans="2:14" ht="87.75" customHeight="1" x14ac:dyDescent="0.25">
      <c r="C21" s="177" t="s">
        <v>472</v>
      </c>
      <c r="D21" s="178">
        <v>1</v>
      </c>
      <c r="E21" s="179">
        <v>31365</v>
      </c>
      <c r="F21" s="180">
        <v>23681</v>
      </c>
      <c r="I21" s="167"/>
    </row>
    <row r="22" spans="2:14" ht="87.75" customHeight="1" x14ac:dyDescent="0.25">
      <c r="C22" s="177" t="s">
        <v>473</v>
      </c>
      <c r="D22" s="178">
        <v>1</v>
      </c>
      <c r="E22" s="179">
        <v>42035</v>
      </c>
      <c r="F22" s="180">
        <v>31736</v>
      </c>
      <c r="I22" s="167"/>
    </row>
    <row r="23" spans="2:14" ht="87.75" customHeight="1" x14ac:dyDescent="0.25">
      <c r="C23" s="177" t="s">
        <v>20</v>
      </c>
      <c r="D23" s="178">
        <v>1</v>
      </c>
      <c r="E23" s="179">
        <v>57516</v>
      </c>
      <c r="F23" s="180">
        <v>43425</v>
      </c>
      <c r="I23" s="167"/>
    </row>
    <row r="24" spans="2:14" ht="87.75" customHeight="1" x14ac:dyDescent="0.25">
      <c r="C24" s="177" t="s">
        <v>474</v>
      </c>
      <c r="D24" s="178">
        <v>1</v>
      </c>
      <c r="E24" s="179">
        <v>71922</v>
      </c>
      <c r="F24" s="180">
        <v>54301</v>
      </c>
      <c r="I24" s="167"/>
    </row>
    <row r="25" spans="2:14" ht="87.75" customHeight="1" x14ac:dyDescent="0.25">
      <c r="C25" s="177" t="s">
        <v>21</v>
      </c>
      <c r="D25" s="178">
        <v>1</v>
      </c>
      <c r="E25" s="179">
        <v>80156</v>
      </c>
      <c r="F25" s="180">
        <v>60518</v>
      </c>
      <c r="I25" s="167"/>
    </row>
    <row r="26" spans="2:14" ht="87.75" customHeight="1" x14ac:dyDescent="0.25">
      <c r="C26" s="177" t="s">
        <v>22</v>
      </c>
      <c r="D26" s="178">
        <v>1</v>
      </c>
      <c r="E26" s="179">
        <v>70229</v>
      </c>
      <c r="F26" s="180">
        <v>53023</v>
      </c>
      <c r="I26" s="167"/>
    </row>
    <row r="27" spans="2:14" ht="87.75" customHeight="1" x14ac:dyDescent="0.25">
      <c r="C27" s="177" t="s">
        <v>23</v>
      </c>
      <c r="D27" s="178">
        <v>1</v>
      </c>
      <c r="E27" s="179">
        <v>93939</v>
      </c>
      <c r="F27" s="180">
        <v>70924</v>
      </c>
      <c r="I27" s="167"/>
    </row>
    <row r="28" spans="2:14" ht="87.75" customHeight="1" x14ac:dyDescent="0.25">
      <c r="C28" s="177" t="s">
        <v>475</v>
      </c>
      <c r="D28" s="178">
        <v>1</v>
      </c>
      <c r="E28" s="179">
        <v>2221460</v>
      </c>
      <c r="F28" s="180">
        <v>1677202</v>
      </c>
      <c r="I28" s="167"/>
    </row>
    <row r="29" spans="2:14" ht="87.75" customHeight="1" x14ac:dyDescent="0.25"/>
    <row r="30" spans="2:14" ht="87.75" customHeight="1" x14ac:dyDescent="0.25"/>
    <row r="31" spans="2:14" ht="87.75" customHeight="1" x14ac:dyDescent="0.25"/>
    <row r="32" spans="2:14" ht="87.75" customHeight="1" x14ac:dyDescent="0.25"/>
    <row r="33" ht="87.75" customHeight="1" x14ac:dyDescent="0.25"/>
    <row r="34" ht="87.75" customHeight="1" x14ac:dyDescent="0.25"/>
    <row r="35" ht="87.75" customHeight="1" x14ac:dyDescent="0.25"/>
    <row r="36" ht="87.75" customHeight="1" x14ac:dyDescent="0.25"/>
    <row r="37" ht="87.75" customHeight="1" x14ac:dyDescent="0.25"/>
  </sheetData>
  <mergeCells count="8">
    <mergeCell ref="H17:N17"/>
    <mergeCell ref="H18:N18"/>
    <mergeCell ref="B3:N3"/>
    <mergeCell ref="H5:N5"/>
    <mergeCell ref="H6:N6"/>
    <mergeCell ref="S9:T9"/>
    <mergeCell ref="O9:P9"/>
    <mergeCell ref="Q9:R9"/>
  </mergeCells>
  <dataValidations count="1">
    <dataValidation type="whole" allowBlank="1" showInputMessage="1" showErrorMessage="1" sqref="F20:F27" xr:uid="{E7C4300F-8DF7-484A-BD6E-267791E55941}">
      <formula1>0</formula1>
      <formula2>10000000000</formula2>
    </dataValidation>
  </dataValidations>
  <hyperlinks>
    <hyperlink ref="H6" r:id="rId1" xr:uid="{B02DDAF7-91A4-44FE-9976-73C45819854F}"/>
    <hyperlink ref="H18" r:id="rId2" xr:uid="{1F08686D-97C7-4C59-952F-CB363C587CB6}"/>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CA24F-9598-49ED-A3F1-695BCC759D83}">
  <sheetPr>
    <tabColor rgb="FFFFC000"/>
  </sheetPr>
  <dimension ref="A1"/>
  <sheetViews>
    <sheetView workbookViewId="0"/>
  </sheetViews>
  <sheetFormatPr baseColWidth="10"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7A7E6-115B-43E3-ADBA-6D533F587A4E}">
  <dimension ref="B2:N38"/>
  <sheetViews>
    <sheetView topLeftCell="A34" workbookViewId="0">
      <selection activeCell="A32" sqref="A32:XFD32"/>
    </sheetView>
  </sheetViews>
  <sheetFormatPr baseColWidth="10" defaultColWidth="11.42578125" defaultRowHeight="12.75" x14ac:dyDescent="0.25"/>
  <cols>
    <col min="1" max="1" width="5.42578125" style="167" customWidth="1"/>
    <col min="2" max="2" width="40.7109375" style="167" customWidth="1"/>
    <col min="3" max="3" width="19.42578125" style="192" customWidth="1"/>
    <col min="4" max="4" width="4.42578125" style="167" customWidth="1"/>
    <col min="5" max="5" width="16.140625" style="167" customWidth="1"/>
    <col min="6" max="6" width="36.85546875" style="167" customWidth="1"/>
    <col min="7" max="7" width="10.85546875" style="167" customWidth="1"/>
    <col min="8" max="8" width="0" style="167" hidden="1" customWidth="1"/>
    <col min="9" max="9" width="14.42578125" style="167" customWidth="1"/>
    <col min="10" max="10" width="23" style="167" customWidth="1"/>
    <col min="11" max="11" width="11.42578125" style="167"/>
    <col min="12" max="12" width="0" style="167" hidden="1" customWidth="1"/>
    <col min="13" max="13" width="11.7109375" style="167" customWidth="1"/>
    <col min="14" max="14" width="10" style="167" customWidth="1"/>
    <col min="15" max="16384" width="11.42578125" style="167"/>
  </cols>
  <sheetData>
    <row r="2" spans="2:14" ht="15" customHeight="1" x14ac:dyDescent="0.25">
      <c r="B2" s="857" t="s">
        <v>157</v>
      </c>
      <c r="C2" s="858"/>
      <c r="D2" s="858"/>
      <c r="E2" s="858"/>
      <c r="F2" s="858"/>
      <c r="G2" s="858"/>
      <c r="H2" s="858"/>
      <c r="I2" s="858"/>
      <c r="J2" s="858"/>
      <c r="K2" s="858"/>
      <c r="L2" s="858"/>
      <c r="M2" s="858"/>
    </row>
    <row r="4" spans="2:14" ht="15" customHeight="1" x14ac:dyDescent="0.25">
      <c r="B4" s="859" t="s">
        <v>539</v>
      </c>
      <c r="C4" s="859"/>
      <c r="E4" s="860" t="s">
        <v>220</v>
      </c>
      <c r="F4" s="861"/>
      <c r="G4" s="861"/>
      <c r="H4" s="861"/>
      <c r="I4" s="861"/>
      <c r="J4" s="861"/>
      <c r="K4" s="862"/>
      <c r="L4" s="181"/>
      <c r="M4" s="182"/>
      <c r="N4" s="182"/>
    </row>
    <row r="5" spans="2:14" ht="24" customHeight="1" x14ac:dyDescent="0.25">
      <c r="B5" s="859"/>
      <c r="C5" s="859"/>
      <c r="E5" s="863" t="s">
        <v>221</v>
      </c>
      <c r="F5" s="863"/>
      <c r="G5" s="863"/>
      <c r="H5" s="863"/>
      <c r="I5" s="863" t="s">
        <v>222</v>
      </c>
      <c r="J5" s="863"/>
      <c r="K5" s="863"/>
      <c r="L5" s="863"/>
      <c r="M5" s="835" t="s">
        <v>332</v>
      </c>
      <c r="N5" s="835" t="s">
        <v>223</v>
      </c>
    </row>
    <row r="6" spans="2:14" ht="33" customHeight="1" x14ac:dyDescent="0.25">
      <c r="B6" s="183" t="s">
        <v>538</v>
      </c>
      <c r="C6" s="183" t="s">
        <v>228</v>
      </c>
      <c r="E6" s="183" t="s">
        <v>229</v>
      </c>
      <c r="F6" s="183" t="s">
        <v>230</v>
      </c>
      <c r="G6" s="183" t="s">
        <v>205</v>
      </c>
      <c r="H6" s="183" t="s">
        <v>443</v>
      </c>
      <c r="I6" s="183" t="s">
        <v>229</v>
      </c>
      <c r="J6" s="183" t="s">
        <v>230</v>
      </c>
      <c r="K6" s="183" t="s">
        <v>205</v>
      </c>
      <c r="L6" s="183" t="s">
        <v>443</v>
      </c>
      <c r="M6" s="836"/>
      <c r="N6" s="836"/>
    </row>
    <row r="7" spans="2:14" ht="66" customHeight="1" x14ac:dyDescent="0.25">
      <c r="B7" s="184" t="s">
        <v>1064</v>
      </c>
      <c r="C7" s="185">
        <v>3500000</v>
      </c>
      <c r="E7" s="186" t="str">
        <f>'3.2 Fuentes_Logística'!$D$6</f>
        <v>CD-399-2024.</v>
      </c>
      <c r="F7" s="184" t="str">
        <f>'3.2 Fuentes_Logística'!B19</f>
        <v xml:space="preserve">Salón de eventos, dotado con ayudas audiovisuales (video beam/proyector - sonido y microfonos) Pax 55 personas, en acomodación tipo aula  </v>
      </c>
      <c r="G7" s="187">
        <f>'3.2 Fuentes_Logística'!M19</f>
        <v>3896101</v>
      </c>
      <c r="H7" s="188">
        <f>C7/G7-1</f>
        <v>-0.10166599890505923</v>
      </c>
      <c r="I7" s="186" t="str">
        <f>'3.2 Fuentes_Logística'!$D$27</f>
        <v>MJD-CD-892-2024</v>
      </c>
      <c r="J7" s="184" t="str">
        <f>'3.2 Fuentes_Logística'!$B$30</f>
        <v>Salòn de eventos Pax 70 (Ayudas audiovisuales y sonido) Sesion Comision VI - ENCP</v>
      </c>
      <c r="K7" s="189">
        <f>'3.2 Fuentes_Logística'!$G$30</f>
        <v>3274034</v>
      </c>
      <c r="L7" s="188">
        <f>C7/K7-1</f>
        <v>6.9017609468930319E-2</v>
      </c>
      <c r="M7" s="190">
        <f>ROUND(AVERAGE(G7,K7),0)</f>
        <v>3585068</v>
      </c>
      <c r="N7" s="191">
        <f>C7/M7-1</f>
        <v>-2.3728420214065626E-2</v>
      </c>
    </row>
    <row r="8" spans="2:14" ht="66" customHeight="1" x14ac:dyDescent="0.25">
      <c r="B8" s="184" t="s">
        <v>540</v>
      </c>
      <c r="C8" s="185">
        <v>4500000</v>
      </c>
      <c r="E8" s="186" t="str">
        <f>'3.2 Fuentes_Logística'!$D$6</f>
        <v>CD-399-2024.</v>
      </c>
      <c r="F8" s="184" t="str">
        <f>'3.2 Fuentes_Logística'!B10</f>
        <v xml:space="preserve">Salón de eventos, dotado con ayudas audiovisuales (video beam/proyector - sonido y microfonos) Pax 70 personas, en acomodación tipo aula </v>
      </c>
      <c r="G8" s="187">
        <f>'3.2 Fuentes_Logística'!M10</f>
        <v>5454541</v>
      </c>
      <c r="H8" s="188">
        <f t="shared" ref="H8:H10" si="0">C8/G8-1</f>
        <v>-0.1749993262494498</v>
      </c>
      <c r="I8" s="186" t="str">
        <f>'3.2 Fuentes_Logística'!$D$27</f>
        <v>MJD-CD-892-2024</v>
      </c>
      <c r="J8" s="184" t="str">
        <f>'3.2 Fuentes_Logística'!$B$30</f>
        <v>Salòn de eventos Pax 70 (Ayudas audiovisuales y sonido) Sesion Comision VI - ENCP</v>
      </c>
      <c r="K8" s="189">
        <f>'3.2 Fuentes_Logística'!$G$30</f>
        <v>3274034</v>
      </c>
      <c r="L8" s="188">
        <f t="shared" ref="L8:L10" si="1">C8/K8-1</f>
        <v>0.37445121217433908</v>
      </c>
      <c r="M8" s="190">
        <f t="shared" ref="M8:M10" si="2">ROUND(AVERAGE(G8,K8),0)</f>
        <v>4364288</v>
      </c>
      <c r="N8" s="191">
        <f t="shared" ref="N8:N10" si="3">C8/M8-1</f>
        <v>3.1096022993899686E-2</v>
      </c>
    </row>
    <row r="9" spans="2:14" ht="81.75" customHeight="1" x14ac:dyDescent="0.25">
      <c r="B9" s="184" t="s">
        <v>1065</v>
      </c>
      <c r="C9" s="185">
        <v>5000000</v>
      </c>
      <c r="E9" s="186" t="s">
        <v>1105</v>
      </c>
      <c r="F9" s="184" t="s">
        <v>1109</v>
      </c>
      <c r="G9" s="187">
        <f>'3.2 Fuentes_Logística'!M10+'3.2 Fuentes_Logística'!H268</f>
        <v>6050852</v>
      </c>
      <c r="H9" s="188">
        <f t="shared" si="0"/>
        <v>-0.17367008811321116</v>
      </c>
      <c r="I9" s="186" t="s">
        <v>1104</v>
      </c>
      <c r="J9" s="184" t="s">
        <v>1108</v>
      </c>
      <c r="K9" s="189">
        <f>'3.2 Fuentes_Logística'!$G$30+'3.2 Fuentes_Logística'!H268</f>
        <v>3870345</v>
      </c>
      <c r="L9" s="188">
        <f t="shared" si="1"/>
        <v>0.2918744969763678</v>
      </c>
      <c r="M9" s="190">
        <f t="shared" si="2"/>
        <v>4960599</v>
      </c>
      <c r="N9" s="191">
        <f t="shared" si="3"/>
        <v>7.9427907799038966E-3</v>
      </c>
    </row>
    <row r="10" spans="2:14" ht="111.75" customHeight="1" x14ac:dyDescent="0.25">
      <c r="B10" s="184" t="s">
        <v>1066</v>
      </c>
      <c r="C10" s="185">
        <v>8650000</v>
      </c>
      <c r="E10" s="186" t="s">
        <v>1105</v>
      </c>
      <c r="F10" s="184" t="s">
        <v>1106</v>
      </c>
      <c r="G10" s="187">
        <f>'3.2 Fuentes_Logística'!M10*2+'3.2 Fuentes_Logística'!H268</f>
        <v>11505393</v>
      </c>
      <c r="H10" s="188">
        <f t="shared" si="0"/>
        <v>-0.24817865847781129</v>
      </c>
      <c r="I10" s="186" t="s">
        <v>1104</v>
      </c>
      <c r="J10" s="184" t="s">
        <v>1107</v>
      </c>
      <c r="K10" s="189">
        <f>'3.2 Fuentes_Logística'!$G$30*2+'3.2 Fuentes_Logística'!H268</f>
        <v>7144379</v>
      </c>
      <c r="L10" s="188">
        <f t="shared" si="1"/>
        <v>0.21074203930110658</v>
      </c>
      <c r="M10" s="190">
        <f t="shared" si="2"/>
        <v>9324886</v>
      </c>
      <c r="N10" s="191">
        <f t="shared" si="3"/>
        <v>-7.2374718575648034E-2</v>
      </c>
    </row>
    <row r="11" spans="2:14" ht="30" customHeight="1" x14ac:dyDescent="0.25">
      <c r="B11" s="856"/>
      <c r="C11" s="856"/>
    </row>
    <row r="12" spans="2:14" x14ac:dyDescent="0.25">
      <c r="B12" s="869" t="s">
        <v>1047</v>
      </c>
      <c r="C12" s="869"/>
      <c r="E12" s="167" t="s">
        <v>1059</v>
      </c>
    </row>
    <row r="13" spans="2:14" x14ac:dyDescent="0.25">
      <c r="B13" s="869"/>
      <c r="C13" s="869"/>
      <c r="E13" s="167" t="s">
        <v>1059</v>
      </c>
    </row>
    <row r="14" spans="2:14" x14ac:dyDescent="0.25">
      <c r="B14" s="869"/>
      <c r="C14" s="869"/>
      <c r="E14" s="167" t="s">
        <v>1059</v>
      </c>
    </row>
    <row r="17" spans="2:14" x14ac:dyDescent="0.25">
      <c r="B17" s="859" t="s">
        <v>539</v>
      </c>
      <c r="C17" s="859"/>
      <c r="E17" s="860" t="s">
        <v>220</v>
      </c>
      <c r="F17" s="861"/>
      <c r="G17" s="861"/>
      <c r="H17" s="861"/>
      <c r="I17" s="861"/>
      <c r="J17" s="861"/>
      <c r="K17" s="862"/>
      <c r="L17" s="181"/>
    </row>
    <row r="18" spans="2:14" x14ac:dyDescent="0.25">
      <c r="B18" s="859"/>
      <c r="C18" s="859"/>
      <c r="E18" s="863" t="s">
        <v>221</v>
      </c>
      <c r="F18" s="863"/>
      <c r="G18" s="863"/>
      <c r="H18" s="863"/>
      <c r="I18" s="863" t="s">
        <v>222</v>
      </c>
      <c r="J18" s="863"/>
      <c r="K18" s="863"/>
      <c r="L18" s="863"/>
      <c r="M18" s="835" t="s">
        <v>332</v>
      </c>
      <c r="N18" s="835" t="s">
        <v>223</v>
      </c>
    </row>
    <row r="19" spans="2:14" x14ac:dyDescent="0.25">
      <c r="B19" s="183" t="s">
        <v>667</v>
      </c>
      <c r="C19" s="183" t="s">
        <v>228</v>
      </c>
      <c r="E19" s="183" t="s">
        <v>229</v>
      </c>
      <c r="F19" s="183" t="s">
        <v>230</v>
      </c>
      <c r="G19" s="183" t="s">
        <v>205</v>
      </c>
      <c r="H19" s="183" t="s">
        <v>443</v>
      </c>
      <c r="I19" s="183" t="s">
        <v>229</v>
      </c>
      <c r="J19" s="183" t="s">
        <v>230</v>
      </c>
      <c r="K19" s="183" t="s">
        <v>205</v>
      </c>
      <c r="L19" s="183" t="s">
        <v>443</v>
      </c>
      <c r="M19" s="836"/>
      <c r="N19" s="836"/>
    </row>
    <row r="20" spans="2:14" ht="108.75" customHeight="1" x14ac:dyDescent="0.25">
      <c r="B20" s="184" t="s">
        <v>1067</v>
      </c>
      <c r="C20" s="185">
        <v>900000</v>
      </c>
      <c r="E20" s="186" t="str">
        <f>'3.2 Fuentes_Logística'!$D$35</f>
        <v>MJD-LP-001-2025</v>
      </c>
      <c r="F20" s="184" t="s">
        <v>671</v>
      </c>
      <c r="G20" s="187">
        <f>'3.2 Fuentes_Logística'!F45/100*70</f>
        <v>1174041.4000000001</v>
      </c>
      <c r="H20" s="188">
        <f>C20/G20-1</f>
        <v>-0.23341715206976521</v>
      </c>
      <c r="I20" s="186" t="str">
        <f>'3.2 Fuentes_Logística'!D6</f>
        <v>CD-399-2024.</v>
      </c>
      <c r="J20" s="184" t="s">
        <v>1110</v>
      </c>
      <c r="K20" s="189">
        <f>'3.2 Fuentes_Logística'!M20</f>
        <v>1178652</v>
      </c>
      <c r="L20" s="188">
        <f>C20/K20-1</f>
        <v>-0.23641583775363717</v>
      </c>
      <c r="M20" s="190">
        <f>ROUND(AVERAGE(G20,K20),0)</f>
        <v>1176347</v>
      </c>
      <c r="N20" s="191">
        <f>C20/M20-1</f>
        <v>-0.23491962830695368</v>
      </c>
    </row>
    <row r="21" spans="2:14" ht="73.5" customHeight="1" x14ac:dyDescent="0.25">
      <c r="B21" s="184" t="s">
        <v>1068</v>
      </c>
      <c r="C21" s="185">
        <v>1200000</v>
      </c>
      <c r="E21" s="186" t="str">
        <f>'3.2 Fuentes_Logística'!$D$35</f>
        <v>MJD-LP-001-2025</v>
      </c>
      <c r="F21" s="184" t="s">
        <v>670</v>
      </c>
      <c r="G21" s="187">
        <f>'3.2 Fuentes_Logística'!F45</f>
        <v>1677202</v>
      </c>
      <c r="H21" s="188">
        <f t="shared" ref="H21:H22" si="4">C21/G21-1</f>
        <v>-0.28452267526511421</v>
      </c>
      <c r="I21" s="186" t="str">
        <f>'3.2 Fuentes_Logística'!D6</f>
        <v>CD-399-2024.</v>
      </c>
      <c r="J21" s="184" t="s">
        <v>1112</v>
      </c>
      <c r="K21" s="189">
        <f>'3.2 Fuentes_Logística'!M20/55*109</f>
        <v>2335873.9636363639</v>
      </c>
      <c r="L21" s="188">
        <f t="shared" ref="L21:L22" si="5">C21/K21-1</f>
        <v>-0.48627365231131559</v>
      </c>
      <c r="M21" s="190">
        <f t="shared" ref="M21:M22" si="6">ROUND(AVERAGE(G21,K21),0)</f>
        <v>2006538</v>
      </c>
      <c r="N21" s="191">
        <f t="shared" ref="N21:N22" si="7">C21/M21-1</f>
        <v>-0.40195500907533277</v>
      </c>
    </row>
    <row r="22" spans="2:14" ht="73.5" customHeight="1" x14ac:dyDescent="0.25">
      <c r="B22" s="184" t="s">
        <v>669</v>
      </c>
      <c r="C22" s="185">
        <v>1975000</v>
      </c>
      <c r="E22" s="186" t="str">
        <f>'3.2 Fuentes_Logística'!$D$35</f>
        <v>MJD-LP-001-2025</v>
      </c>
      <c r="F22" s="184" t="s">
        <v>672</v>
      </c>
      <c r="G22" s="187">
        <f>'3.2 Fuentes_Logística'!F45/100*263</f>
        <v>4411041.26</v>
      </c>
      <c r="H22" s="188">
        <f t="shared" si="4"/>
        <v>-0.55225991243618511</v>
      </c>
      <c r="I22" s="186" t="str">
        <f>'3.2 Fuentes_Logística'!D6</f>
        <v>CD-399-2024.</v>
      </c>
      <c r="J22" s="184" t="s">
        <v>1111</v>
      </c>
      <c r="K22" s="189">
        <f>'3.2 Fuentes_Logística'!M20/55*263</f>
        <v>5636099.5636363644</v>
      </c>
      <c r="L22" s="188">
        <f t="shared" si="5"/>
        <v>-0.64958035646805601</v>
      </c>
      <c r="M22" s="190">
        <f t="shared" si="6"/>
        <v>5023570</v>
      </c>
      <c r="N22" s="191">
        <f t="shared" si="7"/>
        <v>-0.60685329357409179</v>
      </c>
    </row>
    <row r="26" spans="2:14" x14ac:dyDescent="0.25">
      <c r="B26" s="859" t="s">
        <v>539</v>
      </c>
      <c r="C26" s="859"/>
      <c r="E26" s="860" t="s">
        <v>220</v>
      </c>
      <c r="F26" s="861"/>
      <c r="G26" s="861"/>
      <c r="H26" s="861"/>
      <c r="I26" s="861"/>
      <c r="J26" s="861"/>
      <c r="K26" s="862"/>
      <c r="L26" s="181"/>
    </row>
    <row r="27" spans="2:14" x14ac:dyDescent="0.25">
      <c r="B27" s="859"/>
      <c r="C27" s="859"/>
      <c r="E27" s="863" t="s">
        <v>221</v>
      </c>
      <c r="F27" s="863"/>
      <c r="G27" s="863"/>
      <c r="H27" s="863"/>
      <c r="I27" s="863" t="s">
        <v>222</v>
      </c>
      <c r="J27" s="863"/>
      <c r="K27" s="863"/>
      <c r="L27" s="863"/>
      <c r="M27" s="835" t="s">
        <v>332</v>
      </c>
      <c r="N27" s="835" t="s">
        <v>223</v>
      </c>
    </row>
    <row r="28" spans="2:14" x14ac:dyDescent="0.25">
      <c r="B28" s="183" t="s">
        <v>673</v>
      </c>
      <c r="C28" s="183" t="s">
        <v>228</v>
      </c>
      <c r="E28" s="183" t="s">
        <v>229</v>
      </c>
      <c r="F28" s="183" t="s">
        <v>230</v>
      </c>
      <c r="G28" s="183" t="s">
        <v>205</v>
      </c>
      <c r="H28" s="183" t="s">
        <v>443</v>
      </c>
      <c r="I28" s="183" t="s">
        <v>229</v>
      </c>
      <c r="J28" s="183" t="s">
        <v>230</v>
      </c>
      <c r="K28" s="183" t="s">
        <v>205</v>
      </c>
      <c r="L28" s="183" t="s">
        <v>443</v>
      </c>
      <c r="M28" s="836"/>
      <c r="N28" s="836"/>
    </row>
    <row r="29" spans="2:14" ht="76.5" x14ac:dyDescent="0.25">
      <c r="B29" s="184" t="s">
        <v>674</v>
      </c>
      <c r="C29" s="185">
        <v>200000</v>
      </c>
      <c r="E29" s="186" t="str">
        <f>'3.2 Fuentes_Logística'!$D$35</f>
        <v>MJD-LP-001-2025</v>
      </c>
      <c r="F29" s="184" t="str">
        <f>'3.2 Fuentes_Logística'!C82</f>
        <v>Mesero turno 8 horas</v>
      </c>
      <c r="G29" s="187">
        <f>'3.2 Fuentes_Logística'!F82</f>
        <v>237778</v>
      </c>
      <c r="H29" s="188">
        <f>C29/G29-1</f>
        <v>-0.15887929076701801</v>
      </c>
      <c r="I29" s="186" t="str">
        <f>'3.2 Fuentes_Logística'!D6</f>
        <v>CD-399-2024.</v>
      </c>
      <c r="J29" s="184" t="str">
        <f>'3.2 Fuentes_Logística'!B12</f>
        <v>Meseros</v>
      </c>
      <c r="K29" s="189">
        <f>'3.2 Fuentes_Logística'!M12</f>
        <v>260681</v>
      </c>
      <c r="L29" s="188">
        <f>C29/K29-1</f>
        <v>-0.23277876024719868</v>
      </c>
      <c r="M29" s="190">
        <f>ROUND(AVERAGE(G29,K29),0)</f>
        <v>249230</v>
      </c>
      <c r="N29" s="191">
        <f>C29/M29-1</f>
        <v>-0.19752838743329459</v>
      </c>
    </row>
    <row r="31" spans="2:14" x14ac:dyDescent="0.25">
      <c r="B31" s="167" t="s">
        <v>675</v>
      </c>
    </row>
    <row r="34" spans="2:14" x14ac:dyDescent="0.25">
      <c r="B34" s="859" t="s">
        <v>539</v>
      </c>
      <c r="C34" s="859"/>
      <c r="E34" s="860" t="s">
        <v>220</v>
      </c>
      <c r="F34" s="861"/>
      <c r="G34" s="861"/>
      <c r="H34" s="861"/>
      <c r="I34" s="861"/>
      <c r="J34" s="861"/>
      <c r="K34" s="862"/>
      <c r="L34" s="181"/>
    </row>
    <row r="35" spans="2:14" x14ac:dyDescent="0.25">
      <c r="B35" s="859"/>
      <c r="C35" s="859"/>
      <c r="E35" s="863" t="s">
        <v>221</v>
      </c>
      <c r="F35" s="863"/>
      <c r="G35" s="863"/>
      <c r="H35" s="863"/>
      <c r="I35" s="863" t="s">
        <v>222</v>
      </c>
      <c r="J35" s="863"/>
      <c r="K35" s="863"/>
      <c r="L35" s="863"/>
      <c r="M35" s="835" t="s">
        <v>332</v>
      </c>
      <c r="N35" s="835" t="s">
        <v>223</v>
      </c>
    </row>
    <row r="36" spans="2:14" x14ac:dyDescent="0.25">
      <c r="B36" s="183" t="s">
        <v>678</v>
      </c>
      <c r="C36" s="183" t="s">
        <v>228</v>
      </c>
      <c r="E36" s="183" t="s">
        <v>229</v>
      </c>
      <c r="F36" s="183" t="s">
        <v>230</v>
      </c>
      <c r="G36" s="183" t="s">
        <v>205</v>
      </c>
      <c r="H36" s="183" t="s">
        <v>443</v>
      </c>
      <c r="I36" s="183" t="s">
        <v>229</v>
      </c>
      <c r="J36" s="183" t="s">
        <v>230</v>
      </c>
      <c r="K36" s="183" t="s">
        <v>205</v>
      </c>
      <c r="L36" s="183" t="s">
        <v>443</v>
      </c>
      <c r="M36" s="836"/>
      <c r="N36" s="836"/>
    </row>
    <row r="37" spans="2:14" ht="131.25" customHeight="1" x14ac:dyDescent="0.25">
      <c r="B37" s="184" t="s">
        <v>1076</v>
      </c>
      <c r="C37" s="185">
        <v>1600000</v>
      </c>
      <c r="E37" s="186" t="str">
        <f>'3.2 Fuentes_Logística'!$D$27</f>
        <v>MJD-CD-892-2024</v>
      </c>
      <c r="F37" s="184" t="str">
        <f>'3.2 Fuentes_Logística'!B32</f>
        <v>Registro fotogràfico, audio y video Sesion Comision VI - ENCP y Sesión Subcomisión de Mujeres</v>
      </c>
      <c r="G37" s="187">
        <f>'3.2 Fuentes_Logística'!G32</f>
        <v>2182690</v>
      </c>
      <c r="H37" s="188">
        <f>C37/G37-1</f>
        <v>-0.26695957740219634</v>
      </c>
      <c r="I37" s="186" t="str">
        <f>'3.2 Fuentes_Logística'!$D$6</f>
        <v>CD-399-2024.</v>
      </c>
      <c r="J37" s="184" t="str">
        <f>'3.2 Fuentes_Logística'!$B$13</f>
        <v xml:space="preserve">Registro fotográfico y video </v>
      </c>
      <c r="K37" s="189">
        <f>'3.2 Fuentes_Logística'!$M$13</f>
        <v>3246751</v>
      </c>
      <c r="L37" s="188">
        <f>C37/K37-1</f>
        <v>-0.50719965898216401</v>
      </c>
      <c r="M37" s="190">
        <f>ROUND(AVERAGE(G37,K37),0)</f>
        <v>2714721</v>
      </c>
      <c r="N37" s="191">
        <f>C37/M37-1</f>
        <v>-0.41062083359579127</v>
      </c>
    </row>
    <row r="38" spans="2:14" ht="165.75" x14ac:dyDescent="0.25">
      <c r="B38" s="436" t="s">
        <v>1077</v>
      </c>
      <c r="C38" s="185">
        <v>2350000</v>
      </c>
      <c r="E38" s="186" t="str">
        <f>'3.2 Fuentes_Logística'!$D$27</f>
        <v>MJD-CD-892-2024</v>
      </c>
      <c r="F38" s="184" t="str">
        <f>'3.2 Fuentes_Logística'!B32</f>
        <v>Registro fotogràfico, audio y video Sesion Comision VI - ENCP y Sesión Subcomisión de Mujeres</v>
      </c>
      <c r="G38" s="187">
        <f>'3.2 Fuentes_Logística'!G32</f>
        <v>2182690</v>
      </c>
      <c r="H38" s="188">
        <f>C38/G38-1</f>
        <v>7.6653120690524101E-2</v>
      </c>
      <c r="I38" s="186" t="str">
        <f>'3.2 Fuentes_Logística'!$D$6</f>
        <v>CD-399-2024.</v>
      </c>
      <c r="J38" s="184" t="str">
        <f>'3.2 Fuentes_Logística'!$B$13</f>
        <v xml:space="preserve">Registro fotográfico y video </v>
      </c>
      <c r="K38" s="189">
        <f>'3.2 Fuentes_Logística'!$M$13</f>
        <v>3246751</v>
      </c>
      <c r="L38" s="188">
        <f>C38/K38-1</f>
        <v>-0.27619949913005337</v>
      </c>
      <c r="M38" s="190">
        <f>ROUND(AVERAGE(G38,K38),0)</f>
        <v>2714721</v>
      </c>
      <c r="N38" s="191">
        <f>C38/M38-1</f>
        <v>-0.13434934934381837</v>
      </c>
    </row>
  </sheetData>
  <mergeCells count="27">
    <mergeCell ref="B2:M2"/>
    <mergeCell ref="B4:C5"/>
    <mergeCell ref="E4:K4"/>
    <mergeCell ref="E5:H5"/>
    <mergeCell ref="I5:L5"/>
    <mergeCell ref="M5:M6"/>
    <mergeCell ref="M18:M19"/>
    <mergeCell ref="M27:M28"/>
    <mergeCell ref="N5:N6"/>
    <mergeCell ref="B11:C11"/>
    <mergeCell ref="B12:C14"/>
    <mergeCell ref="B17:C18"/>
    <mergeCell ref="E17:K17"/>
    <mergeCell ref="E18:H18"/>
    <mergeCell ref="I18:L18"/>
    <mergeCell ref="N18:N19"/>
    <mergeCell ref="B26:C27"/>
    <mergeCell ref="E26:K26"/>
    <mergeCell ref="E27:H27"/>
    <mergeCell ref="I27:L27"/>
    <mergeCell ref="N27:N28"/>
    <mergeCell ref="N35:N36"/>
    <mergeCell ref="B34:C35"/>
    <mergeCell ref="E34:K34"/>
    <mergeCell ref="E35:H35"/>
    <mergeCell ref="I35:L35"/>
    <mergeCell ref="M35:M3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FEA59-14A0-4DEB-91E7-25633F3D3E66}">
  <dimension ref="B3:T268"/>
  <sheetViews>
    <sheetView topLeftCell="H19" workbookViewId="0"/>
  </sheetViews>
  <sheetFormatPr baseColWidth="10" defaultColWidth="11.42578125" defaultRowHeight="12.75" x14ac:dyDescent="0.25"/>
  <cols>
    <col min="1" max="1" width="3.7109375" style="167" customWidth="1"/>
    <col min="2" max="2" width="17" style="167" customWidth="1"/>
    <col min="3" max="3" width="38.42578125" style="167" customWidth="1"/>
    <col min="4" max="4" width="15.140625" style="167" customWidth="1"/>
    <col min="5" max="5" width="19.5703125" style="167" customWidth="1"/>
    <col min="6" max="6" width="21.7109375" style="167" customWidth="1"/>
    <col min="7" max="7" width="26" style="167" customWidth="1"/>
    <col min="8" max="8" width="15.140625" style="167" customWidth="1"/>
    <col min="9" max="9" width="16.140625" style="169" customWidth="1"/>
    <col min="10" max="10" width="18.7109375" style="167" customWidth="1"/>
    <col min="11" max="11" width="19.42578125" style="167" customWidth="1"/>
    <col min="12" max="12" width="11.42578125" style="167"/>
    <col min="13" max="13" width="15.140625" style="167" customWidth="1"/>
    <col min="14" max="14" width="16.42578125" style="167" customWidth="1"/>
    <col min="15" max="16384" width="11.42578125" style="167"/>
  </cols>
  <sheetData>
    <row r="3" spans="2:20" x14ac:dyDescent="0.25">
      <c r="B3" s="864" t="s">
        <v>144</v>
      </c>
      <c r="C3" s="864"/>
      <c r="D3" s="864"/>
      <c r="E3" s="864"/>
      <c r="F3" s="864"/>
      <c r="G3" s="864"/>
      <c r="H3" s="864"/>
      <c r="I3" s="864"/>
      <c r="J3" s="864"/>
      <c r="K3" s="864"/>
      <c r="L3" s="864"/>
      <c r="M3" s="864"/>
      <c r="N3" s="864"/>
    </row>
    <row r="4" spans="2:20" ht="22.5" customHeight="1" x14ac:dyDescent="0.25">
      <c r="B4" s="168"/>
    </row>
    <row r="5" spans="2:20" ht="28.5" customHeight="1" x14ac:dyDescent="0.25">
      <c r="B5" s="162" t="s">
        <v>146</v>
      </c>
      <c r="C5" s="162" t="s">
        <v>5</v>
      </c>
      <c r="D5" s="163" t="s">
        <v>6</v>
      </c>
      <c r="E5" s="163" t="s">
        <v>145</v>
      </c>
      <c r="F5" s="163" t="s">
        <v>3</v>
      </c>
      <c r="G5" s="162" t="s">
        <v>7</v>
      </c>
      <c r="H5" s="865" t="s">
        <v>8</v>
      </c>
      <c r="I5" s="865"/>
      <c r="J5" s="865"/>
      <c r="K5" s="865"/>
      <c r="L5" s="865"/>
      <c r="M5" s="865"/>
      <c r="N5" s="865"/>
    </row>
    <row r="6" spans="2:20" ht="37.5" customHeight="1" x14ac:dyDescent="0.25">
      <c r="B6" s="164">
        <v>1</v>
      </c>
      <c r="C6" s="165" t="s">
        <v>451</v>
      </c>
      <c r="D6" s="166" t="s">
        <v>476</v>
      </c>
      <c r="E6" s="165" t="s">
        <v>452</v>
      </c>
      <c r="F6" s="166">
        <v>2024</v>
      </c>
      <c r="G6" s="166"/>
      <c r="H6" s="866" t="s">
        <v>450</v>
      </c>
      <c r="I6" s="866"/>
      <c r="J6" s="866"/>
      <c r="K6" s="866"/>
      <c r="L6" s="866"/>
      <c r="M6" s="866"/>
      <c r="N6" s="866"/>
    </row>
    <row r="7" spans="2:20" ht="21" customHeight="1" x14ac:dyDescent="0.25">
      <c r="B7" s="170"/>
      <c r="C7" s="171"/>
      <c r="D7" s="169"/>
      <c r="E7" s="171"/>
      <c r="F7" s="169"/>
      <c r="G7" s="169"/>
      <c r="H7" s="172"/>
      <c r="I7" s="172"/>
      <c r="J7" s="172"/>
      <c r="K7" s="172"/>
      <c r="L7" s="172"/>
      <c r="M7" s="172"/>
      <c r="N7" s="172"/>
    </row>
    <row r="8" spans="2:20" ht="21" customHeight="1" x14ac:dyDescent="0.25">
      <c r="B8" s="170" t="s">
        <v>546</v>
      </c>
      <c r="C8" s="171"/>
      <c r="D8" s="169"/>
      <c r="E8" s="171"/>
      <c r="F8" s="169"/>
      <c r="G8" s="169"/>
      <c r="H8" s="172"/>
      <c r="I8" s="172"/>
      <c r="J8" s="172"/>
      <c r="K8" s="172"/>
      <c r="L8" s="172"/>
      <c r="M8" s="172"/>
      <c r="N8" s="172"/>
    </row>
    <row r="9" spans="2:20" ht="21" customHeight="1" x14ac:dyDescent="0.25">
      <c r="B9" s="209" t="s">
        <v>453</v>
      </c>
      <c r="C9" s="209" t="s">
        <v>454</v>
      </c>
      <c r="D9" s="209" t="s">
        <v>455</v>
      </c>
      <c r="E9" s="209" t="s">
        <v>456</v>
      </c>
      <c r="F9" s="209" t="s">
        <v>457</v>
      </c>
      <c r="G9" s="209" t="s">
        <v>458</v>
      </c>
      <c r="H9" s="209" t="s">
        <v>459</v>
      </c>
      <c r="I9" s="209" t="s">
        <v>460</v>
      </c>
      <c r="J9" s="209" t="s">
        <v>461</v>
      </c>
      <c r="K9" s="209" t="s">
        <v>462</v>
      </c>
      <c r="L9" s="209" t="s">
        <v>463</v>
      </c>
      <c r="M9" s="222" t="s">
        <v>551</v>
      </c>
      <c r="N9" s="172"/>
      <c r="O9" s="867" t="s">
        <v>150</v>
      </c>
      <c r="P9" s="868"/>
      <c r="Q9" s="867" t="s">
        <v>150</v>
      </c>
      <c r="R9" s="868"/>
      <c r="S9" s="867" t="s">
        <v>150</v>
      </c>
      <c r="T9" s="868"/>
    </row>
    <row r="10" spans="2:20" ht="65.25" customHeight="1" x14ac:dyDescent="0.25">
      <c r="B10" s="210" t="s">
        <v>541</v>
      </c>
      <c r="C10" s="211">
        <v>2</v>
      </c>
      <c r="D10" s="211" t="s">
        <v>464</v>
      </c>
      <c r="E10" s="212">
        <v>4200000</v>
      </c>
      <c r="F10" s="211">
        <v>1</v>
      </c>
      <c r="G10" s="211" t="s">
        <v>315</v>
      </c>
      <c r="H10" s="212">
        <f>+E10*19%</f>
        <v>798000</v>
      </c>
      <c r="I10" s="213">
        <v>0.19</v>
      </c>
      <c r="J10" s="212">
        <f t="shared" ref="J10:J13" si="0">+H10+E10</f>
        <v>4998000</v>
      </c>
      <c r="K10" s="212">
        <f t="shared" ref="K10:K13" si="1">+E10*F10*C10</f>
        <v>8400000</v>
      </c>
      <c r="L10" s="214">
        <f t="shared" ref="L10:L13" si="2">+J10*F10*C10</f>
        <v>9996000</v>
      </c>
      <c r="M10" s="223">
        <f>ROUND(J10*(1+$R$10)*(1+$T$10),0)</f>
        <v>5454541</v>
      </c>
      <c r="N10" s="172"/>
      <c r="O10" s="175" t="s">
        <v>154</v>
      </c>
      <c r="P10" s="176">
        <v>9.2799999999999994E-2</v>
      </c>
      <c r="Q10" s="175" t="s">
        <v>151</v>
      </c>
      <c r="R10" s="176">
        <v>5.1999999999999998E-2</v>
      </c>
      <c r="S10" s="175" t="s">
        <v>1074</v>
      </c>
      <c r="T10" s="176">
        <v>3.7400000000000003E-2</v>
      </c>
    </row>
    <row r="11" spans="2:20" ht="21" customHeight="1" x14ac:dyDescent="0.25">
      <c r="B11" s="215" t="s">
        <v>542</v>
      </c>
      <c r="C11" s="211">
        <v>2</v>
      </c>
      <c r="D11" s="211" t="s">
        <v>464</v>
      </c>
      <c r="E11" s="212">
        <v>1650000</v>
      </c>
      <c r="F11" s="211">
        <v>1</v>
      </c>
      <c r="G11" s="211" t="s">
        <v>315</v>
      </c>
      <c r="H11" s="212">
        <f>+E11*8%</f>
        <v>132000</v>
      </c>
      <c r="I11" s="213">
        <v>0.08</v>
      </c>
      <c r="J11" s="212">
        <f t="shared" si="0"/>
        <v>1782000</v>
      </c>
      <c r="K11" s="212">
        <f t="shared" si="1"/>
        <v>3300000</v>
      </c>
      <c r="L11" s="214">
        <f t="shared" si="2"/>
        <v>3564000</v>
      </c>
      <c r="M11" s="223">
        <f t="shared" ref="M11:M13" si="3">ROUND(J11*(1+$R$10)*(1+$T$10),0)</f>
        <v>1944776</v>
      </c>
      <c r="N11" s="451">
        <f>M11/70</f>
        <v>27782.514285714286</v>
      </c>
    </row>
    <row r="12" spans="2:20" ht="12.75" customHeight="1" x14ac:dyDescent="0.25">
      <c r="B12" s="210" t="s">
        <v>543</v>
      </c>
      <c r="C12" s="211">
        <v>2</v>
      </c>
      <c r="D12" s="211" t="s">
        <v>464</v>
      </c>
      <c r="E12" s="212">
        <v>200000</v>
      </c>
      <c r="F12" s="211">
        <v>4</v>
      </c>
      <c r="G12" s="211" t="s">
        <v>287</v>
      </c>
      <c r="H12" s="212">
        <f t="shared" ref="H12:H13" si="4">+E12*19%</f>
        <v>38000</v>
      </c>
      <c r="I12" s="213">
        <v>0.19</v>
      </c>
      <c r="J12" s="212">
        <f t="shared" si="0"/>
        <v>238000</v>
      </c>
      <c r="K12" s="212">
        <f t="shared" si="1"/>
        <v>1600000</v>
      </c>
      <c r="L12" s="214">
        <f t="shared" si="2"/>
        <v>1904000</v>
      </c>
      <c r="M12" s="223">
        <f>ROUND(J12*(1+$S$13),0)</f>
        <v>260681</v>
      </c>
      <c r="R12" s="243" t="s">
        <v>150</v>
      </c>
      <c r="S12" s="243"/>
      <c r="T12" s="243"/>
    </row>
    <row r="13" spans="2:20" ht="26.25" customHeight="1" x14ac:dyDescent="0.25">
      <c r="B13" s="210" t="s">
        <v>544</v>
      </c>
      <c r="C13" s="211">
        <v>2</v>
      </c>
      <c r="D13" s="211" t="s">
        <v>464</v>
      </c>
      <c r="E13" s="212">
        <v>2500000</v>
      </c>
      <c r="F13" s="211">
        <v>1</v>
      </c>
      <c r="G13" s="211" t="s">
        <v>545</v>
      </c>
      <c r="H13" s="212">
        <f t="shared" si="4"/>
        <v>475000</v>
      </c>
      <c r="I13" s="213">
        <v>0.19</v>
      </c>
      <c r="J13" s="212">
        <f t="shared" si="0"/>
        <v>2975000</v>
      </c>
      <c r="K13" s="212">
        <f t="shared" si="1"/>
        <v>5000000</v>
      </c>
      <c r="L13" s="214">
        <f t="shared" si="2"/>
        <v>5950000</v>
      </c>
      <c r="M13" s="223">
        <f t="shared" si="3"/>
        <v>3246751</v>
      </c>
      <c r="R13" s="400" t="s">
        <v>1075</v>
      </c>
      <c r="S13" s="176">
        <v>9.5299999999999996E-2</v>
      </c>
      <c r="T13" s="243"/>
    </row>
    <row r="16" spans="2:20" x14ac:dyDescent="0.25">
      <c r="B16" s="167" t="s">
        <v>550</v>
      </c>
    </row>
    <row r="17" spans="2:14" x14ac:dyDescent="0.25">
      <c r="B17" s="871" t="s">
        <v>547</v>
      </c>
      <c r="C17" s="872"/>
      <c r="D17" s="872"/>
      <c r="E17" s="872"/>
      <c r="F17" s="872"/>
      <c r="G17" s="872"/>
      <c r="H17" s="872"/>
      <c r="I17" s="872"/>
      <c r="J17" s="872"/>
      <c r="K17" s="873"/>
      <c r="L17" s="216"/>
    </row>
    <row r="18" spans="2:14" ht="22.5" x14ac:dyDescent="0.25">
      <c r="B18" s="209" t="s">
        <v>453</v>
      </c>
      <c r="C18" s="209" t="s">
        <v>454</v>
      </c>
      <c r="D18" s="209" t="s">
        <v>455</v>
      </c>
      <c r="E18" s="209" t="s">
        <v>456</v>
      </c>
      <c r="F18" s="209" t="s">
        <v>457</v>
      </c>
      <c r="G18" s="209" t="s">
        <v>458</v>
      </c>
      <c r="H18" s="209" t="s">
        <v>459</v>
      </c>
      <c r="I18" s="209" t="s">
        <v>460</v>
      </c>
      <c r="J18" s="209" t="s">
        <v>461</v>
      </c>
      <c r="K18" s="209" t="s">
        <v>462</v>
      </c>
      <c r="L18" s="209" t="s">
        <v>463</v>
      </c>
      <c r="M18" s="222" t="s">
        <v>551</v>
      </c>
    </row>
    <row r="19" spans="2:14" ht="78.75" x14ac:dyDescent="0.25">
      <c r="B19" s="217" t="s">
        <v>548</v>
      </c>
      <c r="C19" s="218">
        <v>2</v>
      </c>
      <c r="D19" s="218" t="s">
        <v>549</v>
      </c>
      <c r="E19" s="219">
        <v>3000000</v>
      </c>
      <c r="F19" s="218">
        <v>1</v>
      </c>
      <c r="G19" s="218" t="s">
        <v>315</v>
      </c>
      <c r="H19" s="219">
        <f>+E19*19%</f>
        <v>570000</v>
      </c>
      <c r="I19" s="220">
        <v>0.19</v>
      </c>
      <c r="J19" s="219">
        <f t="shared" ref="J19:J21" si="5">+H19+E19</f>
        <v>3570000</v>
      </c>
      <c r="K19" s="219">
        <f t="shared" ref="K19:K21" si="6">+E19*F19*C19</f>
        <v>6000000</v>
      </c>
      <c r="L19" s="221">
        <f t="shared" ref="L19:L21" si="7">+J19*F19*C19</f>
        <v>7140000</v>
      </c>
      <c r="M19" s="223">
        <f t="shared" ref="M19:M20" si="8">ROUND(J19*(1+$R$10)*(1+$T$10),0)</f>
        <v>3896101</v>
      </c>
    </row>
    <row r="20" spans="2:14" ht="22.5" x14ac:dyDescent="0.25">
      <c r="B20" s="217" t="s">
        <v>542</v>
      </c>
      <c r="C20" s="218">
        <v>2</v>
      </c>
      <c r="D20" s="218" t="s">
        <v>549</v>
      </c>
      <c r="E20" s="219">
        <v>1000000</v>
      </c>
      <c r="F20" s="218">
        <v>1</v>
      </c>
      <c r="G20" s="218" t="s">
        <v>315</v>
      </c>
      <c r="H20" s="219">
        <f>+E20*8%</f>
        <v>80000</v>
      </c>
      <c r="I20" s="220">
        <v>0.08</v>
      </c>
      <c r="J20" s="219">
        <f t="shared" si="5"/>
        <v>1080000</v>
      </c>
      <c r="K20" s="219">
        <f t="shared" si="6"/>
        <v>2000000</v>
      </c>
      <c r="L20" s="221">
        <f t="shared" si="7"/>
        <v>2160000</v>
      </c>
      <c r="M20" s="223">
        <f t="shared" si="8"/>
        <v>1178652</v>
      </c>
      <c r="N20" s="451">
        <f>M20/55</f>
        <v>21430.036363636365</v>
      </c>
    </row>
    <row r="21" spans="2:14" x14ac:dyDescent="0.25">
      <c r="B21" s="217" t="s">
        <v>543</v>
      </c>
      <c r="C21" s="218">
        <v>2</v>
      </c>
      <c r="D21" s="218" t="s">
        <v>549</v>
      </c>
      <c r="E21" s="219">
        <v>200000</v>
      </c>
      <c r="F21" s="218">
        <v>2</v>
      </c>
      <c r="G21" s="218" t="s">
        <v>287</v>
      </c>
      <c r="H21" s="219">
        <f>+E21*19%</f>
        <v>38000</v>
      </c>
      <c r="I21" s="220">
        <v>0.19</v>
      </c>
      <c r="J21" s="219">
        <f t="shared" si="5"/>
        <v>238000</v>
      </c>
      <c r="K21" s="219">
        <f t="shared" si="6"/>
        <v>800000</v>
      </c>
      <c r="L21" s="221">
        <f t="shared" si="7"/>
        <v>952000</v>
      </c>
      <c r="M21" s="223">
        <f>ROUND(J21*(1+$S$13),0)</f>
        <v>260681</v>
      </c>
    </row>
    <row r="26" spans="2:14" x14ac:dyDescent="0.25">
      <c r="B26" s="162" t="s">
        <v>146</v>
      </c>
      <c r="C26" s="162" t="s">
        <v>5</v>
      </c>
      <c r="D26" s="163" t="s">
        <v>6</v>
      </c>
      <c r="E26" s="163" t="s">
        <v>145</v>
      </c>
      <c r="F26" s="163" t="s">
        <v>3</v>
      </c>
      <c r="G26" s="162" t="s">
        <v>7</v>
      </c>
      <c r="H26" s="865" t="s">
        <v>8</v>
      </c>
      <c r="I26" s="865"/>
      <c r="J26" s="865"/>
      <c r="K26" s="865"/>
      <c r="L26" s="865"/>
      <c r="M26" s="865"/>
      <c r="N26" s="865"/>
    </row>
    <row r="27" spans="2:14" ht="29.25" customHeight="1" x14ac:dyDescent="0.25">
      <c r="B27" s="164">
        <v>2</v>
      </c>
      <c r="C27" s="165" t="s">
        <v>553</v>
      </c>
      <c r="D27" s="165" t="s">
        <v>554</v>
      </c>
      <c r="E27" s="165" t="s">
        <v>452</v>
      </c>
      <c r="F27" s="166">
        <v>2024</v>
      </c>
      <c r="G27" s="166"/>
      <c r="H27" s="847" t="s">
        <v>552</v>
      </c>
      <c r="I27" s="866"/>
      <c r="J27" s="866"/>
      <c r="K27" s="866"/>
      <c r="L27" s="866"/>
      <c r="M27" s="866"/>
      <c r="N27" s="866"/>
    </row>
    <row r="28" spans="2:14" x14ac:dyDescent="0.25">
      <c r="I28" s="167"/>
    </row>
    <row r="29" spans="2:14" ht="22.5" customHeight="1" x14ac:dyDescent="0.25">
      <c r="B29" s="225" t="s">
        <v>555</v>
      </c>
      <c r="C29" s="226" t="s">
        <v>456</v>
      </c>
      <c r="D29" s="227" t="s">
        <v>557</v>
      </c>
      <c r="E29" s="228" t="s">
        <v>249</v>
      </c>
      <c r="F29" s="229" t="s">
        <v>558</v>
      </c>
      <c r="G29" s="232" t="s">
        <v>559</v>
      </c>
      <c r="I29" s="867" t="s">
        <v>150</v>
      </c>
      <c r="J29" s="868"/>
      <c r="K29" s="867" t="s">
        <v>150</v>
      </c>
      <c r="L29" s="868"/>
      <c r="M29" s="867" t="s">
        <v>150</v>
      </c>
      <c r="N29" s="868"/>
    </row>
    <row r="30" spans="2:14" ht="52.5" customHeight="1" thickBot="1" x14ac:dyDescent="0.3">
      <c r="B30" s="41" t="s">
        <v>556</v>
      </c>
      <c r="C30" s="230">
        <v>3000000</v>
      </c>
      <c r="D30" s="231">
        <v>1</v>
      </c>
      <c r="E30" s="231">
        <v>3</v>
      </c>
      <c r="F30" s="230">
        <v>9000000</v>
      </c>
      <c r="G30" s="230">
        <f>ROUND(C30*(1+L30)*(1+N30),0)</f>
        <v>3274034</v>
      </c>
      <c r="I30" s="175" t="s">
        <v>154</v>
      </c>
      <c r="J30" s="176">
        <v>9.2799999999999994E-2</v>
      </c>
      <c r="K30" s="175" t="s">
        <v>151</v>
      </c>
      <c r="L30" s="176">
        <v>5.1999999999999998E-2</v>
      </c>
      <c r="M30" s="175" t="s">
        <v>1074</v>
      </c>
      <c r="N30" s="176">
        <v>3.7400000000000003E-2</v>
      </c>
    </row>
    <row r="31" spans="2:14" ht="19.5" customHeight="1" thickBot="1" x14ac:dyDescent="0.3">
      <c r="B31" s="224" t="s">
        <v>676</v>
      </c>
      <c r="C31" s="226" t="s">
        <v>456</v>
      </c>
      <c r="D31" s="227" t="s">
        <v>557</v>
      </c>
      <c r="E31" s="228" t="s">
        <v>249</v>
      </c>
      <c r="F31" s="229" t="s">
        <v>558</v>
      </c>
      <c r="G31" s="246"/>
      <c r="I31" s="171"/>
      <c r="J31" s="248"/>
      <c r="K31" s="171"/>
      <c r="L31" s="248"/>
      <c r="M31" s="171"/>
      <c r="N31" s="248"/>
    </row>
    <row r="32" spans="2:14" ht="52.5" customHeight="1" x14ac:dyDescent="0.25">
      <c r="B32" s="249" t="s">
        <v>677</v>
      </c>
      <c r="C32" s="230">
        <v>2000000</v>
      </c>
      <c r="D32" s="231">
        <v>1</v>
      </c>
      <c r="E32" s="231">
        <v>3</v>
      </c>
      <c r="F32" s="230">
        <v>6000000</v>
      </c>
      <c r="G32" s="230">
        <f>ROUND(C32*(1+L30)*(1+N30),0)</f>
        <v>2182690</v>
      </c>
      <c r="I32" s="171"/>
      <c r="J32" s="248"/>
      <c r="K32" s="171"/>
      <c r="L32" s="248"/>
      <c r="M32" s="171"/>
      <c r="N32" s="248"/>
    </row>
    <row r="33" spans="2:14" ht="52.5" customHeight="1" x14ac:dyDescent="0.25">
      <c r="B33" s="42"/>
      <c r="C33" s="246"/>
      <c r="D33" s="247"/>
      <c r="E33" s="247"/>
      <c r="F33" s="246"/>
      <c r="G33" s="246"/>
      <c r="I33" s="171"/>
      <c r="J33" s="248"/>
      <c r="K33" s="171"/>
      <c r="L33" s="248"/>
      <c r="M33" s="171"/>
      <c r="N33" s="248"/>
    </row>
    <row r="34" spans="2:14" ht="31.5" customHeight="1" x14ac:dyDescent="0.25">
      <c r="B34" s="162" t="s">
        <v>146</v>
      </c>
      <c r="C34" s="162" t="s">
        <v>5</v>
      </c>
      <c r="D34" s="163" t="s">
        <v>6</v>
      </c>
      <c r="E34" s="163" t="s">
        <v>145</v>
      </c>
      <c r="F34" s="163" t="s">
        <v>3</v>
      </c>
      <c r="G34" s="162" t="s">
        <v>7</v>
      </c>
      <c r="H34" s="865" t="s">
        <v>8</v>
      </c>
      <c r="I34" s="865"/>
      <c r="J34" s="865"/>
      <c r="K34" s="865"/>
      <c r="L34" s="865"/>
      <c r="M34" s="865"/>
      <c r="N34" s="865"/>
    </row>
    <row r="35" spans="2:14" ht="31.5" customHeight="1" x14ac:dyDescent="0.25">
      <c r="B35" s="164">
        <v>1</v>
      </c>
      <c r="C35" s="165" t="s">
        <v>470</v>
      </c>
      <c r="D35" s="165" t="s">
        <v>478</v>
      </c>
      <c r="E35" s="165" t="s">
        <v>479</v>
      </c>
      <c r="F35" s="166">
        <v>2025</v>
      </c>
      <c r="G35" s="166"/>
      <c r="H35" s="847" t="s">
        <v>477</v>
      </c>
      <c r="I35" s="866"/>
      <c r="J35" s="866"/>
      <c r="K35" s="866"/>
      <c r="L35" s="866"/>
      <c r="M35" s="866"/>
      <c r="N35" s="866"/>
    </row>
    <row r="37" spans="2:14" x14ac:dyDescent="0.25">
      <c r="B37" s="870" t="s">
        <v>668</v>
      </c>
      <c r="C37" s="243" t="s">
        <v>660</v>
      </c>
      <c r="D37" s="243"/>
      <c r="E37" s="243"/>
      <c r="F37" s="243"/>
    </row>
    <row r="38" spans="2:14" x14ac:dyDescent="0.25">
      <c r="B38" s="870"/>
      <c r="C38" s="243" t="s">
        <v>663</v>
      </c>
      <c r="D38" s="243" t="s">
        <v>661</v>
      </c>
      <c r="E38" s="244">
        <f>F167</f>
        <v>2633</v>
      </c>
      <c r="F38" s="245">
        <f>E38*263</f>
        <v>692479</v>
      </c>
    </row>
    <row r="39" spans="2:14" x14ac:dyDescent="0.25">
      <c r="B39" s="870"/>
      <c r="C39" s="243" t="str">
        <f>C197</f>
        <v>Pantalla de gran formato - telón de proyección (front - back) de 3 x 4 m con video beam de 7000 lumens</v>
      </c>
      <c r="D39" s="243" t="s">
        <v>662</v>
      </c>
      <c r="E39" s="245">
        <f>F197</f>
        <v>2371247</v>
      </c>
      <c r="F39" s="245">
        <f>E39*1</f>
        <v>2371247</v>
      </c>
    </row>
    <row r="40" spans="2:14" x14ac:dyDescent="0.25">
      <c r="B40" s="870"/>
      <c r="C40" s="243" t="str">
        <f>C212</f>
        <v>Alquiler de micrófono inalámbrico. Micrófono con transmisor y receptor de frecuencia, entre los 50 y 16.000 Hz, canal de frecuencia, UHF, ISM o UWB. voltaje entre -60 dBV (0,001 voltios) y -40 dBV (0,010 voltios). Conectores de salida tipo XLR (External Live Return) o plug Trs de 6,35mm, filtro pop para evitar el popping en el discurso. El alquiler incluye instalación, y transporte al lugar de origen y destino.</v>
      </c>
      <c r="D40" s="244" t="s">
        <v>664</v>
      </c>
      <c r="E40" s="245">
        <f>F212</f>
        <v>219226</v>
      </c>
      <c r="F40" s="245">
        <f>E40*3</f>
        <v>657678</v>
      </c>
    </row>
    <row r="41" spans="2:14" x14ac:dyDescent="0.25">
      <c r="B41" s="870"/>
      <c r="C41" s="243" t="str">
        <f>C93</f>
        <v>Alquiler Pantalla Led De 42 Pulgadas con base a piso incluida  (por día)</v>
      </c>
      <c r="D41" s="244" t="s">
        <v>666</v>
      </c>
      <c r="E41" s="245">
        <f>F93</f>
        <v>539371</v>
      </c>
      <c r="F41" s="245">
        <f>E41*3</f>
        <v>1618113</v>
      </c>
    </row>
    <row r="42" spans="2:14" x14ac:dyDescent="0.25">
      <c r="B42" s="870"/>
      <c r="C42" s="243" t="str">
        <f>C172</f>
        <v>Alquiler De Mesas Plegables Para Picnic (Valor Por Día)</v>
      </c>
      <c r="D42" s="244" t="s">
        <v>665</v>
      </c>
      <c r="E42" s="245">
        <f>F172</f>
        <v>102077</v>
      </c>
      <c r="F42" s="245">
        <f>E42*(263/6)</f>
        <v>4474375.166666667</v>
      </c>
    </row>
    <row r="44" spans="2:14" ht="40.5" x14ac:dyDescent="0.25">
      <c r="B44" s="11" t="s">
        <v>17</v>
      </c>
      <c r="C44" s="242" t="s">
        <v>573</v>
      </c>
      <c r="D44" s="11" t="s">
        <v>19</v>
      </c>
      <c r="E44" s="12" t="s">
        <v>574</v>
      </c>
      <c r="F44" s="12" t="s">
        <v>575</v>
      </c>
    </row>
    <row r="45" spans="2:14" ht="36.75" customHeight="1" x14ac:dyDescent="0.25">
      <c r="B45" s="14">
        <v>1</v>
      </c>
      <c r="C45" s="237" t="s">
        <v>475</v>
      </c>
      <c r="D45" s="14">
        <v>1</v>
      </c>
      <c r="E45" s="238">
        <v>2221460</v>
      </c>
      <c r="F45" s="239">
        <v>1677202</v>
      </c>
    </row>
    <row r="46" spans="2:14" ht="36.75" customHeight="1" x14ac:dyDescent="0.25">
      <c r="B46" s="14">
        <v>2</v>
      </c>
      <c r="C46" s="237" t="s">
        <v>471</v>
      </c>
      <c r="D46" s="14">
        <v>1</v>
      </c>
      <c r="E46" s="238">
        <v>26250</v>
      </c>
      <c r="F46" s="239">
        <v>19819</v>
      </c>
    </row>
    <row r="47" spans="2:14" ht="36.75" customHeight="1" x14ac:dyDescent="0.25">
      <c r="B47" s="14">
        <v>3</v>
      </c>
      <c r="C47" s="237" t="s">
        <v>472</v>
      </c>
      <c r="D47" s="14">
        <v>1</v>
      </c>
      <c r="E47" s="238">
        <v>31365</v>
      </c>
      <c r="F47" s="239">
        <v>23681</v>
      </c>
    </row>
    <row r="48" spans="2:14" ht="36.75" customHeight="1" x14ac:dyDescent="0.25">
      <c r="B48" s="14">
        <v>4</v>
      </c>
      <c r="C48" s="237" t="s">
        <v>473</v>
      </c>
      <c r="D48" s="14">
        <v>1</v>
      </c>
      <c r="E48" s="238">
        <v>42035</v>
      </c>
      <c r="F48" s="239">
        <v>31736</v>
      </c>
    </row>
    <row r="49" spans="2:6" ht="36.75" customHeight="1" x14ac:dyDescent="0.25">
      <c r="B49" s="14">
        <v>5</v>
      </c>
      <c r="C49" s="237" t="s">
        <v>20</v>
      </c>
      <c r="D49" s="14">
        <v>1</v>
      </c>
      <c r="E49" s="238">
        <v>57516</v>
      </c>
      <c r="F49" s="239">
        <v>43425</v>
      </c>
    </row>
    <row r="50" spans="2:6" ht="36.75" customHeight="1" x14ac:dyDescent="0.25">
      <c r="B50" s="14">
        <v>6</v>
      </c>
      <c r="C50" s="237" t="s">
        <v>474</v>
      </c>
      <c r="D50" s="14">
        <v>1</v>
      </c>
      <c r="E50" s="238">
        <v>71922</v>
      </c>
      <c r="F50" s="239">
        <v>54301</v>
      </c>
    </row>
    <row r="51" spans="2:6" ht="36.75" customHeight="1" x14ac:dyDescent="0.25">
      <c r="B51" s="14">
        <v>7</v>
      </c>
      <c r="C51" s="237" t="s">
        <v>21</v>
      </c>
      <c r="D51" s="14">
        <v>1</v>
      </c>
      <c r="E51" s="238">
        <v>80156</v>
      </c>
      <c r="F51" s="239">
        <v>60518</v>
      </c>
    </row>
    <row r="52" spans="2:6" ht="36.75" customHeight="1" x14ac:dyDescent="0.25">
      <c r="B52" s="14">
        <v>8</v>
      </c>
      <c r="C52" s="237" t="s">
        <v>22</v>
      </c>
      <c r="D52" s="14">
        <v>1</v>
      </c>
      <c r="E52" s="238">
        <v>70229</v>
      </c>
      <c r="F52" s="239">
        <v>53023</v>
      </c>
    </row>
    <row r="53" spans="2:6" ht="36.75" customHeight="1" x14ac:dyDescent="0.25">
      <c r="B53" s="14">
        <v>9</v>
      </c>
      <c r="C53" s="237" t="s">
        <v>23</v>
      </c>
      <c r="D53" s="14">
        <v>1</v>
      </c>
      <c r="E53" s="238">
        <v>93939</v>
      </c>
      <c r="F53" s="239">
        <v>70924</v>
      </c>
    </row>
    <row r="54" spans="2:6" ht="36.75" customHeight="1" x14ac:dyDescent="0.25">
      <c r="B54" s="14">
        <v>10</v>
      </c>
      <c r="C54" s="237" t="s">
        <v>24</v>
      </c>
      <c r="D54" s="14">
        <v>1</v>
      </c>
      <c r="E54" s="238">
        <v>82375</v>
      </c>
      <c r="F54" s="239">
        <v>62193</v>
      </c>
    </row>
    <row r="55" spans="2:6" ht="36.75" customHeight="1" x14ac:dyDescent="0.25">
      <c r="B55" s="14">
        <v>11</v>
      </c>
      <c r="C55" s="237" t="s">
        <v>25</v>
      </c>
      <c r="D55" s="14">
        <v>1</v>
      </c>
      <c r="E55" s="238">
        <v>4771</v>
      </c>
      <c r="F55" s="239">
        <v>3602</v>
      </c>
    </row>
    <row r="56" spans="2:6" ht="36.75" customHeight="1" x14ac:dyDescent="0.25">
      <c r="B56" s="14">
        <v>12</v>
      </c>
      <c r="C56" s="15" t="s">
        <v>26</v>
      </c>
      <c r="D56" s="14">
        <v>1</v>
      </c>
      <c r="E56" s="238">
        <v>3445</v>
      </c>
      <c r="F56" s="239">
        <v>3101</v>
      </c>
    </row>
    <row r="57" spans="2:6" ht="36.75" customHeight="1" x14ac:dyDescent="0.25">
      <c r="B57" s="14">
        <v>13</v>
      </c>
      <c r="C57" s="15" t="s">
        <v>576</v>
      </c>
      <c r="D57" s="14">
        <v>1</v>
      </c>
      <c r="E57" s="238">
        <v>261466</v>
      </c>
      <c r="F57" s="239">
        <v>175182</v>
      </c>
    </row>
    <row r="58" spans="2:6" ht="36.75" customHeight="1" x14ac:dyDescent="0.25">
      <c r="B58" s="14">
        <v>14</v>
      </c>
      <c r="C58" s="15" t="s">
        <v>27</v>
      </c>
      <c r="D58" s="14">
        <v>1</v>
      </c>
      <c r="E58" s="238">
        <v>894735</v>
      </c>
      <c r="F58" s="239">
        <v>599472</v>
      </c>
    </row>
    <row r="59" spans="2:6" ht="36.75" customHeight="1" x14ac:dyDescent="0.25">
      <c r="B59" s="14">
        <v>15</v>
      </c>
      <c r="C59" s="15" t="s">
        <v>28</v>
      </c>
      <c r="D59" s="14">
        <v>1</v>
      </c>
      <c r="E59" s="238">
        <v>667546</v>
      </c>
      <c r="F59" s="239">
        <v>447256</v>
      </c>
    </row>
    <row r="60" spans="2:6" ht="36.75" customHeight="1" x14ac:dyDescent="0.25">
      <c r="B60" s="14">
        <v>16</v>
      </c>
      <c r="C60" s="17" t="s">
        <v>29</v>
      </c>
      <c r="D60" s="14">
        <v>1</v>
      </c>
      <c r="E60" s="238">
        <v>494964</v>
      </c>
      <c r="F60" s="239">
        <v>331626</v>
      </c>
    </row>
    <row r="61" spans="2:6" ht="36.75" customHeight="1" x14ac:dyDescent="0.25">
      <c r="B61" s="14">
        <v>17</v>
      </c>
      <c r="C61" s="15" t="s">
        <v>30</v>
      </c>
      <c r="D61" s="14">
        <v>1</v>
      </c>
      <c r="E61" s="238">
        <v>1004592</v>
      </c>
      <c r="F61" s="239">
        <v>673077</v>
      </c>
    </row>
    <row r="62" spans="2:6" ht="36.75" customHeight="1" x14ac:dyDescent="0.25">
      <c r="B62" s="14">
        <v>18</v>
      </c>
      <c r="C62" s="15" t="s">
        <v>31</v>
      </c>
      <c r="D62" s="14">
        <v>1</v>
      </c>
      <c r="E62" s="238">
        <v>336513</v>
      </c>
      <c r="F62" s="239">
        <v>225464</v>
      </c>
    </row>
    <row r="63" spans="2:6" ht="36.75" customHeight="1" x14ac:dyDescent="0.25">
      <c r="B63" s="14">
        <v>19</v>
      </c>
      <c r="C63" s="15" t="s">
        <v>32</v>
      </c>
      <c r="D63" s="14">
        <v>1</v>
      </c>
      <c r="E63" s="238">
        <v>339826</v>
      </c>
      <c r="F63" s="239">
        <v>227683</v>
      </c>
    </row>
    <row r="64" spans="2:6" ht="36.75" customHeight="1" x14ac:dyDescent="0.25">
      <c r="B64" s="14">
        <v>20</v>
      </c>
      <c r="C64" s="15" t="s">
        <v>33</v>
      </c>
      <c r="D64" s="14">
        <v>1</v>
      </c>
      <c r="E64" s="238">
        <v>556563</v>
      </c>
      <c r="F64" s="239">
        <v>372897</v>
      </c>
    </row>
    <row r="65" spans="2:6" ht="36.75" customHeight="1" x14ac:dyDescent="0.25">
      <c r="B65" s="14">
        <v>21</v>
      </c>
      <c r="C65" s="15" t="s">
        <v>34</v>
      </c>
      <c r="D65" s="14">
        <v>1</v>
      </c>
      <c r="E65" s="238">
        <v>379265</v>
      </c>
      <c r="F65" s="239">
        <v>254108</v>
      </c>
    </row>
    <row r="66" spans="2:6" ht="36.75" customHeight="1" x14ac:dyDescent="0.25">
      <c r="B66" s="14">
        <v>22</v>
      </c>
      <c r="C66" s="15" t="s">
        <v>35</v>
      </c>
      <c r="D66" s="14">
        <v>1</v>
      </c>
      <c r="E66" s="238">
        <v>398300</v>
      </c>
      <c r="F66" s="239">
        <v>266861</v>
      </c>
    </row>
    <row r="67" spans="2:6" ht="36.75" customHeight="1" x14ac:dyDescent="0.25">
      <c r="B67" s="14">
        <v>23</v>
      </c>
      <c r="C67" s="15" t="s">
        <v>36</v>
      </c>
      <c r="D67" s="14">
        <v>1</v>
      </c>
      <c r="E67" s="238">
        <v>539185</v>
      </c>
      <c r="F67" s="239">
        <v>377430</v>
      </c>
    </row>
    <row r="68" spans="2:6" ht="36.75" customHeight="1" x14ac:dyDescent="0.25">
      <c r="B68" s="14">
        <v>24</v>
      </c>
      <c r="C68" s="15" t="s">
        <v>37</v>
      </c>
      <c r="D68" s="14">
        <v>1</v>
      </c>
      <c r="E68" s="238">
        <v>680023</v>
      </c>
      <c r="F68" s="239">
        <v>476016</v>
      </c>
    </row>
    <row r="69" spans="2:6" ht="36.75" customHeight="1" x14ac:dyDescent="0.25">
      <c r="B69" s="14">
        <v>25</v>
      </c>
      <c r="C69" s="15" t="s">
        <v>38</v>
      </c>
      <c r="D69" s="14">
        <v>1</v>
      </c>
      <c r="E69" s="238">
        <v>770110</v>
      </c>
      <c r="F69" s="239">
        <v>539077</v>
      </c>
    </row>
    <row r="70" spans="2:6" ht="36.75" customHeight="1" x14ac:dyDescent="0.25">
      <c r="B70" s="14">
        <v>26</v>
      </c>
      <c r="C70" s="15" t="s">
        <v>39</v>
      </c>
      <c r="D70" s="14">
        <v>1</v>
      </c>
      <c r="E70" s="238">
        <v>810467</v>
      </c>
      <c r="F70" s="239">
        <v>567327</v>
      </c>
    </row>
    <row r="71" spans="2:6" ht="36.75" customHeight="1" x14ac:dyDescent="0.25">
      <c r="B71" s="14">
        <v>27</v>
      </c>
      <c r="C71" s="15" t="s">
        <v>40</v>
      </c>
      <c r="D71" s="14">
        <v>1</v>
      </c>
      <c r="E71" s="238">
        <v>1321103</v>
      </c>
      <c r="F71" s="239">
        <v>924772</v>
      </c>
    </row>
    <row r="72" spans="2:6" ht="36.75" customHeight="1" x14ac:dyDescent="0.25">
      <c r="B72" s="14">
        <v>28</v>
      </c>
      <c r="C72" s="15" t="s">
        <v>41</v>
      </c>
      <c r="D72" s="14">
        <v>1</v>
      </c>
      <c r="E72" s="238">
        <v>1574816</v>
      </c>
      <c r="F72" s="239">
        <v>1102371</v>
      </c>
    </row>
    <row r="73" spans="2:6" ht="36.75" customHeight="1" x14ac:dyDescent="0.25">
      <c r="B73" s="14">
        <v>29</v>
      </c>
      <c r="C73" s="15" t="s">
        <v>42</v>
      </c>
      <c r="D73" s="14">
        <v>1</v>
      </c>
      <c r="E73" s="238">
        <v>667928</v>
      </c>
      <c r="F73" s="239">
        <v>467550</v>
      </c>
    </row>
    <row r="74" spans="2:6" ht="36.75" customHeight="1" x14ac:dyDescent="0.25">
      <c r="B74" s="14">
        <v>30</v>
      </c>
      <c r="C74" s="15" t="s">
        <v>43</v>
      </c>
      <c r="D74" s="14">
        <v>1</v>
      </c>
      <c r="E74" s="238">
        <v>736301</v>
      </c>
      <c r="F74" s="239">
        <v>515411</v>
      </c>
    </row>
    <row r="75" spans="2:6" ht="36.75" customHeight="1" x14ac:dyDescent="0.25">
      <c r="B75" s="14">
        <v>31</v>
      </c>
      <c r="C75" s="15" t="s">
        <v>44</v>
      </c>
      <c r="D75" s="14">
        <v>1</v>
      </c>
      <c r="E75" s="238">
        <v>629834</v>
      </c>
      <c r="F75" s="239">
        <v>440884</v>
      </c>
    </row>
    <row r="76" spans="2:6" ht="36.75" customHeight="1" x14ac:dyDescent="0.25">
      <c r="B76" s="14">
        <v>32</v>
      </c>
      <c r="C76" s="15" t="s">
        <v>45</v>
      </c>
      <c r="D76" s="14">
        <v>1</v>
      </c>
      <c r="E76" s="238">
        <v>596165</v>
      </c>
      <c r="F76" s="239">
        <v>417316</v>
      </c>
    </row>
    <row r="77" spans="2:6" ht="36.75" customHeight="1" x14ac:dyDescent="0.25">
      <c r="B77" s="14">
        <v>33</v>
      </c>
      <c r="C77" s="15" t="s">
        <v>46</v>
      </c>
      <c r="D77" s="14">
        <v>1</v>
      </c>
      <c r="E77" s="238">
        <v>8671621</v>
      </c>
      <c r="F77" s="239">
        <v>6070135</v>
      </c>
    </row>
    <row r="78" spans="2:6" ht="36.75" customHeight="1" x14ac:dyDescent="0.25">
      <c r="B78" s="14">
        <v>34</v>
      </c>
      <c r="C78" s="15" t="s">
        <v>47</v>
      </c>
      <c r="D78" s="14">
        <v>1</v>
      </c>
      <c r="E78" s="238">
        <v>572305</v>
      </c>
      <c r="F78" s="239">
        <v>400614</v>
      </c>
    </row>
    <row r="79" spans="2:6" ht="36.75" customHeight="1" x14ac:dyDescent="0.25">
      <c r="B79" s="14">
        <v>35</v>
      </c>
      <c r="C79" s="15" t="s">
        <v>48</v>
      </c>
      <c r="D79" s="14">
        <v>1</v>
      </c>
      <c r="E79" s="238">
        <v>682933</v>
      </c>
      <c r="F79" s="239">
        <v>478053</v>
      </c>
    </row>
    <row r="80" spans="2:6" ht="36.75" customHeight="1" x14ac:dyDescent="0.25">
      <c r="B80" s="14">
        <v>36</v>
      </c>
      <c r="C80" s="15" t="s">
        <v>49</v>
      </c>
      <c r="D80" s="14">
        <v>1</v>
      </c>
      <c r="E80" s="238">
        <v>124156</v>
      </c>
      <c r="F80" s="239">
        <v>83185</v>
      </c>
    </row>
    <row r="81" spans="2:6" ht="36.75" customHeight="1" x14ac:dyDescent="0.25">
      <c r="B81" s="14">
        <v>37</v>
      </c>
      <c r="C81" s="15" t="s">
        <v>50</v>
      </c>
      <c r="D81" s="14">
        <v>1</v>
      </c>
      <c r="E81" s="238">
        <v>247249</v>
      </c>
      <c r="F81" s="239">
        <v>165657</v>
      </c>
    </row>
    <row r="82" spans="2:6" ht="36.75" customHeight="1" x14ac:dyDescent="0.25">
      <c r="B82" s="14">
        <v>38</v>
      </c>
      <c r="C82" s="15" t="s">
        <v>51</v>
      </c>
      <c r="D82" s="14">
        <v>1</v>
      </c>
      <c r="E82" s="238">
        <v>354892</v>
      </c>
      <c r="F82" s="239">
        <v>237778</v>
      </c>
    </row>
    <row r="83" spans="2:6" ht="36.75" customHeight="1" x14ac:dyDescent="0.25">
      <c r="B83" s="14">
        <v>39</v>
      </c>
      <c r="C83" s="15" t="s">
        <v>577</v>
      </c>
      <c r="D83" s="14">
        <v>1</v>
      </c>
      <c r="E83" s="238">
        <v>228277</v>
      </c>
      <c r="F83" s="239">
        <v>152946</v>
      </c>
    </row>
    <row r="84" spans="2:6" ht="36.75" customHeight="1" x14ac:dyDescent="0.25">
      <c r="B84" s="14">
        <v>40</v>
      </c>
      <c r="C84" s="15" t="s">
        <v>578</v>
      </c>
      <c r="D84" s="14">
        <v>1</v>
      </c>
      <c r="E84" s="238">
        <v>271073</v>
      </c>
      <c r="F84" s="239">
        <v>181619</v>
      </c>
    </row>
    <row r="85" spans="2:6" ht="36.75" customHeight="1" x14ac:dyDescent="0.25">
      <c r="B85" s="14">
        <v>41</v>
      </c>
      <c r="C85" s="15" t="s">
        <v>52</v>
      </c>
      <c r="D85" s="14">
        <v>1</v>
      </c>
      <c r="E85" s="238">
        <v>1031688</v>
      </c>
      <c r="F85" s="239">
        <v>722182</v>
      </c>
    </row>
    <row r="86" spans="2:6" ht="36.75" customHeight="1" x14ac:dyDescent="0.25">
      <c r="B86" s="14">
        <v>42</v>
      </c>
      <c r="C86" s="15" t="s">
        <v>53</v>
      </c>
      <c r="D86" s="14">
        <v>1</v>
      </c>
      <c r="E86" s="238">
        <v>841001</v>
      </c>
      <c r="F86" s="239">
        <v>588701</v>
      </c>
    </row>
    <row r="87" spans="2:6" ht="36.75" customHeight="1" x14ac:dyDescent="0.25">
      <c r="B87" s="14">
        <v>43</v>
      </c>
      <c r="C87" s="15" t="s">
        <v>54</v>
      </c>
      <c r="D87" s="14">
        <v>1</v>
      </c>
      <c r="E87" s="238">
        <v>873380</v>
      </c>
      <c r="F87" s="239">
        <v>611366</v>
      </c>
    </row>
    <row r="88" spans="2:6" ht="36.75" customHeight="1" x14ac:dyDescent="0.25">
      <c r="B88" s="14">
        <v>44</v>
      </c>
      <c r="C88" s="15" t="s">
        <v>55</v>
      </c>
      <c r="D88" s="14">
        <v>1</v>
      </c>
      <c r="E88" s="238">
        <v>1110022</v>
      </c>
      <c r="F88" s="239">
        <v>777015</v>
      </c>
    </row>
    <row r="89" spans="2:6" ht="36.75" customHeight="1" x14ac:dyDescent="0.25">
      <c r="B89" s="14">
        <v>45</v>
      </c>
      <c r="C89" s="15" t="s">
        <v>56</v>
      </c>
      <c r="D89" s="14">
        <v>1</v>
      </c>
      <c r="E89" s="238">
        <v>1509920</v>
      </c>
      <c r="F89" s="239">
        <v>1011646</v>
      </c>
    </row>
    <row r="90" spans="2:6" ht="36.75" customHeight="1" x14ac:dyDescent="0.25">
      <c r="B90" s="14">
        <v>46</v>
      </c>
      <c r="C90" s="15" t="s">
        <v>57</v>
      </c>
      <c r="D90" s="14">
        <v>1</v>
      </c>
      <c r="E90" s="238">
        <v>1677757</v>
      </c>
      <c r="F90" s="239">
        <v>1124097</v>
      </c>
    </row>
    <row r="91" spans="2:6" ht="36.75" customHeight="1" x14ac:dyDescent="0.25">
      <c r="B91" s="14">
        <v>47</v>
      </c>
      <c r="C91" s="15" t="s">
        <v>58</v>
      </c>
      <c r="D91" s="14">
        <v>1</v>
      </c>
      <c r="E91" s="238">
        <v>2381940</v>
      </c>
      <c r="F91" s="239">
        <v>1595900</v>
      </c>
    </row>
    <row r="92" spans="2:6" ht="36.75" customHeight="1" x14ac:dyDescent="0.25">
      <c r="B92" s="14">
        <v>48</v>
      </c>
      <c r="C92" s="15" t="s">
        <v>59</v>
      </c>
      <c r="D92" s="14">
        <v>1</v>
      </c>
      <c r="E92" s="238">
        <v>662894</v>
      </c>
      <c r="F92" s="239">
        <v>444139</v>
      </c>
    </row>
    <row r="93" spans="2:6" ht="36.75" customHeight="1" x14ac:dyDescent="0.25">
      <c r="B93" s="14">
        <v>49</v>
      </c>
      <c r="C93" s="15" t="s">
        <v>60</v>
      </c>
      <c r="D93" s="14">
        <v>1</v>
      </c>
      <c r="E93" s="238">
        <v>805031</v>
      </c>
      <c r="F93" s="239">
        <v>539371</v>
      </c>
    </row>
    <row r="94" spans="2:6" ht="36.75" customHeight="1" x14ac:dyDescent="0.25">
      <c r="B94" s="14">
        <v>50</v>
      </c>
      <c r="C94" s="15" t="s">
        <v>61</v>
      </c>
      <c r="D94" s="14">
        <v>1</v>
      </c>
      <c r="E94" s="238">
        <v>3151047</v>
      </c>
      <c r="F94" s="239">
        <v>2111201</v>
      </c>
    </row>
    <row r="95" spans="2:6" ht="36.75" customHeight="1" x14ac:dyDescent="0.25">
      <c r="B95" s="14">
        <v>51</v>
      </c>
      <c r="C95" s="15" t="s">
        <v>62</v>
      </c>
      <c r="D95" s="14">
        <v>1</v>
      </c>
      <c r="E95" s="238">
        <v>4265630</v>
      </c>
      <c r="F95" s="239">
        <v>2857972</v>
      </c>
    </row>
    <row r="96" spans="2:6" ht="36.75" customHeight="1" x14ac:dyDescent="0.25">
      <c r="B96" s="14">
        <v>52</v>
      </c>
      <c r="C96" s="15" t="s">
        <v>63</v>
      </c>
      <c r="D96" s="14">
        <v>1</v>
      </c>
      <c r="E96" s="238">
        <v>5176297</v>
      </c>
      <c r="F96" s="239">
        <v>3468119</v>
      </c>
    </row>
    <row r="97" spans="2:6" ht="36.75" customHeight="1" x14ac:dyDescent="0.25">
      <c r="B97" s="14">
        <v>53</v>
      </c>
      <c r="C97" s="15" t="s">
        <v>64</v>
      </c>
      <c r="D97" s="14">
        <v>1</v>
      </c>
      <c r="E97" s="238">
        <v>849186</v>
      </c>
      <c r="F97" s="239">
        <v>568955</v>
      </c>
    </row>
    <row r="98" spans="2:6" ht="36.75" customHeight="1" x14ac:dyDescent="0.25">
      <c r="B98" s="14">
        <v>54</v>
      </c>
      <c r="C98" s="15" t="s">
        <v>579</v>
      </c>
      <c r="D98" s="14">
        <v>1</v>
      </c>
      <c r="E98" s="238">
        <v>4009311</v>
      </c>
      <c r="F98" s="239">
        <v>2686238</v>
      </c>
    </row>
    <row r="99" spans="2:6" ht="36.75" customHeight="1" x14ac:dyDescent="0.25">
      <c r="B99" s="14">
        <v>55</v>
      </c>
      <c r="C99" s="15" t="s">
        <v>65</v>
      </c>
      <c r="D99" s="14">
        <v>1</v>
      </c>
      <c r="E99" s="238">
        <v>2548546</v>
      </c>
      <c r="F99" s="239">
        <v>1707526</v>
      </c>
    </row>
    <row r="100" spans="2:6" ht="36.75" customHeight="1" x14ac:dyDescent="0.25">
      <c r="B100" s="14">
        <v>56</v>
      </c>
      <c r="C100" s="15" t="s">
        <v>66</v>
      </c>
      <c r="D100" s="14">
        <v>1</v>
      </c>
      <c r="E100" s="238">
        <v>2994930</v>
      </c>
      <c r="F100" s="239">
        <v>2006603</v>
      </c>
    </row>
    <row r="101" spans="2:6" ht="36.75" customHeight="1" x14ac:dyDescent="0.25">
      <c r="B101" s="14">
        <v>57</v>
      </c>
      <c r="C101" s="15" t="s">
        <v>67</v>
      </c>
      <c r="D101" s="14">
        <v>1</v>
      </c>
      <c r="E101" s="238">
        <v>3632002</v>
      </c>
      <c r="F101" s="239">
        <v>2433441</v>
      </c>
    </row>
    <row r="102" spans="2:6" ht="36.75" customHeight="1" x14ac:dyDescent="0.25">
      <c r="B102" s="14">
        <v>58</v>
      </c>
      <c r="C102" s="15" t="s">
        <v>580</v>
      </c>
      <c r="D102" s="14">
        <v>1</v>
      </c>
      <c r="E102" s="238">
        <v>1706606</v>
      </c>
      <c r="F102" s="239">
        <v>1450615</v>
      </c>
    </row>
    <row r="103" spans="2:6" ht="36.75" customHeight="1" x14ac:dyDescent="0.25">
      <c r="B103" s="14">
        <v>59</v>
      </c>
      <c r="C103" s="15" t="s">
        <v>581</v>
      </c>
      <c r="D103" s="14">
        <v>1</v>
      </c>
      <c r="E103" s="238">
        <v>2063851</v>
      </c>
      <c r="F103" s="239">
        <v>1754273</v>
      </c>
    </row>
    <row r="104" spans="2:6" ht="36.75" customHeight="1" x14ac:dyDescent="0.25">
      <c r="B104" s="14">
        <v>60</v>
      </c>
      <c r="C104" s="15" t="s">
        <v>582</v>
      </c>
      <c r="D104" s="14">
        <v>1</v>
      </c>
      <c r="E104" s="238">
        <v>2767577</v>
      </c>
      <c r="F104" s="239">
        <v>2352440</v>
      </c>
    </row>
    <row r="105" spans="2:6" ht="36.75" customHeight="1" x14ac:dyDescent="0.25">
      <c r="B105" s="14">
        <v>61</v>
      </c>
      <c r="C105" s="15" t="s">
        <v>583</v>
      </c>
      <c r="D105" s="14">
        <v>1</v>
      </c>
      <c r="E105" s="238">
        <v>3361040</v>
      </c>
      <c r="F105" s="239">
        <v>2856884</v>
      </c>
    </row>
    <row r="106" spans="2:6" ht="36.75" customHeight="1" x14ac:dyDescent="0.25">
      <c r="B106" s="14">
        <v>62</v>
      </c>
      <c r="C106" s="15" t="s">
        <v>584</v>
      </c>
      <c r="D106" s="14">
        <v>1</v>
      </c>
      <c r="E106" s="238">
        <v>4292765</v>
      </c>
      <c r="F106" s="239">
        <v>3648850</v>
      </c>
    </row>
    <row r="107" spans="2:6" ht="36.75" customHeight="1" x14ac:dyDescent="0.25">
      <c r="B107" s="14">
        <v>63</v>
      </c>
      <c r="C107" s="15" t="s">
        <v>585</v>
      </c>
      <c r="D107" s="14">
        <v>1</v>
      </c>
      <c r="E107" s="238">
        <v>5387767</v>
      </c>
      <c r="F107" s="239">
        <v>4579602</v>
      </c>
    </row>
    <row r="108" spans="2:6" ht="36.75" customHeight="1" x14ac:dyDescent="0.25">
      <c r="B108" s="14">
        <v>64</v>
      </c>
      <c r="C108" s="15" t="s">
        <v>586</v>
      </c>
      <c r="D108" s="14">
        <v>1</v>
      </c>
      <c r="E108" s="238">
        <v>2149455</v>
      </c>
      <c r="F108" s="239">
        <v>1827037</v>
      </c>
    </row>
    <row r="109" spans="2:6" ht="36.75" customHeight="1" x14ac:dyDescent="0.25">
      <c r="B109" s="14">
        <v>65</v>
      </c>
      <c r="C109" s="15" t="s">
        <v>68</v>
      </c>
      <c r="D109" s="14">
        <v>1</v>
      </c>
      <c r="E109" s="238">
        <v>2663970</v>
      </c>
      <c r="F109" s="239">
        <v>2264375</v>
      </c>
    </row>
    <row r="110" spans="2:6" ht="36.75" customHeight="1" x14ac:dyDescent="0.25">
      <c r="B110" s="14">
        <v>66</v>
      </c>
      <c r="C110" s="15" t="s">
        <v>69</v>
      </c>
      <c r="D110" s="14">
        <v>1</v>
      </c>
      <c r="E110" s="238">
        <v>3273001</v>
      </c>
      <c r="F110" s="239">
        <v>2782051</v>
      </c>
    </row>
    <row r="111" spans="2:6" ht="36.75" customHeight="1" x14ac:dyDescent="0.25">
      <c r="B111" s="14">
        <v>67</v>
      </c>
      <c r="C111" s="15" t="s">
        <v>70</v>
      </c>
      <c r="D111" s="14">
        <v>1</v>
      </c>
      <c r="E111" s="238">
        <v>3840235</v>
      </c>
      <c r="F111" s="239">
        <v>3264200</v>
      </c>
    </row>
    <row r="112" spans="2:6" ht="36.75" customHeight="1" x14ac:dyDescent="0.25">
      <c r="B112" s="14">
        <v>68</v>
      </c>
      <c r="C112" s="15" t="s">
        <v>71</v>
      </c>
      <c r="D112" s="14">
        <v>1</v>
      </c>
      <c r="E112" s="238">
        <v>4418033</v>
      </c>
      <c r="F112" s="239">
        <v>3755328</v>
      </c>
    </row>
    <row r="113" spans="2:6" ht="36.75" customHeight="1" x14ac:dyDescent="0.25">
      <c r="B113" s="14">
        <v>69</v>
      </c>
      <c r="C113" s="15" t="s">
        <v>72</v>
      </c>
      <c r="D113" s="14">
        <v>1</v>
      </c>
      <c r="E113" s="238">
        <v>4947438</v>
      </c>
      <c r="F113" s="239">
        <v>4205322</v>
      </c>
    </row>
    <row r="114" spans="2:6" ht="36.75" customHeight="1" x14ac:dyDescent="0.25">
      <c r="B114" s="14">
        <v>70</v>
      </c>
      <c r="C114" s="15" t="s">
        <v>73</v>
      </c>
      <c r="D114" s="14">
        <v>1</v>
      </c>
      <c r="E114" s="238">
        <v>201037</v>
      </c>
      <c r="F114" s="239">
        <v>140726</v>
      </c>
    </row>
    <row r="115" spans="2:6" ht="36.75" customHeight="1" x14ac:dyDescent="0.25">
      <c r="B115" s="14">
        <v>71</v>
      </c>
      <c r="C115" s="15" t="s">
        <v>74</v>
      </c>
      <c r="D115" s="14">
        <v>1</v>
      </c>
      <c r="E115" s="238">
        <v>365779</v>
      </c>
      <c r="F115" s="239">
        <v>256045</v>
      </c>
    </row>
    <row r="116" spans="2:6" ht="36.75" customHeight="1" x14ac:dyDescent="0.25">
      <c r="B116" s="14">
        <v>72</v>
      </c>
      <c r="C116" s="15" t="s">
        <v>75</v>
      </c>
      <c r="D116" s="14">
        <v>1</v>
      </c>
      <c r="E116" s="238">
        <v>379327</v>
      </c>
      <c r="F116" s="239">
        <v>265529</v>
      </c>
    </row>
    <row r="117" spans="2:6" ht="36.75" customHeight="1" x14ac:dyDescent="0.25">
      <c r="B117" s="14">
        <v>73</v>
      </c>
      <c r="C117" s="15" t="s">
        <v>76</v>
      </c>
      <c r="D117" s="14">
        <v>1</v>
      </c>
      <c r="E117" s="238">
        <v>359677</v>
      </c>
      <c r="F117" s="239">
        <v>251774</v>
      </c>
    </row>
    <row r="118" spans="2:6" ht="36.75" customHeight="1" x14ac:dyDescent="0.25">
      <c r="B118" s="14">
        <v>74</v>
      </c>
      <c r="C118" s="15" t="s">
        <v>77</v>
      </c>
      <c r="D118" s="14">
        <v>1</v>
      </c>
      <c r="E118" s="238">
        <v>1575895</v>
      </c>
      <c r="F118" s="239">
        <v>1103127</v>
      </c>
    </row>
    <row r="119" spans="2:6" ht="36.75" customHeight="1" x14ac:dyDescent="0.25">
      <c r="B119" s="14">
        <v>75</v>
      </c>
      <c r="C119" s="15" t="s">
        <v>78</v>
      </c>
      <c r="D119" s="14">
        <v>1</v>
      </c>
      <c r="E119" s="238">
        <v>2829167</v>
      </c>
      <c r="F119" s="239">
        <v>1980417</v>
      </c>
    </row>
    <row r="120" spans="2:6" ht="36.75" customHeight="1" x14ac:dyDescent="0.25">
      <c r="B120" s="14">
        <v>76</v>
      </c>
      <c r="C120" s="15" t="s">
        <v>587</v>
      </c>
      <c r="D120" s="14">
        <v>1</v>
      </c>
      <c r="E120" s="238">
        <v>49676</v>
      </c>
      <c r="F120" s="239">
        <v>34773</v>
      </c>
    </row>
    <row r="121" spans="2:6" ht="36.75" customHeight="1" x14ac:dyDescent="0.25">
      <c r="B121" s="14">
        <v>77</v>
      </c>
      <c r="C121" s="15" t="s">
        <v>588</v>
      </c>
      <c r="D121" s="14">
        <v>1</v>
      </c>
      <c r="E121" s="238">
        <v>74845</v>
      </c>
      <c r="F121" s="239">
        <v>52392</v>
      </c>
    </row>
    <row r="122" spans="2:6" ht="36.75" customHeight="1" x14ac:dyDescent="0.25">
      <c r="B122" s="14">
        <v>78</v>
      </c>
      <c r="C122" s="15" t="s">
        <v>589</v>
      </c>
      <c r="D122" s="14">
        <v>1</v>
      </c>
      <c r="E122" s="238">
        <v>173213</v>
      </c>
      <c r="F122" s="239">
        <v>121249</v>
      </c>
    </row>
    <row r="123" spans="2:6" ht="36.75" customHeight="1" x14ac:dyDescent="0.25">
      <c r="B123" s="14">
        <v>79</v>
      </c>
      <c r="C123" s="15" t="s">
        <v>590</v>
      </c>
      <c r="D123" s="14">
        <v>1</v>
      </c>
      <c r="E123" s="238">
        <v>288014</v>
      </c>
      <c r="F123" s="239">
        <v>201610</v>
      </c>
    </row>
    <row r="124" spans="2:6" ht="36.75" customHeight="1" x14ac:dyDescent="0.25">
      <c r="B124" s="14">
        <v>80</v>
      </c>
      <c r="C124" s="15" t="s">
        <v>591</v>
      </c>
      <c r="D124" s="14">
        <v>1</v>
      </c>
      <c r="E124" s="238">
        <v>335069</v>
      </c>
      <c r="F124" s="239">
        <v>234548</v>
      </c>
    </row>
    <row r="125" spans="2:6" ht="36.75" customHeight="1" x14ac:dyDescent="0.25">
      <c r="B125" s="14">
        <v>81</v>
      </c>
      <c r="C125" s="15" t="s">
        <v>592</v>
      </c>
      <c r="D125" s="14">
        <v>1</v>
      </c>
      <c r="E125" s="238">
        <v>300664</v>
      </c>
      <c r="F125" s="239">
        <v>210465</v>
      </c>
    </row>
    <row r="126" spans="2:6" ht="36.75" customHeight="1" x14ac:dyDescent="0.25">
      <c r="B126" s="14">
        <v>82</v>
      </c>
      <c r="C126" s="15" t="s">
        <v>79</v>
      </c>
      <c r="D126" s="14">
        <v>1</v>
      </c>
      <c r="E126" s="238">
        <v>471959</v>
      </c>
      <c r="F126" s="239">
        <v>316213</v>
      </c>
    </row>
    <row r="127" spans="2:6" ht="36.75" customHeight="1" x14ac:dyDescent="0.25">
      <c r="B127" s="14">
        <v>83</v>
      </c>
      <c r="C127" s="15" t="s">
        <v>80</v>
      </c>
      <c r="D127" s="14">
        <v>1</v>
      </c>
      <c r="E127" s="238">
        <v>608176</v>
      </c>
      <c r="F127" s="239">
        <v>407478</v>
      </c>
    </row>
    <row r="128" spans="2:6" ht="36.75" customHeight="1" x14ac:dyDescent="0.25">
      <c r="B128" s="14">
        <v>84</v>
      </c>
      <c r="C128" s="15" t="s">
        <v>81</v>
      </c>
      <c r="D128" s="14">
        <v>1</v>
      </c>
      <c r="E128" s="238">
        <v>1170416</v>
      </c>
      <c r="F128" s="239">
        <v>784179</v>
      </c>
    </row>
    <row r="129" spans="2:6" ht="36.75" customHeight="1" x14ac:dyDescent="0.25">
      <c r="B129" s="14">
        <v>85</v>
      </c>
      <c r="C129" s="15" t="s">
        <v>82</v>
      </c>
      <c r="D129" s="14">
        <v>1</v>
      </c>
      <c r="E129" s="238">
        <v>788991</v>
      </c>
      <c r="F129" s="239">
        <v>528624</v>
      </c>
    </row>
    <row r="130" spans="2:6" ht="36.75" customHeight="1" x14ac:dyDescent="0.25">
      <c r="B130" s="14">
        <v>86</v>
      </c>
      <c r="C130" s="15" t="s">
        <v>83</v>
      </c>
      <c r="D130" s="14">
        <v>1</v>
      </c>
      <c r="E130" s="238">
        <v>483383</v>
      </c>
      <c r="F130" s="239">
        <v>323867</v>
      </c>
    </row>
    <row r="131" spans="2:6" ht="36.75" customHeight="1" x14ac:dyDescent="0.25">
      <c r="B131" s="14">
        <v>87</v>
      </c>
      <c r="C131" s="15" t="s">
        <v>84</v>
      </c>
      <c r="D131" s="14">
        <v>1</v>
      </c>
      <c r="E131" s="238">
        <v>612257</v>
      </c>
      <c r="F131" s="239">
        <v>410212</v>
      </c>
    </row>
    <row r="132" spans="2:6" ht="36.75" customHeight="1" x14ac:dyDescent="0.25">
      <c r="B132" s="14">
        <v>88</v>
      </c>
      <c r="C132" s="15" t="s">
        <v>85</v>
      </c>
      <c r="D132" s="14">
        <v>1</v>
      </c>
      <c r="E132" s="238">
        <v>1083211</v>
      </c>
      <c r="F132" s="239">
        <v>725751</v>
      </c>
    </row>
    <row r="133" spans="2:6" ht="36.75" customHeight="1" x14ac:dyDescent="0.25">
      <c r="B133" s="14">
        <v>89</v>
      </c>
      <c r="C133" s="15" t="s">
        <v>86</v>
      </c>
      <c r="D133" s="14">
        <v>1</v>
      </c>
      <c r="E133" s="238">
        <v>757855</v>
      </c>
      <c r="F133" s="239">
        <v>507763</v>
      </c>
    </row>
    <row r="134" spans="2:6" ht="36.75" customHeight="1" x14ac:dyDescent="0.25">
      <c r="B134" s="14">
        <v>90</v>
      </c>
      <c r="C134" s="15" t="s">
        <v>87</v>
      </c>
      <c r="D134" s="14">
        <v>1</v>
      </c>
      <c r="E134" s="238">
        <v>775731</v>
      </c>
      <c r="F134" s="239">
        <v>519740</v>
      </c>
    </row>
    <row r="135" spans="2:6" ht="36.75" customHeight="1" x14ac:dyDescent="0.25">
      <c r="B135" s="14">
        <v>91</v>
      </c>
      <c r="C135" s="15" t="s">
        <v>593</v>
      </c>
      <c r="D135" s="14">
        <v>1</v>
      </c>
      <c r="E135" s="238">
        <v>1230819</v>
      </c>
      <c r="F135" s="239">
        <v>824649</v>
      </c>
    </row>
    <row r="136" spans="2:6" ht="36.75" customHeight="1" x14ac:dyDescent="0.25">
      <c r="B136" s="14">
        <v>92</v>
      </c>
      <c r="C136" s="15" t="s">
        <v>594</v>
      </c>
      <c r="D136" s="14">
        <v>1</v>
      </c>
      <c r="E136" s="238">
        <v>1172472</v>
      </c>
      <c r="F136" s="239">
        <v>785556</v>
      </c>
    </row>
    <row r="137" spans="2:6" ht="36.75" customHeight="1" x14ac:dyDescent="0.25">
      <c r="B137" s="14">
        <v>93</v>
      </c>
      <c r="C137" s="15" t="s">
        <v>595</v>
      </c>
      <c r="D137" s="14">
        <v>1</v>
      </c>
      <c r="E137" s="238">
        <v>1368564</v>
      </c>
      <c r="F137" s="239">
        <v>916938</v>
      </c>
    </row>
    <row r="138" spans="2:6" ht="36.75" customHeight="1" x14ac:dyDescent="0.25">
      <c r="B138" s="14">
        <v>94</v>
      </c>
      <c r="C138" s="15" t="s">
        <v>596</v>
      </c>
      <c r="D138" s="14">
        <v>1</v>
      </c>
      <c r="E138" s="238">
        <v>1864390</v>
      </c>
      <c r="F138" s="239">
        <v>1249141</v>
      </c>
    </row>
    <row r="139" spans="2:6" ht="36.75" customHeight="1" x14ac:dyDescent="0.25">
      <c r="B139" s="14">
        <v>95</v>
      </c>
      <c r="C139" s="15" t="s">
        <v>597</v>
      </c>
      <c r="D139" s="14">
        <v>1</v>
      </c>
      <c r="E139" s="238">
        <v>2659259</v>
      </c>
      <c r="F139" s="239">
        <v>1781704</v>
      </c>
    </row>
    <row r="140" spans="2:6" ht="36.75" customHeight="1" x14ac:dyDescent="0.25">
      <c r="B140" s="14">
        <v>96</v>
      </c>
      <c r="C140" s="15" t="s">
        <v>598</v>
      </c>
      <c r="D140" s="14">
        <v>1</v>
      </c>
      <c r="E140" s="238">
        <v>3194554</v>
      </c>
      <c r="F140" s="239">
        <v>2140351</v>
      </c>
    </row>
    <row r="141" spans="2:6" ht="36.75" customHeight="1" x14ac:dyDescent="0.25">
      <c r="B141" s="14">
        <v>97</v>
      </c>
      <c r="C141" s="15" t="s">
        <v>599</v>
      </c>
      <c r="D141" s="14">
        <v>1</v>
      </c>
      <c r="E141" s="238">
        <v>1427714</v>
      </c>
      <c r="F141" s="239">
        <v>956568</v>
      </c>
    </row>
    <row r="142" spans="2:6" ht="36.75" customHeight="1" x14ac:dyDescent="0.25">
      <c r="B142" s="14">
        <v>98</v>
      </c>
      <c r="C142" s="15" t="s">
        <v>600</v>
      </c>
      <c r="D142" s="14">
        <v>1</v>
      </c>
      <c r="E142" s="238">
        <v>2876656</v>
      </c>
      <c r="F142" s="239">
        <v>1927360</v>
      </c>
    </row>
    <row r="143" spans="2:6" ht="36.75" customHeight="1" x14ac:dyDescent="0.25">
      <c r="B143" s="14">
        <v>99</v>
      </c>
      <c r="C143" s="15" t="s">
        <v>88</v>
      </c>
      <c r="D143" s="14">
        <v>1</v>
      </c>
      <c r="E143" s="238">
        <v>4619394</v>
      </c>
      <c r="F143" s="239">
        <v>3094994</v>
      </c>
    </row>
    <row r="144" spans="2:6" ht="36.75" customHeight="1" x14ac:dyDescent="0.25">
      <c r="B144" s="14">
        <v>100</v>
      </c>
      <c r="C144" s="15" t="s">
        <v>601</v>
      </c>
      <c r="D144" s="14">
        <v>1</v>
      </c>
      <c r="E144" s="238">
        <v>384213</v>
      </c>
      <c r="F144" s="239">
        <v>257423</v>
      </c>
    </row>
    <row r="145" spans="2:6" ht="36.75" customHeight="1" x14ac:dyDescent="0.25">
      <c r="B145" s="14">
        <v>101</v>
      </c>
      <c r="C145" s="15" t="s">
        <v>89</v>
      </c>
      <c r="D145" s="14">
        <v>1</v>
      </c>
      <c r="E145" s="238">
        <v>1891399</v>
      </c>
      <c r="F145" s="239">
        <v>1267237</v>
      </c>
    </row>
    <row r="146" spans="2:6" ht="36.75" customHeight="1" x14ac:dyDescent="0.25">
      <c r="B146" s="14">
        <v>102</v>
      </c>
      <c r="C146" s="15" t="s">
        <v>90</v>
      </c>
      <c r="D146" s="14">
        <v>1</v>
      </c>
      <c r="E146" s="238">
        <v>3003420</v>
      </c>
      <c r="F146" s="239">
        <v>2012291</v>
      </c>
    </row>
    <row r="147" spans="2:6" ht="36.75" customHeight="1" x14ac:dyDescent="0.25">
      <c r="B147" s="14">
        <v>103</v>
      </c>
      <c r="C147" s="15" t="s">
        <v>91</v>
      </c>
      <c r="D147" s="14">
        <v>1</v>
      </c>
      <c r="E147" s="238">
        <v>1921578</v>
      </c>
      <c r="F147" s="239">
        <v>1287457</v>
      </c>
    </row>
    <row r="148" spans="2:6" ht="36.75" customHeight="1" x14ac:dyDescent="0.25">
      <c r="B148" s="14">
        <v>104</v>
      </c>
      <c r="C148" s="15" t="s">
        <v>92</v>
      </c>
      <c r="D148" s="14">
        <v>1</v>
      </c>
      <c r="E148" s="238">
        <v>2167856</v>
      </c>
      <c r="F148" s="239">
        <v>1452464</v>
      </c>
    </row>
    <row r="149" spans="2:6" ht="36.75" customHeight="1" x14ac:dyDescent="0.25">
      <c r="B149" s="14">
        <v>105</v>
      </c>
      <c r="C149" s="15" t="s">
        <v>93</v>
      </c>
      <c r="D149" s="14">
        <v>1</v>
      </c>
      <c r="E149" s="238">
        <v>2999281</v>
      </c>
      <c r="F149" s="239">
        <v>2009518</v>
      </c>
    </row>
    <row r="150" spans="2:6" ht="36.75" customHeight="1" x14ac:dyDescent="0.25">
      <c r="B150" s="14">
        <v>106</v>
      </c>
      <c r="C150" s="15" t="s">
        <v>94</v>
      </c>
      <c r="D150" s="14">
        <v>1</v>
      </c>
      <c r="E150" s="238">
        <v>3698309</v>
      </c>
      <c r="F150" s="239">
        <v>2477867</v>
      </c>
    </row>
    <row r="151" spans="2:6" ht="36.75" customHeight="1" x14ac:dyDescent="0.25">
      <c r="B151" s="14">
        <v>107</v>
      </c>
      <c r="C151" s="15" t="s">
        <v>95</v>
      </c>
      <c r="D151" s="14">
        <v>1</v>
      </c>
      <c r="E151" s="238">
        <v>4024430</v>
      </c>
      <c r="F151" s="239">
        <v>2696368</v>
      </c>
    </row>
    <row r="152" spans="2:6" ht="36.75" customHeight="1" x14ac:dyDescent="0.25">
      <c r="B152" s="14">
        <v>108</v>
      </c>
      <c r="C152" s="15" t="s">
        <v>96</v>
      </c>
      <c r="D152" s="14">
        <v>1</v>
      </c>
      <c r="E152" s="238">
        <v>5280292</v>
      </c>
      <c r="F152" s="239">
        <v>3537796</v>
      </c>
    </row>
    <row r="153" spans="2:6" ht="36.75" customHeight="1" x14ac:dyDescent="0.25">
      <c r="B153" s="14">
        <v>109</v>
      </c>
      <c r="C153" s="15" t="s">
        <v>97</v>
      </c>
      <c r="D153" s="14">
        <v>1</v>
      </c>
      <c r="E153" s="238">
        <v>5511983</v>
      </c>
      <c r="F153" s="239">
        <v>3693029</v>
      </c>
    </row>
    <row r="154" spans="2:6" ht="36.75" customHeight="1" x14ac:dyDescent="0.25">
      <c r="B154" s="14">
        <v>110</v>
      </c>
      <c r="C154" s="15" t="s">
        <v>98</v>
      </c>
      <c r="D154" s="14">
        <v>1</v>
      </c>
      <c r="E154" s="238">
        <v>7473616</v>
      </c>
      <c r="F154" s="239">
        <v>5007323</v>
      </c>
    </row>
    <row r="155" spans="2:6" ht="36.75" customHeight="1" x14ac:dyDescent="0.25">
      <c r="B155" s="14">
        <v>111</v>
      </c>
      <c r="C155" s="15" t="s">
        <v>99</v>
      </c>
      <c r="D155" s="14">
        <v>1</v>
      </c>
      <c r="E155" s="238">
        <v>9453371</v>
      </c>
      <c r="F155" s="239">
        <v>6333759</v>
      </c>
    </row>
    <row r="156" spans="2:6" ht="36.75" customHeight="1" x14ac:dyDescent="0.25">
      <c r="B156" s="14">
        <v>112</v>
      </c>
      <c r="C156" s="15" t="s">
        <v>100</v>
      </c>
      <c r="D156" s="14">
        <v>1</v>
      </c>
      <c r="E156" s="238">
        <v>11752638</v>
      </c>
      <c r="F156" s="239">
        <v>7874267</v>
      </c>
    </row>
    <row r="157" spans="2:6" ht="36.75" customHeight="1" x14ac:dyDescent="0.25">
      <c r="B157" s="14">
        <v>113</v>
      </c>
      <c r="C157" s="15" t="s">
        <v>101</v>
      </c>
      <c r="D157" s="14">
        <v>1</v>
      </c>
      <c r="E157" s="238">
        <v>15375302</v>
      </c>
      <c r="F157" s="239">
        <v>10301452</v>
      </c>
    </row>
    <row r="158" spans="2:6" ht="36.75" customHeight="1" x14ac:dyDescent="0.25">
      <c r="B158" s="14">
        <v>114</v>
      </c>
      <c r="C158" s="15" t="s">
        <v>102</v>
      </c>
      <c r="D158" s="14">
        <v>1</v>
      </c>
      <c r="E158" s="238">
        <v>309504</v>
      </c>
      <c r="F158" s="239">
        <v>207368</v>
      </c>
    </row>
    <row r="159" spans="2:6" ht="36.75" customHeight="1" x14ac:dyDescent="0.25">
      <c r="B159" s="14">
        <v>115</v>
      </c>
      <c r="C159" s="15" t="s">
        <v>103</v>
      </c>
      <c r="D159" s="14">
        <v>1</v>
      </c>
      <c r="E159" s="238">
        <v>154579</v>
      </c>
      <c r="F159" s="239">
        <v>103568</v>
      </c>
    </row>
    <row r="160" spans="2:6" ht="36.75" customHeight="1" x14ac:dyDescent="0.25">
      <c r="B160" s="14">
        <v>116</v>
      </c>
      <c r="C160" s="15" t="s">
        <v>104</v>
      </c>
      <c r="D160" s="14">
        <v>1</v>
      </c>
      <c r="E160" s="238">
        <v>204141</v>
      </c>
      <c r="F160" s="239">
        <v>136774</v>
      </c>
    </row>
    <row r="161" spans="2:6" ht="36.75" customHeight="1" x14ac:dyDescent="0.25">
      <c r="B161" s="14">
        <v>117</v>
      </c>
      <c r="C161" s="15" t="s">
        <v>105</v>
      </c>
      <c r="D161" s="14">
        <v>1</v>
      </c>
      <c r="E161" s="238">
        <v>663084</v>
      </c>
      <c r="F161" s="239">
        <v>444266</v>
      </c>
    </row>
    <row r="162" spans="2:6" ht="36.75" customHeight="1" x14ac:dyDescent="0.25">
      <c r="B162" s="14">
        <v>118</v>
      </c>
      <c r="C162" s="15" t="s">
        <v>106</v>
      </c>
      <c r="D162" s="14">
        <v>1</v>
      </c>
      <c r="E162" s="238">
        <v>1384318</v>
      </c>
      <c r="F162" s="239">
        <v>927493</v>
      </c>
    </row>
    <row r="163" spans="2:6" ht="36.75" customHeight="1" x14ac:dyDescent="0.25">
      <c r="B163" s="14">
        <v>119</v>
      </c>
      <c r="C163" s="15" t="s">
        <v>107</v>
      </c>
      <c r="D163" s="14">
        <v>1</v>
      </c>
      <c r="E163" s="238">
        <v>9762718</v>
      </c>
      <c r="F163" s="239">
        <v>6541021</v>
      </c>
    </row>
    <row r="164" spans="2:6" ht="36.75" customHeight="1" x14ac:dyDescent="0.25">
      <c r="B164" s="14">
        <v>120</v>
      </c>
      <c r="C164" s="15" t="s">
        <v>108</v>
      </c>
      <c r="D164" s="14">
        <v>1</v>
      </c>
      <c r="E164" s="238">
        <v>548914</v>
      </c>
      <c r="F164" s="239">
        <v>367772</v>
      </c>
    </row>
    <row r="165" spans="2:6" ht="36.75" customHeight="1" x14ac:dyDescent="0.25">
      <c r="B165" s="14">
        <v>121</v>
      </c>
      <c r="C165" s="15" t="s">
        <v>109</v>
      </c>
      <c r="D165" s="14">
        <v>1</v>
      </c>
      <c r="E165" s="238">
        <v>261420</v>
      </c>
      <c r="F165" s="239">
        <v>175151</v>
      </c>
    </row>
    <row r="166" spans="2:6" ht="36.75" customHeight="1" x14ac:dyDescent="0.25">
      <c r="B166" s="14">
        <v>122</v>
      </c>
      <c r="C166" s="15" t="s">
        <v>602</v>
      </c>
      <c r="D166" s="14">
        <v>1</v>
      </c>
      <c r="E166" s="238">
        <v>4875</v>
      </c>
      <c r="F166" s="239">
        <v>3266</v>
      </c>
    </row>
    <row r="167" spans="2:6" ht="36.75" customHeight="1" x14ac:dyDescent="0.25">
      <c r="B167" s="14">
        <v>123</v>
      </c>
      <c r="C167" s="15" t="s">
        <v>603</v>
      </c>
      <c r="D167" s="14">
        <v>1</v>
      </c>
      <c r="E167" s="238">
        <v>3930</v>
      </c>
      <c r="F167" s="239">
        <v>2633</v>
      </c>
    </row>
    <row r="168" spans="2:6" ht="36.75" customHeight="1" x14ac:dyDescent="0.25">
      <c r="B168" s="14">
        <v>124</v>
      </c>
      <c r="C168" s="15" t="s">
        <v>604</v>
      </c>
      <c r="D168" s="14">
        <v>1</v>
      </c>
      <c r="E168" s="238">
        <v>64900</v>
      </c>
      <c r="F168" s="239">
        <v>43483</v>
      </c>
    </row>
    <row r="169" spans="2:6" ht="36.75" customHeight="1" x14ac:dyDescent="0.25">
      <c r="B169" s="14">
        <v>125</v>
      </c>
      <c r="C169" s="15" t="s">
        <v>605</v>
      </c>
      <c r="D169" s="14">
        <v>1</v>
      </c>
      <c r="E169" s="238">
        <v>38010</v>
      </c>
      <c r="F169" s="239">
        <v>25467</v>
      </c>
    </row>
    <row r="170" spans="2:6" ht="36.75" customHeight="1" x14ac:dyDescent="0.25">
      <c r="B170" s="14">
        <v>126</v>
      </c>
      <c r="C170" s="15" t="s">
        <v>606</v>
      </c>
      <c r="D170" s="14">
        <v>1</v>
      </c>
      <c r="E170" s="238">
        <v>298642</v>
      </c>
      <c r="F170" s="239">
        <v>200090</v>
      </c>
    </row>
    <row r="171" spans="2:6" ht="36.75" customHeight="1" x14ac:dyDescent="0.25">
      <c r="B171" s="14">
        <v>127</v>
      </c>
      <c r="C171" s="15" t="s">
        <v>607</v>
      </c>
      <c r="D171" s="14">
        <v>1</v>
      </c>
      <c r="E171" s="238">
        <v>72863</v>
      </c>
      <c r="F171" s="239">
        <v>48818</v>
      </c>
    </row>
    <row r="172" spans="2:6" ht="36.75" customHeight="1" x14ac:dyDescent="0.25">
      <c r="B172" s="14">
        <v>128</v>
      </c>
      <c r="C172" s="15" t="s">
        <v>608</v>
      </c>
      <c r="D172" s="14">
        <v>1</v>
      </c>
      <c r="E172" s="238">
        <v>152353</v>
      </c>
      <c r="F172" s="239">
        <v>102077</v>
      </c>
    </row>
    <row r="173" spans="2:6" ht="36.75" customHeight="1" x14ac:dyDescent="0.25">
      <c r="B173" s="14">
        <v>129</v>
      </c>
      <c r="C173" s="15" t="s">
        <v>609</v>
      </c>
      <c r="D173" s="14">
        <v>1</v>
      </c>
      <c r="E173" s="238">
        <v>548823</v>
      </c>
      <c r="F173" s="239">
        <v>367711</v>
      </c>
    </row>
    <row r="174" spans="2:6" ht="36.75" customHeight="1" x14ac:dyDescent="0.25">
      <c r="B174" s="14">
        <v>130</v>
      </c>
      <c r="C174" s="15" t="s">
        <v>610</v>
      </c>
      <c r="D174" s="14">
        <v>1</v>
      </c>
      <c r="E174" s="238">
        <v>155109</v>
      </c>
      <c r="F174" s="239">
        <v>103923</v>
      </c>
    </row>
    <row r="175" spans="2:6" ht="36.75" customHeight="1" x14ac:dyDescent="0.25">
      <c r="B175" s="14">
        <v>131</v>
      </c>
      <c r="C175" s="15" t="s">
        <v>611</v>
      </c>
      <c r="D175" s="14">
        <v>1</v>
      </c>
      <c r="E175" s="238">
        <v>120857</v>
      </c>
      <c r="F175" s="239">
        <v>80974</v>
      </c>
    </row>
    <row r="176" spans="2:6" ht="36.75" customHeight="1" x14ac:dyDescent="0.25">
      <c r="B176" s="14">
        <v>132</v>
      </c>
      <c r="C176" s="15" t="s">
        <v>612</v>
      </c>
      <c r="D176" s="14">
        <v>1</v>
      </c>
      <c r="E176" s="238">
        <v>381089</v>
      </c>
      <c r="F176" s="239">
        <v>255330</v>
      </c>
    </row>
    <row r="177" spans="2:6" ht="36.75" customHeight="1" x14ac:dyDescent="0.25">
      <c r="B177" s="14">
        <v>133</v>
      </c>
      <c r="C177" s="15" t="s">
        <v>613</v>
      </c>
      <c r="D177" s="14">
        <v>1</v>
      </c>
      <c r="E177" s="238">
        <v>88344</v>
      </c>
      <c r="F177" s="239">
        <v>59190</v>
      </c>
    </row>
    <row r="178" spans="2:6" ht="36.75" customHeight="1" x14ac:dyDescent="0.25">
      <c r="B178" s="14">
        <v>134</v>
      </c>
      <c r="C178" s="15" t="s">
        <v>110</v>
      </c>
      <c r="D178" s="14">
        <v>1</v>
      </c>
      <c r="E178" s="238">
        <v>89035</v>
      </c>
      <c r="F178" s="239">
        <v>59653</v>
      </c>
    </row>
    <row r="179" spans="2:6" ht="36.75" customHeight="1" x14ac:dyDescent="0.25">
      <c r="B179" s="14">
        <v>135</v>
      </c>
      <c r="C179" s="15" t="s">
        <v>111</v>
      </c>
      <c r="D179" s="14">
        <v>1</v>
      </c>
      <c r="E179" s="238">
        <v>122557</v>
      </c>
      <c r="F179" s="239">
        <v>82113</v>
      </c>
    </row>
    <row r="180" spans="2:6" ht="36.75" customHeight="1" x14ac:dyDescent="0.25">
      <c r="B180" s="14">
        <v>136</v>
      </c>
      <c r="C180" s="15" t="s">
        <v>112</v>
      </c>
      <c r="D180" s="14">
        <v>1</v>
      </c>
      <c r="E180" s="238">
        <v>80298</v>
      </c>
      <c r="F180" s="239">
        <v>53800</v>
      </c>
    </row>
    <row r="181" spans="2:6" ht="36.75" customHeight="1" x14ac:dyDescent="0.25">
      <c r="B181" s="14">
        <v>137</v>
      </c>
      <c r="C181" s="15" t="s">
        <v>113</v>
      </c>
      <c r="D181" s="14">
        <v>1</v>
      </c>
      <c r="E181" s="238">
        <v>74551</v>
      </c>
      <c r="F181" s="239">
        <v>49949</v>
      </c>
    </row>
    <row r="182" spans="2:6" ht="36.75" customHeight="1" x14ac:dyDescent="0.25">
      <c r="B182" s="14">
        <v>138</v>
      </c>
      <c r="C182" s="15" t="s">
        <v>614</v>
      </c>
      <c r="D182" s="14">
        <v>1</v>
      </c>
      <c r="E182" s="238">
        <v>278892</v>
      </c>
      <c r="F182" s="239">
        <v>186858</v>
      </c>
    </row>
    <row r="183" spans="2:6" ht="36.75" customHeight="1" x14ac:dyDescent="0.25">
      <c r="B183" s="14">
        <v>139</v>
      </c>
      <c r="C183" s="15" t="s">
        <v>114</v>
      </c>
      <c r="D183" s="14">
        <v>1</v>
      </c>
      <c r="E183" s="238">
        <v>268403</v>
      </c>
      <c r="F183" s="239">
        <v>179830</v>
      </c>
    </row>
    <row r="184" spans="2:6" ht="36.75" customHeight="1" x14ac:dyDescent="0.25">
      <c r="B184" s="14">
        <v>140</v>
      </c>
      <c r="C184" s="15" t="s">
        <v>615</v>
      </c>
      <c r="D184" s="14">
        <v>1</v>
      </c>
      <c r="E184" s="238">
        <v>59106</v>
      </c>
      <c r="F184" s="239">
        <v>39601</v>
      </c>
    </row>
    <row r="185" spans="2:6" ht="36.75" customHeight="1" x14ac:dyDescent="0.25">
      <c r="B185" s="14">
        <v>141</v>
      </c>
      <c r="C185" s="15" t="s">
        <v>616</v>
      </c>
      <c r="D185" s="14">
        <v>1</v>
      </c>
      <c r="E185" s="238">
        <v>4553860</v>
      </c>
      <c r="F185" s="239">
        <v>3051086</v>
      </c>
    </row>
    <row r="186" spans="2:6" ht="36.75" customHeight="1" x14ac:dyDescent="0.25">
      <c r="B186" s="14">
        <v>142</v>
      </c>
      <c r="C186" s="15" t="s">
        <v>115</v>
      </c>
      <c r="D186" s="14">
        <v>1</v>
      </c>
      <c r="E186" s="238">
        <v>177594</v>
      </c>
      <c r="F186" s="239">
        <v>118988</v>
      </c>
    </row>
    <row r="187" spans="2:6" ht="36.75" customHeight="1" x14ac:dyDescent="0.25">
      <c r="B187" s="14">
        <v>143</v>
      </c>
      <c r="C187" s="15" t="s">
        <v>116</v>
      </c>
      <c r="D187" s="14">
        <v>1</v>
      </c>
      <c r="E187" s="238">
        <v>832006</v>
      </c>
      <c r="F187" s="239">
        <v>557444</v>
      </c>
    </row>
    <row r="188" spans="2:6" ht="36.75" customHeight="1" x14ac:dyDescent="0.25">
      <c r="B188" s="14">
        <v>144</v>
      </c>
      <c r="C188" s="15" t="s">
        <v>117</v>
      </c>
      <c r="D188" s="14">
        <v>1</v>
      </c>
      <c r="E188" s="238">
        <v>992315</v>
      </c>
      <c r="F188" s="239">
        <v>664851</v>
      </c>
    </row>
    <row r="189" spans="2:6" ht="36.75" customHeight="1" x14ac:dyDescent="0.25">
      <c r="B189" s="14">
        <v>145</v>
      </c>
      <c r="C189" s="15" t="s">
        <v>118</v>
      </c>
      <c r="D189" s="14">
        <v>1</v>
      </c>
      <c r="E189" s="238">
        <v>1078976</v>
      </c>
      <c r="F189" s="239">
        <v>722914</v>
      </c>
    </row>
    <row r="190" spans="2:6" ht="36.75" customHeight="1" x14ac:dyDescent="0.25">
      <c r="B190" s="14">
        <v>146</v>
      </c>
      <c r="C190" s="15" t="s">
        <v>119</v>
      </c>
      <c r="D190" s="14">
        <v>1</v>
      </c>
      <c r="E190" s="238">
        <v>1372133</v>
      </c>
      <c r="F190" s="239">
        <v>919329</v>
      </c>
    </row>
    <row r="191" spans="2:6" ht="36.75" customHeight="1" x14ac:dyDescent="0.25">
      <c r="B191" s="14">
        <v>147</v>
      </c>
      <c r="C191" s="15" t="s">
        <v>120</v>
      </c>
      <c r="D191" s="14">
        <v>1</v>
      </c>
      <c r="E191" s="238">
        <v>1147369</v>
      </c>
      <c r="F191" s="239">
        <v>768737</v>
      </c>
    </row>
    <row r="192" spans="2:6" ht="36.75" customHeight="1" x14ac:dyDescent="0.25">
      <c r="B192" s="14">
        <v>148</v>
      </c>
      <c r="C192" s="15" t="s">
        <v>121</v>
      </c>
      <c r="D192" s="14">
        <v>1</v>
      </c>
      <c r="E192" s="238">
        <v>2922075</v>
      </c>
      <c r="F192" s="239">
        <v>1957790</v>
      </c>
    </row>
    <row r="193" spans="2:6" ht="36.75" customHeight="1" x14ac:dyDescent="0.25">
      <c r="B193" s="14">
        <v>149</v>
      </c>
      <c r="C193" s="15" t="s">
        <v>122</v>
      </c>
      <c r="D193" s="14">
        <v>1</v>
      </c>
      <c r="E193" s="238">
        <v>2644134</v>
      </c>
      <c r="F193" s="239">
        <v>1771570</v>
      </c>
    </row>
    <row r="194" spans="2:6" ht="36.75" customHeight="1" x14ac:dyDescent="0.25">
      <c r="B194" s="14">
        <v>150</v>
      </c>
      <c r="C194" s="15" t="s">
        <v>123</v>
      </c>
      <c r="D194" s="14">
        <v>1</v>
      </c>
      <c r="E194" s="238">
        <v>2019716</v>
      </c>
      <c r="F194" s="239">
        <v>1353210</v>
      </c>
    </row>
    <row r="195" spans="2:6" ht="36.75" customHeight="1" x14ac:dyDescent="0.25">
      <c r="B195" s="14">
        <v>151</v>
      </c>
      <c r="C195" s="15" t="s">
        <v>617</v>
      </c>
      <c r="D195" s="14">
        <v>1</v>
      </c>
      <c r="E195" s="238">
        <v>1636628</v>
      </c>
      <c r="F195" s="239">
        <v>1096541</v>
      </c>
    </row>
    <row r="196" spans="2:6" ht="36.75" customHeight="1" x14ac:dyDescent="0.25">
      <c r="B196" s="14">
        <v>152</v>
      </c>
      <c r="C196" s="15" t="s">
        <v>124</v>
      </c>
      <c r="D196" s="14">
        <v>1</v>
      </c>
      <c r="E196" s="238">
        <v>1487628</v>
      </c>
      <c r="F196" s="239">
        <v>996711</v>
      </c>
    </row>
    <row r="197" spans="2:6" ht="36.75" customHeight="1" x14ac:dyDescent="0.25">
      <c r="B197" s="14">
        <v>153</v>
      </c>
      <c r="C197" s="15" t="s">
        <v>125</v>
      </c>
      <c r="D197" s="14">
        <v>1</v>
      </c>
      <c r="E197" s="238">
        <v>3539174</v>
      </c>
      <c r="F197" s="239">
        <v>2371247</v>
      </c>
    </row>
    <row r="198" spans="2:6" ht="36.75" customHeight="1" x14ac:dyDescent="0.25">
      <c r="B198" s="14">
        <v>154</v>
      </c>
      <c r="C198" s="15" t="s">
        <v>126</v>
      </c>
      <c r="D198" s="14">
        <v>1</v>
      </c>
      <c r="E198" s="238">
        <v>723367</v>
      </c>
      <c r="F198" s="239">
        <v>484656</v>
      </c>
    </row>
    <row r="199" spans="2:6" ht="36.75" customHeight="1" x14ac:dyDescent="0.25">
      <c r="B199" s="14">
        <v>155</v>
      </c>
      <c r="C199" s="15" t="s">
        <v>127</v>
      </c>
      <c r="D199" s="14">
        <v>1</v>
      </c>
      <c r="E199" s="238">
        <v>973406</v>
      </c>
      <c r="F199" s="239">
        <v>652182</v>
      </c>
    </row>
    <row r="200" spans="2:6" ht="36.75" customHeight="1" x14ac:dyDescent="0.25">
      <c r="B200" s="14">
        <v>156</v>
      </c>
      <c r="C200" s="18" t="s">
        <v>128</v>
      </c>
      <c r="D200" s="14">
        <v>1</v>
      </c>
      <c r="E200" s="238">
        <v>5967480</v>
      </c>
      <c r="F200" s="239">
        <v>3998212</v>
      </c>
    </row>
    <row r="201" spans="2:6" ht="36.75" customHeight="1" x14ac:dyDescent="0.25">
      <c r="B201" s="14">
        <v>157</v>
      </c>
      <c r="C201" s="18" t="s">
        <v>129</v>
      </c>
      <c r="D201" s="14">
        <v>1</v>
      </c>
      <c r="E201" s="238">
        <v>4039152</v>
      </c>
      <c r="F201" s="239">
        <v>2706232</v>
      </c>
    </row>
    <row r="202" spans="2:6" ht="36.75" customHeight="1" x14ac:dyDescent="0.25">
      <c r="B202" s="14">
        <v>158</v>
      </c>
      <c r="C202" s="18" t="s">
        <v>130</v>
      </c>
      <c r="D202" s="14">
        <v>1</v>
      </c>
      <c r="E202" s="238">
        <v>6565098</v>
      </c>
      <c r="F202" s="239">
        <v>4398616</v>
      </c>
    </row>
    <row r="203" spans="2:6" ht="36.75" customHeight="1" x14ac:dyDescent="0.25">
      <c r="B203" s="14">
        <v>159</v>
      </c>
      <c r="C203" s="18" t="s">
        <v>131</v>
      </c>
      <c r="D203" s="14">
        <v>1</v>
      </c>
      <c r="E203" s="238">
        <v>4350518</v>
      </c>
      <c r="F203" s="239">
        <v>2914847</v>
      </c>
    </row>
    <row r="204" spans="2:6" ht="36.75" customHeight="1" x14ac:dyDescent="0.25">
      <c r="B204" s="14">
        <v>160</v>
      </c>
      <c r="C204" s="18" t="s">
        <v>132</v>
      </c>
      <c r="D204" s="14">
        <v>1</v>
      </c>
      <c r="E204" s="238">
        <v>6205666</v>
      </c>
      <c r="F204" s="239">
        <v>4157796</v>
      </c>
    </row>
    <row r="205" spans="2:6" ht="36.75" customHeight="1" x14ac:dyDescent="0.25">
      <c r="B205" s="14">
        <v>161</v>
      </c>
      <c r="C205" s="18" t="s">
        <v>133</v>
      </c>
      <c r="D205" s="14">
        <v>1</v>
      </c>
      <c r="E205" s="238">
        <v>4672498</v>
      </c>
      <c r="F205" s="239">
        <v>3130574</v>
      </c>
    </row>
    <row r="206" spans="2:6" ht="36.75" customHeight="1" x14ac:dyDescent="0.25">
      <c r="B206" s="14">
        <v>162</v>
      </c>
      <c r="C206" s="15" t="s">
        <v>134</v>
      </c>
      <c r="D206" s="14">
        <v>1</v>
      </c>
      <c r="E206" s="238">
        <v>5198935</v>
      </c>
      <c r="F206" s="239">
        <v>3483286</v>
      </c>
    </row>
    <row r="207" spans="2:6" ht="87" customHeight="1" x14ac:dyDescent="0.25">
      <c r="B207" s="14">
        <v>163</v>
      </c>
      <c r="C207" s="15" t="s">
        <v>135</v>
      </c>
      <c r="D207" s="14">
        <v>1</v>
      </c>
      <c r="E207" s="238">
        <v>6301005</v>
      </c>
      <c r="F207" s="239">
        <v>4221673</v>
      </c>
    </row>
    <row r="208" spans="2:6" ht="36.75" customHeight="1" x14ac:dyDescent="0.25">
      <c r="B208" s="14">
        <v>164</v>
      </c>
      <c r="C208" s="15" t="s">
        <v>136</v>
      </c>
      <c r="D208" s="14">
        <v>1</v>
      </c>
      <c r="E208" s="238">
        <v>2490787</v>
      </c>
      <c r="F208" s="239">
        <v>1668827</v>
      </c>
    </row>
    <row r="209" spans="2:6" ht="36.75" customHeight="1" x14ac:dyDescent="0.25">
      <c r="B209" s="14">
        <v>165</v>
      </c>
      <c r="C209" s="15" t="s">
        <v>137</v>
      </c>
      <c r="D209" s="14">
        <v>1</v>
      </c>
      <c r="E209" s="238">
        <v>708004</v>
      </c>
      <c r="F209" s="239">
        <v>474363</v>
      </c>
    </row>
    <row r="210" spans="2:6" ht="36.75" customHeight="1" x14ac:dyDescent="0.25">
      <c r="B210" s="14">
        <v>166</v>
      </c>
      <c r="C210" s="18" t="s">
        <v>138</v>
      </c>
      <c r="D210" s="14">
        <v>1</v>
      </c>
      <c r="E210" s="238">
        <v>263183</v>
      </c>
      <c r="F210" s="239">
        <v>176333</v>
      </c>
    </row>
    <row r="211" spans="2:6" ht="36.75" customHeight="1" x14ac:dyDescent="0.25">
      <c r="B211" s="14">
        <v>167</v>
      </c>
      <c r="C211" s="18" t="s">
        <v>139</v>
      </c>
      <c r="D211" s="14">
        <v>1</v>
      </c>
      <c r="E211" s="238">
        <v>271742</v>
      </c>
      <c r="F211" s="239">
        <v>182067</v>
      </c>
    </row>
    <row r="212" spans="2:6" ht="36.75" customHeight="1" x14ac:dyDescent="0.25">
      <c r="B212" s="14">
        <v>168</v>
      </c>
      <c r="C212" s="18" t="s">
        <v>140</v>
      </c>
      <c r="D212" s="14">
        <v>1</v>
      </c>
      <c r="E212" s="238">
        <v>327203</v>
      </c>
      <c r="F212" s="239">
        <v>219226</v>
      </c>
    </row>
    <row r="213" spans="2:6" ht="36.75" customHeight="1" x14ac:dyDescent="0.25">
      <c r="B213" s="14">
        <v>169</v>
      </c>
      <c r="C213" s="18" t="s">
        <v>141</v>
      </c>
      <c r="D213" s="14">
        <v>1</v>
      </c>
      <c r="E213" s="238">
        <v>357204</v>
      </c>
      <c r="F213" s="239">
        <v>239327</v>
      </c>
    </row>
    <row r="214" spans="2:6" ht="36.75" customHeight="1" x14ac:dyDescent="0.25">
      <c r="B214" s="14">
        <v>170</v>
      </c>
      <c r="C214" s="18" t="s">
        <v>142</v>
      </c>
      <c r="D214" s="14">
        <v>1</v>
      </c>
      <c r="E214" s="238">
        <v>1960167</v>
      </c>
      <c r="F214" s="239">
        <v>1313312</v>
      </c>
    </row>
    <row r="215" spans="2:6" ht="36.75" customHeight="1" x14ac:dyDescent="0.25">
      <c r="B215" s="14">
        <v>171</v>
      </c>
      <c r="C215" s="18" t="s">
        <v>142</v>
      </c>
      <c r="D215" s="14">
        <v>1</v>
      </c>
      <c r="E215" s="238">
        <v>2124047</v>
      </c>
      <c r="F215" s="239">
        <v>1423111</v>
      </c>
    </row>
    <row r="216" spans="2:6" ht="36.75" customHeight="1" x14ac:dyDescent="0.25">
      <c r="B216" s="14">
        <v>172</v>
      </c>
      <c r="C216" s="18" t="s">
        <v>618</v>
      </c>
      <c r="D216" s="14">
        <v>1</v>
      </c>
      <c r="E216" s="238">
        <v>78737</v>
      </c>
      <c r="F216" s="239">
        <v>52754</v>
      </c>
    </row>
    <row r="217" spans="2:6" ht="36.75" customHeight="1" x14ac:dyDescent="0.25">
      <c r="B217" s="14">
        <v>173</v>
      </c>
      <c r="C217" s="18" t="s">
        <v>619</v>
      </c>
      <c r="D217" s="14">
        <v>1</v>
      </c>
      <c r="E217" s="238">
        <v>68287</v>
      </c>
      <c r="F217" s="239">
        <v>45752</v>
      </c>
    </row>
    <row r="218" spans="2:6" ht="36.75" customHeight="1" x14ac:dyDescent="0.25">
      <c r="B218" s="14">
        <v>174</v>
      </c>
      <c r="C218" s="18" t="s">
        <v>620</v>
      </c>
      <c r="D218" s="14">
        <v>1</v>
      </c>
      <c r="E218" s="238">
        <v>58528</v>
      </c>
      <c r="F218" s="239">
        <v>39214</v>
      </c>
    </row>
    <row r="219" spans="2:6" ht="36.75" customHeight="1" x14ac:dyDescent="0.25">
      <c r="B219" s="14">
        <v>175</v>
      </c>
      <c r="C219" s="18" t="s">
        <v>621</v>
      </c>
      <c r="D219" s="14">
        <v>1</v>
      </c>
      <c r="E219" s="238">
        <v>2529434</v>
      </c>
      <c r="F219" s="239">
        <v>1694721</v>
      </c>
    </row>
    <row r="220" spans="2:6" ht="36.75" customHeight="1" x14ac:dyDescent="0.25">
      <c r="B220" s="14">
        <v>176</v>
      </c>
      <c r="C220" s="18" t="s">
        <v>622</v>
      </c>
      <c r="D220" s="14">
        <v>1</v>
      </c>
      <c r="E220" s="238">
        <v>4587765</v>
      </c>
      <c r="F220" s="239">
        <v>3073803</v>
      </c>
    </row>
    <row r="221" spans="2:6" ht="36.75" customHeight="1" x14ac:dyDescent="0.25">
      <c r="B221" s="14">
        <v>177</v>
      </c>
      <c r="C221" s="18" t="s">
        <v>623</v>
      </c>
      <c r="D221" s="14">
        <v>1</v>
      </c>
      <c r="E221" s="238">
        <v>1647170</v>
      </c>
      <c r="F221" s="239">
        <v>1103604</v>
      </c>
    </row>
    <row r="222" spans="2:6" ht="36.75" customHeight="1" x14ac:dyDescent="0.25">
      <c r="B222" s="14">
        <v>178</v>
      </c>
      <c r="C222" s="18" t="s">
        <v>624</v>
      </c>
      <c r="D222" s="14">
        <v>1</v>
      </c>
      <c r="E222" s="238">
        <v>113493</v>
      </c>
      <c r="F222" s="239">
        <v>76040</v>
      </c>
    </row>
    <row r="223" spans="2:6" ht="36.75" customHeight="1" x14ac:dyDescent="0.25">
      <c r="B223" s="14">
        <v>179</v>
      </c>
      <c r="C223" s="18" t="s">
        <v>625</v>
      </c>
      <c r="D223" s="14">
        <v>1</v>
      </c>
      <c r="E223" s="238">
        <v>2033141</v>
      </c>
      <c r="F223" s="239">
        <v>1362204</v>
      </c>
    </row>
    <row r="224" spans="2:6" ht="36.75" customHeight="1" x14ac:dyDescent="0.25">
      <c r="B224" s="14">
        <v>180</v>
      </c>
      <c r="C224" s="18" t="s">
        <v>626</v>
      </c>
      <c r="D224" s="14">
        <v>1</v>
      </c>
      <c r="E224" s="238">
        <v>181740</v>
      </c>
      <c r="F224" s="239">
        <v>121766</v>
      </c>
    </row>
    <row r="225" spans="2:6" ht="36.75" customHeight="1" x14ac:dyDescent="0.25">
      <c r="B225" s="14">
        <v>181</v>
      </c>
      <c r="C225" s="18" t="s">
        <v>627</v>
      </c>
      <c r="D225" s="14">
        <v>1</v>
      </c>
      <c r="E225" s="238">
        <v>2706445</v>
      </c>
      <c r="F225" s="239">
        <v>1813318</v>
      </c>
    </row>
    <row r="226" spans="2:6" ht="36.75" customHeight="1" x14ac:dyDescent="0.25">
      <c r="B226" s="14">
        <v>182</v>
      </c>
      <c r="C226" s="18" t="s">
        <v>628</v>
      </c>
      <c r="D226" s="14">
        <v>1</v>
      </c>
      <c r="E226" s="238">
        <v>3387252</v>
      </c>
      <c r="F226" s="239">
        <v>2269459</v>
      </c>
    </row>
    <row r="227" spans="2:6" ht="36.75" customHeight="1" x14ac:dyDescent="0.25">
      <c r="B227" s="14">
        <v>183</v>
      </c>
      <c r="C227" s="18" t="s">
        <v>629</v>
      </c>
      <c r="D227" s="14">
        <v>1</v>
      </c>
      <c r="E227" s="238">
        <v>339109</v>
      </c>
      <c r="F227" s="239">
        <v>227203</v>
      </c>
    </row>
    <row r="228" spans="2:6" ht="36.75" customHeight="1" x14ac:dyDescent="0.25">
      <c r="B228" s="14">
        <v>184</v>
      </c>
      <c r="C228" s="18" t="s">
        <v>630</v>
      </c>
      <c r="D228" s="14">
        <v>1</v>
      </c>
      <c r="E228" s="238">
        <v>259173</v>
      </c>
      <c r="F228" s="239">
        <v>173646</v>
      </c>
    </row>
    <row r="229" spans="2:6" ht="36.75" customHeight="1" x14ac:dyDescent="0.25">
      <c r="B229" s="14">
        <v>185</v>
      </c>
      <c r="C229" s="18" t="s">
        <v>631</v>
      </c>
      <c r="D229" s="14">
        <v>1</v>
      </c>
      <c r="E229" s="238">
        <v>67453</v>
      </c>
      <c r="F229" s="239">
        <v>45194</v>
      </c>
    </row>
    <row r="230" spans="2:6" ht="36.75" customHeight="1" x14ac:dyDescent="0.25">
      <c r="B230" s="14">
        <v>186</v>
      </c>
      <c r="C230" s="18" t="s">
        <v>632</v>
      </c>
      <c r="D230" s="14">
        <v>1</v>
      </c>
      <c r="E230" s="238">
        <v>108454</v>
      </c>
      <c r="F230" s="239">
        <v>72664</v>
      </c>
    </row>
    <row r="231" spans="2:6" ht="36.75" customHeight="1" x14ac:dyDescent="0.25">
      <c r="B231" s="14">
        <v>187</v>
      </c>
      <c r="C231" s="18" t="s">
        <v>633</v>
      </c>
      <c r="D231" s="14">
        <v>1</v>
      </c>
      <c r="E231" s="238">
        <v>127820</v>
      </c>
      <c r="F231" s="239">
        <v>85639</v>
      </c>
    </row>
    <row r="232" spans="2:6" ht="36.75" customHeight="1" x14ac:dyDescent="0.25">
      <c r="B232" s="14">
        <v>188</v>
      </c>
      <c r="C232" s="18" t="s">
        <v>634</v>
      </c>
      <c r="D232" s="14">
        <v>1</v>
      </c>
      <c r="E232" s="238">
        <v>140929</v>
      </c>
      <c r="F232" s="239">
        <v>94422</v>
      </c>
    </row>
    <row r="233" spans="2:6" ht="36.75" customHeight="1" x14ac:dyDescent="0.25">
      <c r="B233" s="14">
        <v>189</v>
      </c>
      <c r="C233" s="18" t="s">
        <v>635</v>
      </c>
      <c r="D233" s="14">
        <v>1</v>
      </c>
      <c r="E233" s="238">
        <v>25232</v>
      </c>
      <c r="F233" s="239">
        <v>16905</v>
      </c>
    </row>
    <row r="234" spans="2:6" ht="36.75" customHeight="1" x14ac:dyDescent="0.25">
      <c r="B234" s="14">
        <v>190</v>
      </c>
      <c r="C234" s="18" t="s">
        <v>636</v>
      </c>
      <c r="D234" s="14">
        <v>1</v>
      </c>
      <c r="E234" s="238">
        <v>63413</v>
      </c>
      <c r="F234" s="239">
        <v>42487</v>
      </c>
    </row>
    <row r="235" spans="2:6" ht="36.75" customHeight="1" x14ac:dyDescent="0.25">
      <c r="B235" s="14">
        <v>191</v>
      </c>
      <c r="C235" s="18" t="s">
        <v>637</v>
      </c>
      <c r="D235" s="14">
        <v>1</v>
      </c>
      <c r="E235" s="238">
        <v>13626</v>
      </c>
      <c r="F235" s="239">
        <v>9129</v>
      </c>
    </row>
    <row r="236" spans="2:6" ht="36.75" customHeight="1" x14ac:dyDescent="0.25">
      <c r="B236" s="14">
        <v>192</v>
      </c>
      <c r="C236" s="18" t="s">
        <v>638</v>
      </c>
      <c r="D236" s="14">
        <v>1</v>
      </c>
      <c r="E236" s="238">
        <v>38189</v>
      </c>
      <c r="F236" s="239">
        <v>25587</v>
      </c>
    </row>
    <row r="237" spans="2:6" ht="36.75" customHeight="1" x14ac:dyDescent="0.25">
      <c r="B237" s="14">
        <v>193</v>
      </c>
      <c r="C237" s="18" t="s">
        <v>639</v>
      </c>
      <c r="D237" s="14">
        <v>1</v>
      </c>
      <c r="E237" s="238">
        <v>83477</v>
      </c>
      <c r="F237" s="239">
        <v>55930</v>
      </c>
    </row>
    <row r="238" spans="2:6" ht="36.75" customHeight="1" x14ac:dyDescent="0.25">
      <c r="B238" s="14">
        <v>194</v>
      </c>
      <c r="C238" s="18" t="s">
        <v>640</v>
      </c>
      <c r="D238" s="14">
        <v>1</v>
      </c>
      <c r="E238" s="238">
        <v>91144</v>
      </c>
      <c r="F238" s="239">
        <v>61066</v>
      </c>
    </row>
    <row r="239" spans="2:6" ht="36.75" customHeight="1" x14ac:dyDescent="0.25">
      <c r="B239" s="14">
        <v>195</v>
      </c>
      <c r="C239" s="18" t="s">
        <v>641</v>
      </c>
      <c r="D239" s="14">
        <v>1</v>
      </c>
      <c r="E239" s="238">
        <v>115467</v>
      </c>
      <c r="F239" s="239">
        <v>77363</v>
      </c>
    </row>
    <row r="240" spans="2:6" ht="36.75" customHeight="1" x14ac:dyDescent="0.25">
      <c r="B240" s="14">
        <v>196</v>
      </c>
      <c r="C240" s="18" t="s">
        <v>642</v>
      </c>
      <c r="D240" s="14">
        <v>1</v>
      </c>
      <c r="E240" s="238">
        <v>30968</v>
      </c>
      <c r="F240" s="239">
        <v>20749</v>
      </c>
    </row>
    <row r="241" spans="2:6" ht="36.75" customHeight="1" x14ac:dyDescent="0.25">
      <c r="B241" s="14">
        <v>197</v>
      </c>
      <c r="C241" s="18" t="s">
        <v>643</v>
      </c>
      <c r="D241" s="14">
        <v>1</v>
      </c>
      <c r="E241" s="238">
        <v>20306</v>
      </c>
      <c r="F241" s="239">
        <v>13605</v>
      </c>
    </row>
    <row r="242" spans="2:6" ht="36.75" customHeight="1" x14ac:dyDescent="0.25">
      <c r="B242" s="14">
        <v>198</v>
      </c>
      <c r="C242" s="18" t="s">
        <v>644</v>
      </c>
      <c r="D242" s="14">
        <v>1</v>
      </c>
      <c r="E242" s="238">
        <v>11430</v>
      </c>
      <c r="F242" s="239">
        <v>7658</v>
      </c>
    </row>
    <row r="243" spans="2:6" ht="36.75" customHeight="1" x14ac:dyDescent="0.25">
      <c r="B243" s="14">
        <v>199</v>
      </c>
      <c r="C243" s="18" t="s">
        <v>645</v>
      </c>
      <c r="D243" s="14">
        <v>1</v>
      </c>
      <c r="E243" s="238">
        <v>62156</v>
      </c>
      <c r="F243" s="239">
        <v>41645</v>
      </c>
    </row>
    <row r="244" spans="2:6" ht="36.75" customHeight="1" x14ac:dyDescent="0.25">
      <c r="B244" s="14">
        <v>200</v>
      </c>
      <c r="C244" s="18" t="s">
        <v>646</v>
      </c>
      <c r="D244" s="14">
        <v>1</v>
      </c>
      <c r="E244" s="238">
        <v>38209</v>
      </c>
      <c r="F244" s="239">
        <v>25600</v>
      </c>
    </row>
    <row r="245" spans="2:6" ht="36.75" customHeight="1" x14ac:dyDescent="0.25">
      <c r="B245" s="14">
        <v>201</v>
      </c>
      <c r="C245" s="18" t="s">
        <v>647</v>
      </c>
      <c r="D245" s="14">
        <v>1</v>
      </c>
      <c r="E245" s="238">
        <v>63439</v>
      </c>
      <c r="F245" s="239">
        <v>42504</v>
      </c>
    </row>
    <row r="246" spans="2:6" ht="36.75" customHeight="1" x14ac:dyDescent="0.25">
      <c r="B246" s="14">
        <v>202</v>
      </c>
      <c r="C246" s="18" t="s">
        <v>648</v>
      </c>
      <c r="D246" s="14">
        <v>1</v>
      </c>
      <c r="E246" s="238">
        <v>18173</v>
      </c>
      <c r="F246" s="239">
        <v>12176</v>
      </c>
    </row>
    <row r="247" spans="2:6" ht="36.75" customHeight="1" x14ac:dyDescent="0.25">
      <c r="B247" s="14">
        <v>203</v>
      </c>
      <c r="C247" s="18" t="s">
        <v>649</v>
      </c>
      <c r="D247" s="14">
        <v>1</v>
      </c>
      <c r="E247" s="238">
        <v>38639</v>
      </c>
      <c r="F247" s="239">
        <v>25888</v>
      </c>
    </row>
    <row r="248" spans="2:6" ht="36.75" customHeight="1" x14ac:dyDescent="0.25">
      <c r="B248" s="14">
        <v>204</v>
      </c>
      <c r="C248" s="18" t="s">
        <v>650</v>
      </c>
      <c r="D248" s="14">
        <v>1</v>
      </c>
      <c r="E248" s="238">
        <v>29926</v>
      </c>
      <c r="F248" s="239">
        <v>20050</v>
      </c>
    </row>
    <row r="249" spans="2:6" ht="36.75" customHeight="1" x14ac:dyDescent="0.25">
      <c r="B249" s="14">
        <v>205</v>
      </c>
      <c r="C249" s="18" t="s">
        <v>651</v>
      </c>
      <c r="D249" s="14">
        <v>1</v>
      </c>
      <c r="E249" s="238">
        <v>22959</v>
      </c>
      <c r="F249" s="239">
        <v>15383</v>
      </c>
    </row>
    <row r="250" spans="2:6" ht="36.75" customHeight="1" x14ac:dyDescent="0.25">
      <c r="B250" s="14">
        <v>206</v>
      </c>
      <c r="C250" s="18" t="s">
        <v>652</v>
      </c>
      <c r="D250" s="14">
        <v>1</v>
      </c>
      <c r="E250" s="238">
        <v>42482</v>
      </c>
      <c r="F250" s="239">
        <v>28463</v>
      </c>
    </row>
    <row r="251" spans="2:6" ht="36.75" customHeight="1" x14ac:dyDescent="0.25">
      <c r="B251" s="14">
        <v>207</v>
      </c>
      <c r="C251" s="18" t="s">
        <v>653</v>
      </c>
      <c r="D251" s="14">
        <v>1</v>
      </c>
      <c r="E251" s="238">
        <v>50595</v>
      </c>
      <c r="F251" s="239">
        <v>33899</v>
      </c>
    </row>
    <row r="252" spans="2:6" ht="36.75" customHeight="1" x14ac:dyDescent="0.25">
      <c r="B252" s="14">
        <v>208</v>
      </c>
      <c r="C252" s="18" t="s">
        <v>654</v>
      </c>
      <c r="D252" s="14">
        <v>1</v>
      </c>
      <c r="E252" s="238">
        <v>18902</v>
      </c>
      <c r="F252" s="239">
        <v>12664</v>
      </c>
    </row>
    <row r="253" spans="2:6" ht="36.75" customHeight="1" x14ac:dyDescent="0.25">
      <c r="B253" s="14">
        <v>209</v>
      </c>
      <c r="C253" s="18" t="s">
        <v>655</v>
      </c>
      <c r="D253" s="14">
        <v>1</v>
      </c>
      <c r="E253" s="238">
        <v>24908</v>
      </c>
      <c r="F253" s="239">
        <v>16688</v>
      </c>
    </row>
    <row r="254" spans="2:6" ht="36.75" customHeight="1" x14ac:dyDescent="0.25">
      <c r="B254" s="14">
        <v>210</v>
      </c>
      <c r="C254" s="18" t="s">
        <v>656</v>
      </c>
      <c r="D254" s="14">
        <v>1</v>
      </c>
      <c r="E254" s="238">
        <v>9676</v>
      </c>
      <c r="F254" s="239">
        <v>6483</v>
      </c>
    </row>
    <row r="255" spans="2:6" ht="36.75" customHeight="1" x14ac:dyDescent="0.25">
      <c r="B255" s="14">
        <v>211</v>
      </c>
      <c r="C255" s="18" t="s">
        <v>657</v>
      </c>
      <c r="D255" s="14">
        <v>1</v>
      </c>
      <c r="E255" s="238">
        <v>52001</v>
      </c>
      <c r="F255" s="239">
        <v>34841</v>
      </c>
    </row>
    <row r="256" spans="2:6" ht="36.75" customHeight="1" x14ac:dyDescent="0.25">
      <c r="B256" s="14">
        <v>212</v>
      </c>
      <c r="C256" s="18" t="s">
        <v>658</v>
      </c>
      <c r="D256" s="14">
        <v>1</v>
      </c>
      <c r="E256" s="238">
        <v>95121</v>
      </c>
      <c r="F256" s="239">
        <v>63731</v>
      </c>
    </row>
    <row r="257" spans="2:15" ht="36.75" customHeight="1" x14ac:dyDescent="0.25">
      <c r="B257" s="20">
        <v>213</v>
      </c>
      <c r="C257" s="19" t="s">
        <v>659</v>
      </c>
      <c r="D257" s="20">
        <v>1</v>
      </c>
      <c r="E257" s="238">
        <v>117140</v>
      </c>
      <c r="F257" s="239">
        <v>78484</v>
      </c>
    </row>
    <row r="260" spans="2:15" x14ac:dyDescent="0.25">
      <c r="B260" s="441" t="s">
        <v>146</v>
      </c>
      <c r="C260" s="441" t="s">
        <v>5</v>
      </c>
      <c r="D260" s="441" t="s">
        <v>6</v>
      </c>
      <c r="E260" s="441" t="s">
        <v>145</v>
      </c>
      <c r="F260" s="441" t="s">
        <v>3</v>
      </c>
      <c r="G260" s="441" t="s">
        <v>7</v>
      </c>
      <c r="H260" s="874" t="s">
        <v>8</v>
      </c>
      <c r="I260" s="875"/>
      <c r="J260" s="875"/>
      <c r="K260" s="875"/>
      <c r="L260" s="875"/>
      <c r="M260" s="875"/>
      <c r="N260" s="876"/>
    </row>
    <row r="261" spans="2:15" ht="33.75" x14ac:dyDescent="0.25">
      <c r="B261" s="442">
        <v>2</v>
      </c>
      <c r="C261" s="443" t="s">
        <v>158</v>
      </c>
      <c r="D261" s="443" t="s">
        <v>1093</v>
      </c>
      <c r="E261" s="443" t="s">
        <v>1094</v>
      </c>
      <c r="F261" s="444">
        <v>2023</v>
      </c>
      <c r="G261" s="444" t="s">
        <v>1</v>
      </c>
      <c r="H261" s="847" t="s">
        <v>1095</v>
      </c>
      <c r="I261" s="877"/>
      <c r="J261" s="877"/>
      <c r="K261" s="877"/>
      <c r="L261" s="877"/>
      <c r="M261" s="877"/>
      <c r="N261" s="877"/>
    </row>
    <row r="264" spans="2:15" ht="22.5" x14ac:dyDescent="0.25">
      <c r="B264" s="445"/>
      <c r="C264" s="66"/>
      <c r="D264" s="66"/>
      <c r="E264" s="66"/>
      <c r="F264" s="66"/>
      <c r="G264" s="66"/>
      <c r="H264" s="446" t="s">
        <v>149</v>
      </c>
      <c r="I264" s="66"/>
      <c r="J264" s="66"/>
      <c r="K264" s="66"/>
      <c r="L264" s="66"/>
      <c r="M264" s="66"/>
    </row>
    <row r="265" spans="2:15" ht="12.75" customHeight="1" x14ac:dyDescent="0.25">
      <c r="B265" s="447" t="s">
        <v>1096</v>
      </c>
      <c r="C265" s="878" t="s">
        <v>1097</v>
      </c>
      <c r="D265" s="878"/>
      <c r="E265" s="878"/>
      <c r="F265" s="878"/>
      <c r="G265" s="878"/>
      <c r="H265" s="448"/>
      <c r="I265" s="66"/>
      <c r="J265" s="867" t="s">
        <v>150</v>
      </c>
      <c r="K265" s="868"/>
      <c r="L265" s="867" t="s">
        <v>150</v>
      </c>
      <c r="M265" s="868"/>
      <c r="N265" s="867" t="s">
        <v>150</v>
      </c>
      <c r="O265" s="868"/>
    </row>
    <row r="266" spans="2:15" x14ac:dyDescent="0.25">
      <c r="B266" s="880" t="s">
        <v>1098</v>
      </c>
      <c r="C266" s="880" t="s">
        <v>1099</v>
      </c>
      <c r="D266" s="880" t="s">
        <v>1100</v>
      </c>
      <c r="E266" s="880" t="s">
        <v>1101</v>
      </c>
      <c r="F266" s="449" t="s">
        <v>1102</v>
      </c>
      <c r="G266" s="880" t="s">
        <v>487</v>
      </c>
      <c r="H266" s="879" t="s">
        <v>155</v>
      </c>
      <c r="I266" s="66"/>
      <c r="J266" s="175" t="s">
        <v>154</v>
      </c>
      <c r="K266" s="176">
        <v>9.2799999999999994E-2</v>
      </c>
      <c r="L266" s="175" t="s">
        <v>151</v>
      </c>
      <c r="M266" s="176">
        <v>5.1999999999999998E-2</v>
      </c>
      <c r="N266" s="175" t="s">
        <v>1074</v>
      </c>
      <c r="O266" s="176">
        <v>3.7400000000000003E-2</v>
      </c>
    </row>
    <row r="267" spans="2:15" x14ac:dyDescent="0.25">
      <c r="B267" s="880"/>
      <c r="C267" s="880"/>
      <c r="D267" s="880"/>
      <c r="E267" s="880"/>
      <c r="F267" s="449" t="s">
        <v>298</v>
      </c>
      <c r="G267" s="880"/>
      <c r="H267" s="879"/>
      <c r="I267" s="66"/>
      <c r="J267" s="66"/>
      <c r="K267" s="66"/>
      <c r="L267" s="66"/>
      <c r="M267" s="66"/>
    </row>
    <row r="268" spans="2:15" ht="18.75" customHeight="1" x14ac:dyDescent="0.25">
      <c r="B268" s="69">
        <v>7</v>
      </c>
      <c r="C268" s="70" t="s">
        <v>1103</v>
      </c>
      <c r="D268" s="69">
        <v>1</v>
      </c>
      <c r="E268" s="69">
        <v>1</v>
      </c>
      <c r="F268" s="450">
        <v>500000</v>
      </c>
      <c r="G268" s="450">
        <v>500000</v>
      </c>
      <c r="H268" s="450">
        <f>ROUND(F268*(1+K266)*(1+M266)*(1+O266),0)</f>
        <v>596311</v>
      </c>
      <c r="I268" s="66"/>
      <c r="J268" s="66"/>
      <c r="K268" s="66"/>
      <c r="L268" s="66"/>
      <c r="M268" s="66"/>
    </row>
  </sheetData>
  <autoFilter ref="B44:T257" xr:uid="{91AFEA59-14A0-4DEB-91E7-25633F3D3E66}"/>
  <mergeCells count="27">
    <mergeCell ref="H266:H267"/>
    <mergeCell ref="N265:O265"/>
    <mergeCell ref="B266:B267"/>
    <mergeCell ref="C266:C267"/>
    <mergeCell ref="D266:D267"/>
    <mergeCell ref="E266:E267"/>
    <mergeCell ref="G266:G267"/>
    <mergeCell ref="H260:N260"/>
    <mergeCell ref="H261:N261"/>
    <mergeCell ref="C265:G265"/>
    <mergeCell ref="J265:K265"/>
    <mergeCell ref="L265:M265"/>
    <mergeCell ref="Q9:R9"/>
    <mergeCell ref="S9:T9"/>
    <mergeCell ref="B3:N3"/>
    <mergeCell ref="H5:N5"/>
    <mergeCell ref="H6:N6"/>
    <mergeCell ref="B37:B42"/>
    <mergeCell ref="H26:N26"/>
    <mergeCell ref="H27:N27"/>
    <mergeCell ref="B17:K17"/>
    <mergeCell ref="O9:P9"/>
    <mergeCell ref="I29:J29"/>
    <mergeCell ref="K29:L29"/>
    <mergeCell ref="M29:N29"/>
    <mergeCell ref="H34:N34"/>
    <mergeCell ref="H35:N35"/>
  </mergeCells>
  <dataValidations disablePrompts="1" count="1">
    <dataValidation type="whole" allowBlank="1" showInputMessage="1" showErrorMessage="1" sqref="F45:F257" xr:uid="{FEC9FFA5-8627-4CE7-9191-69E7391682C9}">
      <formula1>0</formula1>
      <formula2>10000000000</formula2>
    </dataValidation>
  </dataValidations>
  <hyperlinks>
    <hyperlink ref="H6" r:id="rId1" xr:uid="{E0FBEA39-8805-443C-8E68-7E7AA56FBC0C}"/>
    <hyperlink ref="H27" r:id="rId2" xr:uid="{F7CD6A98-ADF4-4AF5-959E-D7F2EDA7CBDC}"/>
    <hyperlink ref="H35" r:id="rId3" xr:uid="{6AFBD24B-C6E3-4DF7-97F8-12B37F33EE1D}"/>
    <hyperlink ref="H261" r:id="rId4" xr:uid="{2621D944-E0FA-49CF-BAF6-301EE93DBCA9}"/>
  </hyperlinks>
  <pageMargins left="0.7" right="0.7" top="0.75" bottom="0.75" header="0.3" footer="0.3"/>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727C9-3DCB-4D67-A5F5-C8E864CE3F3B}">
  <sheetPr>
    <tabColor rgb="FFFFC000"/>
  </sheetPr>
  <dimension ref="A1"/>
  <sheetViews>
    <sheetView workbookViewId="0"/>
  </sheetViews>
  <sheetFormatPr baseColWidth="10" defaultRowHeight="15" x14ac:dyDescent="0.25"/>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7038B-A509-409F-B0A4-3D11A2F848D8}">
  <dimension ref="B2:O30"/>
  <sheetViews>
    <sheetView workbookViewId="0">
      <selection activeCell="A34" sqref="A34:XFD36"/>
    </sheetView>
  </sheetViews>
  <sheetFormatPr baseColWidth="10" defaultColWidth="11.42578125" defaultRowHeight="12.75" x14ac:dyDescent="0.25"/>
  <cols>
    <col min="1" max="1" width="5.42578125" style="167" customWidth="1"/>
    <col min="2" max="2" width="51.140625" style="167" customWidth="1"/>
    <col min="3" max="3" width="19.42578125" style="192" customWidth="1"/>
    <col min="4" max="4" width="14" style="192" hidden="1" customWidth="1"/>
    <col min="5" max="5" width="2.140625" style="167" customWidth="1"/>
    <col min="6" max="6" width="10.7109375" style="167" customWidth="1"/>
    <col min="7" max="7" width="22.5703125" style="167" customWidth="1"/>
    <col min="8" max="8" width="10" style="167" customWidth="1"/>
    <col min="9" max="9" width="9.140625" style="167" hidden="1" customWidth="1"/>
    <col min="10" max="10" width="11.42578125" style="167" customWidth="1"/>
    <col min="11" max="11" width="40.85546875" style="167" customWidth="1"/>
    <col min="12" max="12" width="11.42578125" style="167" customWidth="1"/>
    <col min="13" max="13" width="11.42578125" style="167" hidden="1" customWidth="1"/>
    <col min="14" max="14" width="12.5703125" style="167" customWidth="1"/>
    <col min="15" max="15" width="10.140625" style="167" customWidth="1"/>
    <col min="16" max="16384" width="11.42578125" style="167"/>
  </cols>
  <sheetData>
    <row r="2" spans="2:15" ht="15" customHeight="1" x14ac:dyDescent="0.25">
      <c r="B2" s="857" t="s">
        <v>157</v>
      </c>
      <c r="C2" s="858"/>
      <c r="D2" s="858"/>
      <c r="E2" s="858"/>
      <c r="F2" s="858"/>
      <c r="G2" s="858"/>
      <c r="H2" s="858"/>
      <c r="I2" s="858"/>
      <c r="J2" s="858"/>
      <c r="K2" s="858"/>
      <c r="L2" s="858"/>
      <c r="M2" s="858"/>
      <c r="N2" s="858"/>
    </row>
    <row r="4" spans="2:15" ht="15" customHeight="1" x14ac:dyDescent="0.25">
      <c r="C4" s="167"/>
      <c r="M4" s="181"/>
      <c r="N4" s="182"/>
      <c r="O4" s="182"/>
    </row>
    <row r="5" spans="2:15" ht="24" customHeight="1" x14ac:dyDescent="0.25">
      <c r="B5" s="881" t="s">
        <v>539</v>
      </c>
      <c r="C5" s="882"/>
      <c r="D5" s="507" t="s">
        <v>682</v>
      </c>
      <c r="F5" s="860" t="s">
        <v>220</v>
      </c>
      <c r="G5" s="861"/>
      <c r="H5" s="861"/>
      <c r="I5" s="861"/>
      <c r="J5" s="883"/>
      <c r="K5" s="883"/>
      <c r="L5" s="884"/>
    </row>
    <row r="6" spans="2:15" ht="33" customHeight="1" x14ac:dyDescent="0.25">
      <c r="B6" s="183" t="s">
        <v>679</v>
      </c>
      <c r="C6" s="183" t="s">
        <v>680</v>
      </c>
      <c r="D6" s="250" t="s">
        <v>683</v>
      </c>
      <c r="F6" s="863" t="s">
        <v>221</v>
      </c>
      <c r="G6" s="863"/>
      <c r="H6" s="863"/>
      <c r="I6" s="863"/>
      <c r="J6" s="863" t="s">
        <v>222</v>
      </c>
      <c r="K6" s="863"/>
      <c r="L6" s="863"/>
      <c r="M6" s="863"/>
      <c r="N6" s="863" t="s">
        <v>1072</v>
      </c>
      <c r="O6" s="863" t="s">
        <v>443</v>
      </c>
    </row>
    <row r="7" spans="2:15" ht="33" customHeight="1" x14ac:dyDescent="0.25">
      <c r="B7" s="863" t="s">
        <v>1170</v>
      </c>
      <c r="C7" s="863"/>
      <c r="D7" s="863"/>
      <c r="F7" s="183" t="s">
        <v>229</v>
      </c>
      <c r="G7" s="183" t="s">
        <v>230</v>
      </c>
      <c r="H7" s="183" t="s">
        <v>1171</v>
      </c>
      <c r="I7" s="183" t="s">
        <v>443</v>
      </c>
      <c r="J7" s="183" t="s">
        <v>229</v>
      </c>
      <c r="K7" s="183" t="s">
        <v>230</v>
      </c>
      <c r="L7" s="183" t="s">
        <v>1171</v>
      </c>
      <c r="M7" s="183" t="s">
        <v>443</v>
      </c>
      <c r="N7" s="863"/>
      <c r="O7" s="863"/>
    </row>
    <row r="8" spans="2:15" ht="55.5" customHeight="1" x14ac:dyDescent="0.25">
      <c r="B8" s="184" t="s">
        <v>1159</v>
      </c>
      <c r="C8" s="185">
        <v>80010000</v>
      </c>
      <c r="D8" s="185">
        <f>C8/48/2</f>
        <v>833437.5</v>
      </c>
      <c r="F8" s="186" t="str">
        <f>'4.2 Fuentes_Transporte'!$D$5</f>
        <v>CD-399-2024.</v>
      </c>
      <c r="G8" s="184" t="s">
        <v>691</v>
      </c>
      <c r="H8" s="187">
        <f>ROUND('4.2 Fuentes_Transporte'!M12/50*48,0)</f>
        <v>73390755</v>
      </c>
      <c r="I8" s="188">
        <f>C8/H8-1</f>
        <v>9.0191809581465776E-2</v>
      </c>
      <c r="J8" s="186" t="str">
        <f>'4.2 Fuentes_Transporte'!$D$110</f>
        <v>CD-1869-2024</v>
      </c>
      <c r="K8" s="184" t="s">
        <v>1245</v>
      </c>
      <c r="L8" s="189">
        <f>ROUND('4.2 Fuentes_Transporte'!K116*48,0)</f>
        <v>104769120</v>
      </c>
      <c r="M8" s="188">
        <f>C8/L8-1</f>
        <v>-0.23632077848892885</v>
      </c>
      <c r="N8" s="190">
        <f>ROUND(AVERAGE(H8,L8),0)</f>
        <v>89079938</v>
      </c>
      <c r="O8" s="191">
        <f>C8/N8-1</f>
        <v>-0.10181796489350947</v>
      </c>
    </row>
    <row r="9" spans="2:15" ht="25.5" customHeight="1" x14ac:dyDescent="0.25">
      <c r="B9" s="885" t="s">
        <v>1164</v>
      </c>
      <c r="C9" s="886"/>
      <c r="D9" s="887"/>
      <c r="F9" s="183" t="s">
        <v>229</v>
      </c>
      <c r="G9" s="183" t="s">
        <v>230</v>
      </c>
      <c r="H9" s="183" t="s">
        <v>205</v>
      </c>
      <c r="I9" s="183" t="s">
        <v>443</v>
      </c>
      <c r="J9" s="183" t="s">
        <v>229</v>
      </c>
      <c r="K9" s="183" t="s">
        <v>230</v>
      </c>
      <c r="L9" s="183" t="s">
        <v>205</v>
      </c>
      <c r="M9" s="183" t="s">
        <v>443</v>
      </c>
      <c r="N9" s="455" t="s">
        <v>1072</v>
      </c>
      <c r="O9" s="455" t="s">
        <v>443</v>
      </c>
    </row>
    <row r="10" spans="2:15" ht="121.5" customHeight="1" x14ac:dyDescent="0.25">
      <c r="B10" s="184" t="s">
        <v>1160</v>
      </c>
      <c r="C10" s="185">
        <v>150000000</v>
      </c>
      <c r="D10" s="185">
        <f>C10/80/2</f>
        <v>937500</v>
      </c>
      <c r="F10" s="186" t="str">
        <f>'4.2 Fuentes_Transporte'!$D$5</f>
        <v>CD-399-2024.</v>
      </c>
      <c r="G10" s="184" t="s">
        <v>693</v>
      </c>
      <c r="H10" s="187">
        <f>ROUND('4.2 Fuentes_Transporte'!M12/50*80,0)</f>
        <v>122317925</v>
      </c>
      <c r="I10" s="188">
        <f t="shared" ref="I10:I18" si="0">C10/H10-1</f>
        <v>0.22631249671705933</v>
      </c>
      <c r="J10" s="186" t="str">
        <f>'4.2 Fuentes_Transporte'!$D$110</f>
        <v>CD-1869-2024</v>
      </c>
      <c r="K10" s="184" t="s">
        <v>1246</v>
      </c>
      <c r="L10" s="189">
        <f>ROUND('4.2 Fuentes_Transporte'!K116*80,0)</f>
        <v>174615200</v>
      </c>
      <c r="M10" s="188">
        <f t="shared" ref="M10:M18" si="1">C10/L10-1</f>
        <v>-0.14096825476819885</v>
      </c>
      <c r="N10" s="190">
        <f>ROUND(AVERAGE(H10,L10),0)</f>
        <v>148466563</v>
      </c>
      <c r="O10" s="506">
        <f>C10/N10-1</f>
        <v>1.0328500700861554E-2</v>
      </c>
    </row>
    <row r="11" spans="2:15" ht="22.5" customHeight="1" x14ac:dyDescent="0.25">
      <c r="B11" s="885" t="s">
        <v>1163</v>
      </c>
      <c r="C11" s="886"/>
      <c r="D11" s="887"/>
      <c r="F11" s="183" t="s">
        <v>229</v>
      </c>
      <c r="G11" s="183" t="s">
        <v>230</v>
      </c>
      <c r="H11" s="183" t="s">
        <v>205</v>
      </c>
      <c r="I11" s="183" t="s">
        <v>443</v>
      </c>
      <c r="J11" s="183" t="s">
        <v>229</v>
      </c>
      <c r="K11" s="183" t="s">
        <v>230</v>
      </c>
      <c r="L11" s="183" t="s">
        <v>205</v>
      </c>
      <c r="M11" s="183" t="s">
        <v>443</v>
      </c>
      <c r="N11" s="455" t="s">
        <v>1072</v>
      </c>
      <c r="O11" s="455" t="s">
        <v>443</v>
      </c>
    </row>
    <row r="12" spans="2:15" ht="119.25" customHeight="1" x14ac:dyDescent="0.25">
      <c r="B12" s="184" t="s">
        <v>1161</v>
      </c>
      <c r="C12" s="185">
        <v>135000000</v>
      </c>
      <c r="D12" s="185">
        <f>C12/70/2</f>
        <v>964285.71428571432</v>
      </c>
      <c r="F12" s="186" t="str">
        <f>'4.2 Fuentes_Transporte'!$D$5</f>
        <v>CD-399-2024.</v>
      </c>
      <c r="G12" s="184" t="s">
        <v>692</v>
      </c>
      <c r="H12" s="187">
        <f>ROUND('4.2 Fuentes_Transporte'!M12/50*70,0)</f>
        <v>107028184</v>
      </c>
      <c r="I12" s="188">
        <f t="shared" si="0"/>
        <v>0.26135000104271611</v>
      </c>
      <c r="J12" s="186" t="str">
        <f>'4.2 Fuentes_Transporte'!$D$110</f>
        <v>CD-1869-2024</v>
      </c>
      <c r="K12" s="184" t="s">
        <v>1247</v>
      </c>
      <c r="L12" s="189">
        <f>ROUND('4.2 Fuentes_Transporte'!K116*70,0)</f>
        <v>152788300</v>
      </c>
      <c r="M12" s="188">
        <f t="shared" si="1"/>
        <v>-0.11642449061871885</v>
      </c>
      <c r="N12" s="190">
        <f>ROUND(AVERAGE(H12,L12),0)</f>
        <v>129908242</v>
      </c>
      <c r="O12" s="506">
        <f>C12/N12-1</f>
        <v>3.9195034291973574E-2</v>
      </c>
    </row>
    <row r="13" spans="2:15" ht="25.5" customHeight="1" x14ac:dyDescent="0.25">
      <c r="B13" s="885" t="s">
        <v>1162</v>
      </c>
      <c r="C13" s="886"/>
      <c r="D13" s="887"/>
      <c r="F13" s="183" t="s">
        <v>229</v>
      </c>
      <c r="G13" s="183" t="s">
        <v>230</v>
      </c>
      <c r="H13" s="183" t="s">
        <v>205</v>
      </c>
      <c r="I13" s="183" t="s">
        <v>443</v>
      </c>
      <c r="J13" s="183" t="s">
        <v>229</v>
      </c>
      <c r="K13" s="183" t="s">
        <v>230</v>
      </c>
      <c r="L13" s="183" t="s">
        <v>205</v>
      </c>
      <c r="M13" s="183" t="s">
        <v>443</v>
      </c>
      <c r="N13" s="455" t="s">
        <v>1072</v>
      </c>
      <c r="O13" s="455" t="s">
        <v>443</v>
      </c>
    </row>
    <row r="14" spans="2:15" ht="119.25" customHeight="1" x14ac:dyDescent="0.25">
      <c r="B14" s="184" t="s">
        <v>1160</v>
      </c>
      <c r="C14" s="185">
        <v>150000000</v>
      </c>
      <c r="D14" s="185">
        <f>C14/80/2</f>
        <v>937500</v>
      </c>
      <c r="F14" s="186" t="str">
        <f>'4.2 Fuentes_Transporte'!$D$5</f>
        <v>CD-399-2024.</v>
      </c>
      <c r="G14" s="184" t="s">
        <v>693</v>
      </c>
      <c r="H14" s="187">
        <f>ROUND('4.2 Fuentes_Transporte'!M12/50*80,0)</f>
        <v>122317925</v>
      </c>
      <c r="I14" s="188">
        <f t="shared" ref="I14" si="2">C14/H14-1</f>
        <v>0.22631249671705933</v>
      </c>
      <c r="J14" s="186" t="str">
        <f>'4.2 Fuentes_Transporte'!$D$110</f>
        <v>CD-1869-2024</v>
      </c>
      <c r="K14" s="184" t="s">
        <v>1246</v>
      </c>
      <c r="L14" s="189">
        <f>ROUND('4.2 Fuentes_Transporte'!K116*80,0)</f>
        <v>174615200</v>
      </c>
      <c r="M14" s="188">
        <f t="shared" si="1"/>
        <v>-0.14096825476819885</v>
      </c>
      <c r="N14" s="190">
        <f>ROUND(AVERAGE(H14,L14),0)</f>
        <v>148466563</v>
      </c>
      <c r="O14" s="191">
        <f>C14/N14-1</f>
        <v>1.0328500700861554E-2</v>
      </c>
    </row>
    <row r="15" spans="2:15" ht="29.25" customHeight="1" x14ac:dyDescent="0.25">
      <c r="B15" s="885" t="s">
        <v>1165</v>
      </c>
      <c r="C15" s="886"/>
      <c r="D15" s="887"/>
      <c r="F15" s="183" t="s">
        <v>229</v>
      </c>
      <c r="G15" s="183" t="s">
        <v>230</v>
      </c>
      <c r="H15" s="183" t="s">
        <v>205</v>
      </c>
      <c r="I15" s="183" t="s">
        <v>443</v>
      </c>
      <c r="J15" s="183" t="s">
        <v>229</v>
      </c>
      <c r="K15" s="183" t="s">
        <v>230</v>
      </c>
      <c r="L15" s="183" t="s">
        <v>205</v>
      </c>
      <c r="M15" s="183" t="s">
        <v>443</v>
      </c>
      <c r="N15" s="455" t="s">
        <v>1072</v>
      </c>
      <c r="O15" s="455" t="s">
        <v>443</v>
      </c>
    </row>
    <row r="16" spans="2:15" ht="119.25" customHeight="1" x14ac:dyDescent="0.25">
      <c r="B16" s="184" t="s">
        <v>1160</v>
      </c>
      <c r="C16" s="185">
        <v>150000000</v>
      </c>
      <c r="D16" s="185">
        <f>C16/80/2</f>
        <v>937500</v>
      </c>
      <c r="F16" s="186" t="str">
        <f>'4.2 Fuentes_Transporte'!$D$5</f>
        <v>CD-399-2024.</v>
      </c>
      <c r="G16" s="184" t="s">
        <v>693</v>
      </c>
      <c r="H16" s="187">
        <f>ROUND('4.2 Fuentes_Transporte'!M12/50*80,0)</f>
        <v>122317925</v>
      </c>
      <c r="I16" s="188">
        <f t="shared" ref="I16" si="3">C16/H16-1</f>
        <v>0.22631249671705933</v>
      </c>
      <c r="J16" s="186" t="s">
        <v>1172</v>
      </c>
      <c r="K16" s="184" t="s">
        <v>1246</v>
      </c>
      <c r="L16" s="189">
        <f>ROUND('4.2 Fuentes_Transporte'!K116*80,0)</f>
        <v>174615200</v>
      </c>
      <c r="M16" s="188">
        <f t="shared" si="1"/>
        <v>-0.14096825476819885</v>
      </c>
      <c r="N16" s="190">
        <f>ROUND(AVERAGE(H16,L16),0)</f>
        <v>148466563</v>
      </c>
      <c r="O16" s="191">
        <f>C16/N16-1</f>
        <v>1.0328500700861554E-2</v>
      </c>
    </row>
    <row r="17" spans="2:15" ht="22.5" customHeight="1" x14ac:dyDescent="0.25">
      <c r="B17" s="885" t="s">
        <v>1168</v>
      </c>
      <c r="C17" s="886"/>
      <c r="D17" s="887"/>
      <c r="F17" s="183" t="s">
        <v>229</v>
      </c>
      <c r="G17" s="183" t="s">
        <v>230</v>
      </c>
      <c r="H17" s="183" t="s">
        <v>205</v>
      </c>
      <c r="I17" s="183" t="s">
        <v>443</v>
      </c>
      <c r="J17" s="183" t="s">
        <v>229</v>
      </c>
      <c r="K17" s="183" t="s">
        <v>230</v>
      </c>
      <c r="L17" s="183" t="s">
        <v>205</v>
      </c>
      <c r="M17" s="183" t="s">
        <v>443</v>
      </c>
      <c r="N17" s="455" t="s">
        <v>1072</v>
      </c>
      <c r="O17" s="455" t="s">
        <v>443</v>
      </c>
    </row>
    <row r="18" spans="2:15" ht="78.75" customHeight="1" x14ac:dyDescent="0.25">
      <c r="B18" s="184" t="s">
        <v>1166</v>
      </c>
      <c r="C18" s="185">
        <v>80100000</v>
      </c>
      <c r="D18" s="185">
        <f>C18/48/2</f>
        <v>834375</v>
      </c>
      <c r="F18" s="186" t="str">
        <f>'4.2 Fuentes_Transporte'!$D$5</f>
        <v>CD-399-2024.</v>
      </c>
      <c r="G18" s="184" t="s">
        <v>691</v>
      </c>
      <c r="H18" s="187">
        <f>ROUND('4.2 Fuentes_Transporte'!M12/50*48,0)</f>
        <v>73390755</v>
      </c>
      <c r="I18" s="188">
        <f t="shared" si="0"/>
        <v>9.1418122078182673E-2</v>
      </c>
      <c r="J18" s="186" t="str">
        <f>'4.2 Fuentes_Transporte'!$D$110</f>
        <v>CD-1869-2024</v>
      </c>
      <c r="K18" s="184" t="s">
        <v>1245</v>
      </c>
      <c r="L18" s="189">
        <f>ROUND('4.2 Fuentes_Transporte'!K116*48,0)</f>
        <v>104769120</v>
      </c>
      <c r="M18" s="188">
        <f t="shared" si="1"/>
        <v>-0.23546174674369702</v>
      </c>
      <c r="N18" s="190">
        <f>ROUND(AVERAGE(H18,L18),0)</f>
        <v>89079938</v>
      </c>
      <c r="O18" s="191">
        <f>C18/N18-1</f>
        <v>-0.10080763639507695</v>
      </c>
    </row>
    <row r="19" spans="2:15" ht="27.75" customHeight="1" x14ac:dyDescent="0.25">
      <c r="B19" s="885" t="s">
        <v>1169</v>
      </c>
      <c r="C19" s="886"/>
      <c r="D19" s="887"/>
      <c r="F19" s="183" t="s">
        <v>229</v>
      </c>
      <c r="G19" s="183" t="s">
        <v>230</v>
      </c>
      <c r="H19" s="183" t="s">
        <v>205</v>
      </c>
      <c r="I19" s="183" t="s">
        <v>443</v>
      </c>
      <c r="J19" s="183" t="s">
        <v>229</v>
      </c>
      <c r="K19" s="183" t="s">
        <v>230</v>
      </c>
      <c r="L19" s="183" t="s">
        <v>205</v>
      </c>
      <c r="M19" s="183" t="s">
        <v>443</v>
      </c>
      <c r="N19" s="455" t="s">
        <v>1072</v>
      </c>
      <c r="O19" s="455" t="s">
        <v>443</v>
      </c>
    </row>
    <row r="20" spans="2:15" ht="78.75" customHeight="1" x14ac:dyDescent="0.25">
      <c r="B20" s="184" t="s">
        <v>1167</v>
      </c>
      <c r="C20" s="185">
        <v>334100000</v>
      </c>
      <c r="D20" s="185">
        <f>C20/237/2</f>
        <v>704852.32067510544</v>
      </c>
      <c r="F20" s="186" t="str">
        <f>'4.2 Fuentes_Transporte'!$D$5</f>
        <v>CD-399-2024.</v>
      </c>
      <c r="G20" s="184" t="s">
        <v>694</v>
      </c>
      <c r="H20" s="187">
        <f>ROUND('4.2 Fuentes_Transporte'!M12/50*237,0)</f>
        <v>362366852</v>
      </c>
      <c r="I20" s="188">
        <f t="shared" ref="I20" si="4">C20/H20-1</f>
        <v>-7.8006174803207484E-2</v>
      </c>
      <c r="J20" s="186" t="str">
        <f>'4.2 Fuentes_Transporte'!$D$110</f>
        <v>CD-1869-2024</v>
      </c>
      <c r="K20" s="184" t="s">
        <v>1248</v>
      </c>
      <c r="L20" s="189">
        <f>ROUND('4.2 Fuentes_Transporte'!K116*237,0)</f>
        <v>517297530</v>
      </c>
      <c r="M20" s="188">
        <f t="shared" ref="M20" si="5">C20/L20-1</f>
        <v>-0.35414344622909755</v>
      </c>
      <c r="N20" s="190">
        <f>ROUND(AVERAGE(H20,L20),0)</f>
        <v>439832191</v>
      </c>
      <c r="O20" s="191">
        <f>C20/N20-1</f>
        <v>-0.24039211581946263</v>
      </c>
    </row>
    <row r="21" spans="2:15" ht="30" customHeight="1" x14ac:dyDescent="0.25">
      <c r="B21" s="856"/>
      <c r="C21" s="856"/>
      <c r="D21" s="171"/>
    </row>
    <row r="24" spans="2:15" x14ac:dyDescent="0.25">
      <c r="B24" s="859" t="s">
        <v>539</v>
      </c>
      <c r="C24" s="859"/>
      <c r="F24" s="860" t="s">
        <v>220</v>
      </c>
      <c r="G24" s="861"/>
      <c r="H24" s="861"/>
      <c r="I24" s="861"/>
      <c r="J24" s="861"/>
      <c r="K24" s="861"/>
      <c r="L24" s="862"/>
      <c r="M24" s="181"/>
      <c r="N24" s="182"/>
      <c r="O24" s="182"/>
    </row>
    <row r="25" spans="2:15" x14ac:dyDescent="0.25">
      <c r="B25" s="859"/>
      <c r="C25" s="859"/>
      <c r="F25" s="863" t="s">
        <v>221</v>
      </c>
      <c r="G25" s="863"/>
      <c r="H25" s="863"/>
      <c r="I25" s="863"/>
      <c r="J25" s="863" t="s">
        <v>222</v>
      </c>
      <c r="K25" s="863"/>
      <c r="L25" s="863"/>
      <c r="M25" s="863"/>
      <c r="N25" s="835" t="s">
        <v>332</v>
      </c>
      <c r="O25" s="835" t="s">
        <v>223</v>
      </c>
    </row>
    <row r="26" spans="2:15" ht="25.5" x14ac:dyDescent="0.25">
      <c r="B26" s="183" t="s">
        <v>704</v>
      </c>
      <c r="C26" s="183" t="s">
        <v>228</v>
      </c>
      <c r="F26" s="183" t="s">
        <v>229</v>
      </c>
      <c r="G26" s="183" t="s">
        <v>230</v>
      </c>
      <c r="H26" s="183" t="s">
        <v>205</v>
      </c>
      <c r="I26" s="183" t="s">
        <v>443</v>
      </c>
      <c r="J26" s="183" t="s">
        <v>229</v>
      </c>
      <c r="K26" s="183" t="s">
        <v>230</v>
      </c>
      <c r="L26" s="183" t="s">
        <v>205</v>
      </c>
      <c r="M26" s="183" t="s">
        <v>443</v>
      </c>
      <c r="N26" s="836"/>
      <c r="O26" s="836"/>
    </row>
    <row r="27" spans="2:15" ht="78.75" customHeight="1" x14ac:dyDescent="0.25">
      <c r="B27" s="184" t="s">
        <v>1345</v>
      </c>
      <c r="C27" s="185">
        <v>1000000</v>
      </c>
      <c r="F27" s="186" t="str">
        <f>'4.2 Fuentes_Transporte'!$D$5</f>
        <v>CD-399-2024.</v>
      </c>
      <c r="G27" s="184" t="s">
        <v>1000</v>
      </c>
      <c r="H27" s="187">
        <f>'4.2 Fuentes_Transporte'!$O$13</f>
        <v>1558441</v>
      </c>
      <c r="I27" s="188">
        <f>C27/H27-1</f>
        <v>-0.35833310340269542</v>
      </c>
      <c r="J27" s="186" t="s">
        <v>1133</v>
      </c>
      <c r="K27" s="184" t="s">
        <v>1158</v>
      </c>
      <c r="L27" s="189">
        <f>'4.2 Fuentes_Transporte'!$J$94</f>
        <v>818509</v>
      </c>
      <c r="M27" s="188">
        <f>C27/L27-1</f>
        <v>0.2217336645046053</v>
      </c>
      <c r="N27" s="190">
        <f>ROUND(AVERAGE(H27,L27),0)</f>
        <v>1188475</v>
      </c>
      <c r="O27" s="191">
        <f>C27/N27-1</f>
        <v>-0.15858558236395381</v>
      </c>
    </row>
    <row r="28" spans="2:15" ht="102" x14ac:dyDescent="0.25">
      <c r="B28" s="184" t="s">
        <v>1346</v>
      </c>
      <c r="C28" s="185">
        <v>1200000</v>
      </c>
      <c r="F28" s="186" t="str">
        <f>'4.2 Fuentes_Transporte'!$D$5</f>
        <v>CD-399-2024.</v>
      </c>
      <c r="G28" s="184" t="s">
        <v>1000</v>
      </c>
      <c r="H28" s="187">
        <f>'4.2 Fuentes_Transporte'!$O$13</f>
        <v>1558441</v>
      </c>
      <c r="I28" s="188">
        <f t="shared" ref="I28:I29" si="6">C28/H28-1</f>
        <v>-0.22999972408323444</v>
      </c>
      <c r="J28" s="186" t="str">
        <f>'4.2 Fuentes_Transporte'!$D$87</f>
        <v>MSPS-CD-1539-2024</v>
      </c>
      <c r="K28" s="184" t="s">
        <v>1158</v>
      </c>
      <c r="L28" s="189">
        <f>'4.2 Fuentes_Transporte'!$J$94</f>
        <v>818509</v>
      </c>
      <c r="M28" s="188">
        <f t="shared" ref="M28:M29" si="7">C28/L28-1</f>
        <v>0.46608039740552631</v>
      </c>
      <c r="N28" s="190">
        <f>ROUND(AVERAGE(H28,L28),0)</f>
        <v>1188475</v>
      </c>
      <c r="O28" s="191">
        <f>C28/N28-1</f>
        <v>9.6973011632555117E-3</v>
      </c>
    </row>
    <row r="29" spans="2:15" ht="89.25" x14ac:dyDescent="0.25">
      <c r="B29" s="184" t="s">
        <v>1347</v>
      </c>
      <c r="C29" s="185">
        <v>1200000</v>
      </c>
      <c r="F29" s="186" t="str">
        <f>'4.2 Fuentes_Transporte'!$D$5</f>
        <v>CD-399-2024.</v>
      </c>
      <c r="G29" s="184" t="s">
        <v>1000</v>
      </c>
      <c r="H29" s="187">
        <f>'4.2 Fuentes_Transporte'!$O$13</f>
        <v>1558441</v>
      </c>
      <c r="I29" s="188">
        <f t="shared" si="6"/>
        <v>-0.22999972408323444</v>
      </c>
      <c r="J29" s="186" t="str">
        <f>'4.2 Fuentes_Transporte'!$D$87</f>
        <v>MSPS-CD-1539-2024</v>
      </c>
      <c r="K29" s="184" t="s">
        <v>1158</v>
      </c>
      <c r="L29" s="189">
        <f>'4.2 Fuentes_Transporte'!$J$94</f>
        <v>818509</v>
      </c>
      <c r="M29" s="188">
        <f t="shared" si="7"/>
        <v>0.46608039740552631</v>
      </c>
      <c r="N29" s="190">
        <f>ROUND(AVERAGE(H29,L29),0)</f>
        <v>1188475</v>
      </c>
      <c r="O29" s="191">
        <f>C29/N29-1</f>
        <v>9.6973011632555117E-3</v>
      </c>
    </row>
    <row r="30" spans="2:15" x14ac:dyDescent="0.25">
      <c r="B30" s="184"/>
      <c r="C30" s="185"/>
      <c r="F30" s="186"/>
      <c r="G30" s="184"/>
      <c r="H30" s="187"/>
      <c r="I30" s="188"/>
      <c r="J30" s="186"/>
      <c r="K30" s="184"/>
      <c r="L30" s="189"/>
      <c r="M30" s="188"/>
      <c r="N30" s="190"/>
      <c r="O30" s="191"/>
    </row>
  </sheetData>
  <mergeCells count="21">
    <mergeCell ref="N25:N26"/>
    <mergeCell ref="O25:O26"/>
    <mergeCell ref="B24:C25"/>
    <mergeCell ref="F24:L24"/>
    <mergeCell ref="F25:I25"/>
    <mergeCell ref="J25:M25"/>
    <mergeCell ref="B5:C5"/>
    <mergeCell ref="N6:N7"/>
    <mergeCell ref="O6:O7"/>
    <mergeCell ref="B21:C21"/>
    <mergeCell ref="B2:N2"/>
    <mergeCell ref="F5:L5"/>
    <mergeCell ref="F6:I6"/>
    <mergeCell ref="J6:M6"/>
    <mergeCell ref="B7:D7"/>
    <mergeCell ref="B9:D9"/>
    <mergeCell ref="B11:D11"/>
    <mergeCell ref="B13:D13"/>
    <mergeCell ref="B15:D15"/>
    <mergeCell ref="B17:D17"/>
    <mergeCell ref="B19:D19"/>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C44BEC-45FA-445D-A8FF-C8D49A7C7430}">
  <dimension ref="B2:V209"/>
  <sheetViews>
    <sheetView topLeftCell="N13" zoomScaleNormal="100" workbookViewId="0">
      <selection activeCell="O11" sqref="O11"/>
    </sheetView>
  </sheetViews>
  <sheetFormatPr baseColWidth="10" defaultColWidth="11.42578125" defaultRowHeight="13.5" x14ac:dyDescent="0.25"/>
  <cols>
    <col min="1" max="1" width="4.85546875" style="22" customWidth="1"/>
    <col min="2" max="2" width="23.42578125" style="63" customWidth="1"/>
    <col min="3" max="3" width="26.28515625" style="52" customWidth="1"/>
    <col min="4" max="4" width="18.42578125" style="52" customWidth="1"/>
    <col min="5" max="5" width="22.42578125" style="52" customWidth="1"/>
    <col min="6" max="6" width="20.42578125" style="52" customWidth="1"/>
    <col min="7" max="7" width="19.140625" style="42" customWidth="1"/>
    <col min="8" max="8" width="16.7109375" style="22" bestFit="1" customWidth="1"/>
    <col min="9" max="9" width="22.42578125" style="22" customWidth="1"/>
    <col min="10" max="10" width="15.140625" style="22" customWidth="1"/>
    <col min="11" max="11" width="18" style="22" customWidth="1"/>
    <col min="12" max="12" width="12.7109375" style="22" customWidth="1"/>
    <col min="13" max="13" width="12.42578125" style="22" bestFit="1" customWidth="1"/>
    <col min="14" max="14" width="15.28515625" style="22" customWidth="1"/>
    <col min="15" max="15" width="15.85546875" style="22" customWidth="1"/>
    <col min="16" max="16" width="28.42578125" style="22" customWidth="1"/>
    <col min="17" max="32" width="11.42578125" style="22"/>
    <col min="33" max="33" width="14.42578125" style="22" customWidth="1"/>
    <col min="34" max="40" width="11.42578125" style="22"/>
    <col min="41" max="41" width="21.140625" style="22" customWidth="1"/>
    <col min="42" max="42" width="11.42578125" style="22"/>
    <col min="43" max="43" width="25.7109375" style="22" bestFit="1" customWidth="1"/>
    <col min="44" max="46" width="11.42578125" style="22"/>
    <col min="47" max="47" width="25.42578125" style="22" customWidth="1"/>
    <col min="48" max="52" width="11.42578125" style="22"/>
    <col min="53" max="53" width="20.42578125" style="22" customWidth="1"/>
    <col min="54" max="54" width="20.7109375" style="22" customWidth="1"/>
    <col min="55" max="16384" width="11.42578125" style="22"/>
  </cols>
  <sheetData>
    <row r="2" spans="2:22" x14ac:dyDescent="0.25">
      <c r="B2" s="855" t="s">
        <v>144</v>
      </c>
      <c r="C2" s="855"/>
      <c r="D2" s="855"/>
      <c r="E2" s="855"/>
      <c r="F2" s="855"/>
      <c r="G2" s="855"/>
      <c r="H2" s="855"/>
      <c r="I2" s="855"/>
      <c r="J2" s="855"/>
      <c r="K2" s="855"/>
      <c r="L2" s="855"/>
      <c r="M2" s="855"/>
    </row>
    <row r="3" spans="2:22" ht="18" customHeight="1" x14ac:dyDescent="0.25"/>
    <row r="4" spans="2:22" ht="18" customHeight="1" x14ac:dyDescent="0.25">
      <c r="B4" s="162" t="s">
        <v>146</v>
      </c>
      <c r="C4" s="162" t="s">
        <v>5</v>
      </c>
      <c r="D4" s="163" t="s">
        <v>6</v>
      </c>
      <c r="E4" s="163" t="s">
        <v>145</v>
      </c>
      <c r="F4" s="163" t="s">
        <v>3</v>
      </c>
      <c r="G4" s="162" t="s">
        <v>7</v>
      </c>
      <c r="H4" s="865" t="s">
        <v>8</v>
      </c>
      <c r="I4" s="865"/>
      <c r="J4" s="865"/>
      <c r="K4" s="865"/>
      <c r="L4" s="865"/>
      <c r="M4" s="865"/>
      <c r="N4" s="865"/>
    </row>
    <row r="5" spans="2:22" ht="18" customHeight="1" x14ac:dyDescent="0.25">
      <c r="B5" s="164">
        <v>1</v>
      </c>
      <c r="C5" s="165" t="s">
        <v>451</v>
      </c>
      <c r="D5" s="166" t="s">
        <v>476</v>
      </c>
      <c r="E5" s="165" t="s">
        <v>452</v>
      </c>
      <c r="F5" s="166">
        <v>2024</v>
      </c>
      <c r="G5" s="166"/>
      <c r="H5" s="866" t="s">
        <v>450</v>
      </c>
      <c r="I5" s="866"/>
      <c r="J5" s="866"/>
      <c r="K5" s="866"/>
      <c r="L5" s="866"/>
      <c r="M5" s="866"/>
      <c r="N5" s="866"/>
    </row>
    <row r="6" spans="2:22" ht="18" customHeight="1" x14ac:dyDescent="0.25"/>
    <row r="7" spans="2:22" ht="18" customHeight="1" x14ac:dyDescent="0.25">
      <c r="B7" s="912" t="s">
        <v>684</v>
      </c>
      <c r="C7" s="913"/>
      <c r="D7" s="913"/>
      <c r="E7" s="913"/>
      <c r="F7" s="913"/>
      <c r="G7" s="913"/>
      <c r="H7" s="913"/>
      <c r="I7" s="913"/>
      <c r="J7" s="913"/>
      <c r="K7" s="913"/>
      <c r="L7" s="913"/>
      <c r="M7" s="914"/>
    </row>
    <row r="8" spans="2:22" ht="18" customHeight="1" x14ac:dyDescent="0.25">
      <c r="B8" s="915" t="s">
        <v>685</v>
      </c>
      <c r="C8" s="913"/>
      <c r="D8" s="913"/>
      <c r="E8" s="913"/>
      <c r="F8" s="913"/>
      <c r="G8" s="913"/>
      <c r="H8" s="913"/>
      <c r="I8" s="913"/>
      <c r="J8" s="913"/>
      <c r="K8" s="913"/>
      <c r="L8" s="913"/>
      <c r="M8" s="914"/>
    </row>
    <row r="9" spans="2:22" ht="18" customHeight="1" x14ac:dyDescent="0.25"/>
    <row r="10" spans="2:22" ht="28.5" customHeight="1" x14ac:dyDescent="0.25">
      <c r="B10" s="209" t="s">
        <v>453</v>
      </c>
      <c r="C10" s="209" t="s">
        <v>454</v>
      </c>
      <c r="D10" s="209" t="s">
        <v>455</v>
      </c>
      <c r="E10" s="209" t="s">
        <v>456</v>
      </c>
      <c r="F10" s="209" t="s">
        <v>457</v>
      </c>
      <c r="G10" s="209" t="s">
        <v>458</v>
      </c>
      <c r="H10" s="209" t="s">
        <v>459</v>
      </c>
      <c r="I10" s="209" t="s">
        <v>460</v>
      </c>
      <c r="J10" s="209" t="s">
        <v>461</v>
      </c>
      <c r="K10" s="209" t="s">
        <v>462</v>
      </c>
      <c r="L10" s="209" t="s">
        <v>463</v>
      </c>
      <c r="N10" s="252" t="s">
        <v>681</v>
      </c>
      <c r="O10" s="252" t="s">
        <v>1287</v>
      </c>
      <c r="Q10" s="867" t="s">
        <v>150</v>
      </c>
      <c r="R10" s="868"/>
      <c r="S10" s="867" t="s">
        <v>150</v>
      </c>
      <c r="T10" s="868"/>
      <c r="U10" s="867" t="s">
        <v>150</v>
      </c>
      <c r="V10" s="868"/>
    </row>
    <row r="11" spans="2:22" s="59" customFormat="1" ht="63.75" customHeight="1" x14ac:dyDescent="0.25">
      <c r="B11" s="215" t="s">
        <v>686</v>
      </c>
      <c r="C11" s="211">
        <v>4</v>
      </c>
      <c r="D11" s="211" t="s">
        <v>464</v>
      </c>
      <c r="E11" s="212">
        <v>500000</v>
      </c>
      <c r="F11" s="211">
        <v>50</v>
      </c>
      <c r="G11" s="211" t="s">
        <v>287</v>
      </c>
      <c r="H11" s="212">
        <v>0</v>
      </c>
      <c r="I11" s="213">
        <v>0</v>
      </c>
      <c r="J11" s="212">
        <v>500000</v>
      </c>
      <c r="K11" s="212">
        <v>100000000</v>
      </c>
      <c r="L11" s="251">
        <v>100000000</v>
      </c>
      <c r="N11" s="104"/>
      <c r="O11" s="104">
        <f>ROUND(J11*(1+$T$11)*(1+$V$11),0)</f>
        <v>545672</v>
      </c>
      <c r="Q11" s="175" t="s">
        <v>154</v>
      </c>
      <c r="R11" s="176">
        <v>9.2799999999999994E-2</v>
      </c>
      <c r="S11" s="175" t="s">
        <v>151</v>
      </c>
      <c r="T11" s="176">
        <v>5.1999999999999998E-2</v>
      </c>
      <c r="U11" s="175" t="s">
        <v>1074</v>
      </c>
      <c r="V11" s="176">
        <v>3.7400000000000003E-2</v>
      </c>
    </row>
    <row r="12" spans="2:22" s="59" customFormat="1" ht="36.75" customHeight="1" x14ac:dyDescent="0.25">
      <c r="B12" s="215" t="s">
        <v>687</v>
      </c>
      <c r="C12" s="211">
        <v>1</v>
      </c>
      <c r="D12" s="211" t="s">
        <v>688</v>
      </c>
      <c r="E12" s="212">
        <v>70050000</v>
      </c>
      <c r="F12" s="211">
        <v>1</v>
      </c>
      <c r="G12" s="211" t="s">
        <v>689</v>
      </c>
      <c r="H12" s="212">
        <v>0</v>
      </c>
      <c r="I12" s="213">
        <v>0</v>
      </c>
      <c r="J12" s="212">
        <v>70050000</v>
      </c>
      <c r="K12" s="212">
        <v>70050000</v>
      </c>
      <c r="L12" s="251">
        <v>70050000</v>
      </c>
      <c r="M12" s="104">
        <f t="shared" ref="M12:M13" si="0">ROUND(L12*(1+$T$11)*(1+$V$11),0)</f>
        <v>76448703</v>
      </c>
      <c r="N12" s="104">
        <f t="shared" ref="N12:N13" si="1">ROUND(M12/50,0)</f>
        <v>1528974</v>
      </c>
      <c r="O12" s="104">
        <f>ROUND(N12/2,0)</f>
        <v>764487</v>
      </c>
    </row>
    <row r="13" spans="2:22" s="59" customFormat="1" ht="36.75" customHeight="1" x14ac:dyDescent="0.25">
      <c r="B13" s="215" t="s">
        <v>690</v>
      </c>
      <c r="C13" s="211">
        <v>1</v>
      </c>
      <c r="D13" s="211" t="s">
        <v>688</v>
      </c>
      <c r="E13" s="212">
        <v>120000000</v>
      </c>
      <c r="F13" s="211">
        <v>1</v>
      </c>
      <c r="G13" s="211" t="s">
        <v>287</v>
      </c>
      <c r="H13" s="212">
        <v>22800000</v>
      </c>
      <c r="I13" s="213">
        <v>0.19</v>
      </c>
      <c r="J13" s="212">
        <v>142800000</v>
      </c>
      <c r="K13" s="212">
        <v>120000000</v>
      </c>
      <c r="L13" s="251">
        <v>142800000</v>
      </c>
      <c r="M13" s="104">
        <f t="shared" si="0"/>
        <v>155844037</v>
      </c>
      <c r="N13" s="104">
        <f t="shared" si="1"/>
        <v>3116881</v>
      </c>
      <c r="O13" s="104">
        <f>ROUND(N13/2,0)</f>
        <v>1558441</v>
      </c>
    </row>
    <row r="14" spans="2:22" ht="18" customHeight="1" x14ac:dyDescent="0.25"/>
    <row r="15" spans="2:22" ht="18" customHeight="1" x14ac:dyDescent="0.25"/>
    <row r="16" spans="2:22" ht="18" customHeight="1" x14ac:dyDescent="0.25">
      <c r="B16" s="162" t="s">
        <v>146</v>
      </c>
      <c r="C16" s="162" t="s">
        <v>5</v>
      </c>
      <c r="D16" s="163" t="s">
        <v>6</v>
      </c>
      <c r="E16" s="163" t="s">
        <v>145</v>
      </c>
      <c r="F16" s="163" t="s">
        <v>3</v>
      </c>
      <c r="G16" s="162" t="s">
        <v>7</v>
      </c>
      <c r="H16" s="865" t="s">
        <v>8</v>
      </c>
      <c r="I16" s="865"/>
      <c r="J16" s="865"/>
      <c r="K16" s="865"/>
      <c r="L16" s="865"/>
      <c r="M16" s="865"/>
      <c r="N16" s="865"/>
    </row>
    <row r="17" spans="2:14" ht="26.25" customHeight="1" x14ac:dyDescent="0.25">
      <c r="B17" s="164">
        <v>2</v>
      </c>
      <c r="C17" s="165" t="s">
        <v>553</v>
      </c>
      <c r="D17" s="165" t="s">
        <v>554</v>
      </c>
      <c r="E17" s="165" t="s">
        <v>452</v>
      </c>
      <c r="F17" s="166">
        <v>2024</v>
      </c>
      <c r="G17" s="166"/>
      <c r="H17" s="847" t="s">
        <v>552</v>
      </c>
      <c r="I17" s="866"/>
      <c r="J17" s="866"/>
      <c r="K17" s="866"/>
      <c r="L17" s="866"/>
      <c r="M17" s="866"/>
      <c r="N17" s="866"/>
    </row>
    <row r="18" spans="2:14" ht="18" customHeight="1" x14ac:dyDescent="0.25"/>
    <row r="19" spans="2:14" ht="18" customHeight="1" thickBot="1" x14ac:dyDescent="0.3">
      <c r="C19" s="226" t="s">
        <v>456</v>
      </c>
      <c r="D19" s="227" t="s">
        <v>557</v>
      </c>
      <c r="E19" s="228" t="s">
        <v>249</v>
      </c>
      <c r="F19" s="229" t="s">
        <v>558</v>
      </c>
      <c r="G19" s="232" t="s">
        <v>559</v>
      </c>
    </row>
    <row r="20" spans="2:14" ht="64.5" customHeight="1" thickBot="1" x14ac:dyDescent="0.3">
      <c r="B20" s="224" t="s">
        <v>695</v>
      </c>
      <c r="C20" s="256">
        <v>2916666.67</v>
      </c>
      <c r="D20" s="260">
        <v>1</v>
      </c>
      <c r="E20" s="260">
        <v>48</v>
      </c>
      <c r="F20" s="257">
        <v>140000000</v>
      </c>
      <c r="G20" s="258">
        <f>ROUND(C20*(1+$T$11)*(1+$V$11),0)</f>
        <v>3183089</v>
      </c>
    </row>
    <row r="21" spans="2:14" ht="18" customHeight="1" x14ac:dyDescent="0.25">
      <c r="B21" s="253" t="s">
        <v>696</v>
      </c>
      <c r="C21" s="258">
        <v>1100000</v>
      </c>
      <c r="D21" s="259"/>
      <c r="E21" s="259"/>
      <c r="F21" s="259"/>
      <c r="G21" s="258">
        <f t="shared" ref="G21:G26" si="2">ROUND(C21*(1+$T$11)*(1+$V$11),0)</f>
        <v>1200479</v>
      </c>
      <c r="I21" s="22" t="s">
        <v>702</v>
      </c>
    </row>
    <row r="22" spans="2:14" ht="18" customHeight="1" x14ac:dyDescent="0.25">
      <c r="B22" s="254" t="s">
        <v>697</v>
      </c>
      <c r="C22" s="258">
        <v>800000</v>
      </c>
      <c r="D22" s="259"/>
      <c r="E22" s="259"/>
      <c r="F22" s="259"/>
      <c r="G22" s="258">
        <f t="shared" si="2"/>
        <v>873076</v>
      </c>
      <c r="I22" s="115">
        <f>SUM(G22:G26)</f>
        <v>1982610</v>
      </c>
    </row>
    <row r="23" spans="2:14" ht="18" customHeight="1" x14ac:dyDescent="0.25">
      <c r="B23" s="254" t="s">
        <v>698</v>
      </c>
      <c r="C23" s="258">
        <v>700000</v>
      </c>
      <c r="D23" s="259"/>
      <c r="E23" s="259"/>
      <c r="F23" s="259"/>
      <c r="G23" s="258">
        <f t="shared" si="2"/>
        <v>763941</v>
      </c>
      <c r="I23" s="22" t="s">
        <v>703</v>
      </c>
    </row>
    <row r="24" spans="2:14" ht="18" customHeight="1" x14ac:dyDescent="0.25">
      <c r="B24" s="254" t="s">
        <v>699</v>
      </c>
      <c r="C24" s="258">
        <v>230000</v>
      </c>
      <c r="D24" s="259"/>
      <c r="E24" s="259"/>
      <c r="F24" s="259"/>
      <c r="G24" s="258">
        <f t="shared" si="2"/>
        <v>251009</v>
      </c>
      <c r="I24" s="115">
        <f>I22/2</f>
        <v>991305</v>
      </c>
    </row>
    <row r="25" spans="2:14" ht="18" customHeight="1" x14ac:dyDescent="0.25">
      <c r="B25" s="254" t="s">
        <v>700</v>
      </c>
      <c r="C25" s="258">
        <v>80000</v>
      </c>
      <c r="D25" s="259"/>
      <c r="E25" s="259"/>
      <c r="F25" s="259"/>
      <c r="G25" s="258">
        <f t="shared" si="2"/>
        <v>87308</v>
      </c>
    </row>
    <row r="26" spans="2:14" ht="18" customHeight="1" x14ac:dyDescent="0.25">
      <c r="B26" s="255" t="s">
        <v>701</v>
      </c>
      <c r="C26" s="258">
        <v>6666.67</v>
      </c>
      <c r="D26" s="259"/>
      <c r="E26" s="259"/>
      <c r="F26" s="259"/>
      <c r="G26" s="258">
        <f t="shared" si="2"/>
        <v>7276</v>
      </c>
      <c r="I26" s="115">
        <f>G21/2</f>
        <v>600239.5</v>
      </c>
    </row>
    <row r="27" spans="2:14" ht="18" customHeight="1" x14ac:dyDescent="0.25"/>
    <row r="28" spans="2:14" ht="18.75" customHeight="1" x14ac:dyDescent="0.25"/>
    <row r="29" spans="2:14" ht="18" customHeight="1" x14ac:dyDescent="0.25"/>
    <row r="30" spans="2:14" ht="18" customHeight="1" x14ac:dyDescent="0.25"/>
    <row r="34" spans="2:14" x14ac:dyDescent="0.25">
      <c r="B34" s="34" t="s">
        <v>146</v>
      </c>
      <c r="C34" s="34" t="s">
        <v>5</v>
      </c>
      <c r="D34" s="25" t="s">
        <v>6</v>
      </c>
      <c r="E34" s="25" t="s">
        <v>145</v>
      </c>
      <c r="F34" s="25" t="s">
        <v>3</v>
      </c>
      <c r="G34" s="34" t="s">
        <v>7</v>
      </c>
      <c r="H34" s="853" t="s">
        <v>8</v>
      </c>
      <c r="I34" s="853"/>
      <c r="J34" s="853"/>
      <c r="K34" s="853"/>
      <c r="L34" s="853"/>
      <c r="M34" s="853"/>
    </row>
    <row r="35" spans="2:14" x14ac:dyDescent="0.25">
      <c r="B35" s="35">
        <v>2</v>
      </c>
      <c r="C35" s="36" t="s">
        <v>334</v>
      </c>
      <c r="D35" s="37" t="s">
        <v>342</v>
      </c>
      <c r="E35" s="36" t="s">
        <v>200</v>
      </c>
      <c r="F35" s="37">
        <v>2023</v>
      </c>
      <c r="G35" s="37" t="s">
        <v>335</v>
      </c>
      <c r="H35" s="909" t="s">
        <v>343</v>
      </c>
      <c r="I35" s="910"/>
      <c r="J35" s="910"/>
      <c r="K35" s="910"/>
      <c r="L35" s="910"/>
      <c r="M35" s="911"/>
    </row>
    <row r="37" spans="2:14" x14ac:dyDescent="0.25">
      <c r="E37" s="47" t="s">
        <v>155</v>
      </c>
    </row>
    <row r="38" spans="2:14" ht="72" x14ac:dyDescent="0.25">
      <c r="B38" s="137" t="s">
        <v>344</v>
      </c>
      <c r="C38" s="23" t="s">
        <v>345</v>
      </c>
      <c r="D38" s="136">
        <v>384600</v>
      </c>
      <c r="E38" s="57">
        <f>ROUND(D38*(1+J39)*(1+L39)*(1+N39),0)</f>
        <v>458682</v>
      </c>
      <c r="I38" s="907" t="s">
        <v>150</v>
      </c>
      <c r="J38" s="908"/>
      <c r="K38" s="907" t="s">
        <v>150</v>
      </c>
      <c r="L38" s="908"/>
      <c r="M38" s="45"/>
    </row>
    <row r="39" spans="2:14" x14ac:dyDescent="0.25">
      <c r="I39" s="39" t="s">
        <v>154</v>
      </c>
      <c r="J39" s="40">
        <f>VARIABLES!C5</f>
        <v>9.2799999999999994E-2</v>
      </c>
      <c r="K39" s="39" t="s">
        <v>151</v>
      </c>
      <c r="L39" s="40">
        <f>VARIABLES!$C$4</f>
        <v>5.1999999999999998E-2</v>
      </c>
      <c r="M39" s="175" t="s">
        <v>1074</v>
      </c>
      <c r="N39" s="176">
        <v>3.7400000000000003E-2</v>
      </c>
    </row>
    <row r="40" spans="2:14" x14ac:dyDescent="0.25">
      <c r="I40" s="39" t="s">
        <v>154</v>
      </c>
      <c r="J40" s="40">
        <f>VARIABLES!$C$5</f>
        <v>9.2799999999999994E-2</v>
      </c>
      <c r="K40" s="39" t="s">
        <v>151</v>
      </c>
      <c r="L40" s="40">
        <f>VARIABLES!$C$4</f>
        <v>5.1999999999999998E-2</v>
      </c>
    </row>
    <row r="42" spans="2:14" x14ac:dyDescent="0.25">
      <c r="B42" s="34" t="s">
        <v>146</v>
      </c>
      <c r="C42" s="34" t="s">
        <v>5</v>
      </c>
      <c r="D42" s="25" t="s">
        <v>6</v>
      </c>
      <c r="E42" s="25" t="s">
        <v>145</v>
      </c>
      <c r="F42" s="25" t="s">
        <v>3</v>
      </c>
      <c r="G42" s="34" t="s">
        <v>7</v>
      </c>
      <c r="H42" s="853" t="s">
        <v>8</v>
      </c>
      <c r="I42" s="853"/>
      <c r="J42" s="853"/>
      <c r="K42" s="853"/>
      <c r="L42" s="853"/>
      <c r="M42" s="853"/>
    </row>
    <row r="43" spans="2:14" ht="28.5" customHeight="1" x14ac:dyDescent="0.25">
      <c r="B43" s="35">
        <v>4</v>
      </c>
      <c r="C43" s="36" t="s">
        <v>158</v>
      </c>
      <c r="D43" s="36" t="s">
        <v>246</v>
      </c>
      <c r="E43" s="36" t="s">
        <v>247</v>
      </c>
      <c r="F43" s="37">
        <v>2024</v>
      </c>
      <c r="G43" s="37" t="s">
        <v>1</v>
      </c>
      <c r="H43" s="848" t="s">
        <v>245</v>
      </c>
      <c r="I43" s="848"/>
      <c r="J43" s="848"/>
      <c r="K43" s="848"/>
      <c r="L43" s="848"/>
      <c r="M43" s="848"/>
    </row>
    <row r="46" spans="2:14" ht="27" x14ac:dyDescent="0.25">
      <c r="B46" s="128" t="s">
        <v>289</v>
      </c>
      <c r="C46" s="129" t="s">
        <v>290</v>
      </c>
      <c r="D46" s="129" t="s">
        <v>215</v>
      </c>
      <c r="E46" s="129" t="s">
        <v>291</v>
      </c>
      <c r="F46" s="47" t="s">
        <v>155</v>
      </c>
    </row>
    <row r="47" spans="2:14" x14ac:dyDescent="0.25">
      <c r="B47" s="130" t="s">
        <v>286</v>
      </c>
      <c r="C47" s="131" t="s">
        <v>287</v>
      </c>
      <c r="D47" s="131">
        <v>35</v>
      </c>
      <c r="E47" s="132">
        <v>350000</v>
      </c>
      <c r="F47" s="138">
        <f>ROUND(E47*(1+$L$39)*(1+$N$39),0)</f>
        <v>381971</v>
      </c>
    </row>
    <row r="48" spans="2:14" x14ac:dyDescent="0.25">
      <c r="B48" s="133" t="s">
        <v>288</v>
      </c>
      <c r="C48" s="134" t="s">
        <v>287</v>
      </c>
      <c r="D48" s="134">
        <v>35</v>
      </c>
      <c r="E48" s="135">
        <v>350000</v>
      </c>
      <c r="F48" s="138">
        <f>ROUND(E48*(1+$L$39)*(1+$N$39),0)</f>
        <v>381971</v>
      </c>
    </row>
    <row r="52" spans="2:14" x14ac:dyDescent="0.25">
      <c r="B52" s="34" t="s">
        <v>146</v>
      </c>
      <c r="C52" s="34" t="s">
        <v>5</v>
      </c>
      <c r="D52" s="25" t="s">
        <v>6</v>
      </c>
      <c r="E52" s="25" t="s">
        <v>145</v>
      </c>
      <c r="F52" s="25" t="s">
        <v>3</v>
      </c>
      <c r="G52" s="34" t="s">
        <v>7</v>
      </c>
      <c r="H52" s="853" t="s">
        <v>8</v>
      </c>
      <c r="I52" s="853"/>
      <c r="J52" s="853"/>
      <c r="K52" s="853"/>
      <c r="L52" s="853"/>
      <c r="M52" s="853"/>
      <c r="N52" s="853"/>
    </row>
    <row r="53" spans="2:14" x14ac:dyDescent="0.25">
      <c r="B53" s="35">
        <v>7</v>
      </c>
      <c r="C53" s="36" t="s">
        <v>296</v>
      </c>
      <c r="D53" s="37" t="s">
        <v>318</v>
      </c>
      <c r="E53" s="36" t="s">
        <v>247</v>
      </c>
      <c r="F53" s="37">
        <v>2024</v>
      </c>
      <c r="G53" s="37" t="s">
        <v>297</v>
      </c>
      <c r="H53" s="848" t="s">
        <v>319</v>
      </c>
      <c r="I53" s="848"/>
      <c r="J53" s="848"/>
      <c r="K53" s="848"/>
      <c r="L53" s="848"/>
      <c r="M53" s="848"/>
      <c r="N53" s="848"/>
    </row>
    <row r="54" spans="2:14" x14ac:dyDescent="0.25">
      <c r="B54" s="44"/>
      <c r="C54" s="42"/>
      <c r="D54" s="26"/>
      <c r="E54" s="42"/>
      <c r="F54" s="26"/>
      <c r="G54" s="26"/>
      <c r="H54" s="45"/>
      <c r="I54" s="45"/>
      <c r="J54" s="45"/>
      <c r="K54" s="45"/>
      <c r="L54" s="45"/>
      <c r="M54" s="45"/>
      <c r="N54" s="45"/>
    </row>
    <row r="55" spans="2:14" ht="27" x14ac:dyDescent="0.25">
      <c r="B55" s="22"/>
      <c r="C55" s="22"/>
      <c r="D55" s="22"/>
      <c r="E55" s="22"/>
      <c r="F55" s="22"/>
      <c r="G55" s="38" t="s">
        <v>149</v>
      </c>
      <c r="H55" s="45"/>
      <c r="I55" s="45"/>
      <c r="J55" s="919" t="s">
        <v>150</v>
      </c>
      <c r="K55" s="919"/>
      <c r="L55" s="45"/>
      <c r="M55" s="45"/>
      <c r="N55" s="45"/>
    </row>
    <row r="56" spans="2:14" x14ac:dyDescent="0.25">
      <c r="B56" s="916" t="s">
        <v>248</v>
      </c>
      <c r="C56" s="920" t="s">
        <v>320</v>
      </c>
      <c r="D56" s="920"/>
      <c r="E56" s="920"/>
      <c r="F56" s="920"/>
      <c r="G56" s="918" t="s">
        <v>155</v>
      </c>
      <c r="H56" s="45"/>
      <c r="I56" s="45"/>
      <c r="J56" s="39" t="s">
        <v>151</v>
      </c>
      <c r="K56" s="40">
        <v>5.1999999999999998E-2</v>
      </c>
      <c r="L56" s="175" t="s">
        <v>1074</v>
      </c>
      <c r="M56" s="176">
        <v>3.7400000000000003E-2</v>
      </c>
      <c r="N56" s="45"/>
    </row>
    <row r="57" spans="2:14" x14ac:dyDescent="0.25">
      <c r="B57" s="916"/>
      <c r="C57" s="105" t="s">
        <v>196</v>
      </c>
      <c r="D57" s="105" t="s">
        <v>232</v>
      </c>
      <c r="E57" s="105" t="s">
        <v>197</v>
      </c>
      <c r="F57" s="106" t="s">
        <v>195</v>
      </c>
      <c r="G57" s="918"/>
      <c r="H57" s="45"/>
      <c r="I57" s="45"/>
      <c r="J57" s="45"/>
      <c r="K57" s="45"/>
      <c r="L57" s="45"/>
      <c r="M57" s="45"/>
      <c r="N57" s="45"/>
    </row>
    <row r="58" spans="2:14" x14ac:dyDescent="0.25">
      <c r="B58" s="107" t="s">
        <v>321</v>
      </c>
      <c r="C58" s="110">
        <v>1</v>
      </c>
      <c r="D58" s="110">
        <v>140</v>
      </c>
      <c r="E58" s="108">
        <v>1000000</v>
      </c>
      <c r="F58" s="109">
        <v>140000000</v>
      </c>
      <c r="G58" s="109">
        <f>ROUND(E58*(1+$K$56)*(1+$M$56),0)</f>
        <v>1091345</v>
      </c>
      <c r="H58" s="45"/>
      <c r="I58" s="45"/>
      <c r="J58" s="45"/>
      <c r="K58" s="45"/>
      <c r="L58" s="45"/>
      <c r="M58" s="45"/>
      <c r="N58" s="45"/>
    </row>
    <row r="59" spans="2:14" x14ac:dyDescent="0.25">
      <c r="B59" s="921" t="s">
        <v>322</v>
      </c>
      <c r="C59" s="922"/>
      <c r="D59" s="922"/>
      <c r="E59" s="922"/>
      <c r="F59" s="922"/>
      <c r="G59" s="923"/>
    </row>
    <row r="60" spans="2:14" x14ac:dyDescent="0.25">
      <c r="B60" s="916" t="s">
        <v>248</v>
      </c>
      <c r="C60" s="920" t="s">
        <v>323</v>
      </c>
      <c r="D60" s="920"/>
      <c r="E60" s="920"/>
      <c r="F60" s="920"/>
      <c r="G60" s="918" t="s">
        <v>155</v>
      </c>
      <c r="H60" s="111"/>
    </row>
    <row r="61" spans="2:14" x14ac:dyDescent="0.25">
      <c r="B61" s="916"/>
      <c r="C61" s="105" t="s">
        <v>196</v>
      </c>
      <c r="D61" s="105" t="s">
        <v>232</v>
      </c>
      <c r="E61" s="105" t="s">
        <v>197</v>
      </c>
      <c r="F61" s="106" t="s">
        <v>195</v>
      </c>
      <c r="G61" s="918"/>
    </row>
    <row r="62" spans="2:14" x14ac:dyDescent="0.25">
      <c r="B62" s="107" t="s">
        <v>317</v>
      </c>
      <c r="C62" s="110">
        <v>1</v>
      </c>
      <c r="D62" s="110">
        <v>50</v>
      </c>
      <c r="E62" s="108">
        <v>900000</v>
      </c>
      <c r="F62" s="112">
        <v>45000000</v>
      </c>
      <c r="G62" s="109">
        <f>ROUND(E62*(1+$K$56)*(1+$M$56),0)</f>
        <v>982210</v>
      </c>
    </row>
    <row r="63" spans="2:14" x14ac:dyDescent="0.25">
      <c r="B63" s="916" t="s">
        <v>248</v>
      </c>
      <c r="C63" s="920" t="s">
        <v>324</v>
      </c>
      <c r="D63" s="920"/>
      <c r="E63" s="920"/>
      <c r="F63" s="920"/>
      <c r="G63" s="918" t="s">
        <v>155</v>
      </c>
      <c r="H63" s="111"/>
      <c r="I63" s="927"/>
      <c r="J63" s="927"/>
    </row>
    <row r="64" spans="2:14" x14ac:dyDescent="0.25">
      <c r="B64" s="916"/>
      <c r="C64" s="105" t="s">
        <v>196</v>
      </c>
      <c r="D64" s="105" t="s">
        <v>232</v>
      </c>
      <c r="E64" s="105" t="s">
        <v>197</v>
      </c>
      <c r="F64" s="106" t="s">
        <v>195</v>
      </c>
      <c r="G64" s="918"/>
      <c r="I64" s="42"/>
      <c r="J64" s="102"/>
    </row>
    <row r="65" spans="2:7" x14ac:dyDescent="0.25">
      <c r="B65" s="113" t="s">
        <v>317</v>
      </c>
      <c r="C65" s="110">
        <v>1</v>
      </c>
      <c r="D65" s="110">
        <v>50</v>
      </c>
      <c r="E65" s="114">
        <v>1500000</v>
      </c>
      <c r="F65" s="109">
        <v>75000000</v>
      </c>
      <c r="G65" s="109">
        <f>ROUND(E65*(1+$K$56)*(1+$M$56),0)</f>
        <v>1637017</v>
      </c>
    </row>
    <row r="66" spans="2:7" x14ac:dyDescent="0.25">
      <c r="B66" s="916" t="s">
        <v>248</v>
      </c>
      <c r="C66" s="920" t="s">
        <v>325</v>
      </c>
      <c r="D66" s="920"/>
      <c r="E66" s="920"/>
      <c r="F66" s="920"/>
      <c r="G66" s="918" t="s">
        <v>155</v>
      </c>
    </row>
    <row r="67" spans="2:7" x14ac:dyDescent="0.25">
      <c r="B67" s="916"/>
      <c r="C67" s="105" t="s">
        <v>196</v>
      </c>
      <c r="D67" s="105" t="s">
        <v>232</v>
      </c>
      <c r="E67" s="105" t="s">
        <v>197</v>
      </c>
      <c r="F67" s="106" t="s">
        <v>195</v>
      </c>
      <c r="G67" s="918"/>
    </row>
    <row r="68" spans="2:7" x14ac:dyDescent="0.25">
      <c r="B68" s="113" t="s">
        <v>317</v>
      </c>
      <c r="C68" s="110">
        <v>1</v>
      </c>
      <c r="D68" s="110">
        <v>50</v>
      </c>
      <c r="E68" s="114">
        <v>800000</v>
      </c>
      <c r="F68" s="109">
        <v>40000000</v>
      </c>
      <c r="G68" s="109">
        <f>ROUND(E68*(1+$K$56)*(1+$M$56),0)</f>
        <v>873076</v>
      </c>
    </row>
    <row r="69" spans="2:7" x14ac:dyDescent="0.25">
      <c r="B69" s="916" t="s">
        <v>248</v>
      </c>
      <c r="C69" s="917" t="s">
        <v>326</v>
      </c>
      <c r="D69" s="917"/>
      <c r="E69" s="917"/>
      <c r="F69" s="917"/>
      <c r="G69" s="918" t="s">
        <v>155</v>
      </c>
    </row>
    <row r="70" spans="2:7" x14ac:dyDescent="0.25">
      <c r="B70" s="916"/>
      <c r="C70" s="105" t="s">
        <v>196</v>
      </c>
      <c r="D70" s="105" t="s">
        <v>232</v>
      </c>
      <c r="E70" s="105" t="s">
        <v>197</v>
      </c>
      <c r="F70" s="106" t="s">
        <v>195</v>
      </c>
      <c r="G70" s="918"/>
    </row>
    <row r="71" spans="2:7" x14ac:dyDescent="0.25">
      <c r="B71" s="113" t="s">
        <v>317</v>
      </c>
      <c r="C71" s="110">
        <v>1</v>
      </c>
      <c r="D71" s="110">
        <v>50</v>
      </c>
      <c r="E71" s="108">
        <v>800000</v>
      </c>
      <c r="F71" s="109">
        <v>40000000</v>
      </c>
      <c r="G71" s="109">
        <f>ROUND(E71*(1+$K$56)*(1+$M$56),0)</f>
        <v>873076</v>
      </c>
    </row>
    <row r="72" spans="2:7" x14ac:dyDescent="0.25">
      <c r="B72" s="916" t="s">
        <v>248</v>
      </c>
      <c r="C72" s="920" t="s">
        <v>327</v>
      </c>
      <c r="D72" s="920"/>
      <c r="E72" s="920"/>
      <c r="F72" s="920"/>
      <c r="G72" s="918" t="s">
        <v>155</v>
      </c>
    </row>
    <row r="73" spans="2:7" x14ac:dyDescent="0.25">
      <c r="B73" s="916"/>
      <c r="C73" s="105" t="s">
        <v>196</v>
      </c>
      <c r="D73" s="105" t="s">
        <v>232</v>
      </c>
      <c r="E73" s="105" t="s">
        <v>197</v>
      </c>
      <c r="F73" s="106" t="s">
        <v>195</v>
      </c>
      <c r="G73" s="918"/>
    </row>
    <row r="74" spans="2:7" x14ac:dyDescent="0.25">
      <c r="B74" s="113" t="s">
        <v>317</v>
      </c>
      <c r="C74" s="110">
        <v>1</v>
      </c>
      <c r="D74" s="110">
        <v>50</v>
      </c>
      <c r="E74" s="108">
        <v>800000</v>
      </c>
      <c r="F74" s="109">
        <v>40000000</v>
      </c>
      <c r="G74" s="109">
        <f>ROUND(E74*(1+$K$56)*(1+$M$56),0)</f>
        <v>873076</v>
      </c>
    </row>
    <row r="75" spans="2:7" x14ac:dyDescent="0.25">
      <c r="B75" s="924" t="s">
        <v>328</v>
      </c>
      <c r="C75" s="925"/>
      <c r="D75" s="925"/>
      <c r="E75" s="925"/>
      <c r="F75" s="925"/>
      <c r="G75" s="926"/>
    </row>
    <row r="76" spans="2:7" x14ac:dyDescent="0.25">
      <c r="B76" s="916" t="s">
        <v>248</v>
      </c>
      <c r="C76" s="920" t="s">
        <v>329</v>
      </c>
      <c r="D76" s="920"/>
      <c r="E76" s="920"/>
      <c r="F76" s="920"/>
      <c r="G76" s="918" t="s">
        <v>155</v>
      </c>
    </row>
    <row r="77" spans="2:7" x14ac:dyDescent="0.25">
      <c r="B77" s="916"/>
      <c r="C77" s="105" t="s">
        <v>196</v>
      </c>
      <c r="D77" s="105" t="s">
        <v>232</v>
      </c>
      <c r="E77" s="105" t="s">
        <v>197</v>
      </c>
      <c r="F77" s="106" t="s">
        <v>195</v>
      </c>
      <c r="G77" s="918"/>
    </row>
    <row r="78" spans="2:7" x14ac:dyDescent="0.25">
      <c r="B78" s="113" t="s">
        <v>317</v>
      </c>
      <c r="C78" s="110">
        <v>1</v>
      </c>
      <c r="D78" s="110">
        <v>140</v>
      </c>
      <c r="E78" s="108">
        <v>1000000</v>
      </c>
      <c r="F78" s="109">
        <v>140000000</v>
      </c>
      <c r="G78" s="109">
        <f>ROUND(E78*(1+$K$56)*(1+$M$56),0)</f>
        <v>1091345</v>
      </c>
    </row>
    <row r="86" spans="2:15" x14ac:dyDescent="0.25">
      <c r="B86" s="60" t="s">
        <v>146</v>
      </c>
      <c r="C86" s="34" t="s">
        <v>5</v>
      </c>
      <c r="D86" s="25" t="s">
        <v>6</v>
      </c>
      <c r="E86" s="25" t="s">
        <v>145</v>
      </c>
      <c r="F86" s="25" t="s">
        <v>3</v>
      </c>
      <c r="G86" s="34" t="s">
        <v>7</v>
      </c>
      <c r="H86" s="853" t="s">
        <v>244</v>
      </c>
      <c r="I86" s="853"/>
      <c r="J86" s="853"/>
      <c r="K86" s="853"/>
      <c r="L86" s="853"/>
      <c r="M86" s="853"/>
      <c r="N86" s="853"/>
    </row>
    <row r="87" spans="2:15" ht="51.75" customHeight="1" x14ac:dyDescent="0.25">
      <c r="B87" s="64">
        <v>1</v>
      </c>
      <c r="C87" s="36" t="s">
        <v>334</v>
      </c>
      <c r="D87" s="37" t="s">
        <v>1133</v>
      </c>
      <c r="E87" s="36" t="s">
        <v>1132</v>
      </c>
      <c r="F87" s="37">
        <v>2024</v>
      </c>
      <c r="G87" s="36"/>
      <c r="H87" s="847" t="s">
        <v>1134</v>
      </c>
      <c r="I87" s="848"/>
      <c r="J87" s="848"/>
      <c r="K87" s="848"/>
      <c r="L87" s="848"/>
      <c r="M87" s="848"/>
      <c r="N87" s="848"/>
    </row>
    <row r="89" spans="2:15" x14ac:dyDescent="0.25">
      <c r="B89" s="906" t="s">
        <v>1154</v>
      </c>
      <c r="C89" s="906"/>
      <c r="D89" s="906"/>
      <c r="E89" s="906"/>
      <c r="F89" s="906"/>
      <c r="G89" s="906"/>
    </row>
    <row r="90" spans="2:15" x14ac:dyDescent="0.25">
      <c r="B90" s="900" t="s">
        <v>1136</v>
      </c>
      <c r="C90" s="901"/>
      <c r="D90" s="901"/>
      <c r="E90" s="901"/>
      <c r="F90" s="901"/>
      <c r="G90" s="902"/>
      <c r="J90" s="867" t="s">
        <v>150</v>
      </c>
      <c r="K90" s="868"/>
      <c r="L90" s="867" t="s">
        <v>150</v>
      </c>
      <c r="M90" s="868"/>
      <c r="N90" s="867" t="s">
        <v>150</v>
      </c>
      <c r="O90" s="868"/>
    </row>
    <row r="91" spans="2:15" x14ac:dyDescent="0.25">
      <c r="B91" s="903"/>
      <c r="C91" s="904"/>
      <c r="D91" s="904"/>
      <c r="E91" s="904"/>
      <c r="F91" s="904"/>
      <c r="G91" s="905"/>
      <c r="J91" s="175" t="s">
        <v>154</v>
      </c>
      <c r="K91" s="176">
        <v>9.2799999999999994E-2</v>
      </c>
      <c r="L91" s="175" t="s">
        <v>151</v>
      </c>
      <c r="M91" s="176">
        <v>5.1999999999999998E-2</v>
      </c>
      <c r="N91" s="175" t="s">
        <v>1074</v>
      </c>
      <c r="O91" s="176">
        <v>3.7400000000000003E-2</v>
      </c>
    </row>
    <row r="92" spans="2:15" x14ac:dyDescent="0.25">
      <c r="B92" s="456" t="s">
        <v>1137</v>
      </c>
      <c r="C92" s="457" t="s">
        <v>196</v>
      </c>
      <c r="D92" s="458" t="s">
        <v>1138</v>
      </c>
      <c r="E92" s="458" t="s">
        <v>1139</v>
      </c>
      <c r="F92" s="459" t="s">
        <v>1140</v>
      </c>
      <c r="G92" s="460" t="s">
        <v>1141</v>
      </c>
      <c r="H92" s="22" t="s">
        <v>1155</v>
      </c>
    </row>
    <row r="93" spans="2:15" ht="30" customHeight="1" x14ac:dyDescent="0.25">
      <c r="B93" s="461" t="s">
        <v>1142</v>
      </c>
      <c r="C93" s="462">
        <v>49</v>
      </c>
      <c r="D93" s="463">
        <v>500000</v>
      </c>
      <c r="E93" s="463">
        <v>24500000</v>
      </c>
      <c r="F93" s="464">
        <v>6</v>
      </c>
      <c r="G93" s="465">
        <v>147000000</v>
      </c>
      <c r="H93" s="413">
        <f>ROUND(D93*(1+$M$91)*(1+$O$91),0)</f>
        <v>545672</v>
      </c>
    </row>
    <row r="94" spans="2:15" ht="30" customHeight="1" x14ac:dyDescent="0.25">
      <c r="B94" s="466" t="s">
        <v>1156</v>
      </c>
      <c r="C94" s="467">
        <v>49</v>
      </c>
      <c r="D94" s="468">
        <v>1500000</v>
      </c>
      <c r="E94" s="469">
        <v>73500000</v>
      </c>
      <c r="F94" s="470">
        <v>2</v>
      </c>
      <c r="G94" s="471">
        <v>147000000</v>
      </c>
      <c r="H94" s="413">
        <f t="shared" ref="H94:H105" si="3">ROUND(D94*(1+$M$91)*(1+$O$91),0)</f>
        <v>1637017</v>
      </c>
      <c r="I94" s="22" t="s">
        <v>1157</v>
      </c>
      <c r="J94" s="22">
        <f>ROUND(H94/2,0)</f>
        <v>818509</v>
      </c>
    </row>
    <row r="95" spans="2:15" ht="30" customHeight="1" x14ac:dyDescent="0.25">
      <c r="B95" s="466" t="s">
        <v>1143</v>
      </c>
      <c r="C95" s="467">
        <v>49</v>
      </c>
      <c r="D95" s="468">
        <v>1600000</v>
      </c>
      <c r="E95" s="469">
        <v>78400000</v>
      </c>
      <c r="F95" s="470">
        <v>1</v>
      </c>
      <c r="G95" s="471">
        <v>78400000</v>
      </c>
      <c r="H95" s="413">
        <f t="shared" si="3"/>
        <v>1746152</v>
      </c>
    </row>
    <row r="96" spans="2:15" ht="30" customHeight="1" x14ac:dyDescent="0.25">
      <c r="B96" s="466" t="s">
        <v>1144</v>
      </c>
      <c r="C96" s="467">
        <v>1</v>
      </c>
      <c r="D96" s="468">
        <v>2000000</v>
      </c>
      <c r="E96" s="469">
        <v>2000000</v>
      </c>
      <c r="F96" s="470">
        <v>4</v>
      </c>
      <c r="G96" s="471">
        <v>8000000</v>
      </c>
      <c r="H96" s="413">
        <f t="shared" si="3"/>
        <v>2182690</v>
      </c>
    </row>
    <row r="97" spans="2:16" ht="30" customHeight="1" x14ac:dyDescent="0.25">
      <c r="B97" s="466" t="s">
        <v>1145</v>
      </c>
      <c r="C97" s="467">
        <v>19</v>
      </c>
      <c r="D97" s="468">
        <v>47000</v>
      </c>
      <c r="E97" s="469">
        <v>893000</v>
      </c>
      <c r="F97" s="470">
        <v>4</v>
      </c>
      <c r="G97" s="471">
        <v>3572000</v>
      </c>
      <c r="H97" s="413">
        <f t="shared" si="3"/>
        <v>51293</v>
      </c>
    </row>
    <row r="98" spans="2:16" ht="30" customHeight="1" x14ac:dyDescent="0.25">
      <c r="B98" s="466" t="s">
        <v>1146</v>
      </c>
      <c r="C98" s="467">
        <v>19</v>
      </c>
      <c r="D98" s="468">
        <v>37211</v>
      </c>
      <c r="E98" s="469">
        <v>707000</v>
      </c>
      <c r="F98" s="470">
        <v>4</v>
      </c>
      <c r="G98" s="471">
        <v>2828000</v>
      </c>
      <c r="H98" s="413">
        <f t="shared" si="3"/>
        <v>40610</v>
      </c>
    </row>
    <row r="99" spans="2:16" ht="30" customHeight="1" x14ac:dyDescent="0.25">
      <c r="B99" s="466" t="s">
        <v>1147</v>
      </c>
      <c r="C99" s="467">
        <v>98</v>
      </c>
      <c r="D99" s="468">
        <v>23000</v>
      </c>
      <c r="E99" s="469">
        <v>2254000</v>
      </c>
      <c r="F99" s="470">
        <v>4</v>
      </c>
      <c r="G99" s="471">
        <v>9016000</v>
      </c>
      <c r="H99" s="413">
        <f t="shared" si="3"/>
        <v>25101</v>
      </c>
    </row>
    <row r="100" spans="2:16" ht="30" customHeight="1" x14ac:dyDescent="0.25">
      <c r="B100" s="466" t="s">
        <v>1148</v>
      </c>
      <c r="C100" s="467">
        <v>38</v>
      </c>
      <c r="D100" s="468">
        <v>24211</v>
      </c>
      <c r="E100" s="469">
        <v>920000</v>
      </c>
      <c r="F100" s="470">
        <v>4</v>
      </c>
      <c r="G100" s="471">
        <v>3680000</v>
      </c>
      <c r="H100" s="413">
        <f t="shared" si="3"/>
        <v>26423</v>
      </c>
    </row>
    <row r="101" spans="2:16" ht="30" customHeight="1" x14ac:dyDescent="0.25">
      <c r="B101" s="466" t="s">
        <v>1149</v>
      </c>
      <c r="C101" s="467">
        <v>1</v>
      </c>
      <c r="D101" s="469">
        <v>800000</v>
      </c>
      <c r="E101" s="469">
        <v>800000</v>
      </c>
      <c r="F101" s="472">
        <v>4</v>
      </c>
      <c r="G101" s="471">
        <v>3200000</v>
      </c>
      <c r="H101" s="413">
        <f t="shared" si="3"/>
        <v>873076</v>
      </c>
    </row>
    <row r="102" spans="2:16" ht="30" customHeight="1" x14ac:dyDescent="0.25">
      <c r="B102" s="466" t="s">
        <v>1150</v>
      </c>
      <c r="C102" s="467">
        <v>1</v>
      </c>
      <c r="D102" s="469">
        <v>1000000</v>
      </c>
      <c r="E102" s="469">
        <v>1000000</v>
      </c>
      <c r="F102" s="472">
        <v>1</v>
      </c>
      <c r="G102" s="471">
        <v>1000000</v>
      </c>
      <c r="H102" s="413">
        <f t="shared" si="3"/>
        <v>1091345</v>
      </c>
    </row>
    <row r="103" spans="2:16" ht="30" customHeight="1" x14ac:dyDescent="0.25">
      <c r="B103" s="473" t="s">
        <v>1151</v>
      </c>
      <c r="C103" s="467">
        <v>49</v>
      </c>
      <c r="D103" s="469">
        <v>60000</v>
      </c>
      <c r="E103" s="469">
        <v>2940000</v>
      </c>
      <c r="F103" s="472">
        <v>1</v>
      </c>
      <c r="G103" s="471">
        <v>2940000</v>
      </c>
      <c r="H103" s="413">
        <f t="shared" si="3"/>
        <v>65481</v>
      </c>
    </row>
    <row r="104" spans="2:16" ht="30" customHeight="1" x14ac:dyDescent="0.25">
      <c r="B104" s="466" t="s">
        <v>1152</v>
      </c>
      <c r="C104" s="467">
        <v>2</v>
      </c>
      <c r="D104" s="469">
        <v>3000000</v>
      </c>
      <c r="E104" s="469">
        <v>6000000</v>
      </c>
      <c r="F104" s="472">
        <v>1</v>
      </c>
      <c r="G104" s="471">
        <v>6000000</v>
      </c>
      <c r="H104" s="413">
        <f t="shared" si="3"/>
        <v>3274034</v>
      </c>
    </row>
    <row r="105" spans="2:16" ht="30" customHeight="1" thickBot="1" x14ac:dyDescent="0.3">
      <c r="B105" s="474" t="s">
        <v>1153</v>
      </c>
      <c r="C105" s="475">
        <v>1</v>
      </c>
      <c r="D105" s="476">
        <v>3000000</v>
      </c>
      <c r="E105" s="476">
        <v>3000000</v>
      </c>
      <c r="F105" s="477">
        <v>4</v>
      </c>
      <c r="G105" s="478">
        <v>12000000</v>
      </c>
      <c r="H105" s="413">
        <f t="shared" si="3"/>
        <v>3274034</v>
      </c>
    </row>
    <row r="109" spans="2:16" x14ac:dyDescent="0.25">
      <c r="B109" s="34" t="s">
        <v>146</v>
      </c>
      <c r="C109" s="34" t="s">
        <v>5</v>
      </c>
      <c r="D109" s="25" t="s">
        <v>6</v>
      </c>
      <c r="E109" s="25" t="s">
        <v>145</v>
      </c>
      <c r="F109" s="25" t="s">
        <v>3</v>
      </c>
      <c r="G109" s="34" t="s">
        <v>7</v>
      </c>
      <c r="H109" s="853" t="s">
        <v>8</v>
      </c>
      <c r="I109" s="853"/>
      <c r="J109" s="853"/>
      <c r="K109" s="853"/>
      <c r="L109" s="853"/>
      <c r="M109" s="853"/>
    </row>
    <row r="110" spans="2:16" ht="15" x14ac:dyDescent="0.25">
      <c r="B110" s="35">
        <v>4</v>
      </c>
      <c r="C110" s="36" t="s">
        <v>331</v>
      </c>
      <c r="D110" s="37" t="s">
        <v>1172</v>
      </c>
      <c r="E110" s="36" t="s">
        <v>483</v>
      </c>
      <c r="F110" s="37">
        <v>2024</v>
      </c>
      <c r="G110" s="37" t="s">
        <v>2</v>
      </c>
      <c r="H110" s="318" t="s">
        <v>1173</v>
      </c>
      <c r="I110" s="479"/>
      <c r="J110" s="479"/>
      <c r="K110" s="479"/>
      <c r="L110" s="479"/>
      <c r="M110" s="479"/>
    </row>
    <row r="111" spans="2:16" x14ac:dyDescent="0.25">
      <c r="B111" s="22"/>
      <c r="C111" s="22"/>
      <c r="D111" s="22"/>
      <c r="G111" s="22"/>
    </row>
    <row r="112" spans="2:16" ht="13.5" customHeight="1" x14ac:dyDescent="0.25">
      <c r="B112" s="22"/>
      <c r="C112" s="22"/>
      <c r="D112" s="22"/>
      <c r="G112" s="22"/>
      <c r="K112" s="867" t="s">
        <v>150</v>
      </c>
      <c r="L112" s="868"/>
      <c r="M112" s="867" t="s">
        <v>150</v>
      </c>
      <c r="N112" s="868"/>
      <c r="O112" s="867" t="s">
        <v>150</v>
      </c>
      <c r="P112" s="868"/>
    </row>
    <row r="113" spans="2:16" ht="13.5" customHeight="1" x14ac:dyDescent="0.25">
      <c r="B113" s="897" t="s">
        <v>1174</v>
      </c>
      <c r="C113" s="897"/>
      <c r="D113" s="897"/>
      <c r="E113" s="897"/>
      <c r="F113" s="897"/>
      <c r="G113" s="897"/>
      <c r="H113" s="480"/>
      <c r="I113" s="898" t="s">
        <v>149</v>
      </c>
      <c r="K113" s="175" t="s">
        <v>154</v>
      </c>
      <c r="L113" s="176">
        <v>9.2799999999999994E-2</v>
      </c>
      <c r="M113" s="175" t="s">
        <v>151</v>
      </c>
      <c r="N113" s="176">
        <v>5.1999999999999998E-2</v>
      </c>
      <c r="O113" s="175" t="s">
        <v>1074</v>
      </c>
      <c r="P113" s="176">
        <v>3.7400000000000003E-2</v>
      </c>
    </row>
    <row r="114" spans="2:16" ht="38.25" x14ac:dyDescent="0.25">
      <c r="B114" s="481" t="s">
        <v>1175</v>
      </c>
      <c r="C114" s="891" t="s">
        <v>485</v>
      </c>
      <c r="D114" s="892"/>
      <c r="E114" s="482" t="s">
        <v>232</v>
      </c>
      <c r="F114" s="482" t="s">
        <v>215</v>
      </c>
      <c r="G114" s="483" t="s">
        <v>1176</v>
      </c>
      <c r="H114" s="482" t="s">
        <v>487</v>
      </c>
      <c r="I114" s="899"/>
    </row>
    <row r="115" spans="2:16" x14ac:dyDescent="0.25">
      <c r="B115" s="484" t="s">
        <v>1177</v>
      </c>
      <c r="C115" s="888" t="s">
        <v>1178</v>
      </c>
      <c r="D115" s="889"/>
      <c r="E115" s="422" t="s">
        <v>287</v>
      </c>
      <c r="F115" s="422">
        <v>35</v>
      </c>
      <c r="G115" s="485">
        <v>2500000</v>
      </c>
      <c r="H115" s="486">
        <f t="shared" ref="H115" si="4">G115*F115</f>
        <v>87500000</v>
      </c>
      <c r="I115" s="104">
        <f>ROUND(G115*(1+$N$113)*(1+$P$113),0)</f>
        <v>2728362</v>
      </c>
      <c r="K115" s="22" t="s">
        <v>1179</v>
      </c>
    </row>
    <row r="116" spans="2:16" ht="25.5" x14ac:dyDescent="0.25">
      <c r="B116" s="481" t="s">
        <v>1180</v>
      </c>
      <c r="C116" s="891" t="s">
        <v>485</v>
      </c>
      <c r="D116" s="892"/>
      <c r="E116" s="482" t="s">
        <v>232</v>
      </c>
      <c r="F116" s="482" t="s">
        <v>215</v>
      </c>
      <c r="G116" s="483" t="s">
        <v>1176</v>
      </c>
      <c r="H116" s="487" t="s">
        <v>487</v>
      </c>
      <c r="I116" s="24"/>
      <c r="K116" s="115">
        <f>ROUND(AVERAGE(I115,I117,I119,I121,I123,I125),0)</f>
        <v>2182690</v>
      </c>
    </row>
    <row r="117" spans="2:16" x14ac:dyDescent="0.25">
      <c r="B117" s="488" t="s">
        <v>1181</v>
      </c>
      <c r="C117" s="888" t="s">
        <v>1182</v>
      </c>
      <c r="D117" s="889"/>
      <c r="E117" s="422" t="s">
        <v>287</v>
      </c>
      <c r="F117" s="422">
        <v>35</v>
      </c>
      <c r="G117" s="489">
        <v>1500000</v>
      </c>
      <c r="H117" s="486">
        <f t="shared" ref="H117" si="5">G117*F117</f>
        <v>52500000</v>
      </c>
      <c r="I117" s="104">
        <f>ROUND(G117*(1+$N$113)*(1+$P$113),0)</f>
        <v>1637017</v>
      </c>
    </row>
    <row r="118" spans="2:16" ht="25.5" x14ac:dyDescent="0.25">
      <c r="B118" s="481" t="s">
        <v>1183</v>
      </c>
      <c r="C118" s="891" t="s">
        <v>485</v>
      </c>
      <c r="D118" s="892"/>
      <c r="E118" s="482" t="s">
        <v>232</v>
      </c>
      <c r="F118" s="482" t="s">
        <v>215</v>
      </c>
      <c r="G118" s="483" t="s">
        <v>1176</v>
      </c>
      <c r="H118" s="487" t="s">
        <v>487</v>
      </c>
      <c r="I118" s="24"/>
    </row>
    <row r="119" spans="2:16" x14ac:dyDescent="0.25">
      <c r="B119" s="488" t="s">
        <v>1184</v>
      </c>
      <c r="C119" s="888" t="s">
        <v>1185</v>
      </c>
      <c r="D119" s="889"/>
      <c r="E119" s="422" t="s">
        <v>287</v>
      </c>
      <c r="F119" s="422">
        <v>35</v>
      </c>
      <c r="G119" s="489">
        <v>2500000</v>
      </c>
      <c r="H119" s="486">
        <f t="shared" ref="H119" si="6">G119*F119</f>
        <v>87500000</v>
      </c>
      <c r="I119" s="104">
        <f>ROUND(G119*(1+$N$113)*(1+$P$113),0)</f>
        <v>2728362</v>
      </c>
    </row>
    <row r="120" spans="2:16" ht="25.5" x14ac:dyDescent="0.25">
      <c r="B120" s="481" t="s">
        <v>1186</v>
      </c>
      <c r="C120" s="891" t="s">
        <v>485</v>
      </c>
      <c r="D120" s="892"/>
      <c r="E120" s="482" t="s">
        <v>232</v>
      </c>
      <c r="F120" s="482" t="s">
        <v>215</v>
      </c>
      <c r="G120" s="483" t="s">
        <v>1176</v>
      </c>
      <c r="H120" s="487" t="s">
        <v>487</v>
      </c>
      <c r="I120" s="24"/>
    </row>
    <row r="121" spans="2:16" x14ac:dyDescent="0.25">
      <c r="B121" s="488" t="s">
        <v>1187</v>
      </c>
      <c r="C121" s="888" t="s">
        <v>1188</v>
      </c>
      <c r="D121" s="889"/>
      <c r="E121" s="422" t="s">
        <v>287</v>
      </c>
      <c r="F121" s="422">
        <v>35</v>
      </c>
      <c r="G121" s="489">
        <v>1500000</v>
      </c>
      <c r="H121" s="486">
        <f t="shared" ref="H121" si="7">G121*F121</f>
        <v>52500000</v>
      </c>
      <c r="I121" s="104">
        <f>ROUND(G121*(1+$N$113)*(1+$P$113),0)</f>
        <v>1637017</v>
      </c>
    </row>
    <row r="122" spans="2:16" ht="38.25" x14ac:dyDescent="0.25">
      <c r="B122" s="481" t="s">
        <v>1189</v>
      </c>
      <c r="C122" s="891" t="s">
        <v>485</v>
      </c>
      <c r="D122" s="892"/>
      <c r="E122" s="482" t="s">
        <v>232</v>
      </c>
      <c r="F122" s="482" t="s">
        <v>215</v>
      </c>
      <c r="G122" s="483" t="s">
        <v>1176</v>
      </c>
      <c r="H122" s="487" t="s">
        <v>487</v>
      </c>
      <c r="I122" s="24"/>
    </row>
    <row r="123" spans="2:16" x14ac:dyDescent="0.25">
      <c r="B123" s="488" t="s">
        <v>1190</v>
      </c>
      <c r="C123" s="888" t="s">
        <v>1191</v>
      </c>
      <c r="D123" s="889"/>
      <c r="E123" s="422" t="s">
        <v>287</v>
      </c>
      <c r="F123" s="422">
        <v>35</v>
      </c>
      <c r="G123" s="489">
        <v>1500000</v>
      </c>
      <c r="H123" s="486">
        <f t="shared" ref="H123" si="8">G123*F123</f>
        <v>52500000</v>
      </c>
      <c r="I123" s="104">
        <f>ROUND(G123*(1+$N$113)*(1+$P$113),0)</f>
        <v>1637017</v>
      </c>
    </row>
    <row r="124" spans="2:16" ht="25.5" x14ac:dyDescent="0.25">
      <c r="B124" s="481" t="s">
        <v>1192</v>
      </c>
      <c r="C124" s="891" t="s">
        <v>485</v>
      </c>
      <c r="D124" s="892"/>
      <c r="E124" s="482" t="s">
        <v>232</v>
      </c>
      <c r="F124" s="482" t="s">
        <v>215</v>
      </c>
      <c r="G124" s="483" t="s">
        <v>1176</v>
      </c>
      <c r="H124" s="487" t="s">
        <v>487</v>
      </c>
      <c r="I124" s="24"/>
    </row>
    <row r="125" spans="2:16" x14ac:dyDescent="0.25">
      <c r="B125" s="488" t="s">
        <v>1193</v>
      </c>
      <c r="C125" s="888" t="s">
        <v>1194</v>
      </c>
      <c r="D125" s="889"/>
      <c r="E125" s="422" t="s">
        <v>287</v>
      </c>
      <c r="F125" s="422">
        <v>35</v>
      </c>
      <c r="G125" s="489">
        <v>2500000</v>
      </c>
      <c r="H125" s="486">
        <f t="shared" ref="H125" si="9">G125*F125</f>
        <v>87500000</v>
      </c>
      <c r="I125" s="104">
        <f>ROUND(G125*(1+$N$113)*(1+$P$113),0)</f>
        <v>2728362</v>
      </c>
    </row>
    <row r="129" spans="2:14" x14ac:dyDescent="0.25">
      <c r="B129" s="34" t="s">
        <v>146</v>
      </c>
      <c r="C129" s="34" t="s">
        <v>5</v>
      </c>
      <c r="D129" s="25" t="s">
        <v>6</v>
      </c>
      <c r="E129" s="25" t="s">
        <v>145</v>
      </c>
      <c r="F129" s="25" t="s">
        <v>3</v>
      </c>
      <c r="G129" s="34" t="s">
        <v>7</v>
      </c>
      <c r="H129" s="853" t="s">
        <v>8</v>
      </c>
      <c r="I129" s="853"/>
      <c r="J129" s="853"/>
      <c r="K129" s="853"/>
      <c r="L129" s="853"/>
      <c r="M129" s="853"/>
      <c r="N129" s="853"/>
    </row>
    <row r="130" spans="2:14" x14ac:dyDescent="0.25">
      <c r="B130" s="35">
        <v>2</v>
      </c>
      <c r="C130" s="36" t="s">
        <v>1195</v>
      </c>
      <c r="D130" s="37" t="s">
        <v>1196</v>
      </c>
      <c r="E130" s="36" t="s">
        <v>483</v>
      </c>
      <c r="F130" s="37">
        <v>2023</v>
      </c>
      <c r="G130" s="37" t="s">
        <v>1</v>
      </c>
      <c r="H130" s="847" t="s">
        <v>1197</v>
      </c>
      <c r="I130" s="848"/>
      <c r="J130" s="848"/>
      <c r="K130" s="848"/>
      <c r="L130" s="848"/>
      <c r="M130" s="848"/>
      <c r="N130" s="848"/>
    </row>
    <row r="131" spans="2:14" x14ac:dyDescent="0.25">
      <c r="B131" s="22"/>
      <c r="C131" s="22"/>
      <c r="D131" s="22"/>
      <c r="G131" s="22"/>
    </row>
    <row r="132" spans="2:14" x14ac:dyDescent="0.25">
      <c r="B132" s="22"/>
      <c r="C132" s="22"/>
      <c r="D132" s="22"/>
      <c r="G132" s="22"/>
    </row>
    <row r="133" spans="2:14" ht="27" customHeight="1" x14ac:dyDescent="0.25">
      <c r="B133" s="890" t="s">
        <v>1198</v>
      </c>
      <c r="C133" s="890"/>
      <c r="D133" s="890"/>
      <c r="E133" s="890"/>
      <c r="F133" s="890"/>
      <c r="G133" s="38" t="s">
        <v>149</v>
      </c>
    </row>
    <row r="134" spans="2:14" x14ac:dyDescent="0.25">
      <c r="B134" s="490" t="s">
        <v>18</v>
      </c>
      <c r="C134" s="490" t="s">
        <v>315</v>
      </c>
      <c r="D134" s="490" t="s">
        <v>1199</v>
      </c>
      <c r="E134" s="490" t="s">
        <v>1200</v>
      </c>
      <c r="F134" s="490" t="s">
        <v>1201</v>
      </c>
      <c r="G134" s="38" t="s">
        <v>153</v>
      </c>
    </row>
    <row r="135" spans="2:14" ht="27" x14ac:dyDescent="0.25">
      <c r="B135" s="120" t="s">
        <v>1202</v>
      </c>
      <c r="C135" s="41">
        <v>50</v>
      </c>
      <c r="D135" s="41">
        <v>1</v>
      </c>
      <c r="E135" s="57">
        <v>470000</v>
      </c>
      <c r="F135" s="57">
        <f>C135*D135*E135</f>
        <v>23500000</v>
      </c>
      <c r="G135" s="51">
        <f>ROUND(E135*(1+$J$136)*(1+$L$136)*(1+$N$136),0)</f>
        <v>560532</v>
      </c>
      <c r="I135" s="867" t="s">
        <v>150</v>
      </c>
      <c r="J135" s="868"/>
      <c r="K135" s="867" t="s">
        <v>150</v>
      </c>
      <c r="L135" s="868"/>
      <c r="M135" s="867" t="s">
        <v>150</v>
      </c>
      <c r="N135" s="868"/>
    </row>
    <row r="136" spans="2:14" ht="27" x14ac:dyDescent="0.25">
      <c r="B136" s="120" t="s">
        <v>1203</v>
      </c>
      <c r="C136" s="41">
        <v>10</v>
      </c>
      <c r="D136" s="41">
        <v>1</v>
      </c>
      <c r="E136" s="57">
        <v>1600000</v>
      </c>
      <c r="F136" s="57">
        <f>C136*D136*E136</f>
        <v>16000000</v>
      </c>
      <c r="G136" s="51">
        <f>ROUND(E136*(1+$J$136)*(1+$L$136)*(1+$N$136),0)</f>
        <v>1908195</v>
      </c>
      <c r="I136" s="175" t="s">
        <v>154</v>
      </c>
      <c r="J136" s="176">
        <v>9.2799999999999994E-2</v>
      </c>
      <c r="K136" s="175" t="s">
        <v>151</v>
      </c>
      <c r="L136" s="176">
        <v>5.1999999999999998E-2</v>
      </c>
      <c r="M136" s="175" t="s">
        <v>1074</v>
      </c>
      <c r="N136" s="176">
        <v>3.7400000000000003E-2</v>
      </c>
    </row>
    <row r="137" spans="2:14" x14ac:dyDescent="0.25">
      <c r="B137" s="896" t="s">
        <v>1204</v>
      </c>
      <c r="C137" s="896"/>
      <c r="D137" s="896"/>
      <c r="E137" s="896"/>
      <c r="F137" s="896"/>
      <c r="G137" s="51"/>
    </row>
    <row r="138" spans="2:14" x14ac:dyDescent="0.25">
      <c r="B138" s="490" t="s">
        <v>18</v>
      </c>
      <c r="C138" s="490" t="s">
        <v>315</v>
      </c>
      <c r="D138" s="490" t="s">
        <v>1199</v>
      </c>
      <c r="E138" s="490" t="s">
        <v>1200</v>
      </c>
      <c r="F138" s="490" t="s">
        <v>1201</v>
      </c>
      <c r="G138" s="51"/>
    </row>
    <row r="139" spans="2:14" ht="27" x14ac:dyDescent="0.25">
      <c r="B139" s="120" t="s">
        <v>1205</v>
      </c>
      <c r="C139" s="41">
        <v>60</v>
      </c>
      <c r="D139" s="41">
        <v>1</v>
      </c>
      <c r="E139" s="57">
        <v>470000</v>
      </c>
      <c r="F139" s="57">
        <f>C139*D139*E139</f>
        <v>28200000</v>
      </c>
      <c r="G139" s="51">
        <f>ROUND(E139*(1+$J$136)*(1+$L$136)*(1+$N$136),0)</f>
        <v>560532</v>
      </c>
    </row>
    <row r="140" spans="2:14" x14ac:dyDescent="0.25">
      <c r="B140" s="893" t="s">
        <v>1206</v>
      </c>
      <c r="C140" s="893"/>
      <c r="D140" s="893"/>
      <c r="E140" s="893"/>
      <c r="F140" s="893"/>
      <c r="G140" s="51"/>
    </row>
    <row r="141" spans="2:14" x14ac:dyDescent="0.25">
      <c r="B141" s="490" t="s">
        <v>18</v>
      </c>
      <c r="C141" s="490" t="s">
        <v>315</v>
      </c>
      <c r="D141" s="490" t="s">
        <v>1199</v>
      </c>
      <c r="E141" s="490" t="s">
        <v>1200</v>
      </c>
      <c r="F141" s="490" t="s">
        <v>1201</v>
      </c>
      <c r="G141" s="51"/>
    </row>
    <row r="142" spans="2:14" ht="54" x14ac:dyDescent="0.25">
      <c r="B142" s="120" t="s">
        <v>1207</v>
      </c>
      <c r="C142" s="41">
        <v>60</v>
      </c>
      <c r="D142" s="41">
        <v>1</v>
      </c>
      <c r="E142" s="57">
        <v>500000</v>
      </c>
      <c r="F142" s="57">
        <f>C142*D142*E142</f>
        <v>30000000</v>
      </c>
      <c r="G142" s="51">
        <f>ROUND(E142*(1+$J$136)*(1+$L$136)*(1+$N$136),0)</f>
        <v>596311</v>
      </c>
    </row>
    <row r="143" spans="2:14" x14ac:dyDescent="0.25">
      <c r="B143" s="893" t="s">
        <v>1208</v>
      </c>
      <c r="C143" s="893"/>
      <c r="D143" s="893"/>
      <c r="E143" s="893"/>
      <c r="F143" s="893"/>
      <c r="G143" s="51"/>
    </row>
    <row r="144" spans="2:14" x14ac:dyDescent="0.25">
      <c r="B144" s="490" t="s">
        <v>18</v>
      </c>
      <c r="C144" s="490" t="s">
        <v>315</v>
      </c>
      <c r="D144" s="490" t="s">
        <v>1199</v>
      </c>
      <c r="E144" s="490" t="s">
        <v>1200</v>
      </c>
      <c r="F144" s="490" t="s">
        <v>1201</v>
      </c>
      <c r="G144" s="51"/>
    </row>
    <row r="145" spans="2:7" ht="27" x14ac:dyDescent="0.25">
      <c r="B145" s="120" t="s">
        <v>1209</v>
      </c>
      <c r="C145" s="41">
        <v>10</v>
      </c>
      <c r="D145" s="41">
        <v>1</v>
      </c>
      <c r="E145" s="57">
        <v>1200000</v>
      </c>
      <c r="F145" s="57">
        <f>C145*D145*E145</f>
        <v>12000000</v>
      </c>
      <c r="G145" s="51">
        <f t="shared" ref="G145:G146" si="10">ROUND(E145*(1+$J$136)*(1+$L$136)*(1+$N$136),0)</f>
        <v>1431146</v>
      </c>
    </row>
    <row r="146" spans="2:7" x14ac:dyDescent="0.25">
      <c r="B146" s="120" t="s">
        <v>1210</v>
      </c>
      <c r="C146" s="41">
        <v>50</v>
      </c>
      <c r="D146" s="41">
        <v>1</v>
      </c>
      <c r="E146" s="57">
        <v>800000</v>
      </c>
      <c r="F146" s="57">
        <f>C146*D146*E146</f>
        <v>40000000</v>
      </c>
      <c r="G146" s="51">
        <f t="shared" si="10"/>
        <v>954097</v>
      </c>
    </row>
    <row r="147" spans="2:7" x14ac:dyDescent="0.25">
      <c r="B147" s="893" t="s">
        <v>1211</v>
      </c>
      <c r="C147" s="893"/>
      <c r="D147" s="893"/>
      <c r="E147" s="893"/>
      <c r="F147" s="893"/>
      <c r="G147" s="51"/>
    </row>
    <row r="148" spans="2:7" x14ac:dyDescent="0.25">
      <c r="B148" s="490" t="s">
        <v>18</v>
      </c>
      <c r="C148" s="490" t="s">
        <v>315</v>
      </c>
      <c r="D148" s="490" t="s">
        <v>1199</v>
      </c>
      <c r="E148" s="490" t="s">
        <v>1200</v>
      </c>
      <c r="F148" s="490" t="s">
        <v>1201</v>
      </c>
      <c r="G148" s="51"/>
    </row>
    <row r="149" spans="2:7" ht="27" x14ac:dyDescent="0.25">
      <c r="B149" s="120" t="s">
        <v>1212</v>
      </c>
      <c r="C149" s="41">
        <v>60</v>
      </c>
      <c r="D149" s="41">
        <v>1</v>
      </c>
      <c r="E149" s="491">
        <v>470000</v>
      </c>
      <c r="F149" s="57">
        <f>C149*D149*E149</f>
        <v>28200000</v>
      </c>
      <c r="G149" s="51">
        <f>ROUND(E149*(1+$J$136)*(1+$L$136)*(1+$N$136),0)</f>
        <v>560532</v>
      </c>
    </row>
    <row r="150" spans="2:7" x14ac:dyDescent="0.25">
      <c r="B150" s="893" t="s">
        <v>1213</v>
      </c>
      <c r="C150" s="893"/>
      <c r="D150" s="893"/>
      <c r="E150" s="893"/>
      <c r="F150" s="893"/>
      <c r="G150" s="51"/>
    </row>
    <row r="151" spans="2:7" x14ac:dyDescent="0.25">
      <c r="B151" s="490" t="s">
        <v>18</v>
      </c>
      <c r="C151" s="490" t="s">
        <v>315</v>
      </c>
      <c r="D151" s="490" t="s">
        <v>1199</v>
      </c>
      <c r="E151" s="490" t="s">
        <v>1200</v>
      </c>
      <c r="F151" s="490" t="s">
        <v>1201</v>
      </c>
      <c r="G151" s="51"/>
    </row>
    <row r="152" spans="2:7" ht="27" x14ac:dyDescent="0.25">
      <c r="B152" s="120" t="s">
        <v>1212</v>
      </c>
      <c r="C152" s="41">
        <v>60</v>
      </c>
      <c r="D152" s="41">
        <v>1</v>
      </c>
      <c r="E152" s="491">
        <v>470000</v>
      </c>
      <c r="F152" s="57">
        <f>C152*D152*E152</f>
        <v>28200000</v>
      </c>
      <c r="G152" s="51">
        <f>ROUND(E152*(1+$J$136)*(1+$L$136)*(1+$N$136),0)</f>
        <v>560532</v>
      </c>
    </row>
    <row r="153" spans="2:7" x14ac:dyDescent="0.25">
      <c r="B153" s="22"/>
      <c r="C153" s="22"/>
      <c r="D153" s="22"/>
      <c r="G153" s="51"/>
    </row>
    <row r="154" spans="2:7" x14ac:dyDescent="0.25">
      <c r="B154" s="890" t="s">
        <v>1198</v>
      </c>
      <c r="C154" s="890"/>
      <c r="D154" s="890"/>
      <c r="E154" s="890"/>
      <c r="F154" s="890"/>
      <c r="G154" s="51"/>
    </row>
    <row r="155" spans="2:7" x14ac:dyDescent="0.25">
      <c r="B155" s="490" t="s">
        <v>18</v>
      </c>
      <c r="C155" s="490" t="s">
        <v>315</v>
      </c>
      <c r="D155" s="490" t="s">
        <v>1199</v>
      </c>
      <c r="E155" s="490" t="s">
        <v>1200</v>
      </c>
      <c r="F155" s="490" t="s">
        <v>1201</v>
      </c>
      <c r="G155" s="51"/>
    </row>
    <row r="156" spans="2:7" ht="25.5" x14ac:dyDescent="0.25">
      <c r="B156" s="492" t="s">
        <v>1214</v>
      </c>
      <c r="C156" s="493">
        <v>4</v>
      </c>
      <c r="D156" s="494">
        <v>1</v>
      </c>
      <c r="E156" s="495">
        <v>1000000</v>
      </c>
      <c r="F156" s="57">
        <f>C156*D156*E156</f>
        <v>4000000</v>
      </c>
      <c r="G156" s="51">
        <f t="shared" ref="G156:G158" si="11">ROUND(E156*(1+$J$136)*(1+$L$136)*(1+$N$136),0)</f>
        <v>1192622</v>
      </c>
    </row>
    <row r="157" spans="2:7" ht="25.5" x14ac:dyDescent="0.25">
      <c r="B157" s="492" t="s">
        <v>1215</v>
      </c>
      <c r="C157" s="493">
        <v>1</v>
      </c>
      <c r="D157" s="493" t="s">
        <v>858</v>
      </c>
      <c r="E157" s="495">
        <v>1400000</v>
      </c>
      <c r="F157" s="493" t="s">
        <v>1216</v>
      </c>
      <c r="G157" s="51">
        <f t="shared" si="11"/>
        <v>1669670</v>
      </c>
    </row>
    <row r="158" spans="2:7" x14ac:dyDescent="0.25">
      <c r="B158" s="492" t="s">
        <v>1217</v>
      </c>
      <c r="C158" s="493">
        <v>3</v>
      </c>
      <c r="D158" s="493">
        <v>2</v>
      </c>
      <c r="E158" s="495">
        <v>230000</v>
      </c>
      <c r="F158" s="57">
        <f>C158*D158*E158</f>
        <v>1380000</v>
      </c>
      <c r="G158" s="51">
        <f t="shared" si="11"/>
        <v>274303</v>
      </c>
    </row>
    <row r="159" spans="2:7" x14ac:dyDescent="0.25">
      <c r="B159" s="896" t="s">
        <v>1204</v>
      </c>
      <c r="C159" s="896"/>
      <c r="D159" s="896"/>
      <c r="E159" s="896"/>
      <c r="F159" s="896"/>
      <c r="G159" s="51"/>
    </row>
    <row r="160" spans="2:7" x14ac:dyDescent="0.25">
      <c r="B160" s="490" t="s">
        <v>18</v>
      </c>
      <c r="C160" s="490" t="s">
        <v>315</v>
      </c>
      <c r="D160" s="490" t="s">
        <v>1199</v>
      </c>
      <c r="E160" s="490" t="s">
        <v>1200</v>
      </c>
      <c r="F160" s="490" t="s">
        <v>1201</v>
      </c>
      <c r="G160" s="51"/>
    </row>
    <row r="161" spans="2:7" ht="25.5" x14ac:dyDescent="0.25">
      <c r="B161" s="492" t="s">
        <v>1218</v>
      </c>
      <c r="C161" s="493">
        <v>4</v>
      </c>
      <c r="D161" s="494">
        <v>1</v>
      </c>
      <c r="E161" s="495">
        <v>1000000</v>
      </c>
      <c r="F161" s="57">
        <f>C161*D161*E161</f>
        <v>4000000</v>
      </c>
      <c r="G161" s="51">
        <f t="shared" ref="G161:G162" si="12">ROUND(E161*(1+$J$136)*(1+$L$136)*(1+$N$136),0)</f>
        <v>1192622</v>
      </c>
    </row>
    <row r="162" spans="2:7" x14ac:dyDescent="0.25">
      <c r="B162" s="492" t="s">
        <v>1217</v>
      </c>
      <c r="C162" s="493">
        <v>3</v>
      </c>
      <c r="D162" s="493">
        <v>2</v>
      </c>
      <c r="E162" s="495">
        <v>230000</v>
      </c>
      <c r="F162" s="57">
        <f>C162*D162*E162</f>
        <v>1380000</v>
      </c>
      <c r="G162" s="51">
        <f t="shared" si="12"/>
        <v>274303</v>
      </c>
    </row>
    <row r="163" spans="2:7" x14ac:dyDescent="0.25">
      <c r="B163" s="893" t="s">
        <v>1206</v>
      </c>
      <c r="C163" s="893"/>
      <c r="D163" s="893"/>
      <c r="E163" s="893"/>
      <c r="F163" s="893"/>
      <c r="G163" s="51"/>
    </row>
    <row r="164" spans="2:7" x14ac:dyDescent="0.25">
      <c r="B164" s="490" t="s">
        <v>18</v>
      </c>
      <c r="C164" s="490" t="s">
        <v>315</v>
      </c>
      <c r="D164" s="490" t="s">
        <v>1199</v>
      </c>
      <c r="E164" s="490" t="s">
        <v>1200</v>
      </c>
      <c r="F164" s="490" t="s">
        <v>1201</v>
      </c>
      <c r="G164" s="51"/>
    </row>
    <row r="165" spans="2:7" ht="38.25" x14ac:dyDescent="0.25">
      <c r="B165" s="492" t="s">
        <v>1219</v>
      </c>
      <c r="C165" s="496">
        <v>4</v>
      </c>
      <c r="D165" s="494">
        <v>1</v>
      </c>
      <c r="E165" s="495">
        <v>1600000</v>
      </c>
      <c r="F165" s="57">
        <f>C165*D165*E165</f>
        <v>6400000</v>
      </c>
      <c r="G165" s="51">
        <f t="shared" ref="G165:G166" si="13">ROUND(E165*(1+$J$136)*(1+$L$136)*(1+$N$136),0)</f>
        <v>1908195</v>
      </c>
    </row>
    <row r="166" spans="2:7" x14ac:dyDescent="0.25">
      <c r="B166" s="492" t="s">
        <v>1217</v>
      </c>
      <c r="C166" s="493">
        <v>3</v>
      </c>
      <c r="D166" s="493">
        <v>2</v>
      </c>
      <c r="E166" s="495">
        <v>230000</v>
      </c>
      <c r="F166" s="57">
        <f>C166*D166*E166</f>
        <v>1380000</v>
      </c>
      <c r="G166" s="51">
        <f t="shared" si="13"/>
        <v>274303</v>
      </c>
    </row>
    <row r="167" spans="2:7" x14ac:dyDescent="0.25">
      <c r="B167" s="893" t="s">
        <v>1208</v>
      </c>
      <c r="C167" s="893"/>
      <c r="D167" s="893"/>
      <c r="E167" s="893"/>
      <c r="F167" s="893"/>
      <c r="G167" s="51"/>
    </row>
    <row r="168" spans="2:7" x14ac:dyDescent="0.25">
      <c r="B168" s="490" t="s">
        <v>18</v>
      </c>
      <c r="C168" s="490" t="s">
        <v>315</v>
      </c>
      <c r="D168" s="490" t="s">
        <v>1199</v>
      </c>
      <c r="E168" s="490" t="s">
        <v>1200</v>
      </c>
      <c r="F168" s="490" t="s">
        <v>1201</v>
      </c>
      <c r="G168" s="51"/>
    </row>
    <row r="169" spans="2:7" ht="25.5" x14ac:dyDescent="0.25">
      <c r="B169" s="492" t="s">
        <v>1220</v>
      </c>
      <c r="C169" s="493">
        <v>4</v>
      </c>
      <c r="D169" s="494"/>
      <c r="E169" s="495">
        <v>1600000</v>
      </c>
      <c r="F169" s="493" t="s">
        <v>1221</v>
      </c>
      <c r="G169" s="51">
        <f t="shared" ref="G169:G170" si="14">ROUND(E169*(1+$J$136)*(1+$L$136)*(1+$N$136),0)</f>
        <v>1908195</v>
      </c>
    </row>
    <row r="170" spans="2:7" x14ac:dyDescent="0.25">
      <c r="B170" s="492" t="s">
        <v>1217</v>
      </c>
      <c r="C170" s="493">
        <v>3</v>
      </c>
      <c r="D170" s="493">
        <v>2</v>
      </c>
      <c r="E170" s="495">
        <v>230000</v>
      </c>
      <c r="F170" s="493" t="s">
        <v>1222</v>
      </c>
      <c r="G170" s="51">
        <f t="shared" si="14"/>
        <v>274303</v>
      </c>
    </row>
    <row r="171" spans="2:7" x14ac:dyDescent="0.25">
      <c r="B171" s="893" t="s">
        <v>1211</v>
      </c>
      <c r="C171" s="893"/>
      <c r="D171" s="893"/>
      <c r="E171" s="893"/>
      <c r="F171" s="893"/>
      <c r="G171" s="51"/>
    </row>
    <row r="172" spans="2:7" x14ac:dyDescent="0.25">
      <c r="B172" s="490" t="s">
        <v>18</v>
      </c>
      <c r="C172" s="490" t="s">
        <v>315</v>
      </c>
      <c r="D172" s="490" t="s">
        <v>1199</v>
      </c>
      <c r="E172" s="490" t="s">
        <v>1200</v>
      </c>
      <c r="F172" s="490" t="s">
        <v>1201</v>
      </c>
      <c r="G172" s="51"/>
    </row>
    <row r="173" spans="2:7" ht="30" x14ac:dyDescent="0.25">
      <c r="B173" s="497" t="s">
        <v>1223</v>
      </c>
      <c r="C173" s="498">
        <v>4</v>
      </c>
      <c r="D173" s="499"/>
      <c r="E173" s="500">
        <v>1500000</v>
      </c>
      <c r="F173" s="500">
        <v>6000000</v>
      </c>
      <c r="G173" s="51">
        <f t="shared" ref="G173:G174" si="15">ROUND(E173*(1+$J$136)*(1+$L$136)*(1+$N$136),0)</f>
        <v>1788932</v>
      </c>
    </row>
    <row r="174" spans="2:7" ht="15" x14ac:dyDescent="0.25">
      <c r="B174" s="497" t="s">
        <v>1217</v>
      </c>
      <c r="C174" s="498">
        <v>3</v>
      </c>
      <c r="D174" s="498">
        <v>2</v>
      </c>
      <c r="E174" s="500">
        <v>230000</v>
      </c>
      <c r="F174" s="500">
        <v>1380000</v>
      </c>
      <c r="G174" s="51">
        <f t="shared" si="15"/>
        <v>274303</v>
      </c>
    </row>
    <row r="175" spans="2:7" x14ac:dyDescent="0.25">
      <c r="B175" s="893" t="s">
        <v>1213</v>
      </c>
      <c r="C175" s="893"/>
      <c r="D175" s="893"/>
      <c r="E175" s="893"/>
      <c r="F175" s="893"/>
      <c r="G175" s="51"/>
    </row>
    <row r="176" spans="2:7" x14ac:dyDescent="0.25">
      <c r="B176" s="490" t="s">
        <v>18</v>
      </c>
      <c r="C176" s="490" t="s">
        <v>315</v>
      </c>
      <c r="D176" s="490" t="s">
        <v>1199</v>
      </c>
      <c r="E176" s="490" t="s">
        <v>1200</v>
      </c>
      <c r="F176" s="490" t="s">
        <v>1201</v>
      </c>
      <c r="G176" s="51"/>
    </row>
    <row r="177" spans="2:8" ht="30" x14ac:dyDescent="0.25">
      <c r="B177" s="497" t="s">
        <v>1224</v>
      </c>
      <c r="C177" s="498">
        <v>4</v>
      </c>
      <c r="D177" s="499"/>
      <c r="E177" s="500">
        <v>1000000</v>
      </c>
      <c r="F177" s="500">
        <v>4000000</v>
      </c>
      <c r="G177" s="51">
        <f t="shared" ref="G177:G178" si="16">ROUND(E177*(1+$J$136)*(1+$L$136)*(1+$N$136),0)</f>
        <v>1192622</v>
      </c>
    </row>
    <row r="178" spans="2:8" ht="15" x14ac:dyDescent="0.25">
      <c r="B178" s="497" t="s">
        <v>1217</v>
      </c>
      <c r="C178" s="498">
        <v>3</v>
      </c>
      <c r="D178" s="498">
        <v>2</v>
      </c>
      <c r="E178" s="500">
        <v>230000</v>
      </c>
      <c r="F178" s="500">
        <v>1380000</v>
      </c>
      <c r="G178" s="51">
        <f t="shared" si="16"/>
        <v>274303</v>
      </c>
    </row>
    <row r="179" spans="2:8" x14ac:dyDescent="0.25">
      <c r="B179" s="22"/>
      <c r="C179" s="22"/>
      <c r="D179" s="22"/>
      <c r="G179" s="22"/>
    </row>
    <row r="180" spans="2:8" x14ac:dyDescent="0.25">
      <c r="B180" s="22"/>
      <c r="C180" s="22"/>
      <c r="D180" s="22"/>
      <c r="G180" s="22"/>
    </row>
    <row r="181" spans="2:8" ht="27" x14ac:dyDescent="0.25">
      <c r="B181" s="894" t="s">
        <v>1225</v>
      </c>
      <c r="C181" s="894"/>
      <c r="D181" s="894"/>
      <c r="E181" s="894"/>
      <c r="F181" s="894"/>
      <c r="G181" s="894"/>
      <c r="H181" s="38" t="s">
        <v>149</v>
      </c>
    </row>
    <row r="182" spans="2:8" ht="27" x14ac:dyDescent="0.25">
      <c r="B182" s="894" t="s">
        <v>18</v>
      </c>
      <c r="C182" s="894"/>
      <c r="D182" s="894"/>
      <c r="E182" s="501" t="s">
        <v>249</v>
      </c>
      <c r="F182" s="501" t="s">
        <v>205</v>
      </c>
      <c r="G182" s="502" t="s">
        <v>252</v>
      </c>
      <c r="H182" s="38" t="s">
        <v>153</v>
      </c>
    </row>
    <row r="183" spans="2:8" x14ac:dyDescent="0.25">
      <c r="B183" s="895" t="s">
        <v>1226</v>
      </c>
      <c r="C183" s="895"/>
      <c r="D183" s="895"/>
      <c r="E183" s="493">
        <v>5</v>
      </c>
      <c r="F183" s="495">
        <v>1800000</v>
      </c>
      <c r="G183" s="503">
        <v>9000000</v>
      </c>
      <c r="H183" s="51">
        <f>ROUND(F183*(1+$J$136)*(1+$L$136)*(1+$N$136),0)</f>
        <v>2146719</v>
      </c>
    </row>
    <row r="184" spans="2:8" x14ac:dyDescent="0.25">
      <c r="B184" s="895" t="s">
        <v>1227</v>
      </c>
      <c r="C184" s="895"/>
      <c r="D184" s="895"/>
      <c r="E184" s="493">
        <v>1</v>
      </c>
      <c r="F184" s="504"/>
      <c r="G184" s="503">
        <v>2000000</v>
      </c>
      <c r="H184" s="51">
        <f>ROUND(F184*(1+$J$136)*(1+$L$136)*(1+$N$136),0)</f>
        <v>0</v>
      </c>
    </row>
    <row r="185" spans="2:8" x14ac:dyDescent="0.25">
      <c r="B185" s="22"/>
      <c r="C185" s="22"/>
      <c r="D185" s="22"/>
      <c r="G185" s="22"/>
    </row>
    <row r="186" spans="2:8" x14ac:dyDescent="0.25">
      <c r="B186" s="890" t="s">
        <v>1228</v>
      </c>
      <c r="C186" s="890"/>
      <c r="D186" s="890"/>
      <c r="E186" s="890"/>
      <c r="F186" s="890"/>
      <c r="G186" s="890"/>
    </row>
    <row r="187" spans="2:8" ht="27" x14ac:dyDescent="0.25">
      <c r="B187" s="890" t="s">
        <v>1229</v>
      </c>
      <c r="C187" s="890"/>
      <c r="D187" s="890"/>
      <c r="E187" s="890"/>
      <c r="F187" s="890"/>
      <c r="G187" s="890"/>
      <c r="H187" s="38" t="s">
        <v>149</v>
      </c>
    </row>
    <row r="188" spans="2:8" ht="27" x14ac:dyDescent="0.25">
      <c r="B188" s="490" t="s">
        <v>18</v>
      </c>
      <c r="C188" s="490" t="s">
        <v>922</v>
      </c>
      <c r="D188" s="490" t="s">
        <v>249</v>
      </c>
      <c r="E188" s="490" t="s">
        <v>1230</v>
      </c>
      <c r="F188" s="490" t="s">
        <v>205</v>
      </c>
      <c r="G188" s="490" t="s">
        <v>252</v>
      </c>
      <c r="H188" s="38" t="s">
        <v>153</v>
      </c>
    </row>
    <row r="189" spans="2:8" x14ac:dyDescent="0.25">
      <c r="B189" s="41" t="s">
        <v>1231</v>
      </c>
      <c r="C189" s="41">
        <v>2</v>
      </c>
      <c r="D189" s="41">
        <v>5</v>
      </c>
      <c r="E189" s="41">
        <v>1</v>
      </c>
      <c r="F189" s="57">
        <v>1100000</v>
      </c>
      <c r="G189" s="56">
        <f>C189*D189*E189*F189</f>
        <v>11000000</v>
      </c>
      <c r="H189" s="51">
        <f>ROUND(F189*(1+$J$136)*(1+$L$136)*(1+$N$136),0)</f>
        <v>1311884</v>
      </c>
    </row>
    <row r="190" spans="2:8" x14ac:dyDescent="0.25">
      <c r="B190" s="41" t="s">
        <v>1232</v>
      </c>
      <c r="C190" s="41">
        <v>2</v>
      </c>
      <c r="D190" s="41">
        <v>5</v>
      </c>
      <c r="E190" s="41">
        <v>1</v>
      </c>
      <c r="F190" s="57">
        <v>1100000</v>
      </c>
      <c r="G190" s="56">
        <f t="shared" ref="G190:G194" si="17">C190*D190*E190*F190</f>
        <v>11000000</v>
      </c>
      <c r="H190" s="51">
        <f t="shared" ref="H190:H194" si="18">ROUND(F190*(1+$J$136)*(1+$L$136)*(1+$N$136),0)</f>
        <v>1311884</v>
      </c>
    </row>
    <row r="191" spans="2:8" x14ac:dyDescent="0.25">
      <c r="B191" s="41" t="s">
        <v>1233</v>
      </c>
      <c r="C191" s="41">
        <v>2</v>
      </c>
      <c r="D191" s="41">
        <v>5</v>
      </c>
      <c r="E191" s="41">
        <v>1</v>
      </c>
      <c r="F191" s="57">
        <v>1100000</v>
      </c>
      <c r="G191" s="56">
        <f t="shared" si="17"/>
        <v>11000000</v>
      </c>
      <c r="H191" s="51">
        <f t="shared" si="18"/>
        <v>1311884</v>
      </c>
    </row>
    <row r="192" spans="2:8" x14ac:dyDescent="0.25">
      <c r="B192" s="41" t="s">
        <v>1234</v>
      </c>
      <c r="C192" s="41">
        <v>2</v>
      </c>
      <c r="D192" s="41">
        <v>5</v>
      </c>
      <c r="E192" s="41">
        <v>1</v>
      </c>
      <c r="F192" s="57">
        <v>1200000</v>
      </c>
      <c r="G192" s="56">
        <f t="shared" si="17"/>
        <v>12000000</v>
      </c>
      <c r="H192" s="51">
        <f t="shared" si="18"/>
        <v>1431146</v>
      </c>
    </row>
    <row r="193" spans="2:8" x14ac:dyDescent="0.25">
      <c r="B193" s="41" t="s">
        <v>1235</v>
      </c>
      <c r="C193" s="41">
        <v>2</v>
      </c>
      <c r="D193" s="41">
        <v>5</v>
      </c>
      <c r="E193" s="41">
        <v>1</v>
      </c>
      <c r="F193" s="57">
        <v>1200000</v>
      </c>
      <c r="G193" s="56">
        <f t="shared" si="17"/>
        <v>12000000</v>
      </c>
      <c r="H193" s="51">
        <f t="shared" si="18"/>
        <v>1431146</v>
      </c>
    </row>
    <row r="194" spans="2:8" x14ac:dyDescent="0.25">
      <c r="B194" s="41" t="s">
        <v>1236</v>
      </c>
      <c r="C194" s="41">
        <v>2</v>
      </c>
      <c r="D194" s="41">
        <v>5</v>
      </c>
      <c r="E194" s="41">
        <v>1</v>
      </c>
      <c r="F194" s="57">
        <v>1200000</v>
      </c>
      <c r="G194" s="56">
        <f t="shared" si="17"/>
        <v>12000000</v>
      </c>
      <c r="H194" s="51">
        <f t="shared" si="18"/>
        <v>1431146</v>
      </c>
    </row>
    <row r="195" spans="2:8" x14ac:dyDescent="0.25">
      <c r="B195" s="22"/>
      <c r="C195" s="22"/>
      <c r="D195" s="22"/>
      <c r="G195" s="22"/>
      <c r="H195" s="115">
        <f>AVERAGE(H189:H194)</f>
        <v>1371515</v>
      </c>
    </row>
    <row r="196" spans="2:8" x14ac:dyDescent="0.25">
      <c r="B196" s="22"/>
      <c r="C196" s="22"/>
      <c r="D196" s="22"/>
      <c r="G196" s="22"/>
    </row>
    <row r="197" spans="2:8" ht="27" x14ac:dyDescent="0.25">
      <c r="B197" s="890" t="s">
        <v>1225</v>
      </c>
      <c r="C197" s="890"/>
      <c r="D197" s="890"/>
      <c r="E197" s="890"/>
      <c r="F197" s="38" t="s">
        <v>149</v>
      </c>
      <c r="G197" s="53"/>
    </row>
    <row r="198" spans="2:8" x14ac:dyDescent="0.25">
      <c r="B198" s="490" t="s">
        <v>18</v>
      </c>
      <c r="C198" s="490" t="s">
        <v>249</v>
      </c>
      <c r="D198" s="490" t="s">
        <v>205</v>
      </c>
      <c r="E198" s="490" t="s">
        <v>252</v>
      </c>
      <c r="F198" s="38" t="s">
        <v>153</v>
      </c>
      <c r="G198" s="22"/>
    </row>
    <row r="199" spans="2:8" x14ac:dyDescent="0.25">
      <c r="B199" s="50" t="s">
        <v>1226</v>
      </c>
      <c r="C199" s="41">
        <v>5</v>
      </c>
      <c r="D199" s="56">
        <v>1800000</v>
      </c>
      <c r="E199" s="57">
        <f>C199*D199</f>
        <v>9000000</v>
      </c>
      <c r="F199" s="51">
        <f>ROUND(D199*(1+$J$136)*(1+$L$136)*(1+$N$136),0)</f>
        <v>2146719</v>
      </c>
      <c r="G199" s="115">
        <f>F199/2</f>
        <v>1073359.5</v>
      </c>
    </row>
    <row r="200" spans="2:8" x14ac:dyDescent="0.25">
      <c r="B200" s="50" t="s">
        <v>1227</v>
      </c>
      <c r="C200" s="41">
        <v>1</v>
      </c>
      <c r="D200" s="505">
        <v>2000000</v>
      </c>
      <c r="E200" s="57">
        <f t="shared" ref="E200:E208" si="19">C200*D200</f>
        <v>2000000</v>
      </c>
      <c r="F200" s="51">
        <f t="shared" ref="F200:F208" si="20">ROUND(D200*(1+$J$136)*(1+$L$136)*(1+$N$136),0)</f>
        <v>2385243</v>
      </c>
      <c r="G200" s="115">
        <f t="shared" ref="G200:G209" si="21">F200/2</f>
        <v>1192621.5</v>
      </c>
    </row>
    <row r="201" spans="2:8" x14ac:dyDescent="0.25">
      <c r="B201" s="50" t="s">
        <v>1237</v>
      </c>
      <c r="C201" s="41">
        <v>4</v>
      </c>
      <c r="D201" s="56">
        <v>1600000</v>
      </c>
      <c r="E201" s="57">
        <f t="shared" si="19"/>
        <v>6400000</v>
      </c>
      <c r="F201" s="51">
        <f t="shared" si="20"/>
        <v>1908195</v>
      </c>
      <c r="G201" s="115">
        <f t="shared" si="21"/>
        <v>954097.5</v>
      </c>
    </row>
    <row r="202" spans="2:8" x14ac:dyDescent="0.25">
      <c r="B202" s="50" t="s">
        <v>1238</v>
      </c>
      <c r="C202" s="41">
        <v>5</v>
      </c>
      <c r="D202" s="56">
        <v>1600000</v>
      </c>
      <c r="E202" s="57">
        <f t="shared" si="19"/>
        <v>8000000</v>
      </c>
      <c r="F202" s="51">
        <f t="shared" si="20"/>
        <v>1908195</v>
      </c>
      <c r="G202" s="115">
        <f t="shared" si="21"/>
        <v>954097.5</v>
      </c>
    </row>
    <row r="203" spans="2:8" x14ac:dyDescent="0.25">
      <c r="B203" s="50" t="s">
        <v>1239</v>
      </c>
      <c r="C203" s="41">
        <v>5</v>
      </c>
      <c r="D203" s="56">
        <v>1600000</v>
      </c>
      <c r="E203" s="57">
        <f t="shared" si="19"/>
        <v>8000000</v>
      </c>
      <c r="F203" s="51">
        <f t="shared" si="20"/>
        <v>1908195</v>
      </c>
      <c r="G203" s="115">
        <f t="shared" si="21"/>
        <v>954097.5</v>
      </c>
    </row>
    <row r="204" spans="2:8" x14ac:dyDescent="0.25">
      <c r="B204" s="50" t="s">
        <v>1240</v>
      </c>
      <c r="C204" s="41">
        <v>2</v>
      </c>
      <c r="D204" s="56">
        <v>1600000</v>
      </c>
      <c r="E204" s="57">
        <f t="shared" si="19"/>
        <v>3200000</v>
      </c>
      <c r="F204" s="51">
        <f t="shared" si="20"/>
        <v>1908195</v>
      </c>
      <c r="G204" s="115">
        <f t="shared" si="21"/>
        <v>954097.5</v>
      </c>
    </row>
    <row r="205" spans="2:8" ht="27" x14ac:dyDescent="0.25">
      <c r="B205" s="50" t="s">
        <v>1241</v>
      </c>
      <c r="C205" s="41">
        <v>1</v>
      </c>
      <c r="D205" s="56">
        <v>1600000</v>
      </c>
      <c r="E205" s="57">
        <f t="shared" si="19"/>
        <v>1600000</v>
      </c>
      <c r="F205" s="51">
        <f t="shared" si="20"/>
        <v>1908195</v>
      </c>
      <c r="G205" s="115">
        <f t="shared" si="21"/>
        <v>954097.5</v>
      </c>
    </row>
    <row r="206" spans="2:8" x14ac:dyDescent="0.25">
      <c r="B206" s="50" t="s">
        <v>1242</v>
      </c>
      <c r="C206" s="41">
        <v>2</v>
      </c>
      <c r="D206" s="56">
        <v>1900000</v>
      </c>
      <c r="E206" s="57">
        <f t="shared" si="19"/>
        <v>3800000</v>
      </c>
      <c r="F206" s="51">
        <f t="shared" si="20"/>
        <v>2265981</v>
      </c>
      <c r="G206" s="115">
        <f t="shared" si="21"/>
        <v>1132990.5</v>
      </c>
    </row>
    <row r="207" spans="2:8" ht="27" x14ac:dyDescent="0.25">
      <c r="B207" s="50" t="s">
        <v>1243</v>
      </c>
      <c r="C207" s="41">
        <v>1</v>
      </c>
      <c r="D207" s="56">
        <v>2000000</v>
      </c>
      <c r="E207" s="57">
        <f t="shared" si="19"/>
        <v>2000000</v>
      </c>
      <c r="F207" s="51">
        <f t="shared" si="20"/>
        <v>2385243</v>
      </c>
      <c r="G207" s="115">
        <f t="shared" si="21"/>
        <v>1192621.5</v>
      </c>
    </row>
    <row r="208" spans="2:8" x14ac:dyDescent="0.25">
      <c r="B208" s="50" t="s">
        <v>1244</v>
      </c>
      <c r="C208" s="41">
        <v>4</v>
      </c>
      <c r="D208" s="56">
        <v>1900000</v>
      </c>
      <c r="E208" s="57">
        <f t="shared" si="19"/>
        <v>7600000</v>
      </c>
      <c r="F208" s="51">
        <f t="shared" si="20"/>
        <v>2265981</v>
      </c>
      <c r="G208" s="115">
        <f t="shared" si="21"/>
        <v>1132990.5</v>
      </c>
    </row>
    <row r="209" spans="2:7" x14ac:dyDescent="0.25">
      <c r="B209" s="22"/>
      <c r="C209" s="22"/>
      <c r="D209" s="22"/>
      <c r="F209" s="408">
        <f>ROUND(AVERAGE(F199:F208),0)</f>
        <v>2099014</v>
      </c>
      <c r="G209" s="22">
        <f t="shared" si="21"/>
        <v>1049507</v>
      </c>
    </row>
  </sheetData>
  <mergeCells count="92">
    <mergeCell ref="I63:J63"/>
    <mergeCell ref="G63:G64"/>
    <mergeCell ref="B66:B67"/>
    <mergeCell ref="G56:G57"/>
    <mergeCell ref="C66:F66"/>
    <mergeCell ref="C63:F63"/>
    <mergeCell ref="C76:F76"/>
    <mergeCell ref="G76:G77"/>
    <mergeCell ref="B72:B73"/>
    <mergeCell ref="C72:F72"/>
    <mergeCell ref="G72:G73"/>
    <mergeCell ref="B75:G75"/>
    <mergeCell ref="B76:B77"/>
    <mergeCell ref="B69:B70"/>
    <mergeCell ref="C69:F69"/>
    <mergeCell ref="G69:G70"/>
    <mergeCell ref="H42:M42"/>
    <mergeCell ref="H43:M43"/>
    <mergeCell ref="J55:K55"/>
    <mergeCell ref="H52:N52"/>
    <mergeCell ref="H53:N53"/>
    <mergeCell ref="B56:B57"/>
    <mergeCell ref="C56:F56"/>
    <mergeCell ref="G66:G67"/>
    <mergeCell ref="B59:G59"/>
    <mergeCell ref="B60:B61"/>
    <mergeCell ref="C60:F60"/>
    <mergeCell ref="G60:G61"/>
    <mergeCell ref="B63:B64"/>
    <mergeCell ref="B2:M2"/>
    <mergeCell ref="H4:N4"/>
    <mergeCell ref="H5:N5"/>
    <mergeCell ref="B7:M7"/>
    <mergeCell ref="B8:M8"/>
    <mergeCell ref="I38:J38"/>
    <mergeCell ref="K38:L38"/>
    <mergeCell ref="Q10:R10"/>
    <mergeCell ref="S10:T10"/>
    <mergeCell ref="U10:V10"/>
    <mergeCell ref="H16:N16"/>
    <mergeCell ref="H17:N17"/>
    <mergeCell ref="H34:M34"/>
    <mergeCell ref="H35:M35"/>
    <mergeCell ref="H109:M109"/>
    <mergeCell ref="B113:G113"/>
    <mergeCell ref="I113:I114"/>
    <mergeCell ref="C114:D114"/>
    <mergeCell ref="H86:N86"/>
    <mergeCell ref="H87:N87"/>
    <mergeCell ref="B90:G91"/>
    <mergeCell ref="B89:G89"/>
    <mergeCell ref="J90:K90"/>
    <mergeCell ref="L90:M90"/>
    <mergeCell ref="N90:O90"/>
    <mergeCell ref="O112:P112"/>
    <mergeCell ref="C115:D115"/>
    <mergeCell ref="C116:D116"/>
    <mergeCell ref="C117:D117"/>
    <mergeCell ref="C118:D118"/>
    <mergeCell ref="C119:D119"/>
    <mergeCell ref="B187:G187"/>
    <mergeCell ref="B197:E197"/>
    <mergeCell ref="K112:L112"/>
    <mergeCell ref="M112:N112"/>
    <mergeCell ref="B175:F175"/>
    <mergeCell ref="B181:G181"/>
    <mergeCell ref="B182:D182"/>
    <mergeCell ref="B183:D183"/>
    <mergeCell ref="B184:D184"/>
    <mergeCell ref="B154:F154"/>
    <mergeCell ref="B159:F159"/>
    <mergeCell ref="B163:F163"/>
    <mergeCell ref="B167:F167"/>
    <mergeCell ref="B171:F171"/>
    <mergeCell ref="B137:F137"/>
    <mergeCell ref="B140:F140"/>
    <mergeCell ref="I135:J135"/>
    <mergeCell ref="K135:L135"/>
    <mergeCell ref="M135:N135"/>
    <mergeCell ref="B186:G186"/>
    <mergeCell ref="B143:F143"/>
    <mergeCell ref="B147:F147"/>
    <mergeCell ref="B150:F150"/>
    <mergeCell ref="C125:D125"/>
    <mergeCell ref="H129:N129"/>
    <mergeCell ref="H130:N130"/>
    <mergeCell ref="B133:F133"/>
    <mergeCell ref="C120:D120"/>
    <mergeCell ref="C121:D121"/>
    <mergeCell ref="C122:D122"/>
    <mergeCell ref="C123:D123"/>
    <mergeCell ref="C124:D124"/>
  </mergeCells>
  <hyperlinks>
    <hyperlink ref="H43" r:id="rId1" xr:uid="{655FF2BC-F601-4836-B3D8-839C33722DCF}"/>
    <hyperlink ref="H53" r:id="rId2" xr:uid="{144C9B31-805A-4699-8640-584184E50C48}"/>
    <hyperlink ref="H35" r:id="rId3" xr:uid="{2C30F5CD-11D9-4B2F-995B-34D3545B59B3}"/>
    <hyperlink ref="H5" r:id="rId4" xr:uid="{F43EFF8B-153A-476C-B64E-E2DFBA7C88CA}"/>
    <hyperlink ref="H17" r:id="rId5" xr:uid="{87D58B5B-F02D-4EC5-B7E5-76B6DBF9F909}"/>
    <hyperlink ref="H87" r:id="rId6" xr:uid="{4818ACD6-AD1B-47A8-99F1-440FF1BD368D}"/>
    <hyperlink ref="H110" r:id="rId7" xr:uid="{12C3C720-1980-40EB-8FE0-C126BCC3E0C0}"/>
    <hyperlink ref="H130" r:id="rId8" xr:uid="{1696E8C3-A7A1-44E1-A37A-E68D7EEEA081}"/>
  </hyperlinks>
  <pageMargins left="0.7" right="0.7" top="0.75" bottom="0.75" header="0.3" footer="0.3"/>
  <pageSetup orientation="portrait" horizontalDpi="1200" verticalDpi="1200" r:id="rId9"/>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DCEAF-F315-4087-9C83-E4AC7839073D}">
  <sheetPr>
    <tabColor rgb="FFFFC000"/>
  </sheetPr>
  <dimension ref="A1"/>
  <sheetViews>
    <sheetView workbookViewId="0"/>
  </sheetViews>
  <sheetFormatPr baseColWidth="10" defaultRowHeight="15" x14ac:dyDescent="0.25"/>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6CAF7-7BDB-44CB-95D7-0133CBDE382F}">
  <sheetPr>
    <tabColor rgb="FFF05930"/>
  </sheetPr>
  <dimension ref="A1"/>
  <sheetViews>
    <sheetView workbookViewId="0"/>
  </sheetViews>
  <sheetFormatPr baseColWidth="10" defaultRowHeight="15" x14ac:dyDescent="0.25"/>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6F01F7-4AD0-47D9-80CC-7092A184606A}">
  <dimension ref="B2:P8"/>
  <sheetViews>
    <sheetView workbookViewId="0"/>
  </sheetViews>
  <sheetFormatPr baseColWidth="10" defaultRowHeight="15" x14ac:dyDescent="0.25"/>
  <cols>
    <col min="1" max="1" width="4.7109375" customWidth="1"/>
    <col min="2" max="2" width="19.28515625" customWidth="1"/>
    <col min="5" max="5" width="12.28515625" style="117" customWidth="1"/>
    <col min="6" max="6" width="10.28515625" style="118" customWidth="1"/>
    <col min="7" max="7" width="11.42578125" style="117"/>
    <col min="9" max="9" width="14.140625" customWidth="1"/>
    <col min="10" max="10" width="0" hidden="1" customWidth="1"/>
    <col min="12" max="12" width="13.42578125" customWidth="1"/>
    <col min="13" max="13" width="0" hidden="1" customWidth="1"/>
    <col min="15" max="15" width="15.42578125" customWidth="1"/>
  </cols>
  <sheetData>
    <row r="2" spans="2:16" ht="15" customHeight="1" x14ac:dyDescent="0.25">
      <c r="B2" s="824" t="s">
        <v>156</v>
      </c>
      <c r="C2" s="825"/>
      <c r="D2" s="825"/>
      <c r="E2" s="825"/>
      <c r="F2" s="825"/>
      <c r="G2" s="825"/>
      <c r="H2" s="825"/>
      <c r="I2" s="825"/>
      <c r="J2" s="825"/>
      <c r="K2" s="825"/>
      <c r="L2" s="825"/>
      <c r="M2" s="825"/>
      <c r="N2" s="825"/>
      <c r="O2" s="825"/>
      <c r="P2" s="825"/>
    </row>
    <row r="5" spans="2:16" ht="36.75" customHeight="1" x14ac:dyDescent="0.25">
      <c r="B5" s="934" t="s">
        <v>333</v>
      </c>
      <c r="C5" s="935"/>
      <c r="D5" s="935"/>
      <c r="E5" s="935"/>
      <c r="F5" s="935"/>
      <c r="G5" s="936"/>
      <c r="I5" s="822" t="s">
        <v>220</v>
      </c>
      <c r="J5" s="822"/>
      <c r="K5" s="822"/>
      <c r="L5" s="822"/>
      <c r="M5" s="822"/>
      <c r="N5" s="822"/>
    </row>
    <row r="6" spans="2:16" x14ac:dyDescent="0.25">
      <c r="B6" s="928" t="s">
        <v>231</v>
      </c>
      <c r="C6" s="928" t="s">
        <v>232</v>
      </c>
      <c r="D6" s="928" t="s">
        <v>215</v>
      </c>
      <c r="E6" s="929" t="s">
        <v>233</v>
      </c>
      <c r="F6" s="928" t="s">
        <v>237</v>
      </c>
      <c r="G6" s="933" t="s">
        <v>299</v>
      </c>
      <c r="I6" s="930" t="s">
        <v>221</v>
      </c>
      <c r="J6" s="930"/>
      <c r="K6" s="930"/>
      <c r="L6" s="930" t="s">
        <v>222</v>
      </c>
      <c r="M6" s="930"/>
      <c r="N6" s="930"/>
      <c r="O6" s="931" t="s">
        <v>332</v>
      </c>
      <c r="P6" s="931" t="s">
        <v>223</v>
      </c>
    </row>
    <row r="7" spans="2:16" ht="33" customHeight="1" x14ac:dyDescent="0.25">
      <c r="B7" s="928"/>
      <c r="C7" s="928"/>
      <c r="D7" s="928"/>
      <c r="E7" s="929"/>
      <c r="F7" s="928"/>
      <c r="G7" s="933"/>
      <c r="I7" s="75" t="s">
        <v>240</v>
      </c>
      <c r="J7" s="75" t="s">
        <v>230</v>
      </c>
      <c r="K7" s="75" t="s">
        <v>205</v>
      </c>
      <c r="L7" s="75" t="s">
        <v>240</v>
      </c>
      <c r="M7" s="75" t="s">
        <v>230</v>
      </c>
      <c r="N7" s="75" t="s">
        <v>205</v>
      </c>
      <c r="O7" s="932"/>
      <c r="P7" s="932"/>
    </row>
    <row r="8" spans="2:16" ht="33" customHeight="1" x14ac:dyDescent="0.25">
      <c r="B8" s="70" t="s">
        <v>239</v>
      </c>
      <c r="C8" s="69" t="s">
        <v>234</v>
      </c>
      <c r="D8" s="69">
        <v>7</v>
      </c>
      <c r="E8" s="116">
        <v>140000</v>
      </c>
      <c r="F8" s="119">
        <v>3</v>
      </c>
      <c r="G8" s="116">
        <v>2940000</v>
      </c>
      <c r="I8" s="76" t="str">
        <f>OTRAS_REF_HOSPED!C5</f>
        <v>Booking.com</v>
      </c>
      <c r="J8" s="76"/>
      <c r="K8" s="77">
        <f>124700+23700</f>
        <v>148400</v>
      </c>
      <c r="L8" s="76" t="str">
        <f>OTRAS_REF_HOSPED!C24</f>
        <v>DESPEGAR.COM</v>
      </c>
      <c r="M8" s="76"/>
      <c r="N8" s="77">
        <v>148285</v>
      </c>
      <c r="O8" s="72">
        <f>AVERAGE(K8,N8)</f>
        <v>148342.5</v>
      </c>
      <c r="P8" s="73">
        <f>E8/O8-1</f>
        <v>-5.6238097645651131E-2</v>
      </c>
    </row>
  </sheetData>
  <mergeCells count="13">
    <mergeCell ref="B2:P2"/>
    <mergeCell ref="B6:B7"/>
    <mergeCell ref="C6:C7"/>
    <mergeCell ref="D6:D7"/>
    <mergeCell ref="E6:E7"/>
    <mergeCell ref="I5:N5"/>
    <mergeCell ref="I6:K6"/>
    <mergeCell ref="L6:N6"/>
    <mergeCell ref="O6:O7"/>
    <mergeCell ref="P6:P7"/>
    <mergeCell ref="F6:F7"/>
    <mergeCell ref="G6:G7"/>
    <mergeCell ref="B5:G5"/>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D79F2-89A9-4C0A-91E4-E810D714585F}">
  <dimension ref="B2:K26"/>
  <sheetViews>
    <sheetView workbookViewId="0"/>
  </sheetViews>
  <sheetFormatPr baseColWidth="10" defaultColWidth="11.42578125" defaultRowHeight="13.5" x14ac:dyDescent="0.25"/>
  <cols>
    <col min="1" max="1" width="11.42578125" style="22"/>
    <col min="2" max="2" width="16.42578125" style="22" customWidth="1"/>
    <col min="3" max="3" width="18.7109375" style="22" customWidth="1"/>
    <col min="4" max="4" width="27.28515625" style="43" customWidth="1"/>
    <col min="5" max="5" width="17.7109375" style="22" customWidth="1"/>
    <col min="6" max="6" width="11.42578125" style="22"/>
    <col min="7" max="7" width="22.42578125" style="22" customWidth="1"/>
    <col min="8" max="16384" width="11.42578125" style="22"/>
  </cols>
  <sheetData>
    <row r="2" spans="2:11" x14ac:dyDescent="0.25">
      <c r="B2" s="855" t="s">
        <v>144</v>
      </c>
      <c r="C2" s="855"/>
      <c r="D2" s="855"/>
      <c r="E2" s="855"/>
      <c r="F2" s="855"/>
      <c r="G2" s="855"/>
      <c r="H2" s="855"/>
      <c r="I2" s="855"/>
      <c r="J2" s="855"/>
      <c r="K2" s="855"/>
    </row>
    <row r="4" spans="2:11" ht="28.5" customHeight="1" x14ac:dyDescent="0.25">
      <c r="B4" s="34" t="s">
        <v>146</v>
      </c>
      <c r="C4" s="34" t="s">
        <v>242</v>
      </c>
      <c r="D4" s="25" t="s">
        <v>241</v>
      </c>
      <c r="E4" s="853" t="s">
        <v>8</v>
      </c>
      <c r="F4" s="853"/>
      <c r="G4" s="853"/>
      <c r="H4" s="853"/>
      <c r="I4" s="853"/>
      <c r="J4" s="853"/>
      <c r="K4" s="853"/>
    </row>
    <row r="5" spans="2:11" ht="47.25" customHeight="1" x14ac:dyDescent="0.25">
      <c r="B5" s="35">
        <v>1</v>
      </c>
      <c r="C5" s="36" t="s">
        <v>294</v>
      </c>
      <c r="D5" s="85">
        <v>45358</v>
      </c>
      <c r="E5" s="848" t="s">
        <v>293</v>
      </c>
      <c r="F5" s="848"/>
      <c r="G5" s="848"/>
      <c r="H5" s="848"/>
      <c r="I5" s="848"/>
      <c r="J5" s="848"/>
      <c r="K5" s="848"/>
    </row>
    <row r="6" spans="2:11" x14ac:dyDescent="0.25">
      <c r="B6" s="44"/>
      <c r="C6" s="42"/>
      <c r="D6" s="42"/>
      <c r="E6" s="45"/>
      <c r="F6" s="45"/>
      <c r="G6" s="45"/>
      <c r="H6" s="45"/>
      <c r="I6" s="45"/>
      <c r="J6" s="45"/>
      <c r="K6" s="45"/>
    </row>
    <row r="7" spans="2:11" x14ac:dyDescent="0.25">
      <c r="D7" s="22"/>
    </row>
    <row r="20" spans="2:11" ht="24" customHeight="1" x14ac:dyDescent="0.25"/>
    <row r="21" spans="2:11" ht="24" customHeight="1" x14ac:dyDescent="0.25"/>
    <row r="22" spans="2:11" ht="16.5" customHeight="1" x14ac:dyDescent="0.25"/>
    <row r="23" spans="2:11" ht="20.25" customHeight="1" x14ac:dyDescent="0.25">
      <c r="B23" s="34" t="s">
        <v>146</v>
      </c>
      <c r="C23" s="34" t="s">
        <v>242</v>
      </c>
      <c r="D23" s="25" t="s">
        <v>241</v>
      </c>
      <c r="E23" s="853" t="s">
        <v>8</v>
      </c>
      <c r="F23" s="853"/>
      <c r="G23" s="853"/>
      <c r="H23" s="853"/>
      <c r="I23" s="853"/>
      <c r="J23" s="853"/>
      <c r="K23" s="853"/>
    </row>
    <row r="24" spans="2:11" ht="28.5" customHeight="1" x14ac:dyDescent="0.25">
      <c r="B24" s="35">
        <v>2</v>
      </c>
      <c r="C24" s="36" t="s">
        <v>292</v>
      </c>
      <c r="D24" s="85">
        <v>45723</v>
      </c>
      <c r="E24" s="847" t="s">
        <v>295</v>
      </c>
      <c r="F24" s="848"/>
      <c r="G24" s="848"/>
      <c r="H24" s="848"/>
      <c r="I24" s="848"/>
      <c r="J24" s="848"/>
      <c r="K24" s="848"/>
    </row>
    <row r="26" spans="2:11" x14ac:dyDescent="0.25">
      <c r="B26" s="74" t="s">
        <v>243</v>
      </c>
      <c r="C26" s="74"/>
      <c r="D26" s="100"/>
    </row>
  </sheetData>
  <mergeCells count="5">
    <mergeCell ref="E23:K23"/>
    <mergeCell ref="E24:K24"/>
    <mergeCell ref="B2:K2"/>
    <mergeCell ref="E4:K4"/>
    <mergeCell ref="E5:K5"/>
  </mergeCells>
  <hyperlinks>
    <hyperlink ref="E24" r:id="rId1" xr:uid="{432FDF9E-E67F-41E4-B1D5-5844A2A079A2}"/>
  </hyperlinks>
  <pageMargins left="0.7" right="0.7" top="0.75" bottom="0.75" header="0.3" footer="0.3"/>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58BE3-66DE-4145-A60F-30966BCC8B63}">
  <dimension ref="B2:R37"/>
  <sheetViews>
    <sheetView topLeftCell="A17" workbookViewId="0">
      <selection activeCell="K23" sqref="K23"/>
    </sheetView>
  </sheetViews>
  <sheetFormatPr baseColWidth="10" defaultColWidth="11.42578125" defaultRowHeight="12.75" x14ac:dyDescent="0.25"/>
  <cols>
    <col min="1" max="1" width="5.42578125" style="167" customWidth="1"/>
    <col min="2" max="2" width="44.7109375" style="167" customWidth="1"/>
    <col min="3" max="4" width="10.5703125" style="192" customWidth="1"/>
    <col min="5" max="5" width="10.5703125" style="535" customWidth="1"/>
    <col min="6" max="6" width="10.5703125" style="192" customWidth="1"/>
    <col min="7" max="7" width="10.5703125" style="535" customWidth="1"/>
    <col min="8" max="8" width="5.85546875" style="167" customWidth="1"/>
    <col min="9" max="9" width="12.7109375" style="167" customWidth="1"/>
    <col min="10" max="10" width="40.7109375" style="167" customWidth="1"/>
    <col min="11" max="11" width="11.42578125" style="167"/>
    <col min="12" max="12" width="0" style="167" hidden="1" customWidth="1"/>
    <col min="13" max="13" width="14.42578125" style="167" customWidth="1"/>
    <col min="14" max="14" width="31.5703125" style="167" customWidth="1"/>
    <col min="15" max="15" width="11.42578125" style="167"/>
    <col min="16" max="16" width="0" style="167" hidden="1" customWidth="1"/>
    <col min="17" max="17" width="13.7109375" style="167" customWidth="1"/>
    <col min="18" max="16384" width="11.42578125" style="167"/>
  </cols>
  <sheetData>
    <row r="2" spans="2:18" ht="15" customHeight="1" x14ac:dyDescent="0.25">
      <c r="B2" s="857" t="s">
        <v>157</v>
      </c>
      <c r="C2" s="858"/>
      <c r="D2" s="858"/>
      <c r="E2" s="858"/>
      <c r="F2" s="858"/>
      <c r="G2" s="858"/>
      <c r="H2" s="858"/>
      <c r="I2" s="858"/>
      <c r="J2" s="858"/>
      <c r="K2" s="858"/>
      <c r="L2" s="858"/>
      <c r="M2" s="858"/>
      <c r="N2" s="858"/>
      <c r="O2" s="858"/>
      <c r="P2" s="858"/>
      <c r="Q2" s="858"/>
    </row>
    <row r="4" spans="2:18" ht="15" customHeight="1" x14ac:dyDescent="0.25">
      <c r="B4" s="859" t="s">
        <v>539</v>
      </c>
      <c r="C4" s="859"/>
      <c r="D4" s="859"/>
      <c r="E4" s="859"/>
      <c r="F4" s="859"/>
      <c r="G4" s="859"/>
      <c r="I4" s="860" t="s">
        <v>220</v>
      </c>
      <c r="J4" s="861"/>
      <c r="K4" s="861"/>
      <c r="L4" s="861"/>
      <c r="M4" s="861"/>
      <c r="N4" s="861"/>
      <c r="O4" s="862"/>
      <c r="P4" s="181"/>
      <c r="Q4" s="182"/>
      <c r="R4" s="182"/>
    </row>
    <row r="5" spans="2:18" ht="24" customHeight="1" x14ac:dyDescent="0.25">
      <c r="B5" s="859"/>
      <c r="C5" s="859"/>
      <c r="D5" s="859"/>
      <c r="E5" s="859"/>
      <c r="F5" s="859"/>
      <c r="G5" s="859"/>
      <c r="I5" s="863" t="s">
        <v>221</v>
      </c>
      <c r="J5" s="863"/>
      <c r="K5" s="863"/>
      <c r="L5" s="863"/>
      <c r="M5" s="863" t="s">
        <v>222</v>
      </c>
      <c r="N5" s="863"/>
      <c r="O5" s="863"/>
      <c r="P5" s="863"/>
      <c r="Q5" s="835" t="s">
        <v>1072</v>
      </c>
      <c r="R5" s="835" t="s">
        <v>443</v>
      </c>
    </row>
    <row r="6" spans="2:18" ht="33" customHeight="1" x14ac:dyDescent="0.25">
      <c r="B6" s="183" t="s">
        <v>1283</v>
      </c>
      <c r="C6" s="183" t="s">
        <v>922</v>
      </c>
      <c r="D6" s="183" t="s">
        <v>287</v>
      </c>
      <c r="E6" s="533" t="s">
        <v>228</v>
      </c>
      <c r="F6" s="183" t="s">
        <v>1280</v>
      </c>
      <c r="G6" s="533" t="s">
        <v>195</v>
      </c>
      <c r="I6" s="183" t="s">
        <v>229</v>
      </c>
      <c r="J6" s="183" t="s">
        <v>230</v>
      </c>
      <c r="K6" s="183" t="s">
        <v>252</v>
      </c>
      <c r="L6" s="183" t="s">
        <v>443</v>
      </c>
      <c r="M6" s="183" t="s">
        <v>229</v>
      </c>
      <c r="N6" s="183" t="s">
        <v>230</v>
      </c>
      <c r="O6" s="183" t="s">
        <v>195</v>
      </c>
      <c r="P6" s="183" t="s">
        <v>443</v>
      </c>
      <c r="Q6" s="836"/>
      <c r="R6" s="836"/>
    </row>
    <row r="7" spans="2:18" ht="119.25" customHeight="1" x14ac:dyDescent="0.25">
      <c r="B7" s="400" t="str">
        <f>'PPTO Detallado PCA AJUSTADO'!C75</f>
        <v xml:space="preserve">Cinco (5), días de Hospedaje con acomodación individual, Transporte terrestre municipal interno y Alimentacion (Desayunos, Almuerzos y Cenas) para un (1) dia de llegada, un (1) dia de salida y (Desayunos y Cenas) para los tres (3) dias de sesion, para los y las  delegado(a) del ENCP para un total de cuarenta y ocho (48) ,  deberá respetarse la decisión individual de cada delegado(a) respecto al lugar donde desee hospedarse, Alimentarse y Transportarse garantizando un entorno adecuado para su comodidad y seguridad </v>
      </c>
      <c r="C7" s="400" t="str">
        <f>'PPTO Detallado PCA AJUSTADO'!D75</f>
        <v>PERSONA</v>
      </c>
      <c r="D7" s="175">
        <f>'PPTO Detallado PCA AJUSTADO'!E75</f>
        <v>48</v>
      </c>
      <c r="E7" s="534">
        <f>'PPTO Detallado PCA AJUSTADO'!F75</f>
        <v>500000</v>
      </c>
      <c r="F7" s="175">
        <f>'PPTO Detallado PCA AJUSTADO'!G75</f>
        <v>5</v>
      </c>
      <c r="G7" s="534">
        <f>'PPTO Detallado PCA AJUSTADO'!H75</f>
        <v>120000000</v>
      </c>
      <c r="I7" s="186" t="str">
        <f>'5.2 Fuentes_Viáticos'!$D$15</f>
        <v>MJD-CD-892-2024</v>
      </c>
      <c r="J7" s="184" t="s">
        <v>1281</v>
      </c>
      <c r="K7" s="187">
        <f>('5.2 Fuentes_Viáticos'!G21*5+'5.2 Fuentes_Viáticos'!G23*5+'5.2 Fuentes_Viáticos'!G25*2+'5.2 Fuentes_Viáticos'!G27*5+'5.2 Fuentes_Viáticos'!G22*5)*48</f>
        <v>110007696</v>
      </c>
      <c r="L7" s="188">
        <f>G7/K7-1</f>
        <v>9.0832772281677521E-2</v>
      </c>
      <c r="M7" s="186" t="str">
        <f>'4.2 Fuentes_Transporte'!$D$5</f>
        <v>CD-399-2024.</v>
      </c>
      <c r="N7" s="184" t="s">
        <v>1288</v>
      </c>
      <c r="O7" s="189">
        <f>'4.2 Fuentes_Transporte'!O11*5*48</f>
        <v>130961280</v>
      </c>
      <c r="P7" s="188">
        <f>G7/O7-1</f>
        <v>-8.369863214531803E-2</v>
      </c>
      <c r="Q7" s="190">
        <f>ROUND(AVERAGE(K7,O7),0)</f>
        <v>120484488</v>
      </c>
      <c r="R7" s="191">
        <f>G7/Q7-1</f>
        <v>-4.0211649486363577E-3</v>
      </c>
    </row>
    <row r="8" spans="2:18" ht="119.25" customHeight="1" x14ac:dyDescent="0.25">
      <c r="B8" s="400" t="str">
        <f>'PPTO Detallado PCA AJUSTADO'!C76</f>
        <v xml:space="preserve">Cinco (5), días de Hospedaje con acomodación individual, Transporte terrestre municipal interno y Alimentacion (Desayunos, Almuerzos y Cenas) para un (1) dia de llegada, un (1) dia de salida y (Desayunos y Cenas) para los tres (3) dias de sesion para cinco (5) integrantes del equipo asesor de expertos, cinco (5) integrantes del equipo asesor técnico del ENCP y diez (10) integrantes del equipo administrativo del PCA, para un total de veinte (20) personas. deberá respetarse la decisión individual respecto al lugar donde desee hospedarse, Alimentarse y Transportarse garantizando un entorno adecuado para su comodidad y seguridad </v>
      </c>
      <c r="C8" s="400" t="str">
        <f>'PPTO Detallado PCA AJUSTADO'!D76</f>
        <v>PERSONA</v>
      </c>
      <c r="D8" s="175">
        <f>'PPTO Detallado PCA AJUSTADO'!E76</f>
        <v>20</v>
      </c>
      <c r="E8" s="534">
        <f>'PPTO Detallado PCA AJUSTADO'!F76</f>
        <v>400000</v>
      </c>
      <c r="F8" s="175">
        <f>'PPTO Detallado PCA AJUSTADO'!G76</f>
        <v>5</v>
      </c>
      <c r="G8" s="534">
        <f>'PPTO Detallado PCA AJUSTADO'!H76</f>
        <v>40000000</v>
      </c>
      <c r="I8" s="186" t="str">
        <f>'5.2 Fuentes_Viáticos'!$D$15</f>
        <v>MJD-CD-892-2024</v>
      </c>
      <c r="J8" s="184" t="s">
        <v>1282</v>
      </c>
      <c r="K8" s="187">
        <f>('5.2 Fuentes_Viáticos'!G21*5+'5.2 Fuentes_Viáticos'!G23*5+'5.2 Fuentes_Viáticos'!G25*2+'5.2 Fuentes_Viáticos'!G27*5+'5.2 Fuentes_Viáticos'!G22*5)*20</f>
        <v>45836540</v>
      </c>
      <c r="L8" s="188">
        <f>G8/K8-1</f>
        <v>-0.12733378217465807</v>
      </c>
      <c r="M8" s="186" t="str">
        <f>'4.2 Fuentes_Transporte'!$D$5</f>
        <v>CD-399-2024.</v>
      </c>
      <c r="N8" s="184" t="s">
        <v>1289</v>
      </c>
      <c r="O8" s="189">
        <f>'4.2 Fuentes_Transporte'!O11*5*20</f>
        <v>54567200</v>
      </c>
      <c r="P8" s="188">
        <f>G8/O8-1</f>
        <v>-0.26695890571625447</v>
      </c>
      <c r="Q8" s="190">
        <f t="shared" ref="Q8" si="0">ROUND(AVERAGE(K8,O8),0)</f>
        <v>50201870</v>
      </c>
      <c r="R8" s="191">
        <f>G8/Q8-1</f>
        <v>-0.20321693195890911</v>
      </c>
    </row>
    <row r="9" spans="2:18" x14ac:dyDescent="0.25">
      <c r="B9" s="856"/>
      <c r="C9" s="856"/>
    </row>
    <row r="10" spans="2:18" ht="12.75" customHeight="1" x14ac:dyDescent="0.25">
      <c r="B10" s="937" t="s">
        <v>539</v>
      </c>
      <c r="C10" s="938"/>
      <c r="D10" s="938"/>
      <c r="E10" s="938"/>
      <c r="F10" s="938"/>
      <c r="G10" s="938"/>
    </row>
    <row r="11" spans="2:18" x14ac:dyDescent="0.25">
      <c r="B11" s="939"/>
      <c r="C11" s="940"/>
      <c r="D11" s="940"/>
      <c r="E11" s="940"/>
      <c r="F11" s="940"/>
      <c r="G11" s="940"/>
      <c r="I11" s="863" t="s">
        <v>221</v>
      </c>
      <c r="J11" s="863"/>
      <c r="K11" s="863"/>
      <c r="L11" s="863"/>
      <c r="M11" s="863" t="s">
        <v>222</v>
      </c>
      <c r="N11" s="863"/>
      <c r="O11" s="863"/>
      <c r="P11" s="863"/>
      <c r="Q11" s="835" t="s">
        <v>1072</v>
      </c>
      <c r="R11" s="835" t="s">
        <v>443</v>
      </c>
    </row>
    <row r="12" spans="2:18" ht="25.5" x14ac:dyDescent="0.25">
      <c r="B12" s="183" t="s">
        <v>1285</v>
      </c>
      <c r="C12" s="183" t="s">
        <v>922</v>
      </c>
      <c r="D12" s="183" t="s">
        <v>287</v>
      </c>
      <c r="E12" s="533" t="s">
        <v>228</v>
      </c>
      <c r="F12" s="183" t="s">
        <v>1280</v>
      </c>
      <c r="G12" s="533" t="s">
        <v>195</v>
      </c>
      <c r="I12" s="183" t="s">
        <v>229</v>
      </c>
      <c r="J12" s="183" t="s">
        <v>230</v>
      </c>
      <c r="K12" s="183" t="s">
        <v>252</v>
      </c>
      <c r="L12" s="183" t="s">
        <v>443</v>
      </c>
      <c r="M12" s="183" t="s">
        <v>229</v>
      </c>
      <c r="N12" s="183" t="s">
        <v>230</v>
      </c>
      <c r="O12" s="183" t="s">
        <v>195</v>
      </c>
      <c r="P12" s="183" t="s">
        <v>443</v>
      </c>
      <c r="Q12" s="836"/>
      <c r="R12" s="836"/>
    </row>
    <row r="13" spans="2:18" ht="76.5" x14ac:dyDescent="0.25">
      <c r="B13" s="400" t="s">
        <v>1284</v>
      </c>
      <c r="C13" s="400" t="s">
        <v>238</v>
      </c>
      <c r="D13" s="175">
        <v>3</v>
      </c>
      <c r="E13" s="534">
        <v>400000</v>
      </c>
      <c r="F13" s="175">
        <v>3</v>
      </c>
      <c r="G13" s="534">
        <v>3600000</v>
      </c>
      <c r="I13" s="186" t="str">
        <f>'5.2 Fuentes_Viáticos'!$D$15</f>
        <v>MJD-CD-892-2024</v>
      </c>
      <c r="J13" s="184" t="s">
        <v>1286</v>
      </c>
      <c r="K13" s="187">
        <f>('5.2 Fuentes_Viáticos'!G21*3+'5.2 Fuentes_Viáticos'!G23*3+'5.2 Fuentes_Viáticos'!G25*2+'5.2 Fuentes_Viáticos'!G27*3+'5.2 Fuentes_Viáticos'!G22*3)*3</f>
        <v>4282443</v>
      </c>
      <c r="L13" s="188">
        <f>G13/K13-1</f>
        <v>-0.15935833821956302</v>
      </c>
      <c r="M13" s="186" t="str">
        <f>'4.2 Fuentes_Transporte'!$D$5</f>
        <v>CD-399-2024.</v>
      </c>
      <c r="N13" s="184" t="s">
        <v>1290</v>
      </c>
      <c r="O13" s="189">
        <f>'4.2 Fuentes_Transporte'!O11*3*3</f>
        <v>4911048</v>
      </c>
      <c r="P13" s="188">
        <f>G13/O13-1</f>
        <v>-0.26695890571625447</v>
      </c>
      <c r="Q13" s="190">
        <f t="shared" ref="Q13" si="1">ROUND(AVERAGE(K13,O13),0)</f>
        <v>4596746</v>
      </c>
      <c r="R13" s="191">
        <f>G13/Q13-1</f>
        <v>-0.21683730186527606</v>
      </c>
    </row>
    <row r="14" spans="2:18" ht="38.25" x14ac:dyDescent="0.25">
      <c r="B14" s="183" t="s">
        <v>1297</v>
      </c>
      <c r="C14" s="183" t="s">
        <v>922</v>
      </c>
      <c r="D14" s="183" t="s">
        <v>287</v>
      </c>
      <c r="E14" s="533" t="s">
        <v>228</v>
      </c>
      <c r="F14" s="183" t="s">
        <v>1280</v>
      </c>
      <c r="G14" s="533" t="s">
        <v>195</v>
      </c>
      <c r="I14" s="183" t="s">
        <v>229</v>
      </c>
      <c r="J14" s="183" t="s">
        <v>230</v>
      </c>
      <c r="K14" s="183" t="s">
        <v>252</v>
      </c>
      <c r="L14" s="183" t="s">
        <v>443</v>
      </c>
      <c r="M14" s="183" t="s">
        <v>229</v>
      </c>
      <c r="N14" s="183" t="s">
        <v>230</v>
      </c>
      <c r="O14" s="183" t="s">
        <v>195</v>
      </c>
      <c r="P14" s="183" t="s">
        <v>443</v>
      </c>
      <c r="Q14" s="183" t="s">
        <v>1072</v>
      </c>
      <c r="R14" s="183" t="s">
        <v>443</v>
      </c>
    </row>
    <row r="15" spans="2:18" ht="102" x14ac:dyDescent="0.25">
      <c r="B15" s="400" t="s">
        <v>1298</v>
      </c>
      <c r="C15" s="400" t="s">
        <v>238</v>
      </c>
      <c r="D15" s="175">
        <v>50</v>
      </c>
      <c r="E15" s="534">
        <v>500000</v>
      </c>
      <c r="F15" s="175">
        <v>3</v>
      </c>
      <c r="G15" s="534">
        <v>75000000</v>
      </c>
      <c r="I15" s="186" t="str">
        <f>'5.2 Fuentes_Viáticos'!$D$15</f>
        <v>MJD-CD-892-2024</v>
      </c>
      <c r="J15" s="184" t="s">
        <v>1299</v>
      </c>
      <c r="K15" s="187">
        <f>('5.2 Fuentes_Viáticos'!G21*3+'5.2 Fuentes_Viáticos'!G23*3+'5.2 Fuentes_Viáticos'!G25*2+'5.2 Fuentes_Viáticos'!G27*3+'5.2 Fuentes_Viáticos'!G22*3)*50</f>
        <v>71374050</v>
      </c>
      <c r="L15" s="188">
        <f>G15/K15-1</f>
        <v>5.0802077225546194E-2</v>
      </c>
      <c r="M15" s="186" t="str">
        <f>'4.2 Fuentes_Transporte'!$D$5</f>
        <v>CD-399-2024.</v>
      </c>
      <c r="N15" s="184" t="s">
        <v>1304</v>
      </c>
      <c r="O15" s="189">
        <f>'4.2 Fuentes_Transporte'!O11*3*50</f>
        <v>81850800</v>
      </c>
      <c r="P15" s="188">
        <f>G15/O15-1</f>
        <v>-8.369863214531803E-2</v>
      </c>
      <c r="Q15" s="190">
        <f t="shared" ref="Q15" si="2">ROUND(AVERAGE(K15,O15),0)</f>
        <v>76612425</v>
      </c>
      <c r="R15" s="191">
        <f>G15/Q15-1</f>
        <v>-2.1046520848282735E-2</v>
      </c>
    </row>
    <row r="16" spans="2:18" ht="25.5" x14ac:dyDescent="0.25">
      <c r="B16" s="183" t="s">
        <v>1300</v>
      </c>
      <c r="C16" s="183" t="s">
        <v>922</v>
      </c>
      <c r="D16" s="183" t="s">
        <v>287</v>
      </c>
      <c r="E16" s="533" t="s">
        <v>228</v>
      </c>
      <c r="F16" s="183" t="s">
        <v>1280</v>
      </c>
      <c r="G16" s="533" t="s">
        <v>195</v>
      </c>
      <c r="I16" s="183" t="s">
        <v>229</v>
      </c>
      <c r="J16" s="183" t="s">
        <v>230</v>
      </c>
      <c r="K16" s="183" t="s">
        <v>252</v>
      </c>
      <c r="L16" s="183" t="s">
        <v>443</v>
      </c>
      <c r="M16" s="183" t="s">
        <v>229</v>
      </c>
      <c r="N16" s="183" t="s">
        <v>230</v>
      </c>
      <c r="O16" s="183" t="s">
        <v>195</v>
      </c>
      <c r="P16" s="183" t="s">
        <v>443</v>
      </c>
      <c r="Q16" s="183" t="s">
        <v>1072</v>
      </c>
      <c r="R16" s="183" t="s">
        <v>443</v>
      </c>
    </row>
    <row r="17" spans="2:18" ht="102" x14ac:dyDescent="0.25">
      <c r="B17" s="400" t="s">
        <v>1301</v>
      </c>
      <c r="C17" s="400" t="s">
        <v>238</v>
      </c>
      <c r="D17" s="175">
        <v>60</v>
      </c>
      <c r="E17" s="534">
        <v>500000</v>
      </c>
      <c r="F17" s="175">
        <v>3</v>
      </c>
      <c r="G17" s="534">
        <v>90000000</v>
      </c>
      <c r="I17" s="186" t="str">
        <f>'5.2 Fuentes_Viáticos'!$D$15</f>
        <v>MJD-CD-892-2024</v>
      </c>
      <c r="J17" s="184" t="s">
        <v>1302</v>
      </c>
      <c r="K17" s="187">
        <f>('5.2 Fuentes_Viáticos'!G21*3+'5.2 Fuentes_Viáticos'!G23*3+'5.2 Fuentes_Viáticos'!G25*2+'5.2 Fuentes_Viáticos'!G27*3+'5.2 Fuentes_Viáticos'!G22*3)*60</f>
        <v>85648860</v>
      </c>
      <c r="L17" s="188">
        <f>G17/K17-1</f>
        <v>5.0802077225546194E-2</v>
      </c>
      <c r="M17" s="186" t="str">
        <f>'4.2 Fuentes_Transporte'!$D$5</f>
        <v>CD-399-2024.</v>
      </c>
      <c r="N17" s="184" t="s">
        <v>1303</v>
      </c>
      <c r="O17" s="189">
        <f>'4.2 Fuentes_Transporte'!O11*3*60</f>
        <v>98220960</v>
      </c>
      <c r="P17" s="188">
        <f>G17/O17-1</f>
        <v>-8.369863214531803E-2</v>
      </c>
      <c r="Q17" s="190">
        <f t="shared" ref="Q17" si="3">ROUND(AVERAGE(K17,O17),0)</f>
        <v>91934910</v>
      </c>
      <c r="R17" s="191">
        <f>G17/Q17-1</f>
        <v>-2.1046520848282735E-2</v>
      </c>
    </row>
    <row r="18" spans="2:18" ht="25.5" x14ac:dyDescent="0.25">
      <c r="B18" s="183" t="s">
        <v>1306</v>
      </c>
      <c r="C18" s="183" t="s">
        <v>922</v>
      </c>
      <c r="D18" s="183" t="s">
        <v>287</v>
      </c>
      <c r="E18" s="533" t="s">
        <v>228</v>
      </c>
      <c r="F18" s="183" t="s">
        <v>1280</v>
      </c>
      <c r="G18" s="533" t="s">
        <v>195</v>
      </c>
      <c r="I18" s="183" t="s">
        <v>229</v>
      </c>
      <c r="J18" s="183" t="s">
        <v>230</v>
      </c>
      <c r="K18" s="183" t="s">
        <v>252</v>
      </c>
      <c r="L18" s="183" t="s">
        <v>443</v>
      </c>
      <c r="M18" s="183" t="s">
        <v>229</v>
      </c>
      <c r="N18" s="183" t="s">
        <v>230</v>
      </c>
      <c r="O18" s="183" t="s">
        <v>195</v>
      </c>
      <c r="P18" s="183" t="s">
        <v>443</v>
      </c>
      <c r="Q18" s="183" t="s">
        <v>1072</v>
      </c>
      <c r="R18" s="183" t="s">
        <v>443</v>
      </c>
    </row>
    <row r="19" spans="2:18" ht="102" x14ac:dyDescent="0.25">
      <c r="B19" s="400" t="s">
        <v>1305</v>
      </c>
      <c r="C19" s="400" t="s">
        <v>238</v>
      </c>
      <c r="D19" s="175">
        <v>70</v>
      </c>
      <c r="E19" s="534">
        <v>500000</v>
      </c>
      <c r="F19" s="175">
        <v>3</v>
      </c>
      <c r="G19" s="534">
        <v>105000000</v>
      </c>
      <c r="I19" s="186" t="str">
        <f>'5.2 Fuentes_Viáticos'!$D$15</f>
        <v>MJD-CD-892-2024</v>
      </c>
      <c r="J19" s="184" t="s">
        <v>1307</v>
      </c>
      <c r="K19" s="187">
        <f>('5.2 Fuentes_Viáticos'!G21*3+'5.2 Fuentes_Viáticos'!G23*3+'5.2 Fuentes_Viáticos'!G25*2+'5.2 Fuentes_Viáticos'!G27*3+'5.2 Fuentes_Viáticos'!G22*3)*70</f>
        <v>99923670</v>
      </c>
      <c r="L19" s="188">
        <f>G19/K19-1</f>
        <v>5.0802077225546194E-2</v>
      </c>
      <c r="M19" s="186" t="str">
        <f>'4.2 Fuentes_Transporte'!$D$5</f>
        <v>CD-399-2024.</v>
      </c>
      <c r="N19" s="184" t="s">
        <v>1308</v>
      </c>
      <c r="O19" s="189">
        <f>'4.2 Fuentes_Transporte'!O11*3*70</f>
        <v>114591120</v>
      </c>
      <c r="P19" s="188">
        <f>G19/O19-1</f>
        <v>-8.369863214531803E-2</v>
      </c>
      <c r="Q19" s="190">
        <f t="shared" ref="Q19" si="4">ROUND(AVERAGE(K19,O19),0)</f>
        <v>107257395</v>
      </c>
      <c r="R19" s="191">
        <f>G19/Q19-1</f>
        <v>-2.1046520848282735E-2</v>
      </c>
    </row>
    <row r="20" spans="2:18" ht="25.5" x14ac:dyDescent="0.25">
      <c r="B20" s="183" t="s">
        <v>1311</v>
      </c>
      <c r="C20" s="183" t="s">
        <v>922</v>
      </c>
      <c r="D20" s="183" t="s">
        <v>287</v>
      </c>
      <c r="E20" s="533" t="s">
        <v>228</v>
      </c>
      <c r="F20" s="183" t="s">
        <v>1280</v>
      </c>
      <c r="G20" s="533" t="s">
        <v>195</v>
      </c>
      <c r="I20" s="183" t="s">
        <v>229</v>
      </c>
      <c r="J20" s="183" t="s">
        <v>230</v>
      </c>
      <c r="K20" s="183" t="s">
        <v>252</v>
      </c>
      <c r="L20" s="183" t="s">
        <v>443</v>
      </c>
      <c r="M20" s="183" t="s">
        <v>229</v>
      </c>
      <c r="N20" s="183" t="s">
        <v>230</v>
      </c>
      <c r="O20" s="183" t="s">
        <v>195</v>
      </c>
      <c r="P20" s="183" t="s">
        <v>443</v>
      </c>
      <c r="Q20" s="183" t="s">
        <v>1072</v>
      </c>
      <c r="R20" s="183" t="s">
        <v>443</v>
      </c>
    </row>
    <row r="21" spans="2:18" ht="102" x14ac:dyDescent="0.25">
      <c r="B21" s="400" t="s">
        <v>1309</v>
      </c>
      <c r="C21" s="400" t="s">
        <v>238</v>
      </c>
      <c r="D21" s="175">
        <v>80</v>
      </c>
      <c r="E21" s="534">
        <v>500000</v>
      </c>
      <c r="F21" s="175">
        <v>3</v>
      </c>
      <c r="G21" s="534">
        <v>120000000</v>
      </c>
      <c r="I21" s="186" t="str">
        <f>'5.2 Fuentes_Viáticos'!$D$15</f>
        <v>MJD-CD-892-2024</v>
      </c>
      <c r="J21" s="184" t="s">
        <v>1307</v>
      </c>
      <c r="K21" s="187">
        <f>('5.2 Fuentes_Viáticos'!G21*3+'5.2 Fuentes_Viáticos'!G23*3+'5.2 Fuentes_Viáticos'!G25*2+'5.2 Fuentes_Viáticos'!G27*3+'5.2 Fuentes_Viáticos'!G22*3)*80</f>
        <v>114198480</v>
      </c>
      <c r="L21" s="188">
        <f>G21/K21-1</f>
        <v>5.0802077225546194E-2</v>
      </c>
      <c r="M21" s="186" t="str">
        <f>'4.2 Fuentes_Transporte'!$D$5</f>
        <v>CD-399-2024.</v>
      </c>
      <c r="N21" s="184" t="s">
        <v>1312</v>
      </c>
      <c r="O21" s="189">
        <f>'4.2 Fuentes_Transporte'!O11*3*80</f>
        <v>130961280</v>
      </c>
      <c r="P21" s="188">
        <f>G21/O21-1</f>
        <v>-8.369863214531803E-2</v>
      </c>
      <c r="Q21" s="190">
        <f t="shared" ref="Q21" si="5">ROUND(AVERAGE(K21,O21),0)</f>
        <v>122579880</v>
      </c>
      <c r="R21" s="191">
        <f>G21/Q21-1</f>
        <v>-2.1046520848282735E-2</v>
      </c>
    </row>
    <row r="22" spans="2:18" ht="38.25" x14ac:dyDescent="0.25">
      <c r="B22" s="183" t="s">
        <v>1313</v>
      </c>
      <c r="C22" s="183" t="s">
        <v>922</v>
      </c>
      <c r="D22" s="183" t="s">
        <v>287</v>
      </c>
      <c r="E22" s="533" t="s">
        <v>228</v>
      </c>
      <c r="F22" s="183" t="s">
        <v>1280</v>
      </c>
      <c r="G22" s="533" t="s">
        <v>195</v>
      </c>
      <c r="I22" s="183" t="s">
        <v>229</v>
      </c>
      <c r="J22" s="183" t="s">
        <v>230</v>
      </c>
      <c r="K22" s="183" t="s">
        <v>252</v>
      </c>
      <c r="L22" s="183" t="s">
        <v>443</v>
      </c>
      <c r="M22" s="183" t="s">
        <v>229</v>
      </c>
      <c r="N22" s="183" t="s">
        <v>230</v>
      </c>
      <c r="O22" s="183" t="s">
        <v>195</v>
      </c>
      <c r="P22" s="183" t="s">
        <v>443</v>
      </c>
      <c r="Q22" s="183" t="s">
        <v>1072</v>
      </c>
      <c r="R22" s="183" t="s">
        <v>443</v>
      </c>
    </row>
    <row r="23" spans="2:18" ht="229.5" x14ac:dyDescent="0.25">
      <c r="B23" s="400" t="s">
        <v>1343</v>
      </c>
      <c r="C23" s="400" t="s">
        <v>238</v>
      </c>
      <c r="D23" s="175">
        <v>100</v>
      </c>
      <c r="E23" s="534">
        <v>755000</v>
      </c>
      <c r="F23" s="175">
        <v>3</v>
      </c>
      <c r="G23" s="534">
        <v>226500000</v>
      </c>
      <c r="I23" s="186" t="s">
        <v>1348</v>
      </c>
      <c r="J23" s="184" t="s">
        <v>1349</v>
      </c>
      <c r="K23" s="187">
        <f>('5.2 Fuentes_Viáticos'!G21*3+'5.2 Fuentes_Viáticos'!G23*3+'5.2 Fuentes_Viáticos'!G25*2+'5.2 Fuentes_Viáticos'!G27*3+'4.2 Fuentes_Transporte'!N12)*100</f>
        <v>266179200</v>
      </c>
      <c r="L23" s="188">
        <f>G23/K23-1</f>
        <v>-0.14906949904425293</v>
      </c>
      <c r="M23" s="186" t="s">
        <v>1355</v>
      </c>
      <c r="N23" s="184" t="s">
        <v>1356</v>
      </c>
      <c r="O23" s="189">
        <f>('5.2 Fuentes_Viáticos'!I89*3+'5.2 Fuentes_Viáticos'!F102*2+'5.2 Fuentes_Viáticos'!F102*3+'5.2 Fuentes_Viáticos'!I59)*100</f>
        <v>239699257.14285713</v>
      </c>
      <c r="P23" s="188">
        <f>G23/O23-1</f>
        <v>-5.5065907588485286E-2</v>
      </c>
      <c r="Q23" s="190">
        <f t="shared" ref="Q23" si="6">ROUND(AVERAGE(K23,O23),0)</f>
        <v>252939229</v>
      </c>
      <c r="R23" s="191">
        <f>G23/Q23-1</f>
        <v>-0.1045279892111951</v>
      </c>
    </row>
    <row r="28" spans="2:18" x14ac:dyDescent="0.25">
      <c r="B28" s="937" t="s">
        <v>539</v>
      </c>
      <c r="C28" s="938"/>
      <c r="D28" s="938"/>
      <c r="E28" s="938"/>
      <c r="F28" s="938"/>
      <c r="G28" s="938"/>
    </row>
    <row r="29" spans="2:18" x14ac:dyDescent="0.25">
      <c r="B29" s="939"/>
      <c r="C29" s="940"/>
      <c r="D29" s="940"/>
      <c r="E29" s="940"/>
      <c r="F29" s="940"/>
      <c r="G29" s="940"/>
      <c r="I29" s="863" t="s">
        <v>221</v>
      </c>
      <c r="J29" s="863"/>
      <c r="K29" s="863"/>
      <c r="L29" s="863"/>
      <c r="M29" s="863" t="s">
        <v>222</v>
      </c>
      <c r="N29" s="863"/>
      <c r="O29" s="863"/>
      <c r="P29" s="863"/>
      <c r="Q29" s="835" t="s">
        <v>1072</v>
      </c>
      <c r="R29" s="835" t="s">
        <v>443</v>
      </c>
    </row>
    <row r="30" spans="2:18" ht="25.5" x14ac:dyDescent="0.25">
      <c r="B30" s="183" t="s">
        <v>1294</v>
      </c>
      <c r="C30" s="183" t="s">
        <v>922</v>
      </c>
      <c r="D30" s="183" t="s">
        <v>287</v>
      </c>
      <c r="E30" s="533" t="s">
        <v>228</v>
      </c>
      <c r="F30" s="183" t="s">
        <v>1280</v>
      </c>
      <c r="G30" s="533" t="s">
        <v>195</v>
      </c>
      <c r="I30" s="183" t="s">
        <v>229</v>
      </c>
      <c r="J30" s="183" t="s">
        <v>230</v>
      </c>
      <c r="K30" s="183" t="s">
        <v>252</v>
      </c>
      <c r="L30" s="183" t="s">
        <v>443</v>
      </c>
      <c r="M30" s="183" t="s">
        <v>229</v>
      </c>
      <c r="N30" s="183" t="s">
        <v>230</v>
      </c>
      <c r="O30" s="183" t="s">
        <v>195</v>
      </c>
      <c r="P30" s="183" t="s">
        <v>443</v>
      </c>
      <c r="Q30" s="836"/>
      <c r="R30" s="836"/>
    </row>
    <row r="31" spans="2:18" ht="127.5" x14ac:dyDescent="0.25">
      <c r="B31" s="400" t="s">
        <v>1291</v>
      </c>
      <c r="C31" s="400" t="s">
        <v>238</v>
      </c>
      <c r="D31" s="175">
        <v>20</v>
      </c>
      <c r="E31" s="534">
        <v>400000</v>
      </c>
      <c r="F31" s="175">
        <v>4</v>
      </c>
      <c r="G31" s="534">
        <v>32000000</v>
      </c>
      <c r="I31" s="186" t="str">
        <f>'5.2 Fuentes_Viáticos'!$D$15</f>
        <v>MJD-CD-892-2024</v>
      </c>
      <c r="J31" s="184" t="s">
        <v>1292</v>
      </c>
      <c r="K31" s="187">
        <f>('5.2 Fuentes_Viáticos'!G21*4+'5.2 Fuentes_Viáticos'!G23*4+'5.2 Fuentes_Viáticos'!G25*2+'5.2 Fuentes_Viáticos'!G27*4+'5.2 Fuentes_Viáticos'!G22*4)*20</f>
        <v>37193080</v>
      </c>
      <c r="L31" s="188">
        <f>G31/K31-1</f>
        <v>-0.13962489796489019</v>
      </c>
      <c r="M31" s="186" t="str">
        <f>'4.2 Fuentes_Transporte'!$D$5</f>
        <v>CD-399-2024.</v>
      </c>
      <c r="N31" s="184" t="s">
        <v>1293</v>
      </c>
      <c r="O31" s="189">
        <f>'4.2 Fuentes_Transporte'!O11*4*20</f>
        <v>43653760</v>
      </c>
      <c r="P31" s="188">
        <f>G31/O31-1</f>
        <v>-0.26695890571625447</v>
      </c>
      <c r="Q31" s="190">
        <f t="shared" ref="Q31" si="7">ROUND(AVERAGE(K31,O31),0)</f>
        <v>40423420</v>
      </c>
      <c r="R31" s="191">
        <f>G31/Q31-1</f>
        <v>-0.2083796967203666</v>
      </c>
    </row>
    <row r="32" spans="2:18" ht="25.5" x14ac:dyDescent="0.25">
      <c r="B32" s="183" t="s">
        <v>1295</v>
      </c>
      <c r="C32" s="183" t="s">
        <v>922</v>
      </c>
      <c r="D32" s="183" t="s">
        <v>287</v>
      </c>
      <c r="E32" s="533" t="s">
        <v>228</v>
      </c>
      <c r="F32" s="183" t="s">
        <v>1280</v>
      </c>
      <c r="G32" s="533" t="s">
        <v>195</v>
      </c>
      <c r="I32" s="183" t="s">
        <v>229</v>
      </c>
      <c r="J32" s="183" t="s">
        <v>230</v>
      </c>
      <c r="K32" s="183" t="s">
        <v>252</v>
      </c>
      <c r="L32" s="183" t="s">
        <v>443</v>
      </c>
      <c r="M32" s="183" t="s">
        <v>229</v>
      </c>
      <c r="N32" s="183" t="s">
        <v>230</v>
      </c>
      <c r="O32" s="183" t="s">
        <v>195</v>
      </c>
      <c r="P32" s="183" t="s">
        <v>443</v>
      </c>
      <c r="Q32" s="183" t="s">
        <v>1072</v>
      </c>
      <c r="R32" s="183" t="s">
        <v>443</v>
      </c>
    </row>
    <row r="33" spans="2:18" ht="102" x14ac:dyDescent="0.25">
      <c r="B33" s="400" t="s">
        <v>1314</v>
      </c>
      <c r="C33" s="400" t="s">
        <v>238</v>
      </c>
      <c r="D33" s="175">
        <v>237</v>
      </c>
      <c r="E33" s="534">
        <v>500000</v>
      </c>
      <c r="F33" s="175">
        <v>4</v>
      </c>
      <c r="G33" s="534">
        <v>474000000</v>
      </c>
      <c r="I33" s="186" t="str">
        <f>'5.2 Fuentes_Viáticos'!$D$15</f>
        <v>MJD-CD-892-2024</v>
      </c>
      <c r="J33" s="184" t="s">
        <v>1315</v>
      </c>
      <c r="K33" s="187">
        <f>('5.2 Fuentes_Viáticos'!G21*4+'5.2 Fuentes_Viáticos'!G23*4+'5.2 Fuentes_Viáticos'!G25*2+'5.2 Fuentes_Viáticos'!G27*4+'5.2 Fuentes_Viáticos'!G22*4)*237</f>
        <v>440737998</v>
      </c>
      <c r="L33" s="188">
        <f>G33/K33-1</f>
        <v>7.5468877543887203E-2</v>
      </c>
      <c r="M33" s="186" t="str">
        <f>'4.2 Fuentes_Transporte'!$D$5</f>
        <v>CD-399-2024.</v>
      </c>
      <c r="N33" s="184" t="s">
        <v>1316</v>
      </c>
      <c r="O33" s="189">
        <f>'4.2 Fuentes_Transporte'!O11*4*237</f>
        <v>517297056</v>
      </c>
      <c r="P33" s="188">
        <f>G33/O33-1</f>
        <v>-8.369863214531803E-2</v>
      </c>
      <c r="Q33" s="190">
        <f t="shared" ref="Q33" si="8">ROUND(AVERAGE(K33,O33),0)</f>
        <v>479017527</v>
      </c>
      <c r="R33" s="191">
        <f>G33/Q33-1</f>
        <v>-1.0474620900458254E-2</v>
      </c>
    </row>
    <row r="34" spans="2:18" ht="25.5" x14ac:dyDescent="0.25">
      <c r="B34" s="183" t="s">
        <v>1295</v>
      </c>
      <c r="C34" s="183" t="s">
        <v>922</v>
      </c>
      <c r="D34" s="183" t="s">
        <v>287</v>
      </c>
      <c r="E34" s="533" t="s">
        <v>228</v>
      </c>
      <c r="F34" s="183" t="s">
        <v>1280</v>
      </c>
      <c r="G34" s="533" t="s">
        <v>195</v>
      </c>
      <c r="I34" s="183" t="s">
        <v>229</v>
      </c>
      <c r="J34" s="183" t="s">
        <v>230</v>
      </c>
      <c r="K34" s="183" t="s">
        <v>252</v>
      </c>
      <c r="L34" s="183" t="s">
        <v>443</v>
      </c>
      <c r="M34" s="183" t="s">
        <v>229</v>
      </c>
      <c r="N34" s="183" t="s">
        <v>230</v>
      </c>
      <c r="O34" s="183" t="s">
        <v>195</v>
      </c>
      <c r="P34" s="183" t="s">
        <v>443</v>
      </c>
      <c r="Q34" s="183" t="s">
        <v>1072</v>
      </c>
      <c r="R34" s="183" t="s">
        <v>443</v>
      </c>
    </row>
    <row r="35" spans="2:18" ht="127.5" x14ac:dyDescent="0.25">
      <c r="B35" s="400" t="s">
        <v>1296</v>
      </c>
      <c r="C35" s="400" t="s">
        <v>238</v>
      </c>
      <c r="D35" s="175">
        <v>20</v>
      </c>
      <c r="E35" s="534">
        <v>400000</v>
      </c>
      <c r="F35" s="175">
        <v>5</v>
      </c>
      <c r="G35" s="534">
        <v>40000000</v>
      </c>
      <c r="I35" s="186" t="str">
        <f>'5.2 Fuentes_Viáticos'!$D$15</f>
        <v>MJD-CD-892-2024</v>
      </c>
      <c r="J35" s="184" t="s">
        <v>1282</v>
      </c>
      <c r="K35" s="187">
        <f>('5.2 Fuentes_Viáticos'!G21*5+'5.2 Fuentes_Viáticos'!G23*5+'5.2 Fuentes_Viáticos'!G25*2+'5.2 Fuentes_Viáticos'!G27*5+'5.2 Fuentes_Viáticos'!G22*5)*20</f>
        <v>45836540</v>
      </c>
      <c r="L35" s="188">
        <f>G35/K35-1</f>
        <v>-0.12733378217465807</v>
      </c>
      <c r="M35" s="186" t="str">
        <f>'4.2 Fuentes_Transporte'!$D$5</f>
        <v>CD-399-2024.</v>
      </c>
      <c r="N35" s="184" t="s">
        <v>1289</v>
      </c>
      <c r="O35" s="189">
        <f>'4.2 Fuentes_Transporte'!O11*5*20</f>
        <v>54567200</v>
      </c>
      <c r="P35" s="188">
        <f>G35/O35-1</f>
        <v>-0.26695890571625447</v>
      </c>
      <c r="Q35" s="190">
        <f t="shared" ref="Q35" si="9">ROUND(AVERAGE(K35,O35),0)</f>
        <v>50201870</v>
      </c>
      <c r="R35" s="191">
        <f>G35/Q35-1</f>
        <v>-0.20321693195890911</v>
      </c>
    </row>
    <row r="36" spans="2:18" ht="25.5" x14ac:dyDescent="0.25">
      <c r="B36" s="183" t="s">
        <v>1295</v>
      </c>
      <c r="C36" s="183" t="s">
        <v>922</v>
      </c>
      <c r="D36" s="183" t="s">
        <v>287</v>
      </c>
      <c r="E36" s="533" t="s">
        <v>228</v>
      </c>
      <c r="F36" s="183" t="s">
        <v>1280</v>
      </c>
      <c r="G36" s="533" t="s">
        <v>195</v>
      </c>
      <c r="I36" s="183" t="s">
        <v>229</v>
      </c>
      <c r="J36" s="183" t="s">
        <v>230</v>
      </c>
      <c r="K36" s="183" t="s">
        <v>252</v>
      </c>
      <c r="L36" s="183" t="s">
        <v>443</v>
      </c>
      <c r="M36" s="183" t="s">
        <v>229</v>
      </c>
      <c r="N36" s="183" t="s">
        <v>230</v>
      </c>
      <c r="O36" s="183" t="s">
        <v>195</v>
      </c>
      <c r="P36" s="183" t="s">
        <v>443</v>
      </c>
      <c r="Q36" s="183" t="s">
        <v>1072</v>
      </c>
      <c r="R36" s="183" t="s">
        <v>443</v>
      </c>
    </row>
    <row r="37" spans="2:18" ht="102" x14ac:dyDescent="0.25">
      <c r="B37" s="400" t="s">
        <v>1310</v>
      </c>
      <c r="C37" s="400" t="s">
        <v>238</v>
      </c>
      <c r="D37" s="175">
        <v>48</v>
      </c>
      <c r="E37" s="534">
        <v>500000</v>
      </c>
      <c r="F37" s="175">
        <v>5</v>
      </c>
      <c r="G37" s="534">
        <v>120000000</v>
      </c>
      <c r="I37" s="186" t="str">
        <f>'5.2 Fuentes_Viáticos'!$D$15</f>
        <v>MJD-CD-892-2024</v>
      </c>
      <c r="J37" s="184" t="s">
        <v>1281</v>
      </c>
      <c r="K37" s="187">
        <f>('5.2 Fuentes_Viáticos'!G21*5+'5.2 Fuentes_Viáticos'!G23*5+'5.2 Fuentes_Viáticos'!G25*2+'5.2 Fuentes_Viáticos'!G27*5+'5.2 Fuentes_Viáticos'!G22*5)*48</f>
        <v>110007696</v>
      </c>
      <c r="L37" s="188">
        <f>G37/K37-1</f>
        <v>9.0832772281677521E-2</v>
      </c>
      <c r="M37" s="186" t="str">
        <f>'4.2 Fuentes_Transporte'!$D$5</f>
        <v>CD-399-2024.</v>
      </c>
      <c r="N37" s="184" t="s">
        <v>1288</v>
      </c>
      <c r="O37" s="189">
        <f>'4.2 Fuentes_Transporte'!O11*5*48</f>
        <v>130961280</v>
      </c>
      <c r="P37" s="188">
        <f>G37/O37-1</f>
        <v>-8.369863214531803E-2</v>
      </c>
      <c r="Q37" s="190">
        <f t="shared" ref="Q37" si="10">ROUND(AVERAGE(K37,O37),0)</f>
        <v>120484488</v>
      </c>
      <c r="R37" s="191">
        <f>G37/Q37-1</f>
        <v>-4.0211649486363577E-3</v>
      </c>
    </row>
  </sheetData>
  <mergeCells count="18">
    <mergeCell ref="R5:R6"/>
    <mergeCell ref="B2:Q2"/>
    <mergeCell ref="I4:O4"/>
    <mergeCell ref="I5:L5"/>
    <mergeCell ref="M5:P5"/>
    <mergeCell ref="Q5:Q6"/>
    <mergeCell ref="B4:G5"/>
    <mergeCell ref="B10:G11"/>
    <mergeCell ref="B9:C9"/>
    <mergeCell ref="B28:G29"/>
    <mergeCell ref="I29:L29"/>
    <mergeCell ref="M29:P29"/>
    <mergeCell ref="Q29:Q30"/>
    <mergeCell ref="R29:R30"/>
    <mergeCell ref="I11:L11"/>
    <mergeCell ref="M11:P11"/>
    <mergeCell ref="Q11:Q12"/>
    <mergeCell ref="R11:R12"/>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49BFEE-67BA-4F02-839F-4AA0DFB2AAAB}">
  <dimension ref="B2:BB106"/>
  <sheetViews>
    <sheetView topLeftCell="A126" workbookViewId="0">
      <selection activeCell="I65" sqref="I65"/>
    </sheetView>
  </sheetViews>
  <sheetFormatPr baseColWidth="10" defaultColWidth="11.42578125" defaultRowHeight="13.5" x14ac:dyDescent="0.25"/>
  <cols>
    <col min="1" max="1" width="11.42578125" style="22"/>
    <col min="2" max="2" width="16.140625" style="63" customWidth="1"/>
    <col min="3" max="3" width="26.28515625" style="52" customWidth="1"/>
    <col min="4" max="4" width="18.42578125" style="52" customWidth="1"/>
    <col min="5" max="5" width="22.42578125" style="52" customWidth="1"/>
    <col min="6" max="6" width="20.42578125" style="52" customWidth="1"/>
    <col min="7" max="7" width="19.140625" style="42" customWidth="1"/>
    <col min="8" max="8" width="16.7109375" style="22" bestFit="1" customWidth="1"/>
    <col min="9" max="9" width="22.42578125" style="22" customWidth="1"/>
    <col min="10" max="10" width="15.140625" style="22" customWidth="1"/>
    <col min="11" max="11" width="18" style="22" customWidth="1"/>
    <col min="12" max="12" width="12.7109375" style="22" customWidth="1"/>
    <col min="13" max="13" width="12.42578125" style="22" bestFit="1" customWidth="1"/>
    <col min="14" max="14" width="15.28515625" style="22" customWidth="1"/>
    <col min="15" max="15" width="15.85546875" style="22" customWidth="1"/>
    <col min="16" max="16" width="28.42578125" style="22" customWidth="1"/>
    <col min="17" max="32" width="11.42578125" style="22"/>
    <col min="33" max="33" width="14.42578125" style="22" customWidth="1"/>
    <col min="34" max="40" width="11.42578125" style="22"/>
    <col min="41" max="41" width="21.140625" style="22" customWidth="1"/>
    <col min="42" max="42" width="11.42578125" style="22"/>
    <col min="43" max="43" width="25.7109375" style="22" bestFit="1" customWidth="1"/>
    <col min="44" max="46" width="11.42578125" style="22"/>
    <col min="47" max="47" width="25.42578125" style="22" customWidth="1"/>
    <col min="48" max="52" width="11.42578125" style="22"/>
    <col min="53" max="53" width="20.42578125" style="22" customWidth="1"/>
    <col min="54" max="54" width="20.7109375" style="22" customWidth="1"/>
    <col min="55" max="16384" width="11.42578125" style="22"/>
  </cols>
  <sheetData>
    <row r="2" spans="2:22" x14ac:dyDescent="0.25">
      <c r="B2" s="855" t="s">
        <v>144</v>
      </c>
      <c r="C2" s="855"/>
      <c r="D2" s="855"/>
      <c r="E2" s="855"/>
      <c r="F2" s="855"/>
      <c r="G2" s="855"/>
      <c r="H2" s="855"/>
      <c r="I2" s="855"/>
      <c r="J2" s="855"/>
      <c r="K2" s="855"/>
      <c r="L2" s="855"/>
      <c r="M2" s="855"/>
    </row>
    <row r="3" spans="2:22" ht="18" customHeight="1" x14ac:dyDescent="0.25"/>
    <row r="4" spans="2:22" ht="18" customHeight="1" x14ac:dyDescent="0.25">
      <c r="B4" s="162" t="s">
        <v>146</v>
      </c>
      <c r="C4" s="162" t="s">
        <v>5</v>
      </c>
      <c r="D4" s="163" t="s">
        <v>6</v>
      </c>
      <c r="E4" s="163" t="s">
        <v>145</v>
      </c>
      <c r="F4" s="163" t="s">
        <v>3</v>
      </c>
      <c r="G4" s="162" t="s">
        <v>7</v>
      </c>
      <c r="H4" s="865" t="s">
        <v>8</v>
      </c>
      <c r="I4" s="865"/>
      <c r="J4" s="865"/>
      <c r="K4" s="865"/>
      <c r="L4" s="865"/>
      <c r="M4" s="865"/>
      <c r="N4" s="865"/>
    </row>
    <row r="5" spans="2:22" ht="18" customHeight="1" x14ac:dyDescent="0.25">
      <c r="B5" s="164">
        <v>1</v>
      </c>
      <c r="C5" s="165" t="s">
        <v>451</v>
      </c>
      <c r="D5" s="166" t="s">
        <v>476</v>
      </c>
      <c r="E5" s="165" t="s">
        <v>452</v>
      </c>
      <c r="F5" s="166">
        <v>2024</v>
      </c>
      <c r="G5" s="166"/>
      <c r="H5" s="866" t="s">
        <v>450</v>
      </c>
      <c r="I5" s="866"/>
      <c r="J5" s="866"/>
      <c r="K5" s="866"/>
      <c r="L5" s="866"/>
      <c r="M5" s="866"/>
      <c r="N5" s="866"/>
    </row>
    <row r="6" spans="2:22" ht="18" customHeight="1" x14ac:dyDescent="0.25"/>
    <row r="7" spans="2:22" ht="18" customHeight="1" x14ac:dyDescent="0.25">
      <c r="B7" s="912" t="s">
        <v>684</v>
      </c>
      <c r="C7" s="913"/>
      <c r="D7" s="913"/>
      <c r="E7" s="913"/>
      <c r="F7" s="913"/>
      <c r="G7" s="913"/>
      <c r="H7" s="913"/>
      <c r="I7" s="913"/>
      <c r="J7" s="913"/>
      <c r="K7" s="913"/>
      <c r="L7" s="913"/>
      <c r="M7" s="914"/>
    </row>
    <row r="8" spans="2:22" ht="18" customHeight="1" x14ac:dyDescent="0.25">
      <c r="B8" s="915" t="s">
        <v>685</v>
      </c>
      <c r="C8" s="913"/>
      <c r="D8" s="913"/>
      <c r="E8" s="913"/>
      <c r="F8" s="913"/>
      <c r="G8" s="913"/>
      <c r="H8" s="913"/>
      <c r="I8" s="913"/>
      <c r="J8" s="913"/>
      <c r="K8" s="913"/>
      <c r="L8" s="913"/>
      <c r="M8" s="914"/>
    </row>
    <row r="9" spans="2:22" ht="18" customHeight="1" x14ac:dyDescent="0.25"/>
    <row r="10" spans="2:22" ht="28.5" customHeight="1" x14ac:dyDescent="0.25">
      <c r="B10" s="209" t="s">
        <v>453</v>
      </c>
      <c r="C10" s="209" t="s">
        <v>454</v>
      </c>
      <c r="D10" s="209" t="s">
        <v>455</v>
      </c>
      <c r="E10" s="209" t="s">
        <v>456</v>
      </c>
      <c r="F10" s="209" t="s">
        <v>457</v>
      </c>
      <c r="G10" s="209" t="s">
        <v>458</v>
      </c>
      <c r="H10" s="209" t="s">
        <v>459</v>
      </c>
      <c r="I10" s="209" t="s">
        <v>460</v>
      </c>
      <c r="J10" s="209" t="s">
        <v>461</v>
      </c>
      <c r="K10" s="209" t="s">
        <v>462</v>
      </c>
      <c r="L10" s="209" t="s">
        <v>463</v>
      </c>
      <c r="M10" s="252" t="s">
        <v>559</v>
      </c>
      <c r="N10" s="252" t="s">
        <v>1001</v>
      </c>
      <c r="O10" s="252" t="s">
        <v>1002</v>
      </c>
      <c r="Q10" s="867" t="s">
        <v>150</v>
      </c>
      <c r="R10" s="868"/>
      <c r="S10" s="867" t="s">
        <v>150</v>
      </c>
      <c r="T10" s="868"/>
      <c r="U10" s="867" t="s">
        <v>150</v>
      </c>
      <c r="V10" s="868"/>
    </row>
    <row r="11" spans="2:22" s="59" customFormat="1" ht="63.75" customHeight="1" x14ac:dyDescent="0.25">
      <c r="B11" s="215" t="s">
        <v>686</v>
      </c>
      <c r="C11" s="211">
        <v>4</v>
      </c>
      <c r="D11" s="211" t="s">
        <v>464</v>
      </c>
      <c r="E11" s="212">
        <v>500000</v>
      </c>
      <c r="F11" s="211">
        <v>50</v>
      </c>
      <c r="G11" s="211" t="s">
        <v>287</v>
      </c>
      <c r="H11" s="212">
        <v>0</v>
      </c>
      <c r="I11" s="213">
        <v>0</v>
      </c>
      <c r="J11" s="212">
        <v>500000</v>
      </c>
      <c r="K11" s="212">
        <v>100000000</v>
      </c>
      <c r="L11" s="251">
        <v>100000000</v>
      </c>
      <c r="M11" s="104">
        <f>ROUND(L11*(1+$T$11)*(1+$V$11),0)</f>
        <v>109134480</v>
      </c>
      <c r="N11" s="104">
        <f>ROUND(M11/C11,0)</f>
        <v>27283620</v>
      </c>
      <c r="O11" s="104">
        <f>ROUND(N11/F11,0)</f>
        <v>545672</v>
      </c>
      <c r="Q11" s="175" t="s">
        <v>154</v>
      </c>
      <c r="R11" s="176">
        <v>9.2799999999999994E-2</v>
      </c>
      <c r="S11" s="175" t="s">
        <v>151</v>
      </c>
      <c r="T11" s="176">
        <v>5.1999999999999998E-2</v>
      </c>
      <c r="U11" s="175" t="s">
        <v>1074</v>
      </c>
      <c r="V11" s="176">
        <v>3.7400000000000003E-2</v>
      </c>
    </row>
    <row r="12" spans="2:22" ht="18" customHeight="1" x14ac:dyDescent="0.25"/>
    <row r="13" spans="2:22" ht="18" customHeight="1" x14ac:dyDescent="0.25"/>
    <row r="14" spans="2:22" ht="18" customHeight="1" x14ac:dyDescent="0.25">
      <c r="B14" s="162" t="s">
        <v>146</v>
      </c>
      <c r="C14" s="162" t="s">
        <v>5</v>
      </c>
      <c r="D14" s="163" t="s">
        <v>6</v>
      </c>
      <c r="E14" s="163" t="s">
        <v>145</v>
      </c>
      <c r="F14" s="163" t="s">
        <v>3</v>
      </c>
      <c r="G14" s="162" t="s">
        <v>7</v>
      </c>
      <c r="H14" s="865" t="s">
        <v>8</v>
      </c>
      <c r="I14" s="865"/>
      <c r="J14" s="865"/>
      <c r="K14" s="865"/>
      <c r="L14" s="865"/>
      <c r="M14" s="865"/>
      <c r="N14" s="865"/>
    </row>
    <row r="15" spans="2:22" ht="26.25" customHeight="1" x14ac:dyDescent="0.25">
      <c r="B15" s="164">
        <v>2</v>
      </c>
      <c r="C15" s="165" t="s">
        <v>553</v>
      </c>
      <c r="D15" s="165" t="s">
        <v>554</v>
      </c>
      <c r="E15" s="165" t="s">
        <v>452</v>
      </c>
      <c r="F15" s="166">
        <v>2024</v>
      </c>
      <c r="G15" s="166"/>
      <c r="H15" s="847" t="s">
        <v>552</v>
      </c>
      <c r="I15" s="866"/>
      <c r="J15" s="866"/>
      <c r="K15" s="866"/>
      <c r="L15" s="866"/>
      <c r="M15" s="866"/>
      <c r="N15" s="866"/>
    </row>
    <row r="16" spans="2:22" ht="18" customHeight="1" x14ac:dyDescent="0.25"/>
    <row r="17" spans="2:13" ht="18" customHeight="1" x14ac:dyDescent="0.25"/>
    <row r="18" spans="2:13" ht="18" customHeight="1" x14ac:dyDescent="0.25">
      <c r="B18" s="944" t="s">
        <v>708</v>
      </c>
      <c r="C18" s="944"/>
      <c r="D18" s="944"/>
      <c r="E18" s="944"/>
      <c r="F18" s="944"/>
    </row>
    <row r="19" spans="2:13" ht="18" customHeight="1" thickBot="1" x14ac:dyDescent="0.3">
      <c r="B19" s="209" t="s">
        <v>711</v>
      </c>
      <c r="C19" s="209" t="s">
        <v>456</v>
      </c>
      <c r="D19" s="209" t="s">
        <v>557</v>
      </c>
      <c r="E19" s="209" t="s">
        <v>249</v>
      </c>
      <c r="F19" s="209" t="s">
        <v>558</v>
      </c>
      <c r="G19" s="252" t="s">
        <v>559</v>
      </c>
    </row>
    <row r="20" spans="2:13" ht="23.25" customHeight="1" thickBot="1" x14ac:dyDescent="0.3">
      <c r="B20" s="269" t="s">
        <v>715</v>
      </c>
      <c r="C20" s="402">
        <v>500000</v>
      </c>
      <c r="D20" s="271">
        <v>4</v>
      </c>
      <c r="E20" s="271">
        <v>48</v>
      </c>
      <c r="F20" s="406">
        <v>96000000</v>
      </c>
    </row>
    <row r="21" spans="2:13" ht="18" customHeight="1" x14ac:dyDescent="0.25">
      <c r="B21" s="277" t="s">
        <v>716</v>
      </c>
      <c r="C21" s="403">
        <v>231000</v>
      </c>
      <c r="D21" s="279"/>
      <c r="E21" s="279"/>
      <c r="F21" s="280"/>
      <c r="G21" s="404">
        <f>ROUND(C21*(1+$T$11)*(1+$V$11),0)</f>
        <v>252101</v>
      </c>
    </row>
    <row r="22" spans="2:13" ht="18" customHeight="1" x14ac:dyDescent="0.25">
      <c r="B22" s="282" t="s">
        <v>717</v>
      </c>
      <c r="C22" s="404">
        <v>90000</v>
      </c>
      <c r="D22" s="279"/>
      <c r="E22" s="279"/>
      <c r="F22" s="280"/>
      <c r="G22" s="404">
        <f t="shared" ref="G22:G27" si="0">ROUND(C22*(1+$T$11)*(1+$V$11),0)</f>
        <v>98221</v>
      </c>
    </row>
    <row r="23" spans="2:13" ht="18" customHeight="1" x14ac:dyDescent="0.25">
      <c r="B23" s="282" t="s">
        <v>719</v>
      </c>
      <c r="C23" s="404">
        <v>25000</v>
      </c>
      <c r="D23" s="279"/>
      <c r="E23" s="279"/>
      <c r="F23" s="280"/>
      <c r="G23" s="404">
        <f t="shared" si="0"/>
        <v>27284</v>
      </c>
    </row>
    <row r="24" spans="2:13" ht="18" customHeight="1" x14ac:dyDescent="0.25">
      <c r="B24" s="282" t="s">
        <v>720</v>
      </c>
      <c r="C24" s="404">
        <v>22000</v>
      </c>
      <c r="D24" s="279"/>
      <c r="E24" s="279"/>
      <c r="F24" s="280"/>
      <c r="G24" s="404">
        <f t="shared" si="0"/>
        <v>24010</v>
      </c>
    </row>
    <row r="25" spans="2:13" ht="18" customHeight="1" x14ac:dyDescent="0.25">
      <c r="B25" s="282" t="s">
        <v>721</v>
      </c>
      <c r="C25" s="404">
        <v>60000</v>
      </c>
      <c r="D25" s="279"/>
      <c r="E25" s="279"/>
      <c r="F25" s="280"/>
      <c r="G25" s="404">
        <f t="shared" si="0"/>
        <v>65481</v>
      </c>
    </row>
    <row r="26" spans="2:13" ht="18" customHeight="1" x14ac:dyDescent="0.25">
      <c r="B26" s="282" t="s">
        <v>722</v>
      </c>
      <c r="C26" s="404">
        <v>22000</v>
      </c>
      <c r="D26" s="279"/>
      <c r="E26" s="279"/>
      <c r="F26" s="280"/>
      <c r="G26" s="404">
        <f t="shared" si="0"/>
        <v>24010</v>
      </c>
    </row>
    <row r="27" spans="2:13" ht="18" customHeight="1" thickBot="1" x14ac:dyDescent="0.3">
      <c r="B27" s="286" t="s">
        <v>723</v>
      </c>
      <c r="C27" s="405">
        <v>50000</v>
      </c>
      <c r="D27" s="279"/>
      <c r="E27" s="279"/>
      <c r="F27" s="280"/>
      <c r="G27" s="404">
        <f t="shared" si="0"/>
        <v>54567</v>
      </c>
    </row>
    <row r="28" spans="2:13" ht="18" customHeight="1" thickBot="1" x14ac:dyDescent="0.3">
      <c r="B28" s="269"/>
      <c r="C28" s="270"/>
      <c r="D28" s="271"/>
      <c r="E28" s="271"/>
      <c r="F28" s="272"/>
    </row>
    <row r="29" spans="2:13" ht="18" customHeight="1" x14ac:dyDescent="0.25"/>
    <row r="30" spans="2:13" ht="18" customHeight="1" x14ac:dyDescent="0.25"/>
    <row r="32" spans="2:13" x14ac:dyDescent="0.25">
      <c r="B32" s="34" t="s">
        <v>146</v>
      </c>
      <c r="C32" s="34" t="s">
        <v>5</v>
      </c>
      <c r="D32" s="25" t="s">
        <v>6</v>
      </c>
      <c r="E32" s="25" t="s">
        <v>145</v>
      </c>
      <c r="F32" s="25" t="s">
        <v>3</v>
      </c>
      <c r="G32" s="34" t="s">
        <v>7</v>
      </c>
      <c r="H32" s="853" t="s">
        <v>8</v>
      </c>
      <c r="I32" s="853"/>
      <c r="J32" s="853"/>
      <c r="K32" s="853"/>
      <c r="L32" s="853"/>
      <c r="M32" s="853"/>
    </row>
    <row r="33" spans="2:54" x14ac:dyDescent="0.25">
      <c r="B33" s="35">
        <v>2</v>
      </c>
      <c r="C33" s="36" t="s">
        <v>334</v>
      </c>
      <c r="D33" s="37" t="s">
        <v>342</v>
      </c>
      <c r="E33" s="36" t="s">
        <v>200</v>
      </c>
      <c r="F33" s="37">
        <v>2023</v>
      </c>
      <c r="G33" s="37" t="s">
        <v>335</v>
      </c>
      <c r="H33" s="909" t="s">
        <v>343</v>
      </c>
      <c r="I33" s="910"/>
      <c r="J33" s="910"/>
      <c r="K33" s="910"/>
      <c r="L33" s="910"/>
      <c r="M33" s="911"/>
    </row>
    <row r="35" spans="2:54" x14ac:dyDescent="0.25">
      <c r="E35" s="47" t="s">
        <v>155</v>
      </c>
    </row>
    <row r="36" spans="2:54" ht="108" x14ac:dyDescent="0.25">
      <c r="B36" s="137" t="s">
        <v>344</v>
      </c>
      <c r="C36" s="23" t="s">
        <v>345</v>
      </c>
      <c r="D36" s="136">
        <v>384600</v>
      </c>
      <c r="E36" s="57">
        <f>ROUND(D36*(1+R11)*(1+T11)*(1+V11),0)</f>
        <v>458682</v>
      </c>
    </row>
    <row r="40" spans="2:54" x14ac:dyDescent="0.25">
      <c r="B40" s="34" t="s">
        <v>146</v>
      </c>
      <c r="C40" s="34" t="s">
        <v>5</v>
      </c>
      <c r="D40" s="25" t="s">
        <v>6</v>
      </c>
      <c r="E40" s="25" t="s">
        <v>145</v>
      </c>
      <c r="F40" s="25" t="s">
        <v>3</v>
      </c>
      <c r="G40" s="34" t="s">
        <v>7</v>
      </c>
      <c r="H40" s="853" t="s">
        <v>8</v>
      </c>
      <c r="I40" s="853"/>
      <c r="J40" s="853"/>
      <c r="K40" s="853"/>
      <c r="L40" s="853"/>
      <c r="M40" s="853"/>
    </row>
    <row r="41" spans="2:54" ht="28.5" customHeight="1" x14ac:dyDescent="0.25">
      <c r="B41" s="35">
        <v>4</v>
      </c>
      <c r="C41" s="36" t="s">
        <v>158</v>
      </c>
      <c r="D41" s="36" t="s">
        <v>246</v>
      </c>
      <c r="E41" s="36" t="s">
        <v>247</v>
      </c>
      <c r="F41" s="37">
        <v>2024</v>
      </c>
      <c r="G41" s="37" t="s">
        <v>1</v>
      </c>
      <c r="H41" s="848" t="s">
        <v>245</v>
      </c>
      <c r="I41" s="848"/>
      <c r="J41" s="848"/>
      <c r="K41" s="848"/>
      <c r="L41" s="848"/>
      <c r="M41" s="848"/>
    </row>
    <row r="44" spans="2:54" ht="27" x14ac:dyDescent="0.25">
      <c r="B44" s="128" t="s">
        <v>289</v>
      </c>
      <c r="C44" s="129" t="s">
        <v>290</v>
      </c>
      <c r="D44" s="129" t="s">
        <v>215</v>
      </c>
      <c r="E44" s="129" t="s">
        <v>291</v>
      </c>
      <c r="F44" s="47" t="s">
        <v>155</v>
      </c>
    </row>
    <row r="45" spans="2:54" x14ac:dyDescent="0.25">
      <c r="B45" s="130" t="s">
        <v>286</v>
      </c>
      <c r="C45" s="131" t="s">
        <v>287</v>
      </c>
      <c r="D45" s="131">
        <v>35</v>
      </c>
      <c r="E45" s="132">
        <v>350000</v>
      </c>
      <c r="F45" s="138">
        <f>ROUND(E45*(1+T11)*(1+V11),0)</f>
        <v>381971</v>
      </c>
    </row>
    <row r="46" spans="2:54" x14ac:dyDescent="0.25">
      <c r="B46" s="133" t="s">
        <v>288</v>
      </c>
      <c r="C46" s="134" t="s">
        <v>287</v>
      </c>
      <c r="D46" s="134">
        <v>35</v>
      </c>
      <c r="E46" s="135">
        <v>350000</v>
      </c>
      <c r="F46" s="138">
        <f>ROUND(E46*(1+T11)*(1+V11),0)</f>
        <v>381971</v>
      </c>
    </row>
    <row r="48" spans="2:54" ht="34.5" customHeight="1" x14ac:dyDescent="0.25">
      <c r="B48" s="54"/>
      <c r="C48" s="84"/>
      <c r="D48" s="84"/>
      <c r="F48" s="84"/>
      <c r="G48" s="84"/>
      <c r="BB48" s="103"/>
    </row>
    <row r="50" spans="2:17" x14ac:dyDescent="0.25">
      <c r="B50" s="34" t="s">
        <v>146</v>
      </c>
      <c r="C50" s="34" t="s">
        <v>5</v>
      </c>
      <c r="D50" s="25" t="s">
        <v>6</v>
      </c>
      <c r="E50" s="25" t="s">
        <v>145</v>
      </c>
      <c r="F50" s="25" t="s">
        <v>3</v>
      </c>
      <c r="G50" s="34" t="s">
        <v>7</v>
      </c>
      <c r="H50" s="853" t="s">
        <v>8</v>
      </c>
      <c r="I50" s="853"/>
      <c r="J50" s="853"/>
      <c r="K50" s="853"/>
      <c r="L50" s="853"/>
      <c r="M50" s="853"/>
      <c r="N50" s="853"/>
    </row>
    <row r="51" spans="2:17" x14ac:dyDescent="0.25">
      <c r="B51" s="35">
        <v>7</v>
      </c>
      <c r="C51" s="36" t="s">
        <v>296</v>
      </c>
      <c r="D51" s="37" t="s">
        <v>318</v>
      </c>
      <c r="E51" s="36" t="s">
        <v>247</v>
      </c>
      <c r="F51" s="37">
        <v>2024</v>
      </c>
      <c r="G51" s="37" t="s">
        <v>297</v>
      </c>
      <c r="H51" s="847" t="s">
        <v>319</v>
      </c>
      <c r="I51" s="848"/>
      <c r="J51" s="848"/>
      <c r="K51" s="848"/>
      <c r="L51" s="848"/>
      <c r="M51" s="848"/>
      <c r="N51" s="848"/>
    </row>
    <row r="52" spans="2:17" x14ac:dyDescent="0.25">
      <c r="B52" s="44"/>
      <c r="C52" s="42"/>
      <c r="D52" s="26"/>
      <c r="E52" s="42"/>
      <c r="F52" s="26"/>
      <c r="G52" s="26"/>
      <c r="H52" s="45"/>
      <c r="I52" s="45"/>
      <c r="J52" s="45"/>
      <c r="K52" s="45"/>
      <c r="L52" s="45"/>
      <c r="M52" s="45"/>
      <c r="N52" s="45"/>
    </row>
    <row r="53" spans="2:17" ht="27" customHeight="1" x14ac:dyDescent="0.25">
      <c r="B53" s="22"/>
      <c r="C53" s="22"/>
      <c r="D53" s="22"/>
      <c r="E53" s="22"/>
      <c r="F53" s="22"/>
      <c r="G53" s="38" t="s">
        <v>149</v>
      </c>
      <c r="H53" s="45"/>
      <c r="I53" s="45"/>
      <c r="J53" s="45"/>
      <c r="K53" s="45"/>
      <c r="L53" s="867" t="s">
        <v>150</v>
      </c>
      <c r="M53" s="868"/>
      <c r="N53" s="867" t="s">
        <v>150</v>
      </c>
      <c r="O53" s="868"/>
      <c r="P53" s="867" t="s">
        <v>150</v>
      </c>
      <c r="Q53" s="868"/>
    </row>
    <row r="54" spans="2:17" x14ac:dyDescent="0.25">
      <c r="B54" s="916" t="s">
        <v>248</v>
      </c>
      <c r="C54" s="920" t="s">
        <v>320</v>
      </c>
      <c r="D54" s="920"/>
      <c r="E54" s="920"/>
      <c r="F54" s="920"/>
      <c r="G54" s="918" t="s">
        <v>155</v>
      </c>
      <c r="H54" s="45"/>
      <c r="I54" s="45"/>
      <c r="J54" s="45"/>
      <c r="K54" s="45"/>
      <c r="L54" s="175" t="s">
        <v>154</v>
      </c>
      <c r="M54" s="176">
        <v>9.2799999999999994E-2</v>
      </c>
      <c r="N54" s="175" t="s">
        <v>151</v>
      </c>
      <c r="O54" s="176">
        <v>5.1999999999999998E-2</v>
      </c>
      <c r="P54" s="175" t="s">
        <v>1074</v>
      </c>
      <c r="Q54" s="176">
        <v>3.7400000000000003E-2</v>
      </c>
    </row>
    <row r="55" spans="2:17" x14ac:dyDescent="0.25">
      <c r="B55" s="916"/>
      <c r="C55" s="105" t="s">
        <v>196</v>
      </c>
      <c r="D55" s="105" t="s">
        <v>232</v>
      </c>
      <c r="E55" s="105" t="s">
        <v>197</v>
      </c>
      <c r="F55" s="106" t="s">
        <v>195</v>
      </c>
      <c r="G55" s="918"/>
      <c r="H55" s="45"/>
      <c r="I55" s="45"/>
      <c r="J55" s="45"/>
      <c r="K55" s="45"/>
      <c r="L55" s="45"/>
      <c r="M55" s="45"/>
      <c r="N55" s="45"/>
    </row>
    <row r="56" spans="2:17" x14ac:dyDescent="0.25">
      <c r="B56" s="107" t="s">
        <v>321</v>
      </c>
      <c r="C56" s="110">
        <v>1</v>
      </c>
      <c r="D56" s="110">
        <v>140</v>
      </c>
      <c r="E56" s="108">
        <v>1000000</v>
      </c>
      <c r="F56" s="109">
        <v>140000000</v>
      </c>
      <c r="G56" s="109">
        <f>ROUND(E56*(1+$O$54)*(1+$Q$54),0)</f>
        <v>1091345</v>
      </c>
      <c r="H56" s="45"/>
      <c r="I56" s="45"/>
      <c r="J56" s="45"/>
      <c r="K56" s="45"/>
      <c r="L56" s="45"/>
      <c r="M56" s="45"/>
      <c r="N56" s="45"/>
    </row>
    <row r="57" spans="2:17" x14ac:dyDescent="0.25">
      <c r="B57" s="921" t="s">
        <v>322</v>
      </c>
      <c r="C57" s="922"/>
      <c r="D57" s="922"/>
      <c r="E57" s="922"/>
      <c r="F57" s="922"/>
      <c r="G57" s="923"/>
    </row>
    <row r="58" spans="2:17" x14ac:dyDescent="0.25">
      <c r="B58" s="916" t="s">
        <v>248</v>
      </c>
      <c r="C58" s="920" t="s">
        <v>323</v>
      </c>
      <c r="D58" s="920"/>
      <c r="E58" s="920"/>
      <c r="F58" s="920"/>
      <c r="G58" s="918" t="s">
        <v>155</v>
      </c>
      <c r="H58" s="111"/>
    </row>
    <row r="59" spans="2:17" x14ac:dyDescent="0.25">
      <c r="B59" s="916"/>
      <c r="C59" s="105" t="s">
        <v>196</v>
      </c>
      <c r="D59" s="105" t="s">
        <v>232</v>
      </c>
      <c r="E59" s="105" t="s">
        <v>197</v>
      </c>
      <c r="F59" s="106" t="s">
        <v>195</v>
      </c>
      <c r="G59" s="918"/>
      <c r="I59" s="554">
        <f>AVERAGE(G56,G60,G63,G66,G69,G72,G76)</f>
        <v>1060163.5714285714</v>
      </c>
    </row>
    <row r="60" spans="2:17" x14ac:dyDescent="0.25">
      <c r="B60" s="107" t="s">
        <v>317</v>
      </c>
      <c r="C60" s="110">
        <v>1</v>
      </c>
      <c r="D60" s="110">
        <v>50</v>
      </c>
      <c r="E60" s="108">
        <v>900000</v>
      </c>
      <c r="F60" s="112">
        <v>45000000</v>
      </c>
      <c r="G60" s="109">
        <f>ROUND(E60*(1+$O$54)*(1+$Q$54),0)</f>
        <v>982210</v>
      </c>
    </row>
    <row r="61" spans="2:17" x14ac:dyDescent="0.25">
      <c r="B61" s="916" t="s">
        <v>248</v>
      </c>
      <c r="C61" s="920" t="s">
        <v>324</v>
      </c>
      <c r="D61" s="920"/>
      <c r="E61" s="920"/>
      <c r="F61" s="920"/>
      <c r="G61" s="918" t="s">
        <v>155</v>
      </c>
      <c r="H61" s="111"/>
      <c r="I61" s="927"/>
      <c r="J61" s="927"/>
    </row>
    <row r="62" spans="2:17" x14ac:dyDescent="0.25">
      <c r="B62" s="916"/>
      <c r="C62" s="105" t="s">
        <v>196</v>
      </c>
      <c r="D62" s="105" t="s">
        <v>232</v>
      </c>
      <c r="E62" s="105" t="s">
        <v>197</v>
      </c>
      <c r="F62" s="106" t="s">
        <v>195</v>
      </c>
      <c r="G62" s="918"/>
      <c r="I62" s="42"/>
      <c r="J62" s="102"/>
    </row>
    <row r="63" spans="2:17" x14ac:dyDescent="0.25">
      <c r="B63" s="113" t="s">
        <v>317</v>
      </c>
      <c r="C63" s="110">
        <v>1</v>
      </c>
      <c r="D63" s="110">
        <v>50</v>
      </c>
      <c r="E63" s="114">
        <v>1500000</v>
      </c>
      <c r="F63" s="109">
        <v>75000000</v>
      </c>
      <c r="G63" s="109">
        <f>ROUND(E63*(1+$O$54)*(1+$Q$54),0)</f>
        <v>1637017</v>
      </c>
    </row>
    <row r="64" spans="2:17" x14ac:dyDescent="0.25">
      <c r="B64" s="916" t="s">
        <v>248</v>
      </c>
      <c r="C64" s="920" t="s">
        <v>325</v>
      </c>
      <c r="D64" s="920"/>
      <c r="E64" s="920"/>
      <c r="F64" s="920"/>
      <c r="G64" s="918" t="s">
        <v>155</v>
      </c>
    </row>
    <row r="65" spans="2:7" x14ac:dyDescent="0.25">
      <c r="B65" s="916"/>
      <c r="C65" s="105" t="s">
        <v>196</v>
      </c>
      <c r="D65" s="105" t="s">
        <v>232</v>
      </c>
      <c r="E65" s="105" t="s">
        <v>197</v>
      </c>
      <c r="F65" s="106" t="s">
        <v>195</v>
      </c>
      <c r="G65" s="918"/>
    </row>
    <row r="66" spans="2:7" x14ac:dyDescent="0.25">
      <c r="B66" s="113" t="s">
        <v>317</v>
      </c>
      <c r="C66" s="110">
        <v>1</v>
      </c>
      <c r="D66" s="110">
        <v>50</v>
      </c>
      <c r="E66" s="114">
        <v>800000</v>
      </c>
      <c r="F66" s="109">
        <v>40000000</v>
      </c>
      <c r="G66" s="109">
        <f>ROUND(E66*(1+$O$54)*(1+$Q$54),0)</f>
        <v>873076</v>
      </c>
    </row>
    <row r="67" spans="2:7" x14ac:dyDescent="0.25">
      <c r="B67" s="916" t="s">
        <v>248</v>
      </c>
      <c r="C67" s="917" t="s">
        <v>326</v>
      </c>
      <c r="D67" s="917"/>
      <c r="E67" s="917"/>
      <c r="F67" s="917"/>
      <c r="G67" s="918" t="s">
        <v>155</v>
      </c>
    </row>
    <row r="68" spans="2:7" x14ac:dyDescent="0.25">
      <c r="B68" s="916"/>
      <c r="C68" s="105" t="s">
        <v>196</v>
      </c>
      <c r="D68" s="105" t="s">
        <v>232</v>
      </c>
      <c r="E68" s="105" t="s">
        <v>197</v>
      </c>
      <c r="F68" s="106" t="s">
        <v>195</v>
      </c>
      <c r="G68" s="918"/>
    </row>
    <row r="69" spans="2:7" x14ac:dyDescent="0.25">
      <c r="B69" s="113" t="s">
        <v>317</v>
      </c>
      <c r="C69" s="110">
        <v>1</v>
      </c>
      <c r="D69" s="110">
        <v>50</v>
      </c>
      <c r="E69" s="108">
        <v>800000</v>
      </c>
      <c r="F69" s="109">
        <v>40000000</v>
      </c>
      <c r="G69" s="109">
        <f>ROUND(E69*(1+$O$54)*(1+$Q$54),0)</f>
        <v>873076</v>
      </c>
    </row>
    <row r="70" spans="2:7" x14ac:dyDescent="0.25">
      <c r="B70" s="916" t="s">
        <v>248</v>
      </c>
      <c r="C70" s="920" t="s">
        <v>327</v>
      </c>
      <c r="D70" s="920"/>
      <c r="E70" s="920"/>
      <c r="F70" s="920"/>
      <c r="G70" s="918" t="s">
        <v>155</v>
      </c>
    </row>
    <row r="71" spans="2:7" x14ac:dyDescent="0.25">
      <c r="B71" s="916"/>
      <c r="C71" s="105" t="s">
        <v>196</v>
      </c>
      <c r="D71" s="105" t="s">
        <v>232</v>
      </c>
      <c r="E71" s="105" t="s">
        <v>197</v>
      </c>
      <c r="F71" s="106" t="s">
        <v>195</v>
      </c>
      <c r="G71" s="918"/>
    </row>
    <row r="72" spans="2:7" x14ac:dyDescent="0.25">
      <c r="B72" s="113" t="s">
        <v>317</v>
      </c>
      <c r="C72" s="110">
        <v>1</v>
      </c>
      <c r="D72" s="110">
        <v>50</v>
      </c>
      <c r="E72" s="108">
        <v>800000</v>
      </c>
      <c r="F72" s="109">
        <v>40000000</v>
      </c>
      <c r="G72" s="109">
        <f>ROUND(E72*(1+$O$54)*(1+$Q$54),0)</f>
        <v>873076</v>
      </c>
    </row>
    <row r="73" spans="2:7" x14ac:dyDescent="0.25">
      <c r="B73" s="924" t="s">
        <v>328</v>
      </c>
      <c r="C73" s="925"/>
      <c r="D73" s="925"/>
      <c r="E73" s="925"/>
      <c r="F73" s="925"/>
      <c r="G73" s="926"/>
    </row>
    <row r="74" spans="2:7" x14ac:dyDescent="0.25">
      <c r="B74" s="916" t="s">
        <v>248</v>
      </c>
      <c r="C74" s="920" t="s">
        <v>329</v>
      </c>
      <c r="D74" s="920"/>
      <c r="E74" s="920"/>
      <c r="F74" s="920"/>
      <c r="G74" s="918" t="s">
        <v>155</v>
      </c>
    </row>
    <row r="75" spans="2:7" x14ac:dyDescent="0.25">
      <c r="B75" s="916"/>
      <c r="C75" s="105" t="s">
        <v>196</v>
      </c>
      <c r="D75" s="105" t="s">
        <v>232</v>
      </c>
      <c r="E75" s="105" t="s">
        <v>197</v>
      </c>
      <c r="F75" s="106" t="s">
        <v>195</v>
      </c>
      <c r="G75" s="918"/>
    </row>
    <row r="76" spans="2:7" x14ac:dyDescent="0.25">
      <c r="B76" s="113" t="s">
        <v>317</v>
      </c>
      <c r="C76" s="110">
        <v>1</v>
      </c>
      <c r="D76" s="110">
        <v>140</v>
      </c>
      <c r="E76" s="108">
        <v>1000000</v>
      </c>
      <c r="F76" s="109">
        <v>140000000</v>
      </c>
      <c r="G76" s="109">
        <f>ROUND(E76*(1+$O$54)*(1+$Q$54),0)</f>
        <v>1091345</v>
      </c>
    </row>
    <row r="83" spans="2:14" x14ac:dyDescent="0.25">
      <c r="B83" s="60" t="s">
        <v>146</v>
      </c>
      <c r="C83" s="34" t="s">
        <v>5</v>
      </c>
      <c r="D83" s="25" t="s">
        <v>6</v>
      </c>
      <c r="E83" s="25" t="s">
        <v>145</v>
      </c>
      <c r="F83" s="25" t="s">
        <v>3</v>
      </c>
      <c r="G83" s="34" t="s">
        <v>7</v>
      </c>
      <c r="H83" s="853" t="s">
        <v>244</v>
      </c>
      <c r="I83" s="853"/>
      <c r="J83" s="853"/>
      <c r="K83" s="853"/>
      <c r="L83" s="853"/>
      <c r="M83" s="853"/>
      <c r="N83" s="853"/>
    </row>
    <row r="84" spans="2:14" ht="54" x14ac:dyDescent="0.25">
      <c r="B84" s="64">
        <v>1</v>
      </c>
      <c r="C84" s="36" t="s">
        <v>334</v>
      </c>
      <c r="D84" s="37" t="s">
        <v>1133</v>
      </c>
      <c r="E84" s="36" t="s">
        <v>1132</v>
      </c>
      <c r="F84" s="37">
        <v>2024</v>
      </c>
      <c r="G84" s="36"/>
      <c r="H84" s="847" t="s">
        <v>1134</v>
      </c>
      <c r="I84" s="848"/>
      <c r="J84" s="848"/>
      <c r="K84" s="848"/>
      <c r="L84" s="848"/>
      <c r="M84" s="848"/>
      <c r="N84" s="848"/>
    </row>
    <row r="86" spans="2:14" ht="14.25" thickBot="1" x14ac:dyDescent="0.3"/>
    <row r="87" spans="2:14" ht="14.25" thickBot="1" x14ac:dyDescent="0.3">
      <c r="B87" s="941" t="s">
        <v>1350</v>
      </c>
      <c r="C87" s="942"/>
      <c r="D87" s="942"/>
      <c r="E87" s="942"/>
      <c r="F87" s="942"/>
      <c r="G87" s="942"/>
      <c r="H87" s="943"/>
      <c r="I87" s="918" t="s">
        <v>155</v>
      </c>
    </row>
    <row r="88" spans="2:14" ht="14.25" thickBot="1" x14ac:dyDescent="0.3">
      <c r="B88" s="555" t="s">
        <v>289</v>
      </c>
      <c r="C88" s="556" t="s">
        <v>1351</v>
      </c>
      <c r="D88" s="556" t="s">
        <v>291</v>
      </c>
      <c r="E88" s="556" t="s">
        <v>487</v>
      </c>
      <c r="F88" s="556" t="s">
        <v>1352</v>
      </c>
      <c r="G88" s="556" t="s">
        <v>459</v>
      </c>
      <c r="H88" s="557" t="s">
        <v>487</v>
      </c>
      <c r="I88" s="918"/>
    </row>
    <row r="89" spans="2:14" ht="67.5" x14ac:dyDescent="0.25">
      <c r="B89" s="558" t="s">
        <v>1353</v>
      </c>
      <c r="C89" s="559">
        <v>30</v>
      </c>
      <c r="D89" s="560">
        <v>300000</v>
      </c>
      <c r="E89" s="560">
        <f>+D89*C89</f>
        <v>9000000</v>
      </c>
      <c r="F89" s="561">
        <v>4</v>
      </c>
      <c r="G89" s="562" t="s">
        <v>1354</v>
      </c>
      <c r="H89" s="563">
        <f>+F89*E89</f>
        <v>36000000</v>
      </c>
      <c r="I89" s="109">
        <f>ROUND(D89*(1+$O$54)*(1+$Q$54),0)</f>
        <v>327403</v>
      </c>
    </row>
    <row r="92" spans="2:14" x14ac:dyDescent="0.25">
      <c r="B92" s="162" t="s">
        <v>146</v>
      </c>
      <c r="C92" s="162" t="s">
        <v>5</v>
      </c>
      <c r="D92" s="163" t="s">
        <v>6</v>
      </c>
      <c r="E92" s="163" t="s">
        <v>145</v>
      </c>
      <c r="F92" s="163" t="s">
        <v>3</v>
      </c>
      <c r="G92" s="162" t="s">
        <v>7</v>
      </c>
      <c r="H92" s="865" t="s">
        <v>8</v>
      </c>
      <c r="I92" s="865"/>
      <c r="J92" s="865"/>
      <c r="K92" s="865"/>
      <c r="L92" s="865"/>
      <c r="M92" s="865"/>
      <c r="N92" s="865"/>
    </row>
    <row r="93" spans="2:14" x14ac:dyDescent="0.25">
      <c r="B93" s="164">
        <v>1</v>
      </c>
      <c r="C93" s="165" t="s">
        <v>470</v>
      </c>
      <c r="D93" s="165" t="s">
        <v>478</v>
      </c>
      <c r="E93" s="165" t="s">
        <v>479</v>
      </c>
      <c r="F93" s="166">
        <v>2025</v>
      </c>
      <c r="G93" s="166"/>
      <c r="H93" s="847" t="s">
        <v>477</v>
      </c>
      <c r="I93" s="866"/>
      <c r="J93" s="866"/>
      <c r="K93" s="866"/>
      <c r="L93" s="866"/>
      <c r="M93" s="866"/>
      <c r="N93" s="866"/>
    </row>
    <row r="94" spans="2:14" x14ac:dyDescent="0.25">
      <c r="B94" s="167"/>
      <c r="C94" s="167"/>
      <c r="D94" s="167"/>
      <c r="E94" s="167"/>
      <c r="F94" s="167"/>
      <c r="G94" s="167"/>
      <c r="H94" s="167"/>
      <c r="I94" s="167"/>
      <c r="J94" s="167"/>
      <c r="K94" s="167"/>
      <c r="L94" s="167"/>
      <c r="M94" s="167"/>
      <c r="N94" s="167"/>
    </row>
    <row r="95" spans="2:14" ht="140.25" x14ac:dyDescent="0.25">
      <c r="B95" s="167"/>
      <c r="C95" s="177" t="s">
        <v>471</v>
      </c>
      <c r="D95" s="178">
        <v>1</v>
      </c>
      <c r="E95" s="179">
        <v>26250</v>
      </c>
      <c r="F95" s="180">
        <v>19819</v>
      </c>
      <c r="G95" s="167"/>
      <c r="H95" s="167"/>
      <c r="I95" s="167"/>
      <c r="J95" s="167"/>
      <c r="K95" s="167"/>
      <c r="L95" s="167"/>
      <c r="M95" s="167"/>
      <c r="N95" s="167"/>
    </row>
    <row r="96" spans="2:14" ht="165.75" x14ac:dyDescent="0.25">
      <c r="B96" s="167"/>
      <c r="C96" s="177" t="s">
        <v>472</v>
      </c>
      <c r="D96" s="178">
        <v>1</v>
      </c>
      <c r="E96" s="179">
        <v>31365</v>
      </c>
      <c r="F96" s="180">
        <v>23681</v>
      </c>
      <c r="G96" s="167"/>
      <c r="H96" s="167"/>
      <c r="I96" s="167"/>
      <c r="J96" s="167"/>
      <c r="K96" s="167"/>
      <c r="L96" s="167"/>
      <c r="M96" s="167"/>
      <c r="N96" s="167"/>
    </row>
    <row r="97" spans="2:14" ht="204" x14ac:dyDescent="0.25">
      <c r="B97" s="167"/>
      <c r="C97" s="177" t="s">
        <v>473</v>
      </c>
      <c r="D97" s="178">
        <v>1</v>
      </c>
      <c r="E97" s="179">
        <v>42035</v>
      </c>
      <c r="F97" s="180">
        <v>31736</v>
      </c>
      <c r="G97" s="167"/>
      <c r="H97" s="167"/>
      <c r="I97" s="167"/>
      <c r="J97" s="167"/>
      <c r="K97" s="167"/>
      <c r="L97" s="167"/>
      <c r="M97" s="167"/>
      <c r="N97" s="167"/>
    </row>
    <row r="98" spans="2:14" ht="178.5" x14ac:dyDescent="0.25">
      <c r="B98" s="167"/>
      <c r="C98" s="177" t="s">
        <v>20</v>
      </c>
      <c r="D98" s="178">
        <v>1</v>
      </c>
      <c r="E98" s="179">
        <v>57516</v>
      </c>
      <c r="F98" s="180">
        <v>43425</v>
      </c>
      <c r="G98" s="167"/>
      <c r="H98" s="167"/>
      <c r="I98" s="167"/>
      <c r="J98" s="167"/>
      <c r="K98" s="167"/>
      <c r="L98" s="167"/>
      <c r="M98" s="167"/>
      <c r="N98" s="167"/>
    </row>
    <row r="99" spans="2:14" ht="255" x14ac:dyDescent="0.25">
      <c r="B99" s="167"/>
      <c r="C99" s="177" t="s">
        <v>474</v>
      </c>
      <c r="D99" s="178">
        <v>1</v>
      </c>
      <c r="E99" s="179">
        <v>71922</v>
      </c>
      <c r="F99" s="180">
        <v>54301</v>
      </c>
      <c r="G99" s="167"/>
      <c r="H99" s="167"/>
      <c r="I99" s="167"/>
      <c r="J99" s="167"/>
      <c r="K99" s="167"/>
      <c r="L99" s="167"/>
      <c r="M99" s="167"/>
      <c r="N99" s="167"/>
    </row>
    <row r="100" spans="2:14" ht="114.75" x14ac:dyDescent="0.25">
      <c r="B100" s="167"/>
      <c r="C100" s="177" t="s">
        <v>21</v>
      </c>
      <c r="D100" s="178">
        <v>1</v>
      </c>
      <c r="E100" s="179">
        <v>80156</v>
      </c>
      <c r="F100" s="180">
        <v>60518</v>
      </c>
      <c r="G100" s="167"/>
      <c r="H100" s="167"/>
      <c r="I100" s="167"/>
      <c r="J100" s="167"/>
      <c r="K100" s="167"/>
      <c r="L100" s="167"/>
      <c r="M100" s="167"/>
      <c r="N100" s="167"/>
    </row>
    <row r="101" spans="2:14" ht="165.75" x14ac:dyDescent="0.25">
      <c r="B101" s="167"/>
      <c r="C101" s="177" t="s">
        <v>22</v>
      </c>
      <c r="D101" s="178">
        <v>1</v>
      </c>
      <c r="E101" s="179">
        <v>70229</v>
      </c>
      <c r="F101" s="180">
        <v>53023</v>
      </c>
      <c r="G101" s="167"/>
      <c r="H101" s="167"/>
      <c r="I101" s="167"/>
      <c r="J101" s="167"/>
      <c r="K101" s="167"/>
      <c r="L101" s="167"/>
      <c r="M101" s="167"/>
      <c r="N101" s="167"/>
    </row>
    <row r="102" spans="2:14" ht="153" x14ac:dyDescent="0.25">
      <c r="B102" s="167"/>
      <c r="C102" s="177" t="s">
        <v>23</v>
      </c>
      <c r="D102" s="178">
        <v>1</v>
      </c>
      <c r="E102" s="179">
        <v>93939</v>
      </c>
      <c r="F102" s="180">
        <v>70924</v>
      </c>
      <c r="G102" s="167"/>
      <c r="H102" s="167"/>
      <c r="I102" s="167"/>
      <c r="J102" s="167"/>
      <c r="K102" s="167"/>
      <c r="L102" s="167"/>
      <c r="M102" s="167"/>
      <c r="N102" s="167"/>
    </row>
    <row r="103" spans="2:14" ht="280.5" x14ac:dyDescent="0.25">
      <c r="B103" s="167"/>
      <c r="C103" s="177" t="s">
        <v>475</v>
      </c>
      <c r="D103" s="178">
        <v>1</v>
      </c>
      <c r="E103" s="179">
        <v>2221460</v>
      </c>
      <c r="F103" s="180">
        <v>1677202</v>
      </c>
      <c r="G103" s="167"/>
      <c r="H103" s="167"/>
      <c r="I103" s="167"/>
      <c r="J103" s="167"/>
      <c r="K103" s="167"/>
      <c r="L103" s="167"/>
      <c r="M103" s="167"/>
      <c r="N103" s="167"/>
    </row>
    <row r="104" spans="2:14" x14ac:dyDescent="0.25">
      <c r="B104" s="167"/>
      <c r="C104" s="167"/>
      <c r="D104" s="167"/>
      <c r="E104" s="167"/>
      <c r="F104" s="167"/>
      <c r="G104" s="167"/>
      <c r="H104" s="167"/>
      <c r="I104" s="169"/>
      <c r="J104" s="167"/>
      <c r="K104" s="167"/>
      <c r="L104" s="167"/>
      <c r="M104" s="167"/>
      <c r="N104" s="167"/>
    </row>
    <row r="105" spans="2:14" x14ac:dyDescent="0.25">
      <c r="B105" s="167"/>
      <c r="C105" s="167"/>
      <c r="D105" s="167"/>
      <c r="E105" s="167"/>
      <c r="F105" s="167"/>
      <c r="G105" s="167"/>
      <c r="H105" s="167"/>
      <c r="I105" s="169"/>
      <c r="J105" s="167"/>
      <c r="K105" s="167"/>
      <c r="L105" s="167"/>
      <c r="M105" s="167"/>
      <c r="N105" s="167"/>
    </row>
    <row r="106" spans="2:14" x14ac:dyDescent="0.25">
      <c r="B106" s="167"/>
      <c r="C106" s="167"/>
      <c r="D106" s="167"/>
      <c r="E106" s="167"/>
      <c r="F106" s="167"/>
      <c r="G106" s="167"/>
      <c r="H106" s="167"/>
      <c r="I106" s="169"/>
      <c r="J106" s="167"/>
      <c r="K106" s="167"/>
      <c r="L106" s="167"/>
      <c r="M106" s="167"/>
      <c r="N106" s="167"/>
    </row>
  </sheetData>
  <mergeCells count="50">
    <mergeCell ref="B18:F18"/>
    <mergeCell ref="B70:B71"/>
    <mergeCell ref="C70:F70"/>
    <mergeCell ref="G70:G71"/>
    <mergeCell ref="B73:G73"/>
    <mergeCell ref="B57:G57"/>
    <mergeCell ref="B58:B59"/>
    <mergeCell ref="C58:F58"/>
    <mergeCell ref="G58:G59"/>
    <mergeCell ref="B74:B75"/>
    <mergeCell ref="C74:F74"/>
    <mergeCell ref="G74:G75"/>
    <mergeCell ref="I61:J61"/>
    <mergeCell ref="B64:B65"/>
    <mergeCell ref="C64:F64"/>
    <mergeCell ref="G64:G65"/>
    <mergeCell ref="B67:B68"/>
    <mergeCell ref="C67:F67"/>
    <mergeCell ref="G67:G68"/>
    <mergeCell ref="B61:B62"/>
    <mergeCell ref="C61:F61"/>
    <mergeCell ref="G61:G62"/>
    <mergeCell ref="H50:N50"/>
    <mergeCell ref="H51:N51"/>
    <mergeCell ref="B54:B55"/>
    <mergeCell ref="C54:F54"/>
    <mergeCell ref="G54:G55"/>
    <mergeCell ref="L53:M53"/>
    <mergeCell ref="N53:O53"/>
    <mergeCell ref="H93:N93"/>
    <mergeCell ref="S10:T10"/>
    <mergeCell ref="U10:V10"/>
    <mergeCell ref="H14:N14"/>
    <mergeCell ref="H15:N15"/>
    <mergeCell ref="Q10:R10"/>
    <mergeCell ref="H84:N84"/>
    <mergeCell ref="P53:Q53"/>
    <mergeCell ref="B87:H87"/>
    <mergeCell ref="I87:I88"/>
    <mergeCell ref="H92:N92"/>
    <mergeCell ref="H32:M32"/>
    <mergeCell ref="H33:M33"/>
    <mergeCell ref="H40:M40"/>
    <mergeCell ref="H41:M41"/>
    <mergeCell ref="H83:N83"/>
    <mergeCell ref="B2:M2"/>
    <mergeCell ref="H4:N4"/>
    <mergeCell ref="H5:N5"/>
    <mergeCell ref="B7:M7"/>
    <mergeCell ref="B8:M8"/>
  </mergeCells>
  <dataValidations count="1">
    <dataValidation type="whole" allowBlank="1" showInputMessage="1" showErrorMessage="1" sqref="F95:F102" xr:uid="{44E9B7D5-9595-4F40-AB8E-5A64662EDF6E}">
      <formula1>0</formula1>
      <formula2>10000000000</formula2>
    </dataValidation>
  </dataValidations>
  <hyperlinks>
    <hyperlink ref="H41" r:id="rId1" xr:uid="{9E1AACDC-B7B9-4E23-8C69-B9470E54AA3E}"/>
    <hyperlink ref="H51" r:id="rId2" xr:uid="{E3B1F6A1-A1C3-4800-8F2B-88B572E16FDB}"/>
    <hyperlink ref="H33" r:id="rId3" xr:uid="{93511FD2-BDDE-4057-AB59-58162DF5F276}"/>
    <hyperlink ref="H5" r:id="rId4" xr:uid="{5B350D1F-57DA-4D88-B66D-73BD34BC838B}"/>
    <hyperlink ref="H15" r:id="rId5" xr:uid="{5E34C7A0-6B0B-4ECE-B32B-D3064D9FD4AA}"/>
    <hyperlink ref="H84" r:id="rId6" xr:uid="{E53C8482-673C-45AE-A165-B645BD184223}"/>
    <hyperlink ref="H93" r:id="rId7" xr:uid="{53E10917-28EB-4AEC-9B90-22BD851F16EF}"/>
  </hyperlinks>
  <pageMargins left="0.7" right="0.7" top="0.75" bottom="0.75" header="0.3" footer="0.3"/>
  <pageSetup orientation="portrait" horizontalDpi="1200" verticalDpi="1200" r:id="rId8"/>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8D3C07-73EE-461B-B891-8D37C8D3EA1E}">
  <sheetPr>
    <tabColor rgb="FFFFC000"/>
  </sheetPr>
  <dimension ref="A1"/>
  <sheetViews>
    <sheetView workbookViewId="0"/>
  </sheetViews>
  <sheetFormatPr baseColWidth="10" defaultRowHeight="15" x14ac:dyDescent="0.25"/>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8F755-C162-4B7D-811C-1790589D70C1}">
  <dimension ref="B2:O8"/>
  <sheetViews>
    <sheetView topLeftCell="A3" workbookViewId="0">
      <selection activeCell="D9" sqref="A9:XFD15"/>
    </sheetView>
  </sheetViews>
  <sheetFormatPr baseColWidth="10" defaultColWidth="11.42578125" defaultRowHeight="12.75" x14ac:dyDescent="0.25"/>
  <cols>
    <col min="1" max="1" width="5.42578125" style="167" customWidth="1"/>
    <col min="2" max="2" width="44.7109375" style="167" customWidth="1"/>
    <col min="3" max="4" width="19.42578125" style="192" customWidth="1"/>
    <col min="5" max="5" width="6.140625" style="167" customWidth="1"/>
    <col min="6" max="6" width="16.140625" style="167" customWidth="1"/>
    <col min="7" max="7" width="40.7109375" style="167" customWidth="1"/>
    <col min="8" max="8" width="11.42578125" style="167"/>
    <col min="9" max="9" width="0" style="167" hidden="1" customWidth="1"/>
    <col min="10" max="10" width="14.42578125" style="167" customWidth="1"/>
    <col min="11" max="11" width="31.5703125" style="167" customWidth="1"/>
    <col min="12" max="12" width="11.42578125" style="167"/>
    <col min="13" max="13" width="0" style="167" hidden="1" customWidth="1"/>
    <col min="14" max="14" width="13.7109375" style="167" customWidth="1"/>
    <col min="15" max="16384" width="11.42578125" style="167"/>
  </cols>
  <sheetData>
    <row r="2" spans="2:15" ht="15" customHeight="1" x14ac:dyDescent="0.25">
      <c r="B2" s="857" t="s">
        <v>157</v>
      </c>
      <c r="C2" s="858"/>
      <c r="D2" s="858"/>
      <c r="E2" s="858"/>
      <c r="F2" s="858"/>
      <c r="G2" s="858"/>
      <c r="H2" s="858"/>
      <c r="I2" s="858"/>
      <c r="J2" s="858"/>
      <c r="K2" s="858"/>
      <c r="L2" s="858"/>
      <c r="M2" s="858"/>
      <c r="N2" s="858"/>
    </row>
    <row r="4" spans="2:15" ht="15" customHeight="1" x14ac:dyDescent="0.25">
      <c r="B4" s="859" t="s">
        <v>539</v>
      </c>
      <c r="C4" s="859"/>
      <c r="D4" s="859"/>
      <c r="F4" s="860" t="s">
        <v>220</v>
      </c>
      <c r="G4" s="861"/>
      <c r="H4" s="861"/>
      <c r="I4" s="861"/>
      <c r="J4" s="861"/>
      <c r="K4" s="861"/>
      <c r="L4" s="862"/>
      <c r="M4" s="181"/>
      <c r="N4" s="182"/>
      <c r="O4" s="182"/>
    </row>
    <row r="5" spans="2:15" ht="24" customHeight="1" x14ac:dyDescent="0.25">
      <c r="B5" s="859"/>
      <c r="C5" s="859"/>
      <c r="D5" s="859"/>
      <c r="F5" s="863" t="s">
        <v>221</v>
      </c>
      <c r="G5" s="863"/>
      <c r="H5" s="863"/>
      <c r="I5" s="863"/>
      <c r="J5" s="863" t="s">
        <v>222</v>
      </c>
      <c r="K5" s="863"/>
      <c r="L5" s="863"/>
      <c r="M5" s="863"/>
      <c r="N5" s="835" t="s">
        <v>332</v>
      </c>
      <c r="O5" s="835" t="s">
        <v>223</v>
      </c>
    </row>
    <row r="6" spans="2:15" ht="33" customHeight="1" x14ac:dyDescent="0.25">
      <c r="B6" s="183"/>
      <c r="C6" s="183" t="s">
        <v>922</v>
      </c>
      <c r="D6" s="183" t="s">
        <v>228</v>
      </c>
      <c r="F6" s="183" t="s">
        <v>229</v>
      </c>
      <c r="G6" s="183" t="s">
        <v>230</v>
      </c>
      <c r="H6" s="183" t="s">
        <v>205</v>
      </c>
      <c r="I6" s="183" t="s">
        <v>443</v>
      </c>
      <c r="J6" s="183" t="s">
        <v>229</v>
      </c>
      <c r="K6" s="183" t="s">
        <v>230</v>
      </c>
      <c r="L6" s="183" t="s">
        <v>205</v>
      </c>
      <c r="M6" s="183" t="s">
        <v>443</v>
      </c>
      <c r="N6" s="836"/>
      <c r="O6" s="836"/>
    </row>
    <row r="7" spans="2:15" ht="69.75" customHeight="1" x14ac:dyDescent="0.25">
      <c r="B7" s="400" t="s">
        <v>1003</v>
      </c>
      <c r="C7" s="185" t="s">
        <v>1062</v>
      </c>
      <c r="D7" s="401">
        <v>4000000</v>
      </c>
      <c r="F7" s="186" t="str">
        <f>'6.2 Fuentes_Grupo_Folclor'!$D$39</f>
        <v xml:space="preserve">MS-SA-MC-010-2024 </v>
      </c>
      <c r="G7" s="184" t="str">
        <f>'6.2 Fuentes_Grupo_Folclor'!$G$48</f>
        <v>Presentación musical Grupo 5</v>
      </c>
      <c r="H7" s="187">
        <f>'6.2 Fuentes_Grupo_Folclor'!$H$49</f>
        <v>5893262</v>
      </c>
      <c r="I7" s="188">
        <f>D7/H7-1</f>
        <v>-0.32125875279259597</v>
      </c>
      <c r="J7" s="186" t="str">
        <f>'6.2 Fuentes_Grupo_Folclor'!$D$57</f>
        <v>CI 001-2024 copia</v>
      </c>
      <c r="K7" s="184" t="str">
        <f>'6.2 Fuentes_Grupo_Folclor'!$F$59</f>
        <v>Presentación artística y cultural para actividad de cohesión grupal</v>
      </c>
      <c r="L7" s="189">
        <f>'6.2 Fuentes_Grupo_Folclor'!G61</f>
        <v>7857683</v>
      </c>
      <c r="M7" s="188">
        <f>D7/L7-1</f>
        <v>-0.49094408618927488</v>
      </c>
      <c r="N7" s="190">
        <f>ROUND(AVERAGE(H7,L7),0)</f>
        <v>6875473</v>
      </c>
      <c r="O7" s="191">
        <f>D7/N7-1</f>
        <v>-0.41822184451891531</v>
      </c>
    </row>
    <row r="8" spans="2:15" ht="30" customHeight="1" x14ac:dyDescent="0.25">
      <c r="B8" s="945"/>
      <c r="C8" s="945"/>
      <c r="D8" s="171"/>
    </row>
  </sheetData>
  <mergeCells count="8">
    <mergeCell ref="O5:O6"/>
    <mergeCell ref="B8:C8"/>
    <mergeCell ref="B2:N2"/>
    <mergeCell ref="B4:D5"/>
    <mergeCell ref="F4:L4"/>
    <mergeCell ref="F5:I5"/>
    <mergeCell ref="J5:M5"/>
    <mergeCell ref="N5:N6"/>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BF341-5714-47B7-9CC7-4932F0C5D818}">
  <dimension ref="B2:P61"/>
  <sheetViews>
    <sheetView topLeftCell="G10" workbookViewId="0">
      <selection activeCell="M22" sqref="M22"/>
    </sheetView>
  </sheetViews>
  <sheetFormatPr baseColWidth="10" defaultColWidth="11.42578125" defaultRowHeight="13.5" x14ac:dyDescent="0.25"/>
  <cols>
    <col min="1" max="1" width="11.42578125" style="22"/>
    <col min="2" max="2" width="16.140625" style="63" customWidth="1"/>
    <col min="3" max="3" width="26.28515625" style="52" customWidth="1"/>
    <col min="4" max="4" width="18.42578125" style="52" customWidth="1"/>
    <col min="5" max="5" width="22.42578125" style="52" customWidth="1"/>
    <col min="6" max="6" width="20.42578125" style="52" customWidth="1"/>
    <col min="7" max="7" width="19.140625" style="42" customWidth="1"/>
    <col min="8" max="8" width="16.7109375" style="22" bestFit="1" customWidth="1"/>
    <col min="9" max="9" width="22.42578125" style="22" customWidth="1"/>
    <col min="10" max="10" width="15.140625" style="22" customWidth="1"/>
    <col min="11" max="11" width="18" style="22" customWidth="1"/>
    <col min="12" max="12" width="12.7109375" style="22" customWidth="1"/>
    <col min="13" max="13" width="12.42578125" style="22" bestFit="1" customWidth="1"/>
    <col min="14" max="14" width="15.28515625" style="22" customWidth="1"/>
    <col min="15" max="15" width="15.85546875" style="22" customWidth="1"/>
    <col min="16" max="16" width="28.42578125" style="22" customWidth="1"/>
    <col min="17" max="32" width="11.42578125" style="22"/>
    <col min="33" max="33" width="14.42578125" style="22" customWidth="1"/>
    <col min="34" max="40" width="11.42578125" style="22"/>
    <col min="41" max="41" width="21.140625" style="22" customWidth="1"/>
    <col min="42" max="42" width="11.42578125" style="22"/>
    <col min="43" max="43" width="25.7109375" style="22" bestFit="1" customWidth="1"/>
    <col min="44" max="46" width="11.42578125" style="22"/>
    <col min="47" max="47" width="25.42578125" style="22" customWidth="1"/>
    <col min="48" max="52" width="11.42578125" style="22"/>
    <col min="53" max="53" width="20.42578125" style="22" customWidth="1"/>
    <col min="54" max="54" width="20.7109375" style="22" customWidth="1"/>
    <col min="55" max="16384" width="11.42578125" style="22"/>
  </cols>
  <sheetData>
    <row r="2" spans="2:16" x14ac:dyDescent="0.25">
      <c r="B2" s="855" t="s">
        <v>144</v>
      </c>
      <c r="C2" s="855"/>
      <c r="D2" s="855"/>
      <c r="E2" s="855"/>
      <c r="F2" s="855"/>
      <c r="G2" s="855"/>
      <c r="H2" s="855"/>
      <c r="I2" s="855"/>
      <c r="J2" s="855"/>
      <c r="K2" s="855"/>
      <c r="L2" s="855"/>
      <c r="M2" s="855"/>
    </row>
    <row r="3" spans="2:16" ht="18" customHeight="1" x14ac:dyDescent="0.25"/>
    <row r="4" spans="2:16" ht="18" customHeight="1" x14ac:dyDescent="0.25"/>
    <row r="5" spans="2:16" ht="18" customHeight="1" x14ac:dyDescent="0.25"/>
    <row r="6" spans="2:16" ht="18" customHeight="1" x14ac:dyDescent="0.25">
      <c r="B6" s="162" t="s">
        <v>146</v>
      </c>
      <c r="C6" s="162" t="s">
        <v>5</v>
      </c>
      <c r="D6" s="163" t="s">
        <v>6</v>
      </c>
      <c r="E6" s="163" t="s">
        <v>145</v>
      </c>
      <c r="F6" s="163" t="s">
        <v>3</v>
      </c>
      <c r="G6" s="162" t="s">
        <v>7</v>
      </c>
      <c r="H6" s="865" t="s">
        <v>8</v>
      </c>
      <c r="I6" s="865"/>
      <c r="J6" s="865"/>
      <c r="K6" s="865"/>
      <c r="L6" s="865"/>
      <c r="M6" s="865"/>
      <c r="N6" s="865"/>
    </row>
    <row r="7" spans="2:16" ht="26.25" customHeight="1" x14ac:dyDescent="0.25">
      <c r="B7" s="164">
        <v>1</v>
      </c>
      <c r="C7" s="165" t="s">
        <v>553</v>
      </c>
      <c r="D7" s="165" t="s">
        <v>554</v>
      </c>
      <c r="E7" s="165" t="s">
        <v>452</v>
      </c>
      <c r="F7" s="166">
        <v>2024</v>
      </c>
      <c r="G7" s="166"/>
      <c r="H7" s="847" t="s">
        <v>552</v>
      </c>
      <c r="I7" s="866"/>
      <c r="J7" s="866"/>
      <c r="K7" s="866"/>
      <c r="L7" s="866"/>
      <c r="M7" s="866"/>
      <c r="N7" s="866"/>
    </row>
    <row r="8" spans="2:16" ht="18" customHeight="1" x14ac:dyDescent="0.25"/>
    <row r="9" spans="2:16" ht="18" customHeight="1" x14ac:dyDescent="0.25"/>
    <row r="10" spans="2:16" ht="18" customHeight="1" x14ac:dyDescent="0.25">
      <c r="B10" s="944" t="s">
        <v>708</v>
      </c>
      <c r="C10" s="944"/>
      <c r="D10" s="944"/>
      <c r="E10" s="944"/>
      <c r="F10" s="944"/>
      <c r="K10" s="867" t="s">
        <v>150</v>
      </c>
      <c r="L10" s="868"/>
      <c r="M10" s="867" t="s">
        <v>150</v>
      </c>
      <c r="N10" s="868"/>
      <c r="O10" s="867" t="s">
        <v>150</v>
      </c>
      <c r="P10" s="868"/>
    </row>
    <row r="11" spans="2:16" ht="18" customHeight="1" thickBot="1" x14ac:dyDescent="0.3">
      <c r="B11" s="209" t="s">
        <v>711</v>
      </c>
      <c r="C11" s="209" t="s">
        <v>456</v>
      </c>
      <c r="D11" s="209" t="s">
        <v>557</v>
      </c>
      <c r="E11" s="209" t="s">
        <v>249</v>
      </c>
      <c r="F11" s="209" t="s">
        <v>558</v>
      </c>
      <c r="G11" s="252" t="s">
        <v>559</v>
      </c>
      <c r="K11" s="175" t="s">
        <v>154</v>
      </c>
      <c r="L11" s="176">
        <v>9.2799999999999994E-2</v>
      </c>
      <c r="M11" s="175" t="s">
        <v>151</v>
      </c>
      <c r="N11" s="176">
        <v>5.1999999999999998E-2</v>
      </c>
      <c r="O11" s="175" t="s">
        <v>1074</v>
      </c>
      <c r="P11" s="176">
        <v>3.7400000000000003E-2</v>
      </c>
    </row>
    <row r="12" spans="2:16" ht="23.25" customHeight="1" thickBot="1" x14ac:dyDescent="0.3">
      <c r="B12" s="269" t="s">
        <v>728</v>
      </c>
      <c r="C12" s="402">
        <v>3000000</v>
      </c>
      <c r="D12" s="271">
        <v>1</v>
      </c>
      <c r="E12" s="271">
        <v>3</v>
      </c>
      <c r="F12" s="406">
        <v>9000000</v>
      </c>
    </row>
    <row r="13" spans="2:16" ht="18" customHeight="1" x14ac:dyDescent="0.25">
      <c r="B13" s="277" t="s">
        <v>729</v>
      </c>
      <c r="C13" s="403">
        <v>3000000</v>
      </c>
      <c r="D13" s="279"/>
      <c r="E13" s="279"/>
      <c r="F13" s="280"/>
      <c r="G13" s="404">
        <f>ROUND(C13*(1+N11)*(1+P11),0)</f>
        <v>3274034</v>
      </c>
    </row>
    <row r="14" spans="2:16" ht="18" customHeight="1" x14ac:dyDescent="0.25"/>
    <row r="15" spans="2:16" ht="18" customHeight="1" x14ac:dyDescent="0.25"/>
    <row r="16" spans="2:16" x14ac:dyDescent="0.25">
      <c r="B16" s="162" t="s">
        <v>146</v>
      </c>
      <c r="C16" s="162" t="s">
        <v>5</v>
      </c>
      <c r="D16" s="163" t="s">
        <v>6</v>
      </c>
      <c r="E16" s="163" t="s">
        <v>145</v>
      </c>
      <c r="F16" s="163" t="s">
        <v>3</v>
      </c>
      <c r="G16" s="162" t="s">
        <v>7</v>
      </c>
      <c r="H16" s="865" t="s">
        <v>8</v>
      </c>
      <c r="I16" s="865"/>
      <c r="J16" s="865"/>
      <c r="K16" s="865"/>
      <c r="L16" s="865"/>
      <c r="M16" s="865"/>
      <c r="N16" s="865"/>
    </row>
    <row r="17" spans="2:14" ht="38.25" x14ac:dyDescent="0.25">
      <c r="B17" s="164">
        <v>2</v>
      </c>
      <c r="C17" s="165" t="s">
        <v>937</v>
      </c>
      <c r="D17" s="165" t="s">
        <v>1004</v>
      </c>
      <c r="E17" s="165" t="s">
        <v>452</v>
      </c>
      <c r="F17" s="166">
        <v>2023</v>
      </c>
      <c r="G17" s="166"/>
      <c r="H17" s="847" t="s">
        <v>936</v>
      </c>
      <c r="I17" s="866"/>
      <c r="J17" s="866"/>
      <c r="K17" s="866"/>
      <c r="L17" s="866"/>
      <c r="M17" s="866"/>
      <c r="N17" s="866"/>
    </row>
    <row r="19" spans="2:14" ht="14.25" thickBot="1" x14ac:dyDescent="0.3"/>
    <row r="20" spans="2:14" ht="14.25" thickBot="1" x14ac:dyDescent="0.3">
      <c r="B20" s="342" t="s">
        <v>940</v>
      </c>
      <c r="C20" s="343" t="s">
        <v>941</v>
      </c>
      <c r="D20" s="376" t="s">
        <v>942</v>
      </c>
      <c r="E20" s="377" t="s">
        <v>943</v>
      </c>
      <c r="F20" s="407" t="s">
        <v>559</v>
      </c>
      <c r="I20" s="867" t="s">
        <v>150</v>
      </c>
      <c r="J20" s="868"/>
      <c r="K20" s="867" t="s">
        <v>150</v>
      </c>
      <c r="L20" s="868"/>
      <c r="M20" s="867" t="s">
        <v>150</v>
      </c>
      <c r="N20" s="868"/>
    </row>
    <row r="21" spans="2:14" ht="25.5" x14ac:dyDescent="0.25">
      <c r="B21" s="946" t="s">
        <v>944</v>
      </c>
      <c r="C21" s="346" t="s">
        <v>945</v>
      </c>
      <c r="D21" s="359">
        <v>88200000</v>
      </c>
      <c r="E21" s="949">
        <v>500000000</v>
      </c>
      <c r="I21" s="175" t="s">
        <v>154</v>
      </c>
      <c r="J21" s="176">
        <v>9.2799999999999994E-2</v>
      </c>
      <c r="K21" s="175" t="s">
        <v>151</v>
      </c>
      <c r="L21" s="176">
        <v>5.1999999999999998E-2</v>
      </c>
      <c r="M21" s="175" t="s">
        <v>1074</v>
      </c>
      <c r="N21" s="176">
        <v>3.7400000000000003E-2</v>
      </c>
    </row>
    <row r="22" spans="2:14" ht="25.5" x14ac:dyDescent="0.25">
      <c r="B22" s="947"/>
      <c r="C22" s="361" t="s">
        <v>946</v>
      </c>
      <c r="D22" s="363">
        <v>88000000</v>
      </c>
      <c r="E22" s="950"/>
    </row>
    <row r="23" spans="2:14" ht="38.25" x14ac:dyDescent="0.25">
      <c r="B23" s="947"/>
      <c r="C23" s="361" t="s">
        <v>947</v>
      </c>
      <c r="D23" s="363">
        <v>68000000</v>
      </c>
      <c r="E23" s="950"/>
    </row>
    <row r="24" spans="2:14" x14ac:dyDescent="0.25">
      <c r="B24" s="947"/>
      <c r="C24" s="361" t="s">
        <v>948</v>
      </c>
      <c r="D24" s="382">
        <v>37490000</v>
      </c>
      <c r="E24" s="950"/>
    </row>
    <row r="25" spans="2:14" x14ac:dyDescent="0.25">
      <c r="B25" s="947"/>
      <c r="C25" s="361" t="s">
        <v>543</v>
      </c>
      <c r="D25" s="382">
        <v>3000000</v>
      </c>
      <c r="E25" s="950"/>
    </row>
    <row r="26" spans="2:14" ht="25.5" x14ac:dyDescent="0.25">
      <c r="B26" s="947"/>
      <c r="C26" s="361" t="s">
        <v>949</v>
      </c>
      <c r="D26" s="382">
        <v>98000000</v>
      </c>
      <c r="E26" s="950"/>
    </row>
    <row r="27" spans="2:14" x14ac:dyDescent="0.25">
      <c r="B27" s="947"/>
      <c r="C27" s="361" t="s">
        <v>950</v>
      </c>
      <c r="D27" s="382">
        <v>66310000</v>
      </c>
      <c r="E27" s="950"/>
    </row>
    <row r="28" spans="2:14" x14ac:dyDescent="0.25">
      <c r="B28" s="947"/>
      <c r="C28" s="361" t="s">
        <v>951</v>
      </c>
      <c r="D28" s="382">
        <v>15000000</v>
      </c>
      <c r="E28" s="950"/>
    </row>
    <row r="29" spans="2:14" x14ac:dyDescent="0.25">
      <c r="B29" s="947"/>
      <c r="C29" s="361" t="s">
        <v>952</v>
      </c>
      <c r="D29" s="382">
        <v>5000000</v>
      </c>
      <c r="E29" s="950"/>
    </row>
    <row r="30" spans="2:14" x14ac:dyDescent="0.25">
      <c r="B30" s="947"/>
      <c r="C30" s="361" t="s">
        <v>953</v>
      </c>
      <c r="D30" s="382">
        <v>8000000</v>
      </c>
      <c r="E30" s="950"/>
    </row>
    <row r="31" spans="2:14" x14ac:dyDescent="0.25">
      <c r="B31" s="947"/>
      <c r="C31" s="361" t="s">
        <v>954</v>
      </c>
      <c r="D31" s="382">
        <v>7000000</v>
      </c>
      <c r="E31" s="950"/>
    </row>
    <row r="32" spans="2:14" x14ac:dyDescent="0.25">
      <c r="B32" s="947"/>
      <c r="C32" s="361" t="s">
        <v>955</v>
      </c>
      <c r="D32" s="382">
        <v>6000000</v>
      </c>
      <c r="E32" s="950"/>
    </row>
    <row r="33" spans="2:14" x14ac:dyDescent="0.25">
      <c r="B33" s="947"/>
      <c r="C33" s="361" t="s">
        <v>956</v>
      </c>
      <c r="D33" s="382">
        <v>4000000</v>
      </c>
      <c r="E33" s="950"/>
      <c r="F33" s="408">
        <f>ROUND(D33*(1+J21)*(1+L21)*(1+N21),0)</f>
        <v>4770486</v>
      </c>
    </row>
    <row r="34" spans="2:14" ht="14.25" thickBot="1" x14ac:dyDescent="0.3">
      <c r="B34" s="948"/>
      <c r="C34" s="384" t="s">
        <v>957</v>
      </c>
      <c r="D34" s="385">
        <v>6000000</v>
      </c>
      <c r="E34" s="951"/>
    </row>
    <row r="38" spans="2:14" x14ac:dyDescent="0.25">
      <c r="B38" s="162" t="s">
        <v>146</v>
      </c>
      <c r="C38" s="162" t="s">
        <v>5</v>
      </c>
      <c r="D38" s="163" t="s">
        <v>6</v>
      </c>
      <c r="E38" s="163" t="s">
        <v>145</v>
      </c>
      <c r="F38" s="163" t="s">
        <v>3</v>
      </c>
      <c r="G38" s="162" t="s">
        <v>7</v>
      </c>
      <c r="H38" s="865" t="s">
        <v>8</v>
      </c>
      <c r="I38" s="865"/>
      <c r="J38" s="865"/>
      <c r="K38" s="865"/>
      <c r="L38" s="865"/>
      <c r="M38" s="865"/>
      <c r="N38" s="865"/>
    </row>
    <row r="39" spans="2:14" ht="25.5" x14ac:dyDescent="0.25">
      <c r="B39" s="164">
        <v>3</v>
      </c>
      <c r="C39" s="165" t="s">
        <v>1040</v>
      </c>
      <c r="D39" s="165" t="s">
        <v>1041</v>
      </c>
      <c r="E39" s="165" t="s">
        <v>1039</v>
      </c>
      <c r="F39" s="166">
        <v>2024</v>
      </c>
      <c r="G39" s="166"/>
      <c r="H39" s="847" t="s">
        <v>1038</v>
      </c>
      <c r="I39" s="866"/>
      <c r="J39" s="866"/>
      <c r="K39" s="866"/>
      <c r="L39" s="866"/>
      <c r="M39" s="866"/>
      <c r="N39" s="866"/>
    </row>
    <row r="44" spans="2:14" x14ac:dyDescent="0.25">
      <c r="H44" s="42" t="s">
        <v>559</v>
      </c>
    </row>
    <row r="48" spans="2:14" x14ac:dyDescent="0.25">
      <c r="G48" s="42" t="s">
        <v>1042</v>
      </c>
    </row>
    <row r="49" spans="2:14" x14ac:dyDescent="0.25">
      <c r="G49" s="414">
        <v>5400000</v>
      </c>
      <c r="H49" s="115">
        <f>ROUND(G49*(1+L21)*(1+N21),0)</f>
        <v>5893262</v>
      </c>
    </row>
    <row r="56" spans="2:14" x14ac:dyDescent="0.25">
      <c r="B56" s="162" t="s">
        <v>146</v>
      </c>
      <c r="C56" s="162" t="s">
        <v>5</v>
      </c>
      <c r="D56" s="163" t="s">
        <v>6</v>
      </c>
      <c r="E56" s="163" t="s">
        <v>145</v>
      </c>
      <c r="F56" s="163" t="s">
        <v>3</v>
      </c>
      <c r="G56" s="162" t="s">
        <v>7</v>
      </c>
      <c r="H56" s="865" t="s">
        <v>8</v>
      </c>
      <c r="I56" s="865"/>
      <c r="J56" s="865"/>
      <c r="K56" s="865"/>
      <c r="L56" s="865"/>
      <c r="M56" s="865"/>
      <c r="N56" s="865"/>
    </row>
    <row r="57" spans="2:14" ht="38.25" x14ac:dyDescent="0.25">
      <c r="B57" s="164">
        <v>4</v>
      </c>
      <c r="C57" s="165" t="s">
        <v>1036</v>
      </c>
      <c r="D57" s="165" t="s">
        <v>1037</v>
      </c>
      <c r="E57" s="165" t="s">
        <v>1078</v>
      </c>
      <c r="F57" s="166">
        <v>2024</v>
      </c>
      <c r="G57" s="166"/>
      <c r="H57" s="847" t="s">
        <v>1034</v>
      </c>
      <c r="I57" s="866"/>
      <c r="J57" s="866"/>
      <c r="K57" s="866"/>
      <c r="L57" s="866"/>
      <c r="M57" s="866"/>
      <c r="N57" s="866"/>
    </row>
    <row r="59" spans="2:14" ht="23.25" customHeight="1" x14ac:dyDescent="0.25">
      <c r="F59" s="927" t="s">
        <v>1043</v>
      </c>
    </row>
    <row r="60" spans="2:14" ht="23.25" customHeight="1" x14ac:dyDescent="0.25">
      <c r="F60" s="927"/>
      <c r="G60" s="42" t="s">
        <v>559</v>
      </c>
    </row>
    <row r="61" spans="2:14" x14ac:dyDescent="0.25">
      <c r="F61" s="52">
        <v>7200000</v>
      </c>
      <c r="G61" s="42">
        <f>ROUND(F61*(1+L21)*(1+N21),0)</f>
        <v>7857683</v>
      </c>
    </row>
  </sheetData>
  <mergeCells count="19">
    <mergeCell ref="F59:F60"/>
    <mergeCell ref="K10:L10"/>
    <mergeCell ref="M10:N10"/>
    <mergeCell ref="O10:P10"/>
    <mergeCell ref="I20:J20"/>
    <mergeCell ref="K20:L20"/>
    <mergeCell ref="M20:N20"/>
    <mergeCell ref="H38:N38"/>
    <mergeCell ref="H39:N39"/>
    <mergeCell ref="B21:B34"/>
    <mergeCell ref="E21:E34"/>
    <mergeCell ref="H56:N56"/>
    <mergeCell ref="H57:N57"/>
    <mergeCell ref="H17:N17"/>
    <mergeCell ref="H6:N6"/>
    <mergeCell ref="H7:N7"/>
    <mergeCell ref="B10:F10"/>
    <mergeCell ref="H16:N16"/>
    <mergeCell ref="B2:M2"/>
  </mergeCells>
  <hyperlinks>
    <hyperlink ref="H7" r:id="rId1" xr:uid="{AB1C0D45-F0D6-4090-922A-76AE00A9F1B9}"/>
    <hyperlink ref="H17" r:id="rId2" xr:uid="{ECD20BAF-2EF8-4783-A6E1-B2E366ABD1B8}"/>
    <hyperlink ref="H39" r:id="rId3" xr:uid="{B2FE83D8-7109-4C32-87BA-8E5FCAF79838}"/>
    <hyperlink ref="H57" r:id="rId4" xr:uid="{4904F6A0-CD68-4600-9A2A-8467D4DC7D50}"/>
  </hyperlinks>
  <pageMargins left="0.7" right="0.7" top="0.75" bottom="0.75" header="0.3" footer="0.3"/>
  <pageSetup orientation="portrait" horizontalDpi="1200" verticalDpi="1200" r:id="rId5"/>
  <drawing r:id="rId6"/>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49B56-360F-44B3-8F06-22C9BDFB0CD3}">
  <sheetPr>
    <tabColor rgb="FFFFC000"/>
  </sheetPr>
  <dimension ref="A1"/>
  <sheetViews>
    <sheetView workbookViewId="0"/>
  </sheetViews>
  <sheetFormatPr baseColWidth="10" defaultRowHeight="15" x14ac:dyDescent="0.25"/>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0E113-859A-441A-AF0E-3F51DBE5D534}">
  <dimension ref="B2:O8"/>
  <sheetViews>
    <sheetView topLeftCell="A3" workbookViewId="0">
      <selection activeCell="B7" sqref="B7"/>
    </sheetView>
  </sheetViews>
  <sheetFormatPr baseColWidth="10" defaultColWidth="11.42578125" defaultRowHeight="12.75" x14ac:dyDescent="0.25"/>
  <cols>
    <col min="1" max="1" width="5.42578125" style="167" customWidth="1"/>
    <col min="2" max="2" width="52.28515625" style="167" customWidth="1"/>
    <col min="3" max="4" width="19.42578125" style="192" customWidth="1"/>
    <col min="5" max="5" width="10.140625" style="167" customWidth="1"/>
    <col min="6" max="6" width="16.140625" style="167" customWidth="1"/>
    <col min="7" max="7" width="28" style="167" customWidth="1"/>
    <col min="8" max="8" width="11.42578125" style="167"/>
    <col min="9" max="9" width="0" style="167" hidden="1" customWidth="1"/>
    <col min="10" max="10" width="14.42578125" style="167" customWidth="1"/>
    <col min="11" max="11" width="25.85546875" style="167" customWidth="1"/>
    <col min="12" max="12" width="11.42578125" style="167"/>
    <col min="13" max="13" width="0" style="167" hidden="1" customWidth="1"/>
    <col min="14" max="14" width="13.7109375" style="167" customWidth="1"/>
    <col min="15" max="16384" width="11.42578125" style="167"/>
  </cols>
  <sheetData>
    <row r="2" spans="2:15" ht="15" customHeight="1" x14ac:dyDescent="0.25">
      <c r="B2" s="857" t="s">
        <v>157</v>
      </c>
      <c r="C2" s="858"/>
      <c r="D2" s="858"/>
      <c r="E2" s="858"/>
      <c r="F2" s="858"/>
      <c r="G2" s="858"/>
      <c r="H2" s="858"/>
      <c r="I2" s="858"/>
      <c r="J2" s="858"/>
      <c r="K2" s="858"/>
      <c r="L2" s="858"/>
      <c r="M2" s="858"/>
      <c r="N2" s="858"/>
    </row>
    <row r="4" spans="2:15" ht="15" customHeight="1" x14ac:dyDescent="0.25">
      <c r="B4" s="859" t="s">
        <v>539</v>
      </c>
      <c r="C4" s="859"/>
      <c r="D4" s="859"/>
      <c r="F4" s="860" t="s">
        <v>220</v>
      </c>
      <c r="G4" s="861"/>
      <c r="H4" s="861"/>
      <c r="I4" s="861"/>
      <c r="J4" s="861"/>
      <c r="K4" s="861"/>
      <c r="L4" s="862"/>
      <c r="M4" s="181"/>
      <c r="N4" s="182"/>
      <c r="O4" s="182"/>
    </row>
    <row r="5" spans="2:15" ht="24" customHeight="1" x14ac:dyDescent="0.25">
      <c r="B5" s="859"/>
      <c r="C5" s="859"/>
      <c r="D5" s="859"/>
      <c r="F5" s="863" t="s">
        <v>221</v>
      </c>
      <c r="G5" s="863"/>
      <c r="H5" s="863"/>
      <c r="I5" s="863"/>
      <c r="J5" s="863" t="s">
        <v>222</v>
      </c>
      <c r="K5" s="863"/>
      <c r="L5" s="863"/>
      <c r="M5" s="863"/>
      <c r="N5" s="835" t="s">
        <v>332</v>
      </c>
      <c r="O5" s="835" t="s">
        <v>223</v>
      </c>
    </row>
    <row r="6" spans="2:15" ht="33" customHeight="1" x14ac:dyDescent="0.25">
      <c r="B6" s="183"/>
      <c r="C6" s="183" t="s">
        <v>922</v>
      </c>
      <c r="D6" s="183" t="s">
        <v>228</v>
      </c>
      <c r="F6" s="183" t="s">
        <v>229</v>
      </c>
      <c r="G6" s="183" t="s">
        <v>230</v>
      </c>
      <c r="H6" s="183" t="s">
        <v>205</v>
      </c>
      <c r="I6" s="183" t="s">
        <v>443</v>
      </c>
      <c r="J6" s="183" t="s">
        <v>229</v>
      </c>
      <c r="K6" s="183" t="s">
        <v>230</v>
      </c>
      <c r="L6" s="183" t="s">
        <v>205</v>
      </c>
      <c r="M6" s="183" t="s">
        <v>443</v>
      </c>
      <c r="N6" s="836"/>
      <c r="O6" s="836"/>
    </row>
    <row r="7" spans="2:15" ht="165.75" customHeight="1" x14ac:dyDescent="0.25">
      <c r="B7" s="400" t="s">
        <v>1344</v>
      </c>
      <c r="C7" s="185" t="s">
        <v>232</v>
      </c>
      <c r="D7" s="401">
        <v>100000</v>
      </c>
      <c r="F7" s="186" t="s">
        <v>1089</v>
      </c>
      <c r="G7" s="184" t="s">
        <v>1091</v>
      </c>
      <c r="H7" s="187">
        <f>'7.2 Fuentes_Kit_'!F327+'7.2 Fuentes_Kit_'!F274+'7.2 Fuentes_Kit_'!F274+'7.2 Fuentes_Kit_'!F239+'7.2 Fuentes_Kit_'!F253+'7.2 Fuentes_Kit_'!F178</f>
        <v>114500</v>
      </c>
      <c r="I7" s="188">
        <f>D7/H7-1</f>
        <v>-0.1266375545851528</v>
      </c>
      <c r="J7" s="186" t="s">
        <v>1090</v>
      </c>
      <c r="K7" s="184" t="s">
        <v>1092</v>
      </c>
      <c r="L7" s="189">
        <f>'7.2 Fuentes_Kit_'!F23+'7.2 Fuentes_Kit_'!F191+'7.2 Fuentes_Kit_'!F191+'7.2 Fuentes_Kit_'!F290+'7.2 Fuentes_Kit_'!F219+'7.2 Fuentes_Kit_'!F207</f>
        <v>89840</v>
      </c>
      <c r="M7" s="188">
        <f>D7/L7-1</f>
        <v>0.1130899376669634</v>
      </c>
      <c r="N7" s="190">
        <f>ROUND(AVERAGE(H7,L7),0)</f>
        <v>102170</v>
      </c>
      <c r="O7" s="191">
        <f>D7/N7-1</f>
        <v>-2.1239111285113021E-2</v>
      </c>
    </row>
    <row r="8" spans="2:15" ht="30" customHeight="1" x14ac:dyDescent="0.25">
      <c r="B8" s="945"/>
      <c r="C8" s="945"/>
      <c r="D8" s="171"/>
    </row>
  </sheetData>
  <mergeCells count="8">
    <mergeCell ref="O5:O6"/>
    <mergeCell ref="B8:C8"/>
    <mergeCell ref="B2:N2"/>
    <mergeCell ref="B4:D5"/>
    <mergeCell ref="F4:L4"/>
    <mergeCell ref="F5:I5"/>
    <mergeCell ref="J5:M5"/>
    <mergeCell ref="N5:N6"/>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3F08AA-B8B1-47EE-B811-FFAE2B200FDC}">
  <dimension ref="A1:N327"/>
  <sheetViews>
    <sheetView workbookViewId="0"/>
  </sheetViews>
  <sheetFormatPr baseColWidth="10" defaultColWidth="11.42578125" defaultRowHeight="13.5" x14ac:dyDescent="0.25"/>
  <cols>
    <col min="1" max="1" width="11.42578125" style="22"/>
    <col min="2" max="2" width="16.140625" style="63" customWidth="1"/>
    <col min="3" max="3" width="26.28515625" style="52" customWidth="1"/>
    <col min="4" max="4" width="18.42578125" style="52" customWidth="1"/>
    <col min="5" max="5" width="22.42578125" style="52" customWidth="1"/>
    <col min="6" max="6" width="20.42578125" style="52" customWidth="1"/>
    <col min="7" max="7" width="19.140625" style="42" customWidth="1"/>
    <col min="8" max="8" width="16.7109375" style="22" bestFit="1" customWidth="1"/>
    <col min="9" max="9" width="22.42578125" style="22" customWidth="1"/>
    <col min="10" max="10" width="15.140625" style="22" customWidth="1"/>
    <col min="11" max="11" width="18" style="22" customWidth="1"/>
    <col min="12" max="12" width="12.7109375" style="22" customWidth="1"/>
    <col min="13" max="13" width="12.42578125" style="22" bestFit="1" customWidth="1"/>
    <col min="14" max="14" width="15.28515625" style="22" customWidth="1"/>
    <col min="15" max="15" width="15.85546875" style="22" customWidth="1"/>
    <col min="16" max="16" width="28.42578125" style="22" customWidth="1"/>
    <col min="17" max="32" width="11.42578125" style="22"/>
    <col min="33" max="33" width="14.42578125" style="22" customWidth="1"/>
    <col min="34" max="40" width="11.42578125" style="22"/>
    <col min="41" max="41" width="21.140625" style="22" customWidth="1"/>
    <col min="42" max="42" width="11.42578125" style="22"/>
    <col min="43" max="43" width="25.7109375" style="22" bestFit="1" customWidth="1"/>
    <col min="44" max="46" width="11.42578125" style="22"/>
    <col min="47" max="47" width="25.42578125" style="22" customWidth="1"/>
    <col min="48" max="52" width="11.42578125" style="22"/>
    <col min="53" max="53" width="20.42578125" style="22" customWidth="1"/>
    <col min="54" max="54" width="20.7109375" style="22" customWidth="1"/>
    <col min="55" max="16384" width="11.42578125" style="22"/>
  </cols>
  <sheetData>
    <row r="1" spans="1:14" ht="15" x14ac:dyDescent="0.25">
      <c r="A1" s="318"/>
    </row>
    <row r="2" spans="1:14" x14ac:dyDescent="0.25">
      <c r="B2" s="855" t="s">
        <v>144</v>
      </c>
      <c r="C2" s="855"/>
      <c r="D2" s="855"/>
      <c r="E2" s="855"/>
      <c r="F2" s="855"/>
      <c r="G2" s="855"/>
      <c r="H2" s="855"/>
      <c r="I2" s="855"/>
      <c r="J2" s="855"/>
      <c r="K2" s="855"/>
      <c r="L2" s="855"/>
      <c r="M2" s="855"/>
    </row>
    <row r="3" spans="1:14" ht="18" customHeight="1" x14ac:dyDescent="0.25"/>
    <row r="4" spans="1:14" ht="18" customHeight="1" x14ac:dyDescent="0.25"/>
    <row r="5" spans="1:14" ht="18" customHeight="1" x14ac:dyDescent="0.25">
      <c r="B5" s="34" t="s">
        <v>146</v>
      </c>
      <c r="C5" s="952" t="s">
        <v>242</v>
      </c>
      <c r="D5" s="953"/>
      <c r="E5" s="954"/>
      <c r="F5" s="841" t="s">
        <v>241</v>
      </c>
      <c r="G5" s="843"/>
      <c r="H5" s="853" t="s">
        <v>8</v>
      </c>
      <c r="I5" s="853"/>
      <c r="J5" s="853"/>
      <c r="K5" s="853"/>
      <c r="L5" s="853"/>
      <c r="M5" s="853"/>
      <c r="N5" s="853"/>
    </row>
    <row r="6" spans="1:14" x14ac:dyDescent="0.25">
      <c r="B6" s="35"/>
      <c r="C6" s="955" t="s">
        <v>1006</v>
      </c>
      <c r="D6" s="956"/>
      <c r="E6" s="957"/>
      <c r="F6" s="961">
        <v>45831</v>
      </c>
      <c r="G6" s="846"/>
      <c r="H6" s="848"/>
      <c r="I6" s="848"/>
      <c r="J6" s="848"/>
      <c r="K6" s="848"/>
      <c r="L6" s="848"/>
      <c r="M6" s="848"/>
      <c r="N6" s="848"/>
    </row>
    <row r="9" spans="1:14" x14ac:dyDescent="0.25">
      <c r="F9" s="52" t="s">
        <v>1007</v>
      </c>
    </row>
    <row r="12" spans="1:14" x14ac:dyDescent="0.25">
      <c r="F12" s="408">
        <v>39900</v>
      </c>
    </row>
    <row r="20" spans="6:6" x14ac:dyDescent="0.25">
      <c r="F20" s="52" t="s">
        <v>1008</v>
      </c>
    </row>
    <row r="23" spans="6:6" x14ac:dyDescent="0.25">
      <c r="F23" s="410">
        <v>36900</v>
      </c>
    </row>
    <row r="32" spans="6:6" x14ac:dyDescent="0.25">
      <c r="F32" s="52" t="s">
        <v>1009</v>
      </c>
    </row>
    <row r="35" spans="6:6" x14ac:dyDescent="0.25">
      <c r="F35" s="408">
        <v>34900</v>
      </c>
    </row>
    <row r="43" spans="6:6" x14ac:dyDescent="0.25">
      <c r="F43" s="52" t="s">
        <v>1010</v>
      </c>
    </row>
    <row r="45" spans="6:6" x14ac:dyDescent="0.25">
      <c r="F45" s="408">
        <v>24900</v>
      </c>
    </row>
    <row r="51" spans="2:7" x14ac:dyDescent="0.25">
      <c r="F51" s="52" t="s">
        <v>1011</v>
      </c>
    </row>
    <row r="53" spans="2:7" x14ac:dyDescent="0.25">
      <c r="F53" s="408">
        <v>49900</v>
      </c>
    </row>
    <row r="60" spans="2:7" x14ac:dyDescent="0.25">
      <c r="B60" s="22"/>
      <c r="C60" s="22"/>
      <c r="D60" s="22"/>
      <c r="E60" s="22"/>
      <c r="F60" s="52" t="s">
        <v>1015</v>
      </c>
      <c r="G60" s="22"/>
    </row>
    <row r="61" spans="2:7" x14ac:dyDescent="0.25">
      <c r="B61" s="22"/>
      <c r="C61" s="22"/>
      <c r="D61" s="22"/>
      <c r="E61" s="22"/>
      <c r="F61" s="22"/>
      <c r="G61" s="22"/>
    </row>
    <row r="62" spans="2:7" x14ac:dyDescent="0.25">
      <c r="B62" s="22"/>
      <c r="C62" s="22"/>
      <c r="D62" s="22"/>
      <c r="E62" s="22"/>
      <c r="F62" s="26" t="s">
        <v>228</v>
      </c>
      <c r="G62" s="22"/>
    </row>
    <row r="63" spans="2:7" x14ac:dyDescent="0.25">
      <c r="B63" s="22"/>
      <c r="C63" s="22"/>
      <c r="D63" s="22"/>
      <c r="E63" s="22"/>
      <c r="F63" s="115">
        <f>ROUND(13900/12,0)</f>
        <v>1158</v>
      </c>
      <c r="G63" s="22"/>
    </row>
    <row r="64" spans="2:7" x14ac:dyDescent="0.25">
      <c r="B64" s="22"/>
      <c r="C64" s="22"/>
      <c r="D64" s="22"/>
      <c r="E64" s="22"/>
      <c r="F64" s="22"/>
      <c r="G64" s="22"/>
    </row>
    <row r="65" spans="6:6" s="22" customFormat="1" x14ac:dyDescent="0.25"/>
    <row r="66" spans="6:6" s="22" customFormat="1" x14ac:dyDescent="0.25"/>
    <row r="67" spans="6:6" s="22" customFormat="1" x14ac:dyDescent="0.25"/>
    <row r="68" spans="6:6" s="22" customFormat="1" x14ac:dyDescent="0.25"/>
    <row r="69" spans="6:6" s="22" customFormat="1" x14ac:dyDescent="0.25"/>
    <row r="70" spans="6:6" s="22" customFormat="1" x14ac:dyDescent="0.25">
      <c r="F70" s="22" t="s">
        <v>1016</v>
      </c>
    </row>
    <row r="71" spans="6:6" s="22" customFormat="1" x14ac:dyDescent="0.25"/>
    <row r="72" spans="6:6" s="22" customFormat="1" x14ac:dyDescent="0.25">
      <c r="F72" s="26" t="s">
        <v>228</v>
      </c>
    </row>
    <row r="73" spans="6:6" s="22" customFormat="1" x14ac:dyDescent="0.25">
      <c r="F73" s="115">
        <f>ROUND(15900/12,0)</f>
        <v>1325</v>
      </c>
    </row>
    <row r="74" spans="6:6" s="22" customFormat="1" x14ac:dyDescent="0.25"/>
    <row r="75" spans="6:6" s="22" customFormat="1" x14ac:dyDescent="0.25"/>
    <row r="76" spans="6:6" s="22" customFormat="1" x14ac:dyDescent="0.25"/>
    <row r="77" spans="6:6" s="22" customFormat="1" x14ac:dyDescent="0.25"/>
    <row r="78" spans="6:6" s="22" customFormat="1" x14ac:dyDescent="0.25"/>
    <row r="79" spans="6:6" s="22" customFormat="1" x14ac:dyDescent="0.25"/>
    <row r="80" spans="6:6" s="22" customFormat="1" x14ac:dyDescent="0.25"/>
    <row r="81" spans="2:14" x14ac:dyDescent="0.25">
      <c r="B81" s="22"/>
      <c r="C81" s="22"/>
      <c r="D81" s="22"/>
      <c r="E81" s="22"/>
      <c r="F81" s="22" t="s">
        <v>1017</v>
      </c>
      <c r="G81" s="22"/>
    </row>
    <row r="82" spans="2:14" x14ac:dyDescent="0.25">
      <c r="B82" s="22"/>
      <c r="C82" s="22"/>
      <c r="D82" s="22"/>
      <c r="E82" s="22"/>
      <c r="F82" s="22"/>
      <c r="G82" s="22"/>
    </row>
    <row r="83" spans="2:14" x14ac:dyDescent="0.25">
      <c r="B83" s="22"/>
      <c r="C83" s="22"/>
      <c r="D83" s="22"/>
      <c r="E83" s="22"/>
      <c r="F83" s="22"/>
      <c r="G83" s="22"/>
    </row>
    <row r="84" spans="2:14" x14ac:dyDescent="0.25">
      <c r="B84" s="22"/>
      <c r="C84" s="22"/>
      <c r="D84" s="22"/>
      <c r="E84" s="22"/>
      <c r="F84" s="26" t="s">
        <v>228</v>
      </c>
      <c r="G84" s="22"/>
    </row>
    <row r="85" spans="2:14" x14ac:dyDescent="0.25">
      <c r="B85" s="22"/>
      <c r="C85" s="22"/>
      <c r="D85" s="22"/>
      <c r="E85" s="22"/>
      <c r="F85" s="115">
        <f>ROUND(7500/4,0)</f>
        <v>1875</v>
      </c>
      <c r="G85" s="22"/>
    </row>
    <row r="86" spans="2:14" x14ac:dyDescent="0.25">
      <c r="B86" s="22"/>
      <c r="C86" s="22"/>
      <c r="D86" s="22"/>
      <c r="E86" s="22"/>
      <c r="F86" s="22"/>
      <c r="G86" s="22"/>
    </row>
    <row r="87" spans="2:14" x14ac:dyDescent="0.25">
      <c r="B87" s="22"/>
      <c r="C87" s="22"/>
      <c r="D87" s="22"/>
      <c r="E87" s="22"/>
      <c r="F87" s="22"/>
      <c r="G87" s="22"/>
    </row>
    <row r="88" spans="2:14" x14ac:dyDescent="0.25">
      <c r="B88" s="22"/>
      <c r="C88" s="22"/>
      <c r="D88" s="22"/>
      <c r="E88" s="22"/>
      <c r="F88" s="22"/>
      <c r="G88" s="22"/>
    </row>
    <row r="89" spans="2:14" x14ac:dyDescent="0.25">
      <c r="B89" s="22"/>
      <c r="C89" s="22"/>
      <c r="D89" s="22"/>
      <c r="E89" s="22"/>
      <c r="F89" s="22"/>
      <c r="G89" s="22"/>
    </row>
    <row r="90" spans="2:14" x14ac:dyDescent="0.25">
      <c r="B90" s="34" t="s">
        <v>146</v>
      </c>
      <c r="C90" s="952" t="s">
        <v>242</v>
      </c>
      <c r="D90" s="953"/>
      <c r="E90" s="954"/>
      <c r="F90" s="841" t="s">
        <v>241</v>
      </c>
      <c r="G90" s="843"/>
      <c r="H90" s="853" t="s">
        <v>8</v>
      </c>
      <c r="I90" s="853"/>
      <c r="J90" s="853"/>
      <c r="K90" s="853"/>
      <c r="L90" s="853"/>
      <c r="M90" s="853"/>
      <c r="N90" s="853"/>
    </row>
    <row r="91" spans="2:14" x14ac:dyDescent="0.25">
      <c r="B91" s="35"/>
      <c r="C91" s="955" t="s">
        <v>1005</v>
      </c>
      <c r="D91" s="956"/>
      <c r="E91" s="957"/>
      <c r="F91" s="961">
        <v>45831</v>
      </c>
      <c r="G91" s="846"/>
      <c r="H91" s="848"/>
      <c r="I91" s="848"/>
      <c r="J91" s="848"/>
      <c r="K91" s="848"/>
      <c r="L91" s="848"/>
      <c r="M91" s="848"/>
      <c r="N91" s="848"/>
    </row>
    <row r="92" spans="2:14" x14ac:dyDescent="0.25">
      <c r="B92" s="22"/>
      <c r="C92" s="22"/>
      <c r="D92" s="22"/>
      <c r="E92" s="22"/>
      <c r="F92" s="22"/>
      <c r="G92" s="22"/>
    </row>
    <row r="93" spans="2:14" ht="15" x14ac:dyDescent="0.25">
      <c r="B93" s="22"/>
      <c r="C93" s="22"/>
      <c r="D93" s="22"/>
      <c r="E93" s="22"/>
      <c r="F93" s="22"/>
      <c r="G93" s="318"/>
    </row>
    <row r="94" spans="2:14" x14ac:dyDescent="0.25">
      <c r="B94" s="22"/>
      <c r="C94" s="22"/>
      <c r="D94" s="22"/>
      <c r="E94" s="22"/>
      <c r="F94" s="22" t="s">
        <v>1020</v>
      </c>
      <c r="G94" s="22"/>
    </row>
    <row r="95" spans="2:14" x14ac:dyDescent="0.25">
      <c r="B95" s="22"/>
      <c r="C95" s="22"/>
      <c r="D95" s="22"/>
      <c r="E95" s="22"/>
      <c r="F95" s="22"/>
      <c r="G95" s="22" t="s">
        <v>228</v>
      </c>
    </row>
    <row r="96" spans="2:14" x14ac:dyDescent="0.25">
      <c r="B96" s="22"/>
      <c r="C96" s="22"/>
      <c r="D96" s="22"/>
      <c r="E96" s="22"/>
      <c r="F96" s="22"/>
      <c r="G96" s="115">
        <f>ROUND(18500/12,0)</f>
        <v>1542</v>
      </c>
    </row>
    <row r="97" spans="2:14" x14ac:dyDescent="0.25">
      <c r="B97" s="22"/>
      <c r="C97" s="22"/>
      <c r="D97" s="22"/>
      <c r="E97" s="22"/>
      <c r="F97" s="22"/>
      <c r="G97" s="22"/>
    </row>
    <row r="98" spans="2:14" x14ac:dyDescent="0.25">
      <c r="B98" s="22"/>
      <c r="C98" s="22"/>
      <c r="D98" s="22"/>
      <c r="E98" s="22"/>
      <c r="F98" s="22"/>
      <c r="G98" s="22"/>
    </row>
    <row r="99" spans="2:14" x14ac:dyDescent="0.25">
      <c r="B99" s="22"/>
      <c r="C99" s="22"/>
      <c r="D99" s="22"/>
      <c r="E99" s="22"/>
      <c r="F99" s="22"/>
      <c r="G99" s="22"/>
    </row>
    <row r="108" spans="2:14" x14ac:dyDescent="0.25">
      <c r="B108" s="22"/>
      <c r="C108" s="22"/>
      <c r="D108" s="22"/>
      <c r="E108" s="22"/>
      <c r="F108" s="22"/>
      <c r="G108" s="22"/>
    </row>
    <row r="109" spans="2:14" x14ac:dyDescent="0.25">
      <c r="B109" s="34" t="s">
        <v>146</v>
      </c>
      <c r="C109" s="952" t="s">
        <v>242</v>
      </c>
      <c r="D109" s="953"/>
      <c r="E109" s="954"/>
      <c r="F109" s="841" t="s">
        <v>241</v>
      </c>
      <c r="G109" s="843"/>
      <c r="H109" s="853" t="s">
        <v>8</v>
      </c>
      <c r="I109" s="853"/>
      <c r="J109" s="853"/>
      <c r="K109" s="853"/>
      <c r="L109" s="853"/>
      <c r="M109" s="853"/>
      <c r="N109" s="853"/>
    </row>
    <row r="110" spans="2:14" x14ac:dyDescent="0.25">
      <c r="B110" s="35"/>
      <c r="C110" s="955" t="s">
        <v>1012</v>
      </c>
      <c r="D110" s="956"/>
      <c r="E110" s="957"/>
      <c r="F110" s="961">
        <v>45754</v>
      </c>
      <c r="G110" s="846"/>
      <c r="H110" s="962" t="s">
        <v>1013</v>
      </c>
      <c r="I110" s="963"/>
      <c r="J110" s="963"/>
      <c r="K110" s="963"/>
      <c r="L110" s="963"/>
      <c r="M110" s="963"/>
      <c r="N110" s="963"/>
    </row>
    <row r="111" spans="2:14" x14ac:dyDescent="0.25">
      <c r="B111" s="22"/>
      <c r="C111" s="22"/>
      <c r="D111" s="22"/>
      <c r="E111" s="22"/>
      <c r="F111" s="22"/>
      <c r="G111" s="22"/>
    </row>
    <row r="112" spans="2:14" x14ac:dyDescent="0.25">
      <c r="B112" s="22"/>
      <c r="C112" s="22"/>
      <c r="D112" s="22"/>
      <c r="E112" s="22"/>
      <c r="F112" s="22"/>
      <c r="G112" s="22"/>
    </row>
    <row r="113" spans="2:14" x14ac:dyDescent="0.25">
      <c r="B113" s="22"/>
      <c r="C113" s="22"/>
      <c r="D113" s="22"/>
      <c r="E113" s="22"/>
      <c r="F113" s="22"/>
      <c r="G113" s="22"/>
    </row>
    <row r="114" spans="2:14" x14ac:dyDescent="0.25">
      <c r="B114" s="22"/>
      <c r="C114" s="22"/>
      <c r="D114" s="22"/>
      <c r="E114" s="22"/>
      <c r="F114" s="22"/>
      <c r="G114" s="22"/>
    </row>
    <row r="115" spans="2:14" x14ac:dyDescent="0.25">
      <c r="B115" s="22"/>
      <c r="C115" s="22"/>
      <c r="D115" s="22"/>
      <c r="E115" s="22"/>
      <c r="F115" s="22"/>
      <c r="G115" s="22"/>
    </row>
    <row r="116" spans="2:14" x14ac:dyDescent="0.25">
      <c r="B116" s="22"/>
      <c r="C116" s="22"/>
      <c r="D116" s="22"/>
      <c r="E116" s="22"/>
      <c r="F116" s="22"/>
      <c r="G116" s="22"/>
      <c r="H116" s="22" t="s">
        <v>228</v>
      </c>
    </row>
    <row r="117" spans="2:14" x14ac:dyDescent="0.25">
      <c r="B117" s="22"/>
      <c r="C117" s="22"/>
      <c r="D117" s="22"/>
      <c r="E117" s="22"/>
      <c r="F117" s="22"/>
      <c r="G117" s="22"/>
      <c r="H117" s="115">
        <f>ROUND(7818*(1+19%),0)</f>
        <v>9303</v>
      </c>
    </row>
    <row r="118" spans="2:14" x14ac:dyDescent="0.25">
      <c r="B118" s="22"/>
      <c r="C118" s="22"/>
      <c r="D118" s="22"/>
      <c r="E118" s="22"/>
      <c r="F118" s="22"/>
      <c r="G118" s="22"/>
    </row>
    <row r="119" spans="2:14" x14ac:dyDescent="0.25">
      <c r="B119" s="22"/>
      <c r="C119" s="22"/>
      <c r="D119" s="22"/>
      <c r="E119" s="22"/>
      <c r="F119" s="22"/>
      <c r="G119" s="22"/>
    </row>
    <row r="120" spans="2:14" x14ac:dyDescent="0.25">
      <c r="B120" s="22"/>
      <c r="C120" s="22"/>
      <c r="D120" s="22"/>
      <c r="E120" s="22"/>
      <c r="F120" s="22"/>
      <c r="G120" s="22"/>
    </row>
    <row r="121" spans="2:14" x14ac:dyDescent="0.25">
      <c r="B121" s="22"/>
      <c r="C121" s="22"/>
      <c r="D121" s="22"/>
      <c r="E121" s="22"/>
      <c r="F121" s="22"/>
      <c r="G121" s="22"/>
    </row>
    <row r="122" spans="2:14" x14ac:dyDescent="0.25">
      <c r="B122" s="22"/>
      <c r="C122" s="22"/>
      <c r="D122" s="22"/>
      <c r="E122" s="22"/>
      <c r="F122" s="22"/>
      <c r="G122" s="22"/>
    </row>
    <row r="123" spans="2:14" x14ac:dyDescent="0.25">
      <c r="B123" s="22"/>
      <c r="C123" s="22"/>
      <c r="D123" s="22"/>
      <c r="E123" s="22"/>
      <c r="F123" s="22"/>
      <c r="G123" s="22"/>
    </row>
    <row r="124" spans="2:14" x14ac:dyDescent="0.25">
      <c r="B124" s="34" t="s">
        <v>146</v>
      </c>
      <c r="C124" s="952" t="s">
        <v>242</v>
      </c>
      <c r="D124" s="953"/>
      <c r="E124" s="954"/>
      <c r="F124" s="841" t="s">
        <v>241</v>
      </c>
      <c r="G124" s="843"/>
      <c r="H124" s="853" t="s">
        <v>8</v>
      </c>
      <c r="I124" s="853"/>
      <c r="J124" s="853"/>
      <c r="K124" s="853"/>
      <c r="L124" s="853"/>
      <c r="M124" s="853"/>
      <c r="N124" s="853"/>
    </row>
    <row r="125" spans="2:14" x14ac:dyDescent="0.25">
      <c r="B125" s="35"/>
      <c r="C125" s="955" t="s">
        <v>1014</v>
      </c>
      <c r="D125" s="956"/>
      <c r="E125" s="957"/>
      <c r="F125" s="958"/>
      <c r="G125" s="959"/>
      <c r="H125" s="960"/>
      <c r="I125" s="960"/>
      <c r="J125" s="960"/>
      <c r="K125" s="960"/>
      <c r="L125" s="960"/>
      <c r="M125" s="960"/>
      <c r="N125" s="960"/>
    </row>
    <row r="126" spans="2:14" x14ac:dyDescent="0.25">
      <c r="B126" s="22"/>
      <c r="C126" s="22"/>
      <c r="D126" s="22"/>
      <c r="E126" s="22"/>
      <c r="F126" s="22"/>
      <c r="G126" s="22"/>
    </row>
    <row r="127" spans="2:14" x14ac:dyDescent="0.25">
      <c r="B127" s="22"/>
      <c r="C127" s="22"/>
      <c r="D127" s="22"/>
      <c r="E127" s="22"/>
      <c r="F127" s="22"/>
      <c r="G127" s="22"/>
    </row>
    <row r="128" spans="2:14" x14ac:dyDescent="0.25">
      <c r="B128" s="22"/>
      <c r="C128" s="22"/>
      <c r="D128" s="22"/>
      <c r="E128" s="22"/>
      <c r="F128" s="22"/>
      <c r="G128" s="22"/>
    </row>
    <row r="129" spans="2:8" x14ac:dyDescent="0.25">
      <c r="B129" s="22"/>
      <c r="C129" s="22"/>
      <c r="D129" s="22"/>
      <c r="E129" s="22" t="s">
        <v>1018</v>
      </c>
      <c r="F129" s="22"/>
      <c r="G129" s="22"/>
    </row>
    <row r="130" spans="2:8" x14ac:dyDescent="0.25">
      <c r="B130" s="22"/>
      <c r="C130" s="22"/>
      <c r="D130" s="22"/>
      <c r="E130" s="22"/>
      <c r="F130" s="22"/>
      <c r="G130" s="22"/>
      <c r="H130" s="115"/>
    </row>
    <row r="131" spans="2:8" x14ac:dyDescent="0.25">
      <c r="B131" s="22"/>
      <c r="C131" s="22"/>
      <c r="D131" s="22"/>
      <c r="E131" s="22"/>
      <c r="F131" s="22">
        <v>32000</v>
      </c>
      <c r="G131" s="22"/>
    </row>
    <row r="132" spans="2:8" x14ac:dyDescent="0.25">
      <c r="B132" s="22"/>
      <c r="C132" s="22"/>
      <c r="D132" s="22"/>
      <c r="E132" s="22"/>
      <c r="F132" s="22"/>
      <c r="G132" s="22"/>
    </row>
    <row r="133" spans="2:8" x14ac:dyDescent="0.25">
      <c r="B133" s="22"/>
      <c r="C133" s="22"/>
      <c r="D133" s="22"/>
      <c r="E133" s="22"/>
      <c r="F133" s="22"/>
      <c r="G133" s="22"/>
    </row>
    <row r="134" spans="2:8" x14ac:dyDescent="0.25">
      <c r="B134" s="22"/>
      <c r="C134" s="22"/>
      <c r="D134" s="22"/>
      <c r="E134" s="22"/>
      <c r="F134" s="22"/>
      <c r="G134" s="22"/>
    </row>
    <row r="135" spans="2:8" x14ac:dyDescent="0.25">
      <c r="B135" s="22"/>
      <c r="C135" s="22"/>
      <c r="D135" s="22"/>
      <c r="E135" s="22"/>
      <c r="F135" s="22"/>
      <c r="G135" s="22"/>
    </row>
    <row r="136" spans="2:8" x14ac:dyDescent="0.25">
      <c r="B136" s="22"/>
      <c r="C136" s="22"/>
      <c r="D136" s="22"/>
      <c r="E136" s="22"/>
      <c r="F136" s="22"/>
      <c r="G136" s="22"/>
    </row>
    <row r="137" spans="2:8" x14ac:dyDescent="0.25">
      <c r="B137" s="22"/>
      <c r="C137" s="22"/>
      <c r="D137" s="22"/>
      <c r="E137" s="22"/>
      <c r="F137" s="22"/>
      <c r="G137" s="22"/>
    </row>
    <row r="138" spans="2:8" x14ac:dyDescent="0.25">
      <c r="B138" s="22"/>
      <c r="C138" s="22"/>
      <c r="D138" s="22"/>
      <c r="E138" s="22"/>
      <c r="F138" s="22" t="s">
        <v>1019</v>
      </c>
      <c r="G138" s="22"/>
    </row>
    <row r="139" spans="2:8" x14ac:dyDescent="0.25">
      <c r="B139" s="22"/>
      <c r="C139" s="22"/>
      <c r="D139" s="22"/>
      <c r="E139" s="22"/>
      <c r="F139" s="22"/>
      <c r="G139" s="22"/>
    </row>
    <row r="141" spans="2:8" x14ac:dyDescent="0.25">
      <c r="F141" s="52">
        <v>39900</v>
      </c>
    </row>
    <row r="152" spans="6:6" x14ac:dyDescent="0.25">
      <c r="F152" s="409" t="s">
        <v>1030</v>
      </c>
    </row>
    <row r="155" spans="6:6" x14ac:dyDescent="0.25">
      <c r="F155" s="52">
        <v>13465</v>
      </c>
    </row>
    <row r="163" spans="6:6" x14ac:dyDescent="0.25">
      <c r="F163" s="22"/>
    </row>
    <row r="166" spans="6:6" x14ac:dyDescent="0.25">
      <c r="F166" s="409" t="s">
        <v>1031</v>
      </c>
    </row>
    <row r="169" spans="6:6" x14ac:dyDescent="0.25">
      <c r="F169" s="52">
        <f>ROUND(135000/10,0)</f>
        <v>13500</v>
      </c>
    </row>
    <row r="175" spans="6:6" ht="16.5" x14ac:dyDescent="0.3">
      <c r="F175" s="439" t="s">
        <v>1083</v>
      </c>
    </row>
    <row r="178" spans="6:6" x14ac:dyDescent="0.25">
      <c r="F178" s="412">
        <v>34500</v>
      </c>
    </row>
    <row r="189" spans="6:6" x14ac:dyDescent="0.25">
      <c r="F189" s="409" t="s">
        <v>1086</v>
      </c>
    </row>
    <row r="191" spans="6:6" x14ac:dyDescent="0.25">
      <c r="F191" s="411">
        <f>69900/20</f>
        <v>3495</v>
      </c>
    </row>
    <row r="200" spans="2:14" x14ac:dyDescent="0.25">
      <c r="B200" s="34" t="s">
        <v>146</v>
      </c>
      <c r="C200" s="952" t="s">
        <v>242</v>
      </c>
      <c r="D200" s="953"/>
      <c r="E200" s="954"/>
      <c r="F200" s="841" t="s">
        <v>241</v>
      </c>
      <c r="G200" s="843"/>
      <c r="H200" s="853" t="s">
        <v>8</v>
      </c>
      <c r="I200" s="853"/>
      <c r="J200" s="853"/>
      <c r="K200" s="853"/>
      <c r="L200" s="853"/>
      <c r="M200" s="853"/>
      <c r="N200" s="853"/>
    </row>
    <row r="201" spans="2:14" x14ac:dyDescent="0.25">
      <c r="B201" s="35"/>
      <c r="C201" s="955" t="s">
        <v>1022</v>
      </c>
      <c r="D201" s="956"/>
      <c r="E201" s="957"/>
      <c r="F201" s="958">
        <v>45831</v>
      </c>
      <c r="G201" s="959"/>
      <c r="H201" s="960"/>
      <c r="I201" s="960"/>
      <c r="J201" s="960"/>
      <c r="K201" s="960"/>
      <c r="L201" s="960"/>
      <c r="M201" s="960"/>
      <c r="N201" s="960"/>
    </row>
    <row r="205" spans="2:14" x14ac:dyDescent="0.25">
      <c r="F205" s="52" t="s">
        <v>1021</v>
      </c>
    </row>
    <row r="207" spans="2:14" x14ac:dyDescent="0.25">
      <c r="F207" s="411">
        <v>20000</v>
      </c>
    </row>
    <row r="216" spans="6:6" x14ac:dyDescent="0.25">
      <c r="F216" s="409" t="s">
        <v>1084</v>
      </c>
    </row>
    <row r="219" spans="6:6" x14ac:dyDescent="0.25">
      <c r="F219" s="411">
        <v>17350</v>
      </c>
    </row>
    <row r="231" spans="2:14" x14ac:dyDescent="0.25">
      <c r="B231" s="34" t="s">
        <v>146</v>
      </c>
      <c r="C231" s="952" t="s">
        <v>242</v>
      </c>
      <c r="D231" s="953"/>
      <c r="E231" s="954"/>
      <c r="F231" s="841" t="s">
        <v>241</v>
      </c>
      <c r="G231" s="843"/>
      <c r="H231" s="853" t="s">
        <v>8</v>
      </c>
      <c r="I231" s="853"/>
      <c r="J231" s="853"/>
      <c r="K231" s="853"/>
      <c r="L231" s="853"/>
      <c r="M231" s="853"/>
      <c r="N231" s="853"/>
    </row>
    <row r="232" spans="2:14" x14ac:dyDescent="0.25">
      <c r="B232" s="35"/>
      <c r="C232" s="955" t="s">
        <v>1023</v>
      </c>
      <c r="D232" s="956"/>
      <c r="E232" s="957"/>
      <c r="F232" s="958">
        <v>45831</v>
      </c>
      <c r="G232" s="959"/>
      <c r="H232" s="960"/>
      <c r="I232" s="960"/>
      <c r="J232" s="960"/>
      <c r="K232" s="960"/>
      <c r="L232" s="960"/>
      <c r="M232" s="960"/>
      <c r="N232" s="960"/>
    </row>
    <row r="236" spans="2:14" ht="15" x14ac:dyDescent="0.25">
      <c r="F236" s="440" t="s">
        <v>1024</v>
      </c>
    </row>
    <row r="239" spans="2:14" x14ac:dyDescent="0.25">
      <c r="F239" s="412">
        <v>12000</v>
      </c>
    </row>
    <row r="251" spans="6:6" x14ac:dyDescent="0.25">
      <c r="F251" s="52" t="s">
        <v>1027</v>
      </c>
    </row>
    <row r="253" spans="6:6" x14ac:dyDescent="0.25">
      <c r="F253" s="412">
        <v>12000</v>
      </c>
    </row>
    <row r="261" spans="6:6" x14ac:dyDescent="0.25">
      <c r="F261" s="52" t="s">
        <v>1028</v>
      </c>
    </row>
    <row r="263" spans="6:6" x14ac:dyDescent="0.25">
      <c r="F263" s="52">
        <v>10000</v>
      </c>
    </row>
    <row r="272" spans="6:6" x14ac:dyDescent="0.25">
      <c r="F272" s="52" t="s">
        <v>1085</v>
      </c>
    </row>
    <row r="274" spans="2:14" x14ac:dyDescent="0.25">
      <c r="F274" s="412">
        <v>3000</v>
      </c>
    </row>
    <row r="283" spans="2:14" x14ac:dyDescent="0.25">
      <c r="B283" s="34" t="s">
        <v>146</v>
      </c>
      <c r="C283" s="952" t="s">
        <v>242</v>
      </c>
      <c r="D283" s="953"/>
      <c r="E283" s="954"/>
      <c r="F283" s="841" t="s">
        <v>241</v>
      </c>
      <c r="G283" s="843"/>
      <c r="H283" s="853" t="s">
        <v>8</v>
      </c>
      <c r="I283" s="853"/>
      <c r="J283" s="853"/>
      <c r="K283" s="853"/>
      <c r="L283" s="853"/>
      <c r="M283" s="853"/>
      <c r="N283" s="853"/>
    </row>
    <row r="284" spans="2:14" x14ac:dyDescent="0.25">
      <c r="B284" s="35"/>
      <c r="C284" s="955" t="s">
        <v>1025</v>
      </c>
      <c r="D284" s="956"/>
      <c r="E284" s="957"/>
      <c r="F284" s="958">
        <v>45831</v>
      </c>
      <c r="G284" s="959"/>
      <c r="H284" s="960"/>
      <c r="I284" s="960"/>
      <c r="J284" s="960"/>
      <c r="K284" s="960"/>
      <c r="L284" s="960"/>
      <c r="M284" s="960"/>
      <c r="N284" s="960"/>
    </row>
    <row r="287" spans="2:14" x14ac:dyDescent="0.25">
      <c r="F287" s="52" t="s">
        <v>1026</v>
      </c>
    </row>
    <row r="290" spans="2:14" x14ac:dyDescent="0.25">
      <c r="F290" s="411">
        <v>8600</v>
      </c>
    </row>
    <row r="301" spans="2:14" x14ac:dyDescent="0.25">
      <c r="B301" s="34" t="s">
        <v>146</v>
      </c>
      <c r="C301" s="952" t="s">
        <v>242</v>
      </c>
      <c r="D301" s="953"/>
      <c r="E301" s="954"/>
      <c r="F301" s="841" t="s">
        <v>241</v>
      </c>
      <c r="G301" s="843"/>
      <c r="H301" s="853" t="s">
        <v>8</v>
      </c>
      <c r="I301" s="853"/>
      <c r="J301" s="853"/>
      <c r="K301" s="853"/>
      <c r="L301" s="853"/>
      <c r="M301" s="853"/>
      <c r="N301" s="853"/>
    </row>
    <row r="302" spans="2:14" x14ac:dyDescent="0.25">
      <c r="B302" s="35"/>
      <c r="C302" s="955" t="s">
        <v>1032</v>
      </c>
      <c r="D302" s="956"/>
      <c r="E302" s="957"/>
      <c r="F302" s="958">
        <v>45831</v>
      </c>
      <c r="G302" s="959"/>
      <c r="H302" s="960"/>
      <c r="I302" s="960"/>
      <c r="J302" s="960"/>
      <c r="K302" s="960"/>
      <c r="L302" s="960"/>
      <c r="M302" s="960"/>
      <c r="N302" s="960"/>
    </row>
    <row r="306" spans="6:6" ht="15" x14ac:dyDescent="0.25">
      <c r="F306" s="440" t="s">
        <v>1029</v>
      </c>
    </row>
    <row r="308" spans="6:6" x14ac:dyDescent="0.25">
      <c r="F308" s="52">
        <v>9500</v>
      </c>
    </row>
    <row r="321" spans="2:14" x14ac:dyDescent="0.25">
      <c r="B321" s="34" t="s">
        <v>146</v>
      </c>
      <c r="C321" s="952" t="s">
        <v>242</v>
      </c>
      <c r="D321" s="953"/>
      <c r="E321" s="954"/>
      <c r="F321" s="841" t="s">
        <v>241</v>
      </c>
      <c r="G321" s="843"/>
      <c r="H321" s="853" t="s">
        <v>8</v>
      </c>
      <c r="I321" s="853"/>
      <c r="J321" s="853"/>
      <c r="K321" s="853"/>
      <c r="L321" s="853"/>
      <c r="M321" s="853"/>
      <c r="N321" s="853"/>
    </row>
    <row r="322" spans="2:14" x14ac:dyDescent="0.25">
      <c r="B322" s="35"/>
      <c r="C322" s="955" t="s">
        <v>1087</v>
      </c>
      <c r="D322" s="956"/>
      <c r="E322" s="957"/>
      <c r="F322" s="958">
        <v>45831</v>
      </c>
      <c r="G322" s="959"/>
      <c r="H322" s="960"/>
      <c r="I322" s="960"/>
      <c r="J322" s="960"/>
      <c r="K322" s="960"/>
      <c r="L322" s="960"/>
      <c r="M322" s="960"/>
      <c r="N322" s="960"/>
    </row>
    <row r="325" spans="2:14" x14ac:dyDescent="0.25">
      <c r="F325" s="52" t="s">
        <v>1088</v>
      </c>
    </row>
    <row r="327" spans="2:14" x14ac:dyDescent="0.25">
      <c r="F327" s="412">
        <v>50000</v>
      </c>
    </row>
  </sheetData>
  <mergeCells count="55">
    <mergeCell ref="C301:E301"/>
    <mergeCell ref="F301:G301"/>
    <mergeCell ref="H301:N301"/>
    <mergeCell ref="C302:E302"/>
    <mergeCell ref="F302:G302"/>
    <mergeCell ref="H302:N302"/>
    <mergeCell ref="C283:E283"/>
    <mergeCell ref="F283:G283"/>
    <mergeCell ref="H283:N283"/>
    <mergeCell ref="C284:E284"/>
    <mergeCell ref="F284:G284"/>
    <mergeCell ref="H284:N284"/>
    <mergeCell ref="C231:E231"/>
    <mergeCell ref="F231:G231"/>
    <mergeCell ref="H231:N231"/>
    <mergeCell ref="C232:E232"/>
    <mergeCell ref="F232:G232"/>
    <mergeCell ref="H232:N232"/>
    <mergeCell ref="C200:E200"/>
    <mergeCell ref="F200:G200"/>
    <mergeCell ref="H200:N200"/>
    <mergeCell ref="C201:E201"/>
    <mergeCell ref="F201:G201"/>
    <mergeCell ref="H201:N201"/>
    <mergeCell ref="C124:E124"/>
    <mergeCell ref="F124:G124"/>
    <mergeCell ref="H124:N124"/>
    <mergeCell ref="C125:E125"/>
    <mergeCell ref="F125:G125"/>
    <mergeCell ref="H125:N125"/>
    <mergeCell ref="C109:E109"/>
    <mergeCell ref="F109:G109"/>
    <mergeCell ref="H109:N109"/>
    <mergeCell ref="C110:E110"/>
    <mergeCell ref="F110:G110"/>
    <mergeCell ref="H110:N110"/>
    <mergeCell ref="C90:E90"/>
    <mergeCell ref="F90:G90"/>
    <mergeCell ref="H90:N90"/>
    <mergeCell ref="C91:E91"/>
    <mergeCell ref="F91:G91"/>
    <mergeCell ref="H91:N91"/>
    <mergeCell ref="B2:M2"/>
    <mergeCell ref="C5:E5"/>
    <mergeCell ref="F5:G5"/>
    <mergeCell ref="H5:N5"/>
    <mergeCell ref="C6:E6"/>
    <mergeCell ref="F6:G6"/>
    <mergeCell ref="H6:N6"/>
    <mergeCell ref="C321:E321"/>
    <mergeCell ref="F321:G321"/>
    <mergeCell ref="H321:N321"/>
    <mergeCell ref="C322:E322"/>
    <mergeCell ref="F322:G322"/>
    <mergeCell ref="H322:N322"/>
  </mergeCells>
  <hyperlinks>
    <hyperlink ref="H110" r:id="rId1" xr:uid="{7538970B-2E09-470E-AB4B-B883017F75FE}"/>
    <hyperlink ref="F60" r:id="rId2" xr:uid="{A1E49A8E-3171-410E-9641-FB6AA554C96A}"/>
    <hyperlink ref="F175" display="https://articulo.mercadolibre.com.co/MCO-1516338389-tote-bag-bolsa-ecologica-personalizable-logo-foto-imagen-_JM#polycard_client=search-nordic&amp;position=6&amp;search_layout=grid&amp;type=item&amp;tracking_id=ba7be6eb-3618-4a70-a9d8-ffca190a5942&amp;wid=MCO1516338389&amp;sid=s" xr:uid="{D056C7BA-0333-4986-9A0C-8185838C316A}"/>
    <hyperlink ref="F306" r:id="rId3" xr:uid="{9889C3DA-3A8F-4AFE-8306-3800ACCA784F}"/>
    <hyperlink ref="F236" r:id="rId4" xr:uid="{CE97671A-8C0D-47E5-9950-2F3FC4215F76}"/>
  </hyperlinks>
  <pageMargins left="0.7" right="0.7" top="0.75" bottom="0.75" header="0.3" footer="0.3"/>
  <pageSetup orientation="portrait" horizontalDpi="1200" verticalDpi="1200" r:id="rId5"/>
  <drawing r:id="rId6"/>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F6D14-9E3C-4E10-B731-6B25EEEB1A14}">
  <sheetPr>
    <tabColor rgb="FFFFC000"/>
  </sheetPr>
  <dimension ref="A1"/>
  <sheetViews>
    <sheetView workbookViewId="0"/>
  </sheetViews>
  <sheetFormatPr baseColWidth="10" defaultRowHeight="15" x14ac:dyDescent="0.25"/>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7553F8-4E3B-4917-AF67-5BE4D78DE233}">
  <dimension ref="B2:O8"/>
  <sheetViews>
    <sheetView topLeftCell="C3" workbookViewId="0">
      <selection activeCell="F8" sqref="F8"/>
    </sheetView>
  </sheetViews>
  <sheetFormatPr baseColWidth="10" defaultColWidth="11.42578125" defaultRowHeight="12.75" x14ac:dyDescent="0.25"/>
  <cols>
    <col min="1" max="1" width="5.42578125" style="167" customWidth="1"/>
    <col min="2" max="2" width="44.28515625" style="167" customWidth="1"/>
    <col min="3" max="3" width="15.140625" style="192" customWidth="1"/>
    <col min="4" max="4" width="19.42578125" style="192" customWidth="1"/>
    <col min="5" max="5" width="4.42578125" style="167" customWidth="1"/>
    <col min="6" max="6" width="16.140625" style="167" customWidth="1"/>
    <col min="7" max="7" width="33.5703125" style="167" customWidth="1"/>
    <col min="8" max="8" width="11.42578125" style="167"/>
    <col min="9" max="9" width="0" style="167" hidden="1" customWidth="1"/>
    <col min="10" max="10" width="14.42578125" style="167" customWidth="1"/>
    <col min="11" max="11" width="25.7109375" style="167" customWidth="1"/>
    <col min="12" max="12" width="11.42578125" style="167"/>
    <col min="13" max="13" width="0" style="167" hidden="1" customWidth="1"/>
    <col min="14" max="14" width="13.7109375" style="167" customWidth="1"/>
    <col min="15" max="16384" width="11.42578125" style="167"/>
  </cols>
  <sheetData>
    <row r="2" spans="2:15" ht="15" customHeight="1" x14ac:dyDescent="0.25">
      <c r="B2" s="857" t="s">
        <v>157</v>
      </c>
      <c r="C2" s="858"/>
      <c r="D2" s="858"/>
      <c r="E2" s="858"/>
      <c r="F2" s="858"/>
      <c r="G2" s="858"/>
      <c r="H2" s="858"/>
      <c r="I2" s="858"/>
      <c r="J2" s="858"/>
      <c r="K2" s="858"/>
      <c r="L2" s="858"/>
      <c r="M2" s="858"/>
      <c r="N2" s="858"/>
    </row>
    <row r="4" spans="2:15" ht="15" customHeight="1" x14ac:dyDescent="0.25">
      <c r="B4" s="859" t="s">
        <v>539</v>
      </c>
      <c r="C4" s="859"/>
      <c r="D4" s="859"/>
      <c r="F4" s="860" t="s">
        <v>220</v>
      </c>
      <c r="G4" s="861"/>
      <c r="H4" s="861"/>
      <c r="I4" s="861"/>
      <c r="J4" s="861"/>
      <c r="K4" s="861"/>
      <c r="L4" s="862"/>
      <c r="M4" s="181"/>
      <c r="N4" s="182"/>
      <c r="O4" s="182"/>
    </row>
    <row r="5" spans="2:15" ht="24" customHeight="1" x14ac:dyDescent="0.25">
      <c r="B5" s="859"/>
      <c r="C5" s="859"/>
      <c r="D5" s="859"/>
      <c r="F5" s="863" t="s">
        <v>221</v>
      </c>
      <c r="G5" s="863"/>
      <c r="H5" s="863"/>
      <c r="I5" s="863"/>
      <c r="J5" s="863" t="s">
        <v>222</v>
      </c>
      <c r="K5" s="863"/>
      <c r="L5" s="863"/>
      <c r="M5" s="863"/>
      <c r="N5" s="835" t="s">
        <v>1072</v>
      </c>
      <c r="O5" s="835" t="s">
        <v>443</v>
      </c>
    </row>
    <row r="6" spans="2:15" ht="33" customHeight="1" x14ac:dyDescent="0.25">
      <c r="B6" s="183"/>
      <c r="C6" s="183" t="s">
        <v>922</v>
      </c>
      <c r="D6" s="183" t="s">
        <v>228</v>
      </c>
      <c r="F6" s="183" t="s">
        <v>229</v>
      </c>
      <c r="G6" s="183" t="s">
        <v>230</v>
      </c>
      <c r="H6" s="183" t="s">
        <v>205</v>
      </c>
      <c r="I6" s="183" t="s">
        <v>443</v>
      </c>
      <c r="J6" s="183" t="s">
        <v>229</v>
      </c>
      <c r="K6" s="183" t="s">
        <v>230</v>
      </c>
      <c r="L6" s="183" t="s">
        <v>205</v>
      </c>
      <c r="M6" s="183" t="s">
        <v>443</v>
      </c>
      <c r="N6" s="836"/>
      <c r="O6" s="836"/>
    </row>
    <row r="7" spans="2:15" ht="153.75" customHeight="1" x14ac:dyDescent="0.25">
      <c r="B7" s="400" t="s">
        <v>1069</v>
      </c>
      <c r="C7" s="185" t="s">
        <v>238</v>
      </c>
      <c r="D7" s="401">
        <v>2000000</v>
      </c>
      <c r="F7" s="186" t="str">
        <f>'8.1 Fuentes_Tallerista'!D3</f>
        <v>MSPS-CD-1539-2024</v>
      </c>
      <c r="G7" s="184" t="str">
        <f>'8.1 Fuentes_Tallerista'!C21</f>
        <v xml:space="preserve">PERSONAL DE APOYO TERRITORIAL - CAPACITADORES en enfoques de salud ancestral y tradicional en los territorios de comunidades Negras, Afrocolombianas, Raizales y Palenqueras, esta capacitacion se realizara durante el inicio de la consulta tendra una duracion de 4 horas.  Estas capacitaciones se realizan para dar a conocer a las comundiades lo concerniente con el tema a consultar o concertar, busca que la consulta sea informada. </v>
      </c>
      <c r="H7" s="187">
        <f>'8.1 Fuentes_Tallerista'!K21</f>
        <v>2728362</v>
      </c>
      <c r="I7" s="188">
        <f>D7/H7-1</f>
        <v>-0.26695944306510644</v>
      </c>
      <c r="J7" s="186" t="str">
        <f>'8.1 Fuentes_Tallerista'!D27</f>
        <v>ICBF-CD-196166-2024-SEN</v>
      </c>
      <c r="K7" s="184" t="s">
        <v>1324</v>
      </c>
      <c r="L7" s="189">
        <f>ROUND('8.1 Fuentes_Tallerista'!K35/8*2,0)</f>
        <v>2182690</v>
      </c>
      <c r="M7" s="188">
        <f>D7/L7-1</f>
        <v>-8.3699471752745502E-2</v>
      </c>
      <c r="N7" s="190">
        <f>ROUND(AVERAGE(H7,L7),0)</f>
        <v>2455526</v>
      </c>
      <c r="O7" s="191">
        <f>D7/N7-1</f>
        <v>-0.18551055863387311</v>
      </c>
    </row>
    <row r="8" spans="2:15" ht="27" customHeight="1" x14ac:dyDescent="0.25">
      <c r="B8" s="945"/>
      <c r="C8" s="945"/>
      <c r="D8" s="171"/>
    </row>
  </sheetData>
  <mergeCells count="8">
    <mergeCell ref="O5:O6"/>
    <mergeCell ref="B8:C8"/>
    <mergeCell ref="B2:N2"/>
    <mergeCell ref="B4:D5"/>
    <mergeCell ref="F4:L4"/>
    <mergeCell ref="F5:I5"/>
    <mergeCell ref="J5:M5"/>
    <mergeCell ref="N5:N6"/>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D8667-E163-4712-A843-14F2D49EB2EB}">
  <dimension ref="B2:S35"/>
  <sheetViews>
    <sheetView topLeftCell="F22" workbookViewId="0">
      <selection activeCell="K35" sqref="K35"/>
    </sheetView>
  </sheetViews>
  <sheetFormatPr baseColWidth="10" defaultRowHeight="15" x14ac:dyDescent="0.25"/>
  <cols>
    <col min="1" max="1" width="3.140625" customWidth="1"/>
    <col min="2" max="2" width="12.7109375" customWidth="1"/>
    <col min="3" max="3" width="59.28515625" customWidth="1"/>
    <col min="4" max="4" width="13.7109375" customWidth="1"/>
    <col min="5" max="5" width="26" customWidth="1"/>
    <col min="10" max="10" width="11.42578125" style="118"/>
    <col min="11" max="11" width="14.5703125" customWidth="1"/>
  </cols>
  <sheetData>
    <row r="2" spans="2:19" ht="27" x14ac:dyDescent="0.25">
      <c r="B2" s="60" t="s">
        <v>146</v>
      </c>
      <c r="C2" s="34" t="s">
        <v>5</v>
      </c>
      <c r="D2" s="25" t="s">
        <v>6</v>
      </c>
      <c r="E2" s="25" t="s">
        <v>145</v>
      </c>
      <c r="F2" s="25" t="s">
        <v>3</v>
      </c>
      <c r="G2" s="34" t="s">
        <v>7</v>
      </c>
      <c r="H2" s="853" t="s">
        <v>244</v>
      </c>
      <c r="I2" s="853"/>
      <c r="J2" s="853"/>
      <c r="K2" s="853"/>
      <c r="L2" s="853"/>
      <c r="M2" s="853"/>
      <c r="N2" s="853"/>
    </row>
    <row r="3" spans="2:19" ht="36.75" customHeight="1" x14ac:dyDescent="0.25">
      <c r="B3" s="64">
        <v>1</v>
      </c>
      <c r="C3" s="36" t="s">
        <v>334</v>
      </c>
      <c r="D3" s="37" t="s">
        <v>1133</v>
      </c>
      <c r="E3" s="36" t="s">
        <v>1132</v>
      </c>
      <c r="F3" s="37">
        <v>2024</v>
      </c>
      <c r="G3" s="36"/>
      <c r="H3" s="847" t="s">
        <v>1134</v>
      </c>
      <c r="I3" s="848"/>
      <c r="J3" s="848"/>
      <c r="K3" s="848"/>
      <c r="L3" s="848"/>
      <c r="M3" s="848"/>
      <c r="N3" s="848"/>
    </row>
    <row r="5" spans="2:19" ht="15.75" thickBot="1" x14ac:dyDescent="0.3"/>
    <row r="6" spans="2:19" ht="15" customHeight="1" x14ac:dyDescent="0.25">
      <c r="B6" s="969" t="s">
        <v>916</v>
      </c>
      <c r="C6" s="971" t="s">
        <v>289</v>
      </c>
      <c r="D6" s="971" t="s">
        <v>232</v>
      </c>
      <c r="E6" s="971" t="s">
        <v>1249</v>
      </c>
      <c r="F6" s="973" t="s">
        <v>1250</v>
      </c>
      <c r="G6" s="964" t="s">
        <v>291</v>
      </c>
      <c r="H6" s="966" t="s">
        <v>487</v>
      </c>
      <c r="I6" s="964" t="s">
        <v>459</v>
      </c>
      <c r="J6" s="508" t="s">
        <v>330</v>
      </c>
      <c r="N6" s="867" t="s">
        <v>150</v>
      </c>
      <c r="O6" s="868"/>
      <c r="P6" s="867" t="s">
        <v>150</v>
      </c>
      <c r="Q6" s="868"/>
      <c r="R6" s="867" t="s">
        <v>150</v>
      </c>
      <c r="S6" s="868"/>
    </row>
    <row r="7" spans="2:19" ht="24.75" x14ac:dyDescent="0.25">
      <c r="B7" s="970"/>
      <c r="C7" s="972"/>
      <c r="D7" s="972"/>
      <c r="E7" s="972"/>
      <c r="F7" s="974"/>
      <c r="G7" s="965"/>
      <c r="H7" s="967"/>
      <c r="I7" s="965"/>
      <c r="J7" s="510" t="s">
        <v>1251</v>
      </c>
      <c r="K7" s="529" t="s">
        <v>1155</v>
      </c>
      <c r="N7" s="175" t="s">
        <v>154</v>
      </c>
      <c r="O7" s="176">
        <v>9.2799999999999994E-2</v>
      </c>
      <c r="P7" s="175" t="s">
        <v>151</v>
      </c>
      <c r="Q7" s="176">
        <v>5.1999999999999998E-2</v>
      </c>
      <c r="R7" s="175" t="s">
        <v>1074</v>
      </c>
      <c r="S7" s="176">
        <v>3.7400000000000003E-2</v>
      </c>
    </row>
    <row r="8" spans="2:19" x14ac:dyDescent="0.25">
      <c r="B8" s="509">
        <v>1</v>
      </c>
      <c r="C8" s="975" t="s">
        <v>1252</v>
      </c>
      <c r="D8" s="976"/>
      <c r="E8" s="976"/>
      <c r="F8" s="976"/>
      <c r="G8" s="976"/>
      <c r="H8" s="976"/>
      <c r="I8" s="976"/>
      <c r="J8" s="977"/>
    </row>
    <row r="9" spans="2:19" ht="41.25" customHeight="1" x14ac:dyDescent="0.25">
      <c r="B9" s="511" t="s">
        <v>1253</v>
      </c>
      <c r="C9" s="512" t="s">
        <v>1254</v>
      </c>
      <c r="D9" s="513" t="s">
        <v>1255</v>
      </c>
      <c r="E9" s="514">
        <v>30</v>
      </c>
      <c r="F9" s="514">
        <v>2</v>
      </c>
      <c r="G9" s="515">
        <v>400000</v>
      </c>
      <c r="H9" s="515">
        <v>24000000</v>
      </c>
      <c r="I9" s="515">
        <v>0</v>
      </c>
      <c r="J9" s="516">
        <v>24000000</v>
      </c>
      <c r="K9" s="530">
        <f>ROUND(G9*(1+$Q$7)*(1+$S$7),0)</f>
        <v>436538</v>
      </c>
    </row>
    <row r="10" spans="2:19" ht="41.25" customHeight="1" x14ac:dyDescent="0.25">
      <c r="B10" s="511" t="s">
        <v>1256</v>
      </c>
      <c r="C10" s="517" t="s">
        <v>1257</v>
      </c>
      <c r="D10" s="513" t="s">
        <v>232</v>
      </c>
      <c r="E10" s="514">
        <v>30</v>
      </c>
      <c r="F10" s="514">
        <v>1</v>
      </c>
      <c r="G10" s="515">
        <v>800000</v>
      </c>
      <c r="H10" s="515">
        <v>24000000</v>
      </c>
      <c r="I10" s="515"/>
      <c r="J10" s="516">
        <v>24000000</v>
      </c>
      <c r="K10" s="530">
        <f t="shared" ref="K10:K23" si="0">ROUND(G10*(1+$Q$7)*(1+$S$7),0)</f>
        <v>873076</v>
      </c>
    </row>
    <row r="11" spans="2:19" ht="41.25" customHeight="1" x14ac:dyDescent="0.25">
      <c r="B11" s="511" t="s">
        <v>1258</v>
      </c>
      <c r="C11" s="518" t="s">
        <v>1259</v>
      </c>
      <c r="D11" s="513" t="s">
        <v>232</v>
      </c>
      <c r="E11" s="514">
        <v>30</v>
      </c>
      <c r="F11" s="514">
        <v>2</v>
      </c>
      <c r="G11" s="515">
        <v>17000</v>
      </c>
      <c r="H11" s="515">
        <v>1020000</v>
      </c>
      <c r="I11" s="515">
        <v>0</v>
      </c>
      <c r="J11" s="516">
        <v>1020000</v>
      </c>
      <c r="K11" s="530">
        <f t="shared" si="0"/>
        <v>18553</v>
      </c>
    </row>
    <row r="12" spans="2:19" ht="41.25" customHeight="1" x14ac:dyDescent="0.25">
      <c r="B12" s="511" t="s">
        <v>1260</v>
      </c>
      <c r="C12" s="518" t="s">
        <v>1261</v>
      </c>
      <c r="D12" s="513" t="s">
        <v>232</v>
      </c>
      <c r="E12" s="514">
        <v>30</v>
      </c>
      <c r="F12" s="514">
        <v>2</v>
      </c>
      <c r="G12" s="515">
        <v>50000</v>
      </c>
      <c r="H12" s="515">
        <v>3000000</v>
      </c>
      <c r="I12" s="515">
        <v>0</v>
      </c>
      <c r="J12" s="516">
        <v>3000000</v>
      </c>
      <c r="K12" s="530">
        <f t="shared" si="0"/>
        <v>54567</v>
      </c>
    </row>
    <row r="13" spans="2:19" ht="41.25" customHeight="1" x14ac:dyDescent="0.25">
      <c r="B13" s="519" t="s">
        <v>1262</v>
      </c>
      <c r="C13" s="518" t="s">
        <v>1263</v>
      </c>
      <c r="D13" s="520" t="s">
        <v>232</v>
      </c>
      <c r="E13" s="521">
        <v>60</v>
      </c>
      <c r="F13" s="514">
        <v>2</v>
      </c>
      <c r="G13" s="522">
        <v>22000</v>
      </c>
      <c r="H13" s="515">
        <v>2640000</v>
      </c>
      <c r="I13" s="522">
        <v>0</v>
      </c>
      <c r="J13" s="516">
        <v>2640000</v>
      </c>
      <c r="K13" s="530">
        <f t="shared" si="0"/>
        <v>24010</v>
      </c>
    </row>
    <row r="14" spans="2:19" ht="41.25" customHeight="1" x14ac:dyDescent="0.25">
      <c r="B14" s="511" t="s">
        <v>257</v>
      </c>
      <c r="C14" s="518" t="s">
        <v>1264</v>
      </c>
      <c r="D14" s="513" t="s">
        <v>232</v>
      </c>
      <c r="E14" s="514">
        <v>30</v>
      </c>
      <c r="F14" s="514">
        <v>2</v>
      </c>
      <c r="G14" s="515">
        <v>38000</v>
      </c>
      <c r="H14" s="515">
        <v>2280000</v>
      </c>
      <c r="I14" s="515">
        <v>0</v>
      </c>
      <c r="J14" s="516">
        <v>2280000</v>
      </c>
      <c r="K14" s="530">
        <f t="shared" si="0"/>
        <v>41471</v>
      </c>
    </row>
    <row r="15" spans="2:19" ht="41.25" customHeight="1" x14ac:dyDescent="0.25">
      <c r="B15" s="523" t="s">
        <v>261</v>
      </c>
      <c r="C15" s="524" t="s">
        <v>1265</v>
      </c>
      <c r="D15" s="525" t="s">
        <v>1266</v>
      </c>
      <c r="E15" s="526">
        <v>1</v>
      </c>
      <c r="F15" s="514">
        <v>2</v>
      </c>
      <c r="G15" s="527">
        <v>1800000</v>
      </c>
      <c r="H15" s="515">
        <v>3600000</v>
      </c>
      <c r="I15" s="527">
        <v>684000</v>
      </c>
      <c r="J15" s="516">
        <v>4284000</v>
      </c>
      <c r="K15" s="530">
        <f t="shared" si="0"/>
        <v>1964421</v>
      </c>
    </row>
    <row r="16" spans="2:19" ht="41.25" customHeight="1" x14ac:dyDescent="0.25">
      <c r="B16" s="523" t="s">
        <v>265</v>
      </c>
      <c r="C16" s="528" t="s">
        <v>1267</v>
      </c>
      <c r="D16" s="525" t="s">
        <v>1266</v>
      </c>
      <c r="E16" s="526">
        <v>1</v>
      </c>
      <c r="F16" s="514">
        <v>2</v>
      </c>
      <c r="G16" s="527">
        <v>600000</v>
      </c>
      <c r="H16" s="515">
        <v>1200000</v>
      </c>
      <c r="I16" s="527">
        <v>0</v>
      </c>
      <c r="J16" s="516">
        <v>1200000</v>
      </c>
      <c r="K16" s="530">
        <f t="shared" si="0"/>
        <v>654807</v>
      </c>
    </row>
    <row r="17" spans="2:14" ht="41.25" customHeight="1" x14ac:dyDescent="0.25">
      <c r="B17" s="523" t="s">
        <v>269</v>
      </c>
      <c r="C17" s="528" t="s">
        <v>1150</v>
      </c>
      <c r="D17" s="525" t="s">
        <v>232</v>
      </c>
      <c r="E17" s="526">
        <v>1</v>
      </c>
      <c r="F17" s="514">
        <v>1</v>
      </c>
      <c r="G17" s="527">
        <v>709999</v>
      </c>
      <c r="H17" s="515">
        <v>709999</v>
      </c>
      <c r="I17" s="527">
        <v>0</v>
      </c>
      <c r="J17" s="516">
        <v>709999</v>
      </c>
      <c r="K17" s="530">
        <f t="shared" si="0"/>
        <v>774854</v>
      </c>
    </row>
    <row r="18" spans="2:14" ht="41.25" customHeight="1" x14ac:dyDescent="0.25">
      <c r="B18" s="523" t="s">
        <v>273</v>
      </c>
      <c r="C18" s="528" t="s">
        <v>1268</v>
      </c>
      <c r="D18" s="525" t="s">
        <v>232</v>
      </c>
      <c r="E18" s="526">
        <v>30</v>
      </c>
      <c r="F18" s="514">
        <v>1</v>
      </c>
      <c r="G18" s="527">
        <v>50000</v>
      </c>
      <c r="H18" s="515">
        <v>1500000</v>
      </c>
      <c r="I18" s="527">
        <v>285000</v>
      </c>
      <c r="J18" s="516">
        <v>1785000</v>
      </c>
      <c r="K18" s="530">
        <f t="shared" si="0"/>
        <v>54567</v>
      </c>
    </row>
    <row r="19" spans="2:14" ht="41.25" customHeight="1" x14ac:dyDescent="0.25">
      <c r="B19" s="523" t="s">
        <v>1269</v>
      </c>
      <c r="C19" s="528" t="s">
        <v>1270</v>
      </c>
      <c r="D19" s="525" t="s">
        <v>232</v>
      </c>
      <c r="E19" s="526">
        <v>1</v>
      </c>
      <c r="F19" s="514">
        <v>1</v>
      </c>
      <c r="G19" s="527">
        <v>3000000</v>
      </c>
      <c r="H19" s="515">
        <v>3000000</v>
      </c>
      <c r="I19" s="527"/>
      <c r="J19" s="516">
        <v>3000000</v>
      </c>
      <c r="K19" s="530">
        <f t="shared" si="0"/>
        <v>3274034</v>
      </c>
    </row>
    <row r="20" spans="2:14" ht="41.25" customHeight="1" x14ac:dyDescent="0.25">
      <c r="B20" s="523" t="s">
        <v>1271</v>
      </c>
      <c r="C20" s="528" t="s">
        <v>1272</v>
      </c>
      <c r="D20" s="525" t="s">
        <v>1273</v>
      </c>
      <c r="E20" s="526">
        <v>2</v>
      </c>
      <c r="F20" s="514">
        <v>1</v>
      </c>
      <c r="G20" s="527">
        <v>600000</v>
      </c>
      <c r="H20" s="515">
        <v>1200000</v>
      </c>
      <c r="I20" s="527">
        <v>0</v>
      </c>
      <c r="J20" s="516">
        <v>1200000</v>
      </c>
      <c r="K20" s="530">
        <f t="shared" si="0"/>
        <v>654807</v>
      </c>
    </row>
    <row r="21" spans="2:14" ht="79.5" customHeight="1" x14ac:dyDescent="0.25">
      <c r="B21" s="523" t="s">
        <v>1274</v>
      </c>
      <c r="C21" s="528" t="s">
        <v>1275</v>
      </c>
      <c r="D21" s="525" t="s">
        <v>232</v>
      </c>
      <c r="E21" s="526">
        <v>1</v>
      </c>
      <c r="F21" s="514">
        <v>1</v>
      </c>
      <c r="G21" s="527">
        <v>2500000</v>
      </c>
      <c r="H21" s="515">
        <v>2500000</v>
      </c>
      <c r="I21" s="527">
        <v>0</v>
      </c>
      <c r="J21" s="516">
        <v>2500000</v>
      </c>
      <c r="K21" s="530">
        <f t="shared" si="0"/>
        <v>2728362</v>
      </c>
    </row>
    <row r="22" spans="2:14" ht="41.25" customHeight="1" x14ac:dyDescent="0.25">
      <c r="B22" s="523" t="s">
        <v>1276</v>
      </c>
      <c r="C22" s="528" t="s">
        <v>1277</v>
      </c>
      <c r="D22" s="525" t="s">
        <v>232</v>
      </c>
      <c r="E22" s="526">
        <v>2</v>
      </c>
      <c r="F22" s="514">
        <v>1</v>
      </c>
      <c r="G22" s="527">
        <v>2000000</v>
      </c>
      <c r="H22" s="515">
        <v>4000000</v>
      </c>
      <c r="I22" s="527">
        <v>0</v>
      </c>
      <c r="J22" s="516">
        <v>4000000</v>
      </c>
      <c r="K22" s="530">
        <f t="shared" si="0"/>
        <v>2182690</v>
      </c>
    </row>
    <row r="23" spans="2:14" ht="41.25" customHeight="1" x14ac:dyDescent="0.25">
      <c r="B23" s="523" t="s">
        <v>1278</v>
      </c>
      <c r="C23" s="528" t="s">
        <v>1152</v>
      </c>
      <c r="D23" s="525" t="s">
        <v>1279</v>
      </c>
      <c r="E23" s="526">
        <v>2</v>
      </c>
      <c r="F23" s="514">
        <v>1</v>
      </c>
      <c r="G23" s="527">
        <v>2000000</v>
      </c>
      <c r="H23" s="515">
        <v>4000000</v>
      </c>
      <c r="I23" s="527">
        <v>0</v>
      </c>
      <c r="J23" s="516">
        <v>4000000</v>
      </c>
      <c r="K23" s="530">
        <f t="shared" si="0"/>
        <v>2182690</v>
      </c>
    </row>
    <row r="26" spans="2:14" ht="27" x14ac:dyDescent="0.25">
      <c r="B26" s="60" t="s">
        <v>146</v>
      </c>
      <c r="C26" s="34" t="s">
        <v>5</v>
      </c>
      <c r="D26" s="25" t="s">
        <v>6</v>
      </c>
      <c r="E26" s="25" t="s">
        <v>145</v>
      </c>
      <c r="F26" s="25" t="s">
        <v>3</v>
      </c>
      <c r="G26" s="34" t="s">
        <v>7</v>
      </c>
      <c r="H26" s="853" t="s">
        <v>244</v>
      </c>
      <c r="I26" s="853"/>
      <c r="J26" s="853"/>
      <c r="K26" s="853"/>
      <c r="L26" s="853"/>
      <c r="M26" s="853"/>
      <c r="N26" s="853"/>
    </row>
    <row r="27" spans="2:14" ht="32.25" customHeight="1" x14ac:dyDescent="0.25">
      <c r="B27" s="64">
        <v>2</v>
      </c>
      <c r="C27" s="36" t="s">
        <v>1127</v>
      </c>
      <c r="D27" s="36" t="s">
        <v>1317</v>
      </c>
      <c r="E27" s="36" t="s">
        <v>1318</v>
      </c>
      <c r="F27" s="37">
        <v>2024</v>
      </c>
      <c r="G27" s="36" t="s">
        <v>1</v>
      </c>
      <c r="H27" s="847" t="s">
        <v>1319</v>
      </c>
      <c r="I27" s="848"/>
      <c r="J27" s="848"/>
      <c r="K27" s="848"/>
      <c r="L27" s="848"/>
      <c r="M27" s="848"/>
      <c r="N27" s="848"/>
    </row>
    <row r="33" spans="10:14" ht="61.5" customHeight="1" x14ac:dyDescent="0.25">
      <c r="J33" s="968" t="s">
        <v>1321</v>
      </c>
      <c r="K33" s="968"/>
      <c r="L33" s="968"/>
      <c r="M33" s="968"/>
      <c r="N33" s="968"/>
    </row>
    <row r="34" spans="10:14" x14ac:dyDescent="0.25">
      <c r="J34" s="26" t="s">
        <v>1320</v>
      </c>
      <c r="K34" s="26" t="s">
        <v>1322</v>
      </c>
      <c r="L34" s="26" t="s">
        <v>1323</v>
      </c>
    </row>
    <row r="35" spans="10:14" x14ac:dyDescent="0.25">
      <c r="J35" s="536">
        <v>8000000</v>
      </c>
      <c r="K35" s="536">
        <f>ROUND(J35*(1+$Q$7)*(1+$S$7),0)</f>
        <v>8730758</v>
      </c>
      <c r="L35" s="536">
        <f>ROUND(K35/8,0)</f>
        <v>1091345</v>
      </c>
    </row>
  </sheetData>
  <mergeCells count="17">
    <mergeCell ref="H26:N26"/>
    <mergeCell ref="H27:N27"/>
    <mergeCell ref="J33:N33"/>
    <mergeCell ref="B6:B7"/>
    <mergeCell ref="C6:C7"/>
    <mergeCell ref="D6:D7"/>
    <mergeCell ref="E6:E7"/>
    <mergeCell ref="F6:F7"/>
    <mergeCell ref="C8:J8"/>
    <mergeCell ref="N6:O6"/>
    <mergeCell ref="P6:Q6"/>
    <mergeCell ref="R6:S6"/>
    <mergeCell ref="H2:N2"/>
    <mergeCell ref="H3:N3"/>
    <mergeCell ref="G6:G7"/>
    <mergeCell ref="H6:H7"/>
    <mergeCell ref="I6:I7"/>
  </mergeCells>
  <hyperlinks>
    <hyperlink ref="H3" r:id="rId1" xr:uid="{65D319F2-AEF0-41BD-84E6-153A771B636D}"/>
    <hyperlink ref="H27" r:id="rId2" xr:uid="{F723CBF0-9893-4184-8057-F0A31510F7D3}"/>
  </hyperlinks>
  <pageMargins left="0.7" right="0.7" top="0.75" bottom="0.75" header="0.3" footer="0.3"/>
  <drawing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6F439-6212-48D2-87F2-872D3553A699}">
  <sheetPr>
    <tabColor rgb="FFFFC000"/>
  </sheetPr>
  <dimension ref="A1"/>
  <sheetViews>
    <sheetView workbookViewId="0"/>
  </sheetViews>
  <sheetFormatPr baseColWidth="10" defaultRowHeight="15" x14ac:dyDescent="0.25"/>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06F44-1C98-4FF7-A774-5F574002C3FA}">
  <dimension ref="B2:O8"/>
  <sheetViews>
    <sheetView topLeftCell="C1" workbookViewId="0"/>
  </sheetViews>
  <sheetFormatPr baseColWidth="10" defaultColWidth="11.42578125" defaultRowHeight="12.75" x14ac:dyDescent="0.25"/>
  <cols>
    <col min="1" max="1" width="5.42578125" style="167" customWidth="1"/>
    <col min="2" max="2" width="45.28515625" style="167" customWidth="1"/>
    <col min="3" max="3" width="9.5703125" style="192" customWidth="1"/>
    <col min="4" max="4" width="12" style="192" customWidth="1"/>
    <col min="5" max="5" width="1.5703125" style="167" customWidth="1"/>
    <col min="6" max="6" width="16.140625" style="167" customWidth="1"/>
    <col min="7" max="7" width="44" style="167" customWidth="1"/>
    <col min="8" max="8" width="11.42578125" style="167"/>
    <col min="9" max="9" width="11.42578125" style="167" customWidth="1"/>
    <col min="10" max="10" width="14.42578125" style="167" customWidth="1"/>
    <col min="11" max="11" width="31.5703125" style="167" customWidth="1"/>
    <col min="12" max="12" width="11.42578125" style="167"/>
    <col min="13" max="13" width="0" style="167" hidden="1" customWidth="1"/>
    <col min="14" max="14" width="12" style="167" customWidth="1"/>
    <col min="15" max="16384" width="11.42578125" style="167"/>
  </cols>
  <sheetData>
    <row r="2" spans="2:15" ht="15" customHeight="1" x14ac:dyDescent="0.25">
      <c r="B2" s="857" t="s">
        <v>157</v>
      </c>
      <c r="C2" s="858"/>
      <c r="D2" s="858"/>
      <c r="E2" s="858"/>
      <c r="F2" s="858"/>
      <c r="G2" s="858"/>
      <c r="H2" s="858"/>
      <c r="I2" s="858"/>
      <c r="J2" s="858"/>
      <c r="K2" s="858"/>
      <c r="L2" s="858"/>
      <c r="M2" s="858"/>
      <c r="N2" s="858"/>
    </row>
    <row r="4" spans="2:15" ht="15" customHeight="1" x14ac:dyDescent="0.25">
      <c r="B4" s="859" t="s">
        <v>539</v>
      </c>
      <c r="C4" s="859"/>
      <c r="D4" s="859"/>
      <c r="F4" s="860" t="s">
        <v>220</v>
      </c>
      <c r="G4" s="861"/>
      <c r="H4" s="861"/>
      <c r="I4" s="861"/>
      <c r="J4" s="861"/>
      <c r="K4" s="861"/>
      <c r="L4" s="862"/>
      <c r="M4" s="181"/>
      <c r="N4" s="182"/>
      <c r="O4" s="182"/>
    </row>
    <row r="5" spans="2:15" ht="24" customHeight="1" x14ac:dyDescent="0.25">
      <c r="B5" s="859"/>
      <c r="C5" s="859"/>
      <c r="D5" s="859"/>
      <c r="F5" s="863" t="s">
        <v>221</v>
      </c>
      <c r="G5" s="863"/>
      <c r="H5" s="863"/>
      <c r="I5" s="863"/>
      <c r="J5" s="863" t="s">
        <v>222</v>
      </c>
      <c r="K5" s="863"/>
      <c r="L5" s="863"/>
      <c r="M5" s="863"/>
      <c r="N5" s="835" t="s">
        <v>1072</v>
      </c>
      <c r="O5" s="835" t="s">
        <v>443</v>
      </c>
    </row>
    <row r="6" spans="2:15" ht="33" customHeight="1" x14ac:dyDescent="0.25">
      <c r="B6" s="183"/>
      <c r="C6" s="183" t="s">
        <v>922</v>
      </c>
      <c r="D6" s="183" t="s">
        <v>228</v>
      </c>
      <c r="F6" s="183" t="s">
        <v>229</v>
      </c>
      <c r="G6" s="183" t="s">
        <v>230</v>
      </c>
      <c r="H6" s="183" t="s">
        <v>205</v>
      </c>
      <c r="I6" s="183" t="s">
        <v>443</v>
      </c>
      <c r="J6" s="183" t="s">
        <v>229</v>
      </c>
      <c r="K6" s="183" t="s">
        <v>230</v>
      </c>
      <c r="L6" s="183" t="s">
        <v>205</v>
      </c>
      <c r="M6" s="183" t="s">
        <v>443</v>
      </c>
      <c r="N6" s="836"/>
      <c r="O6" s="836"/>
    </row>
    <row r="7" spans="2:15" ht="98.25" customHeight="1" x14ac:dyDescent="0.25">
      <c r="B7" s="400" t="s">
        <v>1033</v>
      </c>
      <c r="C7" s="185" t="s">
        <v>238</v>
      </c>
      <c r="D7" s="401">
        <v>2500000</v>
      </c>
      <c r="F7" s="186" t="str">
        <f>'9.2 Fuentes_Sabedor'!D38</f>
        <v>MADR-CD-610-2023</v>
      </c>
      <c r="G7" s="184" t="str">
        <f>'9.2 Fuentes_Sabedor'!C41</f>
        <v>Armonizacion: Se contara con un espacio dirigido por un sabedor  o sabedora, cuyo objetivo principal sera crear un ambiente propicio para reconectar con las tradiciones culturales del pueblo Negro, Afrocolombiano, Raizal y Palenquero. Esta iniciativa busca fomentar el repeto, la comprension y la apreciacion de la diversidad cultural, fortaleciendo asi la identidad y generando espacios de intercambio y apredizaje mutuo en el marco de la actividad.</v>
      </c>
      <c r="H7" s="187">
        <f>'9.2 Fuentes_Sabedor'!H41</f>
        <v>2385243</v>
      </c>
      <c r="I7" s="188">
        <f>D7/H7-1</f>
        <v>4.8111240657660481E-2</v>
      </c>
      <c r="J7" s="186" t="str">
        <f>'9.2 Fuentes_Sabedor'!D7</f>
        <v>MJD-CD-892-2024</v>
      </c>
      <c r="K7" s="184" t="str">
        <f>'9.2 Fuentes_Sabedor'!B13</f>
        <v>Costo de armonización cultural propia con elementos, prácticas y bebidas ancestrales</v>
      </c>
      <c r="L7" s="189">
        <f>'9.2 Fuentes_Sabedor'!G13</f>
        <v>3274034</v>
      </c>
      <c r="M7" s="188">
        <f>D7/L7-1</f>
        <v>-0.23641599323647833</v>
      </c>
      <c r="N7" s="190">
        <f>ROUND(AVERAGE(H7,L7),0)</f>
        <v>2829639</v>
      </c>
      <c r="O7" s="191">
        <f>D7/N7-1</f>
        <v>-0.11649507233961642</v>
      </c>
    </row>
    <row r="8" spans="2:15" ht="30" customHeight="1" x14ac:dyDescent="0.25">
      <c r="B8" s="945"/>
      <c r="C8" s="945"/>
      <c r="D8" s="171"/>
    </row>
  </sheetData>
  <mergeCells count="8">
    <mergeCell ref="O5:O6"/>
    <mergeCell ref="B8:C8"/>
    <mergeCell ref="B2:N2"/>
    <mergeCell ref="B4:D5"/>
    <mergeCell ref="F4:L4"/>
    <mergeCell ref="F5:I5"/>
    <mergeCell ref="J5:M5"/>
    <mergeCell ref="N5:N6"/>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7B98D-9CF6-4A1E-8216-C67E34334710}">
  <dimension ref="B2:P41"/>
  <sheetViews>
    <sheetView topLeftCell="G7" workbookViewId="0">
      <selection activeCell="K10" sqref="K10:P11"/>
    </sheetView>
  </sheetViews>
  <sheetFormatPr baseColWidth="10" defaultColWidth="11.42578125" defaultRowHeight="13.5" x14ac:dyDescent="0.25"/>
  <cols>
    <col min="1" max="1" width="11.42578125" style="22"/>
    <col min="2" max="2" width="16.140625" style="63" customWidth="1"/>
    <col min="3" max="3" width="26.28515625" style="52" customWidth="1"/>
    <col min="4" max="4" width="18.42578125" style="52" customWidth="1"/>
    <col min="5" max="5" width="22.42578125" style="52" customWidth="1"/>
    <col min="6" max="6" width="20.42578125" style="52" customWidth="1"/>
    <col min="7" max="7" width="19.140625" style="42" customWidth="1"/>
    <col min="8" max="8" width="16.7109375" style="22" bestFit="1" customWidth="1"/>
    <col min="9" max="9" width="22.42578125" style="22" customWidth="1"/>
    <col min="10" max="10" width="15.140625" style="22" customWidth="1"/>
    <col min="11" max="11" width="18" style="22" customWidth="1"/>
    <col min="12" max="12" width="12.7109375" style="22" customWidth="1"/>
    <col min="13" max="13" width="12.42578125" style="22" bestFit="1" customWidth="1"/>
    <col min="14" max="14" width="15.28515625" style="22" customWidth="1"/>
    <col min="15" max="15" width="15.85546875" style="22" customWidth="1"/>
    <col min="16" max="16" width="28.42578125" style="22" customWidth="1"/>
    <col min="17" max="32" width="11.42578125" style="22"/>
    <col min="33" max="33" width="14.42578125" style="22" customWidth="1"/>
    <col min="34" max="40" width="11.42578125" style="22"/>
    <col min="41" max="41" width="21.140625" style="22" customWidth="1"/>
    <col min="42" max="42" width="11.42578125" style="22"/>
    <col min="43" max="43" width="25.7109375" style="22" bestFit="1" customWidth="1"/>
    <col min="44" max="46" width="11.42578125" style="22"/>
    <col min="47" max="47" width="25.42578125" style="22" customWidth="1"/>
    <col min="48" max="52" width="11.42578125" style="22"/>
    <col min="53" max="53" width="20.42578125" style="22" customWidth="1"/>
    <col min="54" max="54" width="20.7109375" style="22" customWidth="1"/>
    <col min="55" max="16384" width="11.42578125" style="22"/>
  </cols>
  <sheetData>
    <row r="2" spans="2:16" x14ac:dyDescent="0.25">
      <c r="B2" s="855" t="s">
        <v>144</v>
      </c>
      <c r="C2" s="855"/>
      <c r="D2" s="855"/>
      <c r="E2" s="855"/>
      <c r="F2" s="855"/>
      <c r="G2" s="855"/>
      <c r="H2" s="855"/>
      <c r="I2" s="855"/>
      <c r="J2" s="855"/>
      <c r="K2" s="855"/>
      <c r="L2" s="855"/>
      <c r="M2" s="855"/>
    </row>
    <row r="3" spans="2:16" ht="18" customHeight="1" x14ac:dyDescent="0.25"/>
    <row r="4" spans="2:16" ht="18" customHeight="1" x14ac:dyDescent="0.25"/>
    <row r="5" spans="2:16" ht="18" customHeight="1" x14ac:dyDescent="0.25"/>
    <row r="6" spans="2:16" ht="18" customHeight="1" x14ac:dyDescent="0.25">
      <c r="B6" s="162" t="s">
        <v>146</v>
      </c>
      <c r="C6" s="162" t="s">
        <v>5</v>
      </c>
      <c r="D6" s="163" t="s">
        <v>6</v>
      </c>
      <c r="E6" s="163" t="s">
        <v>145</v>
      </c>
      <c r="F6" s="163" t="s">
        <v>3</v>
      </c>
      <c r="G6" s="162" t="s">
        <v>7</v>
      </c>
      <c r="H6" s="865" t="s">
        <v>8</v>
      </c>
      <c r="I6" s="865"/>
      <c r="J6" s="865"/>
      <c r="K6" s="865"/>
      <c r="L6" s="865"/>
      <c r="M6" s="865"/>
      <c r="N6" s="865"/>
    </row>
    <row r="7" spans="2:16" ht="26.25" customHeight="1" x14ac:dyDescent="0.25">
      <c r="B7" s="164">
        <v>1</v>
      </c>
      <c r="C7" s="165" t="s">
        <v>553</v>
      </c>
      <c r="D7" s="165" t="s">
        <v>554</v>
      </c>
      <c r="E7" s="165" t="s">
        <v>452</v>
      </c>
      <c r="F7" s="166">
        <v>2024</v>
      </c>
      <c r="G7" s="166"/>
      <c r="H7" s="847" t="s">
        <v>552</v>
      </c>
      <c r="I7" s="866"/>
      <c r="J7" s="866"/>
      <c r="K7" s="866"/>
      <c r="L7" s="866"/>
      <c r="M7" s="866"/>
      <c r="N7" s="866"/>
    </row>
    <row r="8" spans="2:16" ht="18" customHeight="1" x14ac:dyDescent="0.25"/>
    <row r="9" spans="2:16" ht="18" customHeight="1" x14ac:dyDescent="0.25"/>
    <row r="10" spans="2:16" ht="18" customHeight="1" x14ac:dyDescent="0.25">
      <c r="B10" s="944" t="s">
        <v>708</v>
      </c>
      <c r="C10" s="944"/>
      <c r="D10" s="944"/>
      <c r="E10" s="944"/>
      <c r="F10" s="944"/>
      <c r="K10" s="867" t="s">
        <v>150</v>
      </c>
      <c r="L10" s="868"/>
      <c r="M10" s="867" t="s">
        <v>150</v>
      </c>
      <c r="N10" s="868"/>
      <c r="O10" s="867" t="s">
        <v>150</v>
      </c>
      <c r="P10" s="868"/>
    </row>
    <row r="11" spans="2:16" ht="18" customHeight="1" thickBot="1" x14ac:dyDescent="0.3">
      <c r="B11" s="209" t="s">
        <v>711</v>
      </c>
      <c r="C11" s="209" t="s">
        <v>456</v>
      </c>
      <c r="D11" s="209" t="s">
        <v>557</v>
      </c>
      <c r="E11" s="209" t="s">
        <v>249</v>
      </c>
      <c r="F11" s="209" t="s">
        <v>558</v>
      </c>
      <c r="G11" s="252" t="s">
        <v>559</v>
      </c>
      <c r="K11" s="175" t="s">
        <v>154</v>
      </c>
      <c r="L11" s="176">
        <v>9.2799999999999994E-2</v>
      </c>
      <c r="M11" s="175" t="s">
        <v>151</v>
      </c>
      <c r="N11" s="176">
        <v>5.1999999999999998E-2</v>
      </c>
      <c r="O11" s="175" t="s">
        <v>1074</v>
      </c>
      <c r="P11" s="176">
        <v>3.7400000000000003E-2</v>
      </c>
    </row>
    <row r="12" spans="2:16" ht="23.25" customHeight="1" thickBot="1" x14ac:dyDescent="0.3">
      <c r="B12" s="269" t="s">
        <v>728</v>
      </c>
      <c r="C12" s="402">
        <v>3000000</v>
      </c>
      <c r="D12" s="271">
        <v>1</v>
      </c>
      <c r="E12" s="271">
        <v>3</v>
      </c>
      <c r="F12" s="406">
        <v>9000000</v>
      </c>
    </row>
    <row r="13" spans="2:16" ht="18" customHeight="1" x14ac:dyDescent="0.25">
      <c r="B13" s="277" t="s">
        <v>729</v>
      </c>
      <c r="C13" s="403">
        <v>3000000</v>
      </c>
      <c r="D13" s="279"/>
      <c r="E13" s="279"/>
      <c r="F13" s="280"/>
      <c r="G13" s="404">
        <f>ROUND(C13*(1+N11)*(1+P11),0)</f>
        <v>3274034</v>
      </c>
    </row>
    <row r="14" spans="2:16" ht="18" customHeight="1" x14ac:dyDescent="0.25"/>
    <row r="15" spans="2:16" ht="18" customHeight="1" x14ac:dyDescent="0.25"/>
    <row r="16" spans="2:16" x14ac:dyDescent="0.25">
      <c r="B16" s="162" t="s">
        <v>146</v>
      </c>
      <c r="C16" s="162" t="s">
        <v>5</v>
      </c>
      <c r="D16" s="163" t="s">
        <v>6</v>
      </c>
      <c r="E16" s="163" t="s">
        <v>145</v>
      </c>
      <c r="F16" s="163" t="s">
        <v>3</v>
      </c>
      <c r="G16" s="162" t="s">
        <v>7</v>
      </c>
      <c r="H16" s="865" t="s">
        <v>8</v>
      </c>
      <c r="I16" s="865"/>
      <c r="J16" s="865"/>
      <c r="K16" s="865"/>
      <c r="L16" s="865"/>
      <c r="M16" s="865"/>
      <c r="N16" s="865"/>
    </row>
    <row r="17" spans="2:14" ht="38.25" x14ac:dyDescent="0.25">
      <c r="B17" s="164">
        <v>2</v>
      </c>
      <c r="C17" s="165" t="s">
        <v>937</v>
      </c>
      <c r="D17" s="165" t="s">
        <v>1004</v>
      </c>
      <c r="E17" s="165" t="s">
        <v>452</v>
      </c>
      <c r="F17" s="166">
        <v>2023</v>
      </c>
      <c r="G17" s="166"/>
      <c r="H17" s="847" t="s">
        <v>936</v>
      </c>
      <c r="I17" s="866"/>
      <c r="J17" s="866"/>
      <c r="K17" s="866"/>
      <c r="L17" s="866"/>
      <c r="M17" s="866"/>
      <c r="N17" s="866"/>
    </row>
    <row r="19" spans="2:14" ht="14.25" thickBot="1" x14ac:dyDescent="0.3"/>
    <row r="20" spans="2:14" ht="14.25" thickBot="1" x14ac:dyDescent="0.3">
      <c r="B20" s="342" t="s">
        <v>940</v>
      </c>
      <c r="C20" s="343" t="s">
        <v>941</v>
      </c>
      <c r="D20" s="376" t="s">
        <v>942</v>
      </c>
      <c r="E20" s="377" t="s">
        <v>943</v>
      </c>
      <c r="F20" s="407" t="s">
        <v>559</v>
      </c>
      <c r="I20" s="867" t="s">
        <v>150</v>
      </c>
      <c r="J20" s="868"/>
      <c r="K20" s="867" t="s">
        <v>150</v>
      </c>
      <c r="L20" s="868"/>
      <c r="M20" s="867" t="s">
        <v>150</v>
      </c>
      <c r="N20" s="868"/>
    </row>
    <row r="21" spans="2:14" ht="25.5" x14ac:dyDescent="0.25">
      <c r="B21" s="946" t="s">
        <v>944</v>
      </c>
      <c r="C21" s="346" t="s">
        <v>945</v>
      </c>
      <c r="D21" s="359">
        <v>88200000</v>
      </c>
      <c r="E21" s="949">
        <v>500000000</v>
      </c>
      <c r="I21" s="175" t="s">
        <v>154</v>
      </c>
      <c r="J21" s="176">
        <v>9.2799999999999994E-2</v>
      </c>
      <c r="K21" s="175" t="s">
        <v>151</v>
      </c>
      <c r="L21" s="176">
        <v>5.1999999999999998E-2</v>
      </c>
      <c r="M21" s="175" t="s">
        <v>1074</v>
      </c>
      <c r="N21" s="176">
        <v>3.7400000000000003E-2</v>
      </c>
    </row>
    <row r="22" spans="2:14" ht="25.5" x14ac:dyDescent="0.25">
      <c r="B22" s="947"/>
      <c r="C22" s="361" t="s">
        <v>946</v>
      </c>
      <c r="D22" s="363">
        <v>88000000</v>
      </c>
      <c r="E22" s="950"/>
    </row>
    <row r="23" spans="2:14" ht="38.25" x14ac:dyDescent="0.25">
      <c r="B23" s="947"/>
      <c r="C23" s="361" t="s">
        <v>947</v>
      </c>
      <c r="D23" s="363">
        <v>68000000</v>
      </c>
      <c r="E23" s="950"/>
    </row>
    <row r="24" spans="2:14" x14ac:dyDescent="0.25">
      <c r="B24" s="947"/>
      <c r="C24" s="361" t="s">
        <v>948</v>
      </c>
      <c r="D24" s="382">
        <v>37490000</v>
      </c>
      <c r="E24" s="950"/>
    </row>
    <row r="25" spans="2:14" x14ac:dyDescent="0.25">
      <c r="B25" s="947"/>
      <c r="C25" s="361" t="s">
        <v>543</v>
      </c>
      <c r="D25" s="382">
        <v>3000000</v>
      </c>
      <c r="E25" s="950"/>
    </row>
    <row r="26" spans="2:14" ht="25.5" x14ac:dyDescent="0.25">
      <c r="B26" s="947"/>
      <c r="C26" s="361" t="s">
        <v>949</v>
      </c>
      <c r="D26" s="382">
        <v>98000000</v>
      </c>
      <c r="E26" s="950"/>
    </row>
    <row r="27" spans="2:14" x14ac:dyDescent="0.25">
      <c r="B27" s="947"/>
      <c r="C27" s="361" t="s">
        <v>950</v>
      </c>
      <c r="D27" s="382">
        <v>66310000</v>
      </c>
      <c r="E27" s="950"/>
    </row>
    <row r="28" spans="2:14" x14ac:dyDescent="0.25">
      <c r="B28" s="947"/>
      <c r="C28" s="361" t="s">
        <v>951</v>
      </c>
      <c r="D28" s="382">
        <v>15000000</v>
      </c>
      <c r="E28" s="950"/>
    </row>
    <row r="29" spans="2:14" x14ac:dyDescent="0.25">
      <c r="B29" s="947"/>
      <c r="C29" s="361" t="s">
        <v>952</v>
      </c>
      <c r="D29" s="382">
        <v>5000000</v>
      </c>
      <c r="E29" s="950"/>
    </row>
    <row r="30" spans="2:14" x14ac:dyDescent="0.25">
      <c r="B30" s="947"/>
      <c r="C30" s="361" t="s">
        <v>953</v>
      </c>
      <c r="D30" s="382">
        <v>8000000</v>
      </c>
      <c r="E30" s="950"/>
    </row>
    <row r="31" spans="2:14" x14ac:dyDescent="0.25">
      <c r="B31" s="947"/>
      <c r="C31" s="361" t="s">
        <v>954</v>
      </c>
      <c r="D31" s="382">
        <v>7000000</v>
      </c>
      <c r="E31" s="950"/>
    </row>
    <row r="32" spans="2:14" x14ac:dyDescent="0.25">
      <c r="B32" s="947"/>
      <c r="C32" s="361" t="s">
        <v>955</v>
      </c>
      <c r="D32" s="382">
        <v>6000000</v>
      </c>
      <c r="E32" s="950"/>
    </row>
    <row r="33" spans="2:14" x14ac:dyDescent="0.25">
      <c r="B33" s="947"/>
      <c r="C33" s="361" t="s">
        <v>956</v>
      </c>
      <c r="D33" s="382">
        <v>4000000</v>
      </c>
      <c r="E33" s="950"/>
      <c r="F33" s="408">
        <f>ROUND(D33*(1+J21)*(1+L21)*(1+N21),0)</f>
        <v>4770486</v>
      </c>
    </row>
    <row r="34" spans="2:14" ht="14.25" thickBot="1" x14ac:dyDescent="0.3">
      <c r="B34" s="948"/>
      <c r="C34" s="384" t="s">
        <v>957</v>
      </c>
      <c r="D34" s="385">
        <v>6000000</v>
      </c>
      <c r="E34" s="951"/>
    </row>
    <row r="37" spans="2:14" x14ac:dyDescent="0.25">
      <c r="B37" s="162" t="s">
        <v>146</v>
      </c>
      <c r="C37" s="162" t="s">
        <v>5</v>
      </c>
      <c r="D37" s="163" t="s">
        <v>6</v>
      </c>
      <c r="E37" s="163" t="s">
        <v>145</v>
      </c>
      <c r="F37" s="163" t="s">
        <v>3</v>
      </c>
      <c r="G37" s="162" t="s">
        <v>7</v>
      </c>
      <c r="H37" s="865" t="s">
        <v>8</v>
      </c>
      <c r="I37" s="865"/>
      <c r="J37" s="865"/>
      <c r="K37" s="865"/>
      <c r="L37" s="865"/>
      <c r="M37" s="865"/>
      <c r="N37" s="865"/>
    </row>
    <row r="38" spans="2:14" ht="38.25" x14ac:dyDescent="0.25">
      <c r="B38" s="164">
        <v>3</v>
      </c>
      <c r="C38" s="165" t="s">
        <v>937</v>
      </c>
      <c r="D38" s="165" t="s">
        <v>1004</v>
      </c>
      <c r="E38" s="165" t="s">
        <v>452</v>
      </c>
      <c r="F38" s="166">
        <v>2023</v>
      </c>
      <c r="G38" s="166"/>
      <c r="H38" s="847" t="s">
        <v>936</v>
      </c>
      <c r="I38" s="866"/>
      <c r="J38" s="866"/>
      <c r="K38" s="866"/>
      <c r="L38" s="866"/>
      <c r="M38" s="866"/>
      <c r="N38" s="866"/>
    </row>
    <row r="39" spans="2:14" ht="14.25" thickBot="1" x14ac:dyDescent="0.3"/>
    <row r="40" spans="2:14" ht="14.25" thickBot="1" x14ac:dyDescent="0.3">
      <c r="B40" s="342" t="s">
        <v>847</v>
      </c>
      <c r="C40" s="343" t="s">
        <v>17</v>
      </c>
      <c r="D40" s="343" t="s">
        <v>249</v>
      </c>
      <c r="E40" s="344" t="s">
        <v>464</v>
      </c>
      <c r="F40" s="342" t="s">
        <v>205</v>
      </c>
      <c r="G40" s="354" t="s">
        <v>856</v>
      </c>
      <c r="H40" s="407" t="s">
        <v>559</v>
      </c>
    </row>
    <row r="41" spans="2:14" ht="178.5" x14ac:dyDescent="0.25">
      <c r="B41" s="360" t="s">
        <v>852</v>
      </c>
      <c r="C41" s="361" t="s">
        <v>869</v>
      </c>
      <c r="D41" s="362">
        <v>1</v>
      </c>
      <c r="E41" s="362">
        <v>2</v>
      </c>
      <c r="F41" s="363">
        <v>2000000</v>
      </c>
      <c r="G41" s="365">
        <v>4000000</v>
      </c>
      <c r="H41" s="413">
        <f>ROUND(F41*(1+J21)*(1+L21)*(1+N21),0)</f>
        <v>2385243</v>
      </c>
    </row>
  </sheetData>
  <mergeCells count="16">
    <mergeCell ref="B21:B34"/>
    <mergeCell ref="E21:E34"/>
    <mergeCell ref="H37:N37"/>
    <mergeCell ref="H38:N38"/>
    <mergeCell ref="O10:P10"/>
    <mergeCell ref="H16:N16"/>
    <mergeCell ref="H17:N17"/>
    <mergeCell ref="I20:J20"/>
    <mergeCell ref="K20:L20"/>
    <mergeCell ref="M20:N20"/>
    <mergeCell ref="B2:M2"/>
    <mergeCell ref="H6:N6"/>
    <mergeCell ref="H7:N7"/>
    <mergeCell ref="B10:F10"/>
    <mergeCell ref="K10:L10"/>
    <mergeCell ref="M10:N10"/>
  </mergeCells>
  <hyperlinks>
    <hyperlink ref="H7" r:id="rId1" xr:uid="{AFC8320D-A449-4940-A451-178665835448}"/>
    <hyperlink ref="H17" r:id="rId2" xr:uid="{5A57D840-14E0-4830-9459-4530E9582F57}"/>
    <hyperlink ref="H38" r:id="rId3" xr:uid="{474F7319-6988-4276-B84F-08897AFCAEAE}"/>
  </hyperlinks>
  <pageMargins left="0.7" right="0.7" top="0.75" bottom="0.75" header="0.3" footer="0.3"/>
  <pageSetup orientation="portrait" horizontalDpi="1200" verticalDpi="1200"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C1964F-2175-4B07-8CB9-77D8EFE3112B}">
  <sheetPr>
    <tabColor rgb="FFFFC000"/>
  </sheetPr>
  <dimension ref="A1"/>
  <sheetViews>
    <sheetView workbookViewId="0"/>
  </sheetViews>
  <sheetFormatPr baseColWidth="10" defaultRowHeight="15" x14ac:dyDescent="0.25"/>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B67B8-4561-4353-84FA-D1441F91EAFA}">
  <dimension ref="A2:P43"/>
  <sheetViews>
    <sheetView topLeftCell="E42" workbookViewId="0">
      <selection activeCell="I54" sqref="I54"/>
    </sheetView>
  </sheetViews>
  <sheetFormatPr baseColWidth="10" defaultColWidth="11.42578125" defaultRowHeight="12.75" x14ac:dyDescent="0.25"/>
  <cols>
    <col min="1" max="1" width="7.7109375" style="169" customWidth="1"/>
    <col min="2" max="2" width="54.42578125" style="420" bestFit="1" customWidth="1"/>
    <col min="3" max="3" width="13" style="169" customWidth="1"/>
    <col min="4" max="4" width="13.28515625" style="169" customWidth="1"/>
    <col min="5" max="5" width="19.42578125" style="169" customWidth="1"/>
    <col min="6" max="6" width="2.28515625" style="169" customWidth="1"/>
    <col min="7" max="7" width="16.140625" style="169" customWidth="1"/>
    <col min="8" max="8" width="44" style="169" customWidth="1"/>
    <col min="9" max="9" width="13.85546875" style="169" customWidth="1"/>
    <col min="10" max="10" width="0" style="169" hidden="1" customWidth="1"/>
    <col min="11" max="11" width="14.42578125" style="169" customWidth="1"/>
    <col min="12" max="12" width="31.5703125" style="169" customWidth="1"/>
    <col min="13" max="13" width="11.42578125" style="169"/>
    <col min="14" max="14" width="0" style="169" hidden="1" customWidth="1"/>
    <col min="15" max="15" width="13.7109375" style="169" customWidth="1"/>
    <col min="16" max="16384" width="11.42578125" style="169"/>
  </cols>
  <sheetData>
    <row r="2" spans="1:16" ht="15" customHeight="1" x14ac:dyDescent="0.25">
      <c r="B2" s="857" t="s">
        <v>157</v>
      </c>
      <c r="C2" s="858"/>
      <c r="D2" s="858"/>
      <c r="E2" s="858"/>
      <c r="F2" s="858"/>
      <c r="G2" s="858"/>
      <c r="H2" s="858"/>
      <c r="I2" s="858"/>
      <c r="J2" s="858"/>
      <c r="K2" s="858"/>
      <c r="L2" s="858"/>
      <c r="M2" s="858"/>
      <c r="N2" s="858"/>
      <c r="O2" s="858"/>
    </row>
    <row r="4" spans="1:16" ht="15" hidden="1" customHeight="1" x14ac:dyDescent="0.25">
      <c r="B4" s="859" t="s">
        <v>539</v>
      </c>
      <c r="C4" s="859"/>
      <c r="D4" s="859"/>
      <c r="E4" s="423"/>
      <c r="G4" s="860" t="s">
        <v>220</v>
      </c>
      <c r="H4" s="861"/>
      <c r="I4" s="861"/>
      <c r="J4" s="861"/>
      <c r="K4" s="861"/>
      <c r="L4" s="861"/>
      <c r="M4" s="862"/>
      <c r="N4" s="181"/>
    </row>
    <row r="5" spans="1:16" ht="24" hidden="1" customHeight="1" x14ac:dyDescent="0.25">
      <c r="B5" s="859"/>
      <c r="C5" s="859"/>
      <c r="D5" s="859"/>
      <c r="E5" s="193">
        <v>4</v>
      </c>
      <c r="G5" s="863" t="s">
        <v>221</v>
      </c>
      <c r="H5" s="863"/>
      <c r="I5" s="863"/>
      <c r="J5" s="863"/>
      <c r="K5" s="863" t="s">
        <v>222</v>
      </c>
      <c r="L5" s="863"/>
      <c r="M5" s="863"/>
      <c r="N5" s="863"/>
      <c r="O5" s="835" t="s">
        <v>332</v>
      </c>
      <c r="P5" s="835" t="s">
        <v>223</v>
      </c>
    </row>
    <row r="6" spans="1:16" ht="33" hidden="1" customHeight="1" x14ac:dyDescent="0.25">
      <c r="B6" s="419"/>
      <c r="C6" s="183" t="s">
        <v>922</v>
      </c>
      <c r="D6" s="183" t="s">
        <v>228</v>
      </c>
      <c r="E6" s="183" t="s">
        <v>252</v>
      </c>
      <c r="G6" s="183" t="s">
        <v>229</v>
      </c>
      <c r="H6" s="183" t="s">
        <v>230</v>
      </c>
      <c r="I6" s="183" t="s">
        <v>205</v>
      </c>
      <c r="J6" s="183" t="s">
        <v>443</v>
      </c>
      <c r="K6" s="183" t="s">
        <v>229</v>
      </c>
      <c r="L6" s="183" t="s">
        <v>230</v>
      </c>
      <c r="M6" s="183" t="s">
        <v>205</v>
      </c>
      <c r="N6" s="183" t="s">
        <v>443</v>
      </c>
      <c r="O6" s="836"/>
      <c r="P6" s="836"/>
    </row>
    <row r="7" spans="1:16" ht="43.5" hidden="1" customHeight="1" x14ac:dyDescent="0.25">
      <c r="A7" s="169" t="s">
        <v>1045</v>
      </c>
      <c r="B7" s="421" t="s">
        <v>375</v>
      </c>
      <c r="C7" s="185" t="s">
        <v>4</v>
      </c>
      <c r="D7" s="401">
        <v>4500000</v>
      </c>
      <c r="E7" s="401">
        <f>ROUND(D7*$E$5,0)</f>
        <v>18000000</v>
      </c>
      <c r="G7" s="186"/>
      <c r="H7" s="186"/>
      <c r="I7" s="415"/>
      <c r="J7" s="416" t="e">
        <f>D7/I7-1</f>
        <v>#DIV/0!</v>
      </c>
      <c r="K7" s="186"/>
      <c r="L7" s="186"/>
      <c r="M7" s="417"/>
      <c r="N7" s="416" t="e">
        <f>D7/M7-1</f>
        <v>#DIV/0!</v>
      </c>
      <c r="O7" s="401" t="e">
        <f>ROUND(AVERAGE(I7,M7),0)</f>
        <v>#DIV/0!</v>
      </c>
      <c r="P7" s="418" t="e">
        <f>D7/O7-1</f>
        <v>#DIV/0!</v>
      </c>
    </row>
    <row r="8" spans="1:16" ht="43.5" hidden="1" customHeight="1" x14ac:dyDescent="0.25">
      <c r="A8" s="169" t="s">
        <v>1045</v>
      </c>
      <c r="B8" s="421" t="s">
        <v>376</v>
      </c>
      <c r="C8" s="175" t="s">
        <v>4</v>
      </c>
      <c r="D8" s="424">
        <v>1600000</v>
      </c>
      <c r="E8" s="401">
        <f t="shared" ref="E8:E18" si="0">ROUND(D8*$E$5,0)</f>
        <v>6400000</v>
      </c>
      <c r="G8" s="186"/>
      <c r="H8" s="186"/>
      <c r="I8" s="415"/>
      <c r="J8" s="416" t="e">
        <f t="shared" ref="J8:J15" si="1">D8/I8-1</f>
        <v>#DIV/0!</v>
      </c>
      <c r="K8" s="186"/>
      <c r="L8" s="186"/>
      <c r="M8" s="417"/>
      <c r="N8" s="416" t="e">
        <f t="shared" ref="N8:N15" si="2">D8/M8-1</f>
        <v>#DIV/0!</v>
      </c>
      <c r="O8" s="401" t="e">
        <f t="shared" ref="O8:O15" si="3">ROUND(AVERAGE(I8,M8),0)</f>
        <v>#DIV/0!</v>
      </c>
      <c r="P8" s="418" t="e">
        <f t="shared" ref="P8:P15" si="4">D8/O8-1</f>
        <v>#DIV/0!</v>
      </c>
    </row>
    <row r="9" spans="1:16" ht="43.5" hidden="1" customHeight="1" x14ac:dyDescent="0.25">
      <c r="A9" s="169" t="s">
        <v>1045</v>
      </c>
      <c r="B9" s="421" t="s">
        <v>377</v>
      </c>
      <c r="C9" s="175" t="s">
        <v>4</v>
      </c>
      <c r="D9" s="401">
        <v>1600000</v>
      </c>
      <c r="E9" s="401">
        <f t="shared" si="0"/>
        <v>6400000</v>
      </c>
      <c r="G9" s="186"/>
      <c r="H9" s="186"/>
      <c r="I9" s="415"/>
      <c r="J9" s="416" t="e">
        <f t="shared" si="1"/>
        <v>#DIV/0!</v>
      </c>
      <c r="K9" s="186"/>
      <c r="L9" s="186"/>
      <c r="M9" s="417"/>
      <c r="N9" s="416" t="e">
        <f t="shared" si="2"/>
        <v>#DIV/0!</v>
      </c>
      <c r="O9" s="401" t="e">
        <f t="shared" si="3"/>
        <v>#DIV/0!</v>
      </c>
      <c r="P9" s="418" t="e">
        <f t="shared" si="4"/>
        <v>#DIV/0!</v>
      </c>
    </row>
    <row r="10" spans="1:16" ht="43.5" hidden="1" customHeight="1" x14ac:dyDescent="0.25">
      <c r="A10" s="169" t="s">
        <v>1045</v>
      </c>
      <c r="B10" s="421" t="s">
        <v>378</v>
      </c>
      <c r="C10" s="175" t="s">
        <v>4</v>
      </c>
      <c r="D10" s="401">
        <v>800000</v>
      </c>
      <c r="E10" s="401">
        <f t="shared" si="0"/>
        <v>3200000</v>
      </c>
      <c r="G10" s="186"/>
      <c r="H10" s="186"/>
      <c r="I10" s="415"/>
      <c r="J10" s="416" t="e">
        <f t="shared" si="1"/>
        <v>#DIV/0!</v>
      </c>
      <c r="K10" s="186"/>
      <c r="L10" s="186"/>
      <c r="M10" s="417"/>
      <c r="N10" s="416" t="e">
        <f t="shared" si="2"/>
        <v>#DIV/0!</v>
      </c>
      <c r="O10" s="401" t="e">
        <f t="shared" si="3"/>
        <v>#DIV/0!</v>
      </c>
      <c r="P10" s="418" t="e">
        <f t="shared" si="4"/>
        <v>#DIV/0!</v>
      </c>
    </row>
    <row r="11" spans="1:16" ht="43.5" hidden="1" customHeight="1" x14ac:dyDescent="0.25">
      <c r="A11" s="169" t="s">
        <v>1046</v>
      </c>
      <c r="B11" s="421" t="s">
        <v>379</v>
      </c>
      <c r="C11" s="175" t="s">
        <v>4</v>
      </c>
      <c r="D11" s="401">
        <v>2966500</v>
      </c>
      <c r="E11" s="401">
        <f t="shared" si="0"/>
        <v>11866000</v>
      </c>
      <c r="G11" s="186"/>
      <c r="H11" s="186"/>
      <c r="I11" s="415"/>
      <c r="J11" s="416" t="e">
        <f t="shared" si="1"/>
        <v>#DIV/0!</v>
      </c>
      <c r="K11" s="186"/>
      <c r="L11" s="186"/>
      <c r="M11" s="417"/>
      <c r="N11" s="416" t="e">
        <f t="shared" si="2"/>
        <v>#DIV/0!</v>
      </c>
      <c r="O11" s="401" t="e">
        <f t="shared" si="3"/>
        <v>#DIV/0!</v>
      </c>
      <c r="P11" s="418" t="e">
        <f t="shared" si="4"/>
        <v>#DIV/0!</v>
      </c>
    </row>
    <row r="12" spans="1:16" ht="55.5" hidden="1" customHeight="1" x14ac:dyDescent="0.25">
      <c r="A12" s="169" t="s">
        <v>1046</v>
      </c>
      <c r="B12" s="421" t="s">
        <v>1044</v>
      </c>
      <c r="C12" s="175" t="s">
        <v>4</v>
      </c>
      <c r="D12" s="401">
        <v>5000000</v>
      </c>
      <c r="E12" s="401">
        <f t="shared" si="0"/>
        <v>20000000</v>
      </c>
      <c r="G12" s="186"/>
      <c r="H12" s="186"/>
      <c r="I12" s="415"/>
      <c r="J12" s="416" t="e">
        <f t="shared" si="1"/>
        <v>#DIV/0!</v>
      </c>
      <c r="K12" s="186"/>
      <c r="L12" s="186"/>
      <c r="M12" s="417"/>
      <c r="N12" s="416" t="e">
        <f t="shared" si="2"/>
        <v>#DIV/0!</v>
      </c>
      <c r="O12" s="401" t="e">
        <f t="shared" si="3"/>
        <v>#DIV/0!</v>
      </c>
      <c r="P12" s="418" t="e">
        <f t="shared" si="4"/>
        <v>#DIV/0!</v>
      </c>
    </row>
    <row r="13" spans="1:16" ht="43.5" hidden="1" customHeight="1" x14ac:dyDescent="0.25">
      <c r="A13" s="169" t="s">
        <v>1046</v>
      </c>
      <c r="B13" s="421" t="s">
        <v>380</v>
      </c>
      <c r="C13" s="175" t="s">
        <v>4</v>
      </c>
      <c r="D13" s="401">
        <v>2000000</v>
      </c>
      <c r="E13" s="401">
        <f t="shared" si="0"/>
        <v>8000000</v>
      </c>
      <c r="G13" s="186"/>
      <c r="H13" s="186"/>
      <c r="I13" s="415"/>
      <c r="J13" s="416" t="e">
        <f t="shared" si="1"/>
        <v>#DIV/0!</v>
      </c>
      <c r="K13" s="186"/>
      <c r="L13" s="186"/>
      <c r="M13" s="417"/>
      <c r="N13" s="416" t="e">
        <f t="shared" si="2"/>
        <v>#DIV/0!</v>
      </c>
      <c r="O13" s="401" t="e">
        <f t="shared" si="3"/>
        <v>#DIV/0!</v>
      </c>
      <c r="P13" s="418" t="e">
        <f t="shared" si="4"/>
        <v>#DIV/0!</v>
      </c>
    </row>
    <row r="14" spans="1:16" ht="43.5" hidden="1" customHeight="1" x14ac:dyDescent="0.25">
      <c r="A14" s="169" t="s">
        <v>1046</v>
      </c>
      <c r="B14" s="421" t="s">
        <v>381</v>
      </c>
      <c r="C14" s="175" t="s">
        <v>4</v>
      </c>
      <c r="D14" s="401">
        <v>1600000</v>
      </c>
      <c r="E14" s="401">
        <f t="shared" si="0"/>
        <v>6400000</v>
      </c>
      <c r="G14" s="186"/>
      <c r="H14" s="186"/>
      <c r="I14" s="415"/>
      <c r="J14" s="416" t="e">
        <f t="shared" si="1"/>
        <v>#DIV/0!</v>
      </c>
      <c r="K14" s="186"/>
      <c r="L14" s="186"/>
      <c r="M14" s="417"/>
      <c r="N14" s="416" t="e">
        <f t="shared" si="2"/>
        <v>#DIV/0!</v>
      </c>
      <c r="O14" s="401" t="e">
        <f t="shared" si="3"/>
        <v>#DIV/0!</v>
      </c>
      <c r="P14" s="418" t="e">
        <f t="shared" si="4"/>
        <v>#DIV/0!</v>
      </c>
    </row>
    <row r="15" spans="1:16" ht="43.5" hidden="1" customHeight="1" x14ac:dyDescent="0.25">
      <c r="A15" s="169" t="s">
        <v>1046</v>
      </c>
      <c r="B15" s="421" t="s">
        <v>382</v>
      </c>
      <c r="C15" s="422" t="s">
        <v>4</v>
      </c>
      <c r="D15" s="401">
        <v>1000000</v>
      </c>
      <c r="E15" s="401">
        <f t="shared" si="0"/>
        <v>4000000</v>
      </c>
      <c r="G15" s="186"/>
      <c r="H15" s="186"/>
      <c r="I15" s="415"/>
      <c r="J15" s="416" t="e">
        <f t="shared" si="1"/>
        <v>#DIV/0!</v>
      </c>
      <c r="K15" s="186"/>
      <c r="L15" s="186"/>
      <c r="M15" s="417"/>
      <c r="N15" s="416" t="e">
        <f t="shared" si="2"/>
        <v>#DIV/0!</v>
      </c>
      <c r="O15" s="401" t="e">
        <f t="shared" si="3"/>
        <v>#DIV/0!</v>
      </c>
      <c r="P15" s="418" t="e">
        <f t="shared" si="4"/>
        <v>#DIV/0!</v>
      </c>
    </row>
    <row r="16" spans="1:16" ht="43.5" hidden="1" customHeight="1" x14ac:dyDescent="0.25">
      <c r="A16" s="169" t="s">
        <v>1046</v>
      </c>
      <c r="B16" s="421" t="s">
        <v>383</v>
      </c>
      <c r="C16" s="422" t="s">
        <v>4</v>
      </c>
      <c r="D16" s="401">
        <v>1600000</v>
      </c>
      <c r="E16" s="401">
        <f t="shared" si="0"/>
        <v>6400000</v>
      </c>
      <c r="G16" s="186"/>
      <c r="H16" s="186"/>
      <c r="I16" s="415"/>
      <c r="J16" s="416" t="e">
        <f>D16/I16-1</f>
        <v>#DIV/0!</v>
      </c>
      <c r="K16" s="186"/>
      <c r="L16" s="186"/>
      <c r="M16" s="417"/>
      <c r="N16" s="416" t="e">
        <f>D16/M16-1</f>
        <v>#DIV/0!</v>
      </c>
      <c r="O16" s="401" t="e">
        <f>ROUND(AVERAGE(I16,M16),0)</f>
        <v>#DIV/0!</v>
      </c>
      <c r="P16" s="418" t="e">
        <f>D16/O16-1</f>
        <v>#DIV/0!</v>
      </c>
    </row>
    <row r="17" spans="1:16" ht="43.5" hidden="1" customHeight="1" x14ac:dyDescent="0.25">
      <c r="A17" s="169" t="s">
        <v>1046</v>
      </c>
      <c r="B17" s="421" t="s">
        <v>384</v>
      </c>
      <c r="C17" s="422" t="s">
        <v>4</v>
      </c>
      <c r="D17" s="401">
        <v>3000000</v>
      </c>
      <c r="E17" s="401">
        <f t="shared" si="0"/>
        <v>12000000</v>
      </c>
      <c r="G17" s="186"/>
      <c r="H17" s="186"/>
      <c r="I17" s="415"/>
      <c r="J17" s="416" t="e">
        <f t="shared" ref="J17:J18" si="5">D17/I17-1</f>
        <v>#DIV/0!</v>
      </c>
      <c r="K17" s="186"/>
      <c r="L17" s="186"/>
      <c r="M17" s="417"/>
      <c r="N17" s="416" t="e">
        <f t="shared" ref="N17:N18" si="6">D17/M17-1</f>
        <v>#DIV/0!</v>
      </c>
      <c r="O17" s="401" t="e">
        <f t="shared" ref="O17:O18" si="7">ROUND(AVERAGE(I17,M17),0)</f>
        <v>#DIV/0!</v>
      </c>
      <c r="P17" s="418" t="e">
        <f t="shared" ref="P17:P18" si="8">D17/O17-1</f>
        <v>#DIV/0!</v>
      </c>
    </row>
    <row r="18" spans="1:16" ht="34.5" hidden="1" customHeight="1" x14ac:dyDescent="0.25">
      <c r="A18" s="169" t="s">
        <v>1046</v>
      </c>
      <c r="B18" s="421" t="s">
        <v>387</v>
      </c>
      <c r="C18" s="422" t="s">
        <v>4</v>
      </c>
      <c r="D18" s="401">
        <v>11000000</v>
      </c>
      <c r="E18" s="401">
        <f t="shared" si="0"/>
        <v>44000000</v>
      </c>
      <c r="G18" s="186"/>
      <c r="H18" s="186"/>
      <c r="I18" s="415"/>
      <c r="J18" s="416" t="e">
        <f t="shared" si="5"/>
        <v>#DIV/0!</v>
      </c>
      <c r="K18" s="186"/>
      <c r="L18" s="186"/>
      <c r="M18" s="417"/>
      <c r="N18" s="416" t="e">
        <f t="shared" si="6"/>
        <v>#DIV/0!</v>
      </c>
      <c r="O18" s="401" t="e">
        <f t="shared" si="7"/>
        <v>#DIV/0!</v>
      </c>
      <c r="P18" s="418" t="e">
        <f t="shared" si="8"/>
        <v>#DIV/0!</v>
      </c>
    </row>
    <row r="22" spans="1:16" ht="15" customHeight="1" x14ac:dyDescent="0.25">
      <c r="B22" s="837" t="s">
        <v>1120</v>
      </c>
      <c r="C22" s="837"/>
      <c r="D22" s="837"/>
      <c r="E22" s="837"/>
      <c r="G22" s="983" t="s">
        <v>220</v>
      </c>
      <c r="H22" s="984"/>
      <c r="I22" s="984"/>
      <c r="J22" s="984"/>
      <c r="K22" s="984"/>
      <c r="L22" s="984"/>
      <c r="M22" s="984"/>
      <c r="N22" s="984"/>
      <c r="O22" s="984"/>
      <c r="P22" s="985"/>
    </row>
    <row r="23" spans="1:16" ht="12.75" customHeight="1" x14ac:dyDescent="0.25">
      <c r="B23" s="837"/>
      <c r="C23" s="837"/>
      <c r="D23" s="837"/>
      <c r="E23" s="837"/>
      <c r="G23" s="777" t="s">
        <v>221</v>
      </c>
      <c r="H23" s="777"/>
      <c r="I23" s="777"/>
      <c r="J23" s="437" t="s">
        <v>1080</v>
      </c>
      <c r="K23" s="777" t="s">
        <v>222</v>
      </c>
      <c r="L23" s="777"/>
      <c r="M23" s="777"/>
      <c r="N23" s="437" t="s">
        <v>1081</v>
      </c>
      <c r="O23" s="777" t="s">
        <v>1072</v>
      </c>
      <c r="P23" s="777" t="s">
        <v>443</v>
      </c>
    </row>
    <row r="24" spans="1:16" ht="12.75" customHeight="1" x14ac:dyDescent="0.25">
      <c r="B24" s="837" t="s">
        <v>1121</v>
      </c>
      <c r="C24" s="837"/>
      <c r="D24" s="837"/>
      <c r="E24" s="837"/>
      <c r="G24" s="183" t="s">
        <v>229</v>
      </c>
      <c r="H24" s="183" t="s">
        <v>230</v>
      </c>
      <c r="I24" s="183" t="s">
        <v>1113</v>
      </c>
      <c r="J24" s="183" t="s">
        <v>443</v>
      </c>
      <c r="K24" s="183" t="s">
        <v>229</v>
      </c>
      <c r="L24" s="183" t="s">
        <v>230</v>
      </c>
      <c r="M24" s="183" t="s">
        <v>205</v>
      </c>
      <c r="N24" s="183" t="s">
        <v>443</v>
      </c>
      <c r="O24" s="777"/>
      <c r="P24" s="777"/>
    </row>
    <row r="25" spans="1:16" ht="13.5" x14ac:dyDescent="0.25">
      <c r="B25" s="981" t="s">
        <v>236</v>
      </c>
      <c r="C25" s="981"/>
      <c r="D25" s="981"/>
      <c r="E25" s="104">
        <f>'PPTO Detallado PCA AJUSTADO'!K52</f>
        <v>146666000</v>
      </c>
      <c r="G25" s="986" t="str">
        <f>'10.2 Fuentes_Gastos_Admin'!D18</f>
        <v>CD-399-2024.</v>
      </c>
      <c r="H25" s="986" t="s">
        <v>1114</v>
      </c>
      <c r="I25" s="987">
        <f>'10.2 Fuentes_Gastos_Admin'!P34</f>
        <v>6.7448725000000001E-2</v>
      </c>
      <c r="J25" s="988">
        <f>E27/I25-1</f>
        <v>-0.75930026232532066</v>
      </c>
      <c r="K25" s="986" t="str">
        <f>'10.2 Fuentes_Gastos_Admin'!D5</f>
        <v>MSPS-CD-306-2023.</v>
      </c>
      <c r="L25" s="986" t="s">
        <v>1082</v>
      </c>
      <c r="M25" s="987">
        <f>'10.2 Fuentes_Gastos_Admin'!H13</f>
        <v>1.1866666666666666E-2</v>
      </c>
      <c r="N25" s="988">
        <f>E27/M25-1</f>
        <v>0.36810874275209993</v>
      </c>
      <c r="O25" s="982">
        <f>AVERAGE(I25,M25)</f>
        <v>3.9657695833333333E-2</v>
      </c>
      <c r="P25" s="982">
        <f>E27/O25-1</f>
        <v>-0.59062446587363926</v>
      </c>
    </row>
    <row r="26" spans="1:16" ht="13.5" customHeight="1" x14ac:dyDescent="0.25">
      <c r="B26" s="981" t="s">
        <v>1079</v>
      </c>
      <c r="C26" s="981"/>
      <c r="D26" s="981"/>
      <c r="E26" s="104">
        <f>'PPTO Detallado PCA AJUSTADO'!K742</f>
        <v>9034000000</v>
      </c>
      <c r="G26" s="986"/>
      <c r="H26" s="986"/>
      <c r="I26" s="987"/>
      <c r="J26" s="988"/>
      <c r="K26" s="986"/>
      <c r="L26" s="986"/>
      <c r="M26" s="987"/>
      <c r="N26" s="988"/>
      <c r="O26" s="982"/>
      <c r="P26" s="982"/>
    </row>
    <row r="27" spans="1:16" ht="13.5" x14ac:dyDescent="0.25">
      <c r="B27" s="981" t="s">
        <v>1119</v>
      </c>
      <c r="C27" s="981"/>
      <c r="D27" s="981"/>
      <c r="E27" s="438">
        <f>E25/E26</f>
        <v>1.6234890413991586E-2</v>
      </c>
      <c r="G27" s="986"/>
      <c r="H27" s="986"/>
      <c r="I27" s="987"/>
      <c r="J27" s="988"/>
      <c r="K27" s="986"/>
      <c r="L27" s="986"/>
      <c r="M27" s="987"/>
      <c r="N27" s="988"/>
      <c r="O27" s="982"/>
      <c r="P27" s="982"/>
    </row>
    <row r="33" spans="7:12" ht="13.5" thickBot="1" x14ac:dyDescent="0.3"/>
    <row r="34" spans="7:12" ht="39" thickBot="1" x14ac:dyDescent="0.3">
      <c r="G34" s="738" t="s">
        <v>1122</v>
      </c>
      <c r="H34" s="739" t="s">
        <v>5</v>
      </c>
      <c r="I34" s="740" t="s">
        <v>1123</v>
      </c>
      <c r="J34" s="741" t="s">
        <v>1124</v>
      </c>
      <c r="K34" s="741" t="s">
        <v>1125</v>
      </c>
      <c r="L34" s="739" t="s">
        <v>1126</v>
      </c>
    </row>
    <row r="35" spans="7:12" ht="51.75" thickBot="1" x14ac:dyDescent="0.3">
      <c r="G35" s="742" t="s">
        <v>247</v>
      </c>
      <c r="H35" s="743" t="s">
        <v>1127</v>
      </c>
      <c r="I35" s="744">
        <v>5500000000</v>
      </c>
      <c r="J35" s="745" t="s">
        <v>1558</v>
      </c>
      <c r="K35" s="746">
        <v>7.9100000000000004E-2</v>
      </c>
      <c r="L35" s="743" t="s">
        <v>1559</v>
      </c>
    </row>
    <row r="36" spans="7:12" ht="51.75" thickBot="1" x14ac:dyDescent="0.3">
      <c r="G36" s="742" t="s">
        <v>1129</v>
      </c>
      <c r="H36" s="743" t="s">
        <v>1128</v>
      </c>
      <c r="I36" s="744">
        <v>15100544000</v>
      </c>
      <c r="J36" s="745" t="s">
        <v>342</v>
      </c>
      <c r="K36" s="746">
        <v>1.7999999999999999E-2</v>
      </c>
      <c r="L36" s="747" t="s">
        <v>343</v>
      </c>
    </row>
    <row r="37" spans="7:12" ht="75.75" thickBot="1" x14ac:dyDescent="0.3">
      <c r="G37" s="742" t="s">
        <v>247</v>
      </c>
      <c r="H37" s="743" t="s">
        <v>1128</v>
      </c>
      <c r="I37" s="744">
        <v>2300000000</v>
      </c>
      <c r="J37" s="745" t="s">
        <v>1130</v>
      </c>
      <c r="K37" s="746">
        <v>8.7999999999999995E-2</v>
      </c>
      <c r="L37" s="454" t="s">
        <v>1131</v>
      </c>
    </row>
    <row r="38" spans="7:12" ht="51.75" thickBot="1" x14ac:dyDescent="0.3">
      <c r="G38" s="742" t="s">
        <v>247</v>
      </c>
      <c r="H38" s="743" t="s">
        <v>1597</v>
      </c>
      <c r="I38" s="744">
        <v>2820000000</v>
      </c>
      <c r="J38" s="745" t="s">
        <v>1564</v>
      </c>
      <c r="K38" s="746">
        <v>4.9500000000000002E-2</v>
      </c>
      <c r="L38" s="748" t="s">
        <v>1566</v>
      </c>
    </row>
    <row r="39" spans="7:12" ht="75.75" thickBot="1" x14ac:dyDescent="0.3">
      <c r="G39" s="742" t="s">
        <v>1132</v>
      </c>
      <c r="H39" s="743" t="s">
        <v>1128</v>
      </c>
      <c r="I39" s="744">
        <v>2890000000</v>
      </c>
      <c r="J39" s="745" t="s">
        <v>1133</v>
      </c>
      <c r="K39" s="746">
        <v>9.1700000000000004E-2</v>
      </c>
      <c r="L39" s="454" t="s">
        <v>1598</v>
      </c>
    </row>
    <row r="40" spans="7:12" ht="51.75" thickBot="1" x14ac:dyDescent="0.3">
      <c r="G40" s="742" t="s">
        <v>483</v>
      </c>
      <c r="H40" s="743" t="s">
        <v>470</v>
      </c>
      <c r="I40" s="749">
        <v>2026161044.0699999</v>
      </c>
      <c r="J40" s="745" t="s">
        <v>1546</v>
      </c>
      <c r="K40" s="750">
        <v>0.1</v>
      </c>
      <c r="L40" s="748" t="s">
        <v>1547</v>
      </c>
    </row>
    <row r="41" spans="7:12" ht="51.75" thickBot="1" x14ac:dyDescent="0.3">
      <c r="G41" s="742" t="s">
        <v>1129</v>
      </c>
      <c r="H41" s="743" t="s">
        <v>1599</v>
      </c>
      <c r="I41" s="744">
        <v>2599000000</v>
      </c>
      <c r="J41" s="745" t="s">
        <v>1562</v>
      </c>
      <c r="K41" s="746">
        <v>3.6999999999999998E-2</v>
      </c>
      <c r="L41" s="748" t="s">
        <v>1563</v>
      </c>
    </row>
    <row r="42" spans="7:12" ht="51.75" thickBot="1" x14ac:dyDescent="0.3">
      <c r="G42" s="742" t="s">
        <v>247</v>
      </c>
      <c r="H42" s="743" t="s">
        <v>1127</v>
      </c>
      <c r="I42" s="744">
        <v>3625202830</v>
      </c>
      <c r="J42" s="745" t="s">
        <v>1595</v>
      </c>
      <c r="K42" s="746">
        <v>4.65E-2</v>
      </c>
      <c r="L42" s="748" t="s">
        <v>1596</v>
      </c>
    </row>
    <row r="43" spans="7:12" ht="13.5" thickBot="1" x14ac:dyDescent="0.3">
      <c r="G43" s="978" t="s">
        <v>1135</v>
      </c>
      <c r="H43" s="979"/>
      <c r="I43" s="980"/>
      <c r="J43" s="745"/>
      <c r="K43" s="746">
        <f>AVERAGE(K35:K42)</f>
        <v>6.3725000000000004E-2</v>
      </c>
      <c r="L43" s="743"/>
    </row>
  </sheetData>
  <mergeCells count="28">
    <mergeCell ref="P5:P6"/>
    <mergeCell ref="B2:O2"/>
    <mergeCell ref="B4:D5"/>
    <mergeCell ref="G4:M4"/>
    <mergeCell ref="G5:J5"/>
    <mergeCell ref="K5:N5"/>
    <mergeCell ref="O5:O6"/>
    <mergeCell ref="P25:P27"/>
    <mergeCell ref="G22:P22"/>
    <mergeCell ref="G23:I23"/>
    <mergeCell ref="K23:M23"/>
    <mergeCell ref="O23:O24"/>
    <mergeCell ref="P23:P24"/>
    <mergeCell ref="G25:G27"/>
    <mergeCell ref="H25:H27"/>
    <mergeCell ref="I25:I27"/>
    <mergeCell ref="J25:J27"/>
    <mergeCell ref="K25:K27"/>
    <mergeCell ref="L25:L27"/>
    <mergeCell ref="M25:M27"/>
    <mergeCell ref="N25:N27"/>
    <mergeCell ref="O25:O27"/>
    <mergeCell ref="G43:I43"/>
    <mergeCell ref="B22:E23"/>
    <mergeCell ref="B25:D25"/>
    <mergeCell ref="B26:D26"/>
    <mergeCell ref="B27:D27"/>
    <mergeCell ref="B24:E24"/>
  </mergeCells>
  <hyperlinks>
    <hyperlink ref="L37" r:id="rId1" xr:uid="{14B304ED-7AD4-4439-B11C-CEF224F7F24D}"/>
    <hyperlink ref="L39" r:id="rId2" display="https://community.secop.gov.co/Public/Tendering/OpportunityDetail/Index?noticeUID=CO1.NTC.6840450&amp;isFromPublicArea=True&amp;isModal=true&amp;asPopupView=true" xr:uid="{E9438BB4-F2A7-45C2-ABB4-7F1B9622E65D}"/>
  </hyperlink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A65540-03AA-4982-872A-35B6BBF48494}">
  <dimension ref="B2:P159"/>
  <sheetViews>
    <sheetView tabSelected="1" topLeftCell="B38" workbookViewId="0">
      <selection activeCell="E149" sqref="E149"/>
    </sheetView>
  </sheetViews>
  <sheetFormatPr baseColWidth="10" defaultColWidth="11.42578125" defaultRowHeight="13.5" x14ac:dyDescent="0.25"/>
  <cols>
    <col min="1" max="1" width="3.7109375" style="22" customWidth="1"/>
    <col min="2" max="2" width="24.140625" style="22" customWidth="1"/>
    <col min="3" max="3" width="30.42578125" style="43" customWidth="1"/>
    <col min="4" max="4" width="18.42578125" style="22" customWidth="1"/>
    <col min="5" max="5" width="19.7109375" style="22" customWidth="1"/>
    <col min="6" max="6" width="14.7109375" style="22" customWidth="1"/>
    <col min="7" max="7" width="17.42578125" style="22" customWidth="1"/>
    <col min="8" max="8" width="18.42578125" style="115" customWidth="1"/>
    <col min="9" max="10" width="11.42578125" style="22"/>
    <col min="11" max="11" width="17" style="22" customWidth="1"/>
    <col min="12" max="14" width="11.42578125" style="22"/>
    <col min="15" max="15" width="13.140625" style="22" customWidth="1"/>
    <col min="16" max="16384" width="11.42578125" style="22"/>
  </cols>
  <sheetData>
    <row r="2" spans="2:15" x14ac:dyDescent="0.25">
      <c r="C2" s="22"/>
      <c r="D2" s="43"/>
    </row>
    <row r="3" spans="2:15" x14ac:dyDescent="0.25">
      <c r="C3" s="22"/>
      <c r="D3" s="43"/>
      <c r="J3" s="59"/>
    </row>
    <row r="4" spans="2:15" ht="27" x14ac:dyDescent="0.25">
      <c r="B4" s="34" t="s">
        <v>146</v>
      </c>
      <c r="C4" s="34" t="s">
        <v>5</v>
      </c>
      <c r="D4" s="25" t="s">
        <v>6</v>
      </c>
      <c r="E4" s="25" t="s">
        <v>145</v>
      </c>
      <c r="F4" s="25" t="s">
        <v>3</v>
      </c>
      <c r="G4" s="34" t="s">
        <v>7</v>
      </c>
      <c r="H4" s="853" t="s">
        <v>8</v>
      </c>
      <c r="I4" s="853"/>
      <c r="J4" s="853"/>
      <c r="K4" s="853"/>
      <c r="L4" s="853"/>
      <c r="M4" s="853"/>
      <c r="N4" s="53"/>
      <c r="O4" s="53"/>
    </row>
    <row r="5" spans="2:15" ht="27.75" customHeight="1" x14ac:dyDescent="0.25">
      <c r="B5" s="35">
        <v>2</v>
      </c>
      <c r="C5" s="36" t="s">
        <v>334</v>
      </c>
      <c r="D5" s="37" t="s">
        <v>342</v>
      </c>
      <c r="E5" s="36" t="s">
        <v>200</v>
      </c>
      <c r="F5" s="37">
        <v>2023</v>
      </c>
      <c r="G5" s="37" t="s">
        <v>335</v>
      </c>
      <c r="H5" s="909" t="s">
        <v>343</v>
      </c>
      <c r="I5" s="910"/>
      <c r="J5" s="910"/>
      <c r="K5" s="910"/>
      <c r="L5" s="910"/>
      <c r="M5" s="911"/>
    </row>
    <row r="8" spans="2:15" x14ac:dyDescent="0.25">
      <c r="B8" s="1018" t="s">
        <v>336</v>
      </c>
      <c r="C8" s="1019"/>
      <c r="D8" s="1019"/>
      <c r="E8" s="1019"/>
      <c r="F8" s="1019"/>
      <c r="G8" s="1020"/>
      <c r="H8" s="122">
        <f>SUM(H9:H11)</f>
        <v>178000000</v>
      </c>
    </row>
    <row r="9" spans="2:15" x14ac:dyDescent="0.25">
      <c r="B9" s="1021" t="s">
        <v>336</v>
      </c>
      <c r="C9" s="62" t="s">
        <v>337</v>
      </c>
      <c r="D9" s="120" t="s">
        <v>338</v>
      </c>
      <c r="E9" s="41">
        <v>1</v>
      </c>
      <c r="F9" s="41">
        <v>1</v>
      </c>
      <c r="G9" s="121">
        <v>77000000</v>
      </c>
      <c r="H9" s="123">
        <v>77000000</v>
      </c>
    </row>
    <row r="10" spans="2:15" x14ac:dyDescent="0.25">
      <c r="B10" s="1022"/>
      <c r="C10" s="62" t="s">
        <v>339</v>
      </c>
      <c r="D10" s="120" t="s">
        <v>338</v>
      </c>
      <c r="E10" s="41">
        <v>1</v>
      </c>
      <c r="F10" s="41">
        <v>7</v>
      </c>
      <c r="G10" s="121">
        <v>11428571</v>
      </c>
      <c r="H10" s="123">
        <v>80000000</v>
      </c>
    </row>
    <row r="11" spans="2:15" ht="27" x14ac:dyDescent="0.25">
      <c r="B11" s="1023"/>
      <c r="C11" s="62" t="s">
        <v>340</v>
      </c>
      <c r="D11" s="120" t="s">
        <v>338</v>
      </c>
      <c r="E11" s="41">
        <v>1</v>
      </c>
      <c r="F11" s="41">
        <v>7</v>
      </c>
      <c r="G11" s="121">
        <v>3000000</v>
      </c>
      <c r="H11" s="123">
        <v>21000000</v>
      </c>
    </row>
    <row r="12" spans="2:15" s="26" customFormat="1" x14ac:dyDescent="0.25">
      <c r="C12" s="42"/>
      <c r="G12" s="125" t="s">
        <v>299</v>
      </c>
      <c r="H12" s="123">
        <v>15000000000</v>
      </c>
    </row>
    <row r="13" spans="2:15" s="26" customFormat="1" ht="40.5" x14ac:dyDescent="0.25">
      <c r="C13" s="42"/>
      <c r="G13" s="126" t="s">
        <v>341</v>
      </c>
      <c r="H13" s="124">
        <f>H8/H12</f>
        <v>1.1866666666666666E-2</v>
      </c>
    </row>
    <row r="17" spans="2:16" x14ac:dyDescent="0.25">
      <c r="B17" s="162" t="s">
        <v>146</v>
      </c>
      <c r="C17" s="162" t="s">
        <v>5</v>
      </c>
      <c r="D17" s="163" t="s">
        <v>6</v>
      </c>
      <c r="E17" s="163" t="s">
        <v>145</v>
      </c>
      <c r="F17" s="163" t="s">
        <v>3</v>
      </c>
      <c r="G17" s="162" t="s">
        <v>7</v>
      </c>
      <c r="H17" s="865" t="s">
        <v>8</v>
      </c>
      <c r="I17" s="865"/>
      <c r="J17" s="865"/>
      <c r="K17" s="865"/>
      <c r="L17" s="865"/>
      <c r="M17" s="865"/>
      <c r="N17" s="865"/>
    </row>
    <row r="18" spans="2:16" ht="38.25" x14ac:dyDescent="0.25">
      <c r="B18" s="164">
        <v>1</v>
      </c>
      <c r="C18" s="165" t="s">
        <v>451</v>
      </c>
      <c r="D18" s="166" t="s">
        <v>476</v>
      </c>
      <c r="E18" s="165" t="s">
        <v>452</v>
      </c>
      <c r="F18" s="166">
        <v>2024</v>
      </c>
      <c r="G18" s="166"/>
      <c r="H18" s="847" t="s">
        <v>450</v>
      </c>
      <c r="I18" s="866"/>
      <c r="J18" s="866"/>
      <c r="K18" s="866"/>
      <c r="L18" s="866"/>
      <c r="M18" s="866"/>
      <c r="N18" s="866"/>
    </row>
    <row r="21" spans="2:16" ht="34.5" x14ac:dyDescent="0.25">
      <c r="B21" s="324" t="s">
        <v>793</v>
      </c>
      <c r="C21" s="335" t="s">
        <v>794</v>
      </c>
      <c r="D21" s="335" t="s">
        <v>795</v>
      </c>
      <c r="E21" s="324" t="s">
        <v>453</v>
      </c>
      <c r="F21" s="335" t="s">
        <v>454</v>
      </c>
      <c r="G21" s="335" t="s">
        <v>455</v>
      </c>
      <c r="H21" s="335" t="s">
        <v>456</v>
      </c>
      <c r="I21" s="335" t="s">
        <v>457</v>
      </c>
      <c r="J21" s="335" t="s">
        <v>458</v>
      </c>
      <c r="K21" s="335" t="s">
        <v>459</v>
      </c>
      <c r="L21" s="335" t="s">
        <v>460</v>
      </c>
      <c r="M21" s="335" t="s">
        <v>461</v>
      </c>
      <c r="N21" s="335" t="s">
        <v>462</v>
      </c>
      <c r="O21" s="335" t="s">
        <v>463</v>
      </c>
    </row>
    <row r="22" spans="2:16" ht="34.5" x14ac:dyDescent="0.25">
      <c r="B22" s="1024" t="s">
        <v>805</v>
      </c>
      <c r="C22" s="915" t="s">
        <v>806</v>
      </c>
      <c r="D22" s="915" t="s">
        <v>807</v>
      </c>
      <c r="E22" s="325" t="s">
        <v>808</v>
      </c>
      <c r="F22" s="326">
        <v>1</v>
      </c>
      <c r="G22" s="326" t="s">
        <v>688</v>
      </c>
      <c r="H22" s="327">
        <v>28000000</v>
      </c>
      <c r="I22" s="326">
        <v>1</v>
      </c>
      <c r="J22" s="326" t="s">
        <v>287</v>
      </c>
      <c r="K22" s="327">
        <v>5320000</v>
      </c>
      <c r="L22" s="329">
        <v>0.19</v>
      </c>
      <c r="M22" s="327">
        <v>33320000</v>
      </c>
      <c r="N22" s="327">
        <v>28000000</v>
      </c>
      <c r="O22" s="331">
        <v>33320000</v>
      </c>
    </row>
    <row r="23" spans="2:16" ht="45.75" x14ac:dyDescent="0.25">
      <c r="B23" s="913"/>
      <c r="C23" s="913"/>
      <c r="D23" s="913"/>
      <c r="E23" s="325" t="s">
        <v>809</v>
      </c>
      <c r="F23" s="326">
        <v>1</v>
      </c>
      <c r="G23" s="326" t="s">
        <v>688</v>
      </c>
      <c r="H23" s="327">
        <v>22000000</v>
      </c>
      <c r="I23" s="326">
        <v>1</v>
      </c>
      <c r="J23" s="326" t="s">
        <v>287</v>
      </c>
      <c r="K23" s="327">
        <v>0</v>
      </c>
      <c r="L23" s="329">
        <v>0</v>
      </c>
      <c r="M23" s="327">
        <v>22000000</v>
      </c>
      <c r="N23" s="327">
        <v>22000000</v>
      </c>
      <c r="O23" s="331">
        <v>22000000</v>
      </c>
    </row>
    <row r="24" spans="2:16" x14ac:dyDescent="0.25">
      <c r="B24" s="913"/>
      <c r="C24" s="913"/>
      <c r="D24" s="913"/>
      <c r="E24" s="325" t="s">
        <v>810</v>
      </c>
      <c r="F24" s="336">
        <v>4</v>
      </c>
      <c r="G24" s="326" t="s">
        <v>251</v>
      </c>
      <c r="H24" s="327">
        <v>6900000</v>
      </c>
      <c r="I24" s="326">
        <v>1</v>
      </c>
      <c r="J24" s="326" t="s">
        <v>287</v>
      </c>
      <c r="K24" s="327">
        <v>0</v>
      </c>
      <c r="L24" s="329">
        <v>0</v>
      </c>
      <c r="M24" s="327">
        <v>6900000</v>
      </c>
      <c r="N24" s="327">
        <v>27600000</v>
      </c>
      <c r="O24" s="331">
        <v>27600000</v>
      </c>
    </row>
    <row r="25" spans="2:16" x14ac:dyDescent="0.25">
      <c r="B25" s="913"/>
      <c r="C25" s="913"/>
      <c r="D25" s="913"/>
      <c r="E25" s="325" t="s">
        <v>811</v>
      </c>
      <c r="F25" s="336">
        <v>4</v>
      </c>
      <c r="G25" s="326" t="s">
        <v>251</v>
      </c>
      <c r="H25" s="327">
        <v>4800000</v>
      </c>
      <c r="I25" s="326">
        <v>1</v>
      </c>
      <c r="J25" s="326" t="s">
        <v>287</v>
      </c>
      <c r="K25" s="327">
        <v>0</v>
      </c>
      <c r="L25" s="329">
        <v>0</v>
      </c>
      <c r="M25" s="327">
        <v>4800000</v>
      </c>
      <c r="N25" s="327">
        <v>19200000</v>
      </c>
      <c r="O25" s="331">
        <v>19200000</v>
      </c>
    </row>
    <row r="26" spans="2:16" x14ac:dyDescent="0.25">
      <c r="B26" s="913"/>
      <c r="C26" s="913"/>
      <c r="D26" s="913"/>
      <c r="E26" s="325" t="s">
        <v>371</v>
      </c>
      <c r="F26" s="336">
        <v>4</v>
      </c>
      <c r="G26" s="326" t="s">
        <v>251</v>
      </c>
      <c r="H26" s="327">
        <v>2500000</v>
      </c>
      <c r="I26" s="326">
        <v>1</v>
      </c>
      <c r="J26" s="326" t="s">
        <v>287</v>
      </c>
      <c r="K26" s="327">
        <v>0</v>
      </c>
      <c r="L26" s="329">
        <v>0</v>
      </c>
      <c r="M26" s="327">
        <v>2500000</v>
      </c>
      <c r="N26" s="327">
        <v>10000000</v>
      </c>
      <c r="O26" s="331">
        <v>10000000</v>
      </c>
    </row>
    <row r="27" spans="2:16" ht="23.25" x14ac:dyDescent="0.25">
      <c r="B27" s="913"/>
      <c r="C27" s="913"/>
      <c r="D27" s="913"/>
      <c r="E27" s="325" t="s">
        <v>812</v>
      </c>
      <c r="F27" s="336">
        <v>4</v>
      </c>
      <c r="G27" s="326" t="s">
        <v>251</v>
      </c>
      <c r="H27" s="327">
        <v>2500000</v>
      </c>
      <c r="I27" s="326">
        <v>5</v>
      </c>
      <c r="J27" s="326" t="s">
        <v>287</v>
      </c>
      <c r="K27" s="327">
        <v>0</v>
      </c>
      <c r="L27" s="329">
        <v>0</v>
      </c>
      <c r="M27" s="327">
        <v>2500000</v>
      </c>
      <c r="N27" s="327">
        <v>50000000</v>
      </c>
      <c r="O27" s="331">
        <v>50000000</v>
      </c>
    </row>
    <row r="28" spans="2:16" x14ac:dyDescent="0.25">
      <c r="B28" s="913"/>
      <c r="C28" s="913"/>
      <c r="D28" s="913"/>
      <c r="E28" s="325" t="s">
        <v>813</v>
      </c>
      <c r="F28" s="336">
        <v>4</v>
      </c>
      <c r="G28" s="326" t="s">
        <v>251</v>
      </c>
      <c r="H28" s="327">
        <v>2500000</v>
      </c>
      <c r="I28" s="326">
        <v>1</v>
      </c>
      <c r="J28" s="326" t="s">
        <v>814</v>
      </c>
      <c r="K28" s="327">
        <v>475000</v>
      </c>
      <c r="L28" s="329">
        <v>0.19</v>
      </c>
      <c r="M28" s="327">
        <v>2975000</v>
      </c>
      <c r="N28" s="327">
        <v>10000000</v>
      </c>
      <c r="O28" s="331">
        <v>11900000</v>
      </c>
    </row>
    <row r="29" spans="2:16" ht="23.25" x14ac:dyDescent="0.25">
      <c r="B29" s="913"/>
      <c r="C29" s="913"/>
      <c r="D29" s="913"/>
      <c r="E29" s="325" t="s">
        <v>815</v>
      </c>
      <c r="F29" s="336">
        <v>4</v>
      </c>
      <c r="G29" s="326" t="s">
        <v>251</v>
      </c>
      <c r="H29" s="327">
        <v>1300000</v>
      </c>
      <c r="I29" s="326">
        <v>1</v>
      </c>
      <c r="J29" s="326" t="s">
        <v>287</v>
      </c>
      <c r="K29" s="327">
        <v>0</v>
      </c>
      <c r="L29" s="329">
        <v>0</v>
      </c>
      <c r="M29" s="327">
        <v>1300000</v>
      </c>
      <c r="N29" s="327">
        <v>5200000</v>
      </c>
      <c r="O29" s="331">
        <v>5200000</v>
      </c>
    </row>
    <row r="30" spans="2:16" ht="23.25" x14ac:dyDescent="0.25">
      <c r="B30" s="913"/>
      <c r="C30" s="913"/>
      <c r="D30" s="913"/>
      <c r="E30" s="325" t="s">
        <v>816</v>
      </c>
      <c r="F30" s="336">
        <v>4</v>
      </c>
      <c r="G30" s="326" t="s">
        <v>251</v>
      </c>
      <c r="H30" s="327">
        <v>400000</v>
      </c>
      <c r="I30" s="326">
        <v>1</v>
      </c>
      <c r="J30" s="326" t="s">
        <v>315</v>
      </c>
      <c r="K30" s="327">
        <v>0</v>
      </c>
      <c r="L30" s="329">
        <v>0</v>
      </c>
      <c r="M30" s="327">
        <v>400000</v>
      </c>
      <c r="N30" s="327">
        <v>1600000</v>
      </c>
      <c r="O30" s="331">
        <v>1600000</v>
      </c>
    </row>
    <row r="31" spans="2:16" x14ac:dyDescent="0.25">
      <c r="B31" s="913"/>
      <c r="C31" s="913"/>
      <c r="D31" s="913"/>
      <c r="E31" s="325" t="s">
        <v>339</v>
      </c>
      <c r="F31" s="338">
        <v>1</v>
      </c>
      <c r="G31" s="326" t="s">
        <v>688</v>
      </c>
      <c r="H31" s="327">
        <v>9397450</v>
      </c>
      <c r="I31" s="338">
        <v>1</v>
      </c>
      <c r="J31" s="326" t="s">
        <v>688</v>
      </c>
      <c r="K31" s="327">
        <v>0</v>
      </c>
      <c r="L31" s="329">
        <v>0</v>
      </c>
      <c r="M31" s="327">
        <v>9397450</v>
      </c>
      <c r="N31" s="327">
        <v>9397450</v>
      </c>
      <c r="O31" s="331">
        <v>9397450</v>
      </c>
    </row>
    <row r="32" spans="2:16" x14ac:dyDescent="0.25">
      <c r="B32" s="914"/>
      <c r="C32" s="914"/>
      <c r="D32" s="914"/>
      <c r="E32" s="1025" t="s">
        <v>817</v>
      </c>
      <c r="F32" s="872"/>
      <c r="G32" s="872"/>
      <c r="H32" s="872"/>
      <c r="I32" s="872"/>
      <c r="J32" s="872"/>
      <c r="K32" s="872"/>
      <c r="L32" s="872"/>
      <c r="M32" s="872"/>
      <c r="N32" s="873"/>
      <c r="O32" s="339">
        <v>190217450</v>
      </c>
      <c r="P32" s="452">
        <f>SUM(O24:O31)</f>
        <v>134897450</v>
      </c>
    </row>
    <row r="33" spans="2:16" x14ac:dyDescent="0.25">
      <c r="B33" s="319"/>
      <c r="C33" s="319"/>
      <c r="D33" s="319"/>
      <c r="E33" s="319"/>
      <c r="F33" s="319"/>
      <c r="G33" s="319"/>
      <c r="H33" s="319"/>
      <c r="I33" s="319"/>
      <c r="J33" s="340"/>
      <c r="K33" s="319"/>
      <c r="L33" s="319"/>
      <c r="M33" s="319"/>
      <c r="N33" s="319"/>
      <c r="O33" s="319"/>
    </row>
    <row r="34" spans="2:16" x14ac:dyDescent="0.25">
      <c r="B34" s="1017" t="s">
        <v>818</v>
      </c>
      <c r="C34" s="872"/>
      <c r="D34" s="872"/>
      <c r="E34" s="872"/>
      <c r="F34" s="872"/>
      <c r="G34" s="872"/>
      <c r="H34" s="872"/>
      <c r="I34" s="872"/>
      <c r="J34" s="872"/>
      <c r="K34" s="872"/>
      <c r="L34" s="872"/>
      <c r="M34" s="872"/>
      <c r="N34" s="873"/>
      <c r="O34" s="341">
        <v>2000000000</v>
      </c>
      <c r="P34" s="101">
        <f>P32/O34</f>
        <v>6.7448725000000001E-2</v>
      </c>
    </row>
    <row r="38" spans="2:16" ht="27" x14ac:dyDescent="0.25">
      <c r="B38" s="34" t="s">
        <v>146</v>
      </c>
      <c r="C38" s="34" t="s">
        <v>5</v>
      </c>
      <c r="D38" s="25" t="s">
        <v>6</v>
      </c>
      <c r="E38" s="25" t="s">
        <v>145</v>
      </c>
      <c r="F38" s="25" t="s">
        <v>3</v>
      </c>
      <c r="G38" s="34" t="s">
        <v>7</v>
      </c>
      <c r="H38" s="853" t="s">
        <v>8</v>
      </c>
      <c r="I38" s="853"/>
      <c r="J38" s="853"/>
      <c r="K38" s="853"/>
      <c r="L38" s="853"/>
      <c r="M38" s="853"/>
    </row>
    <row r="39" spans="2:16" ht="27" x14ac:dyDescent="0.25">
      <c r="B39" s="35"/>
      <c r="C39" s="36" t="s">
        <v>1115</v>
      </c>
      <c r="D39" s="37" t="s">
        <v>1116</v>
      </c>
      <c r="E39" s="36" t="s">
        <v>1117</v>
      </c>
      <c r="F39" s="37">
        <v>2024</v>
      </c>
      <c r="G39" s="37"/>
      <c r="H39" s="847" t="s">
        <v>1118</v>
      </c>
      <c r="I39" s="848"/>
      <c r="J39" s="848"/>
      <c r="K39" s="848"/>
      <c r="L39" s="848"/>
      <c r="M39" s="848"/>
    </row>
    <row r="40" spans="2:16" ht="15" x14ac:dyDescent="0.25">
      <c r="B40"/>
      <c r="C40"/>
      <c r="D40"/>
      <c r="E40"/>
      <c r="F40"/>
      <c r="G40"/>
      <c r="H40"/>
      <c r="I40"/>
      <c r="J40"/>
      <c r="K40"/>
      <c r="L40"/>
      <c r="M40"/>
    </row>
    <row r="41" spans="2:16" ht="15" x14ac:dyDescent="0.25">
      <c r="B41"/>
      <c r="C41"/>
      <c r="D41"/>
      <c r="E41"/>
      <c r="F41"/>
      <c r="G41"/>
      <c r="H41"/>
      <c r="I41"/>
      <c r="J41"/>
      <c r="K41"/>
      <c r="L41"/>
      <c r="M41"/>
    </row>
    <row r="42" spans="2:16" ht="15" x14ac:dyDescent="0.25">
      <c r="B42"/>
      <c r="C42"/>
      <c r="D42"/>
      <c r="E42"/>
      <c r="F42"/>
      <c r="G42"/>
      <c r="H42"/>
      <c r="I42"/>
      <c r="J42"/>
      <c r="K42"/>
      <c r="L42"/>
      <c r="M42"/>
    </row>
    <row r="43" spans="2:16" ht="15" x14ac:dyDescent="0.25">
      <c r="B43"/>
      <c r="C43"/>
      <c r="D43"/>
      <c r="E43"/>
      <c r="F43"/>
      <c r="G43"/>
      <c r="H43"/>
      <c r="I43" s="453">
        <v>0.05</v>
      </c>
      <c r="J43"/>
      <c r="K43"/>
      <c r="L43"/>
      <c r="M43"/>
    </row>
    <row r="44" spans="2:16" ht="15" x14ac:dyDescent="0.25">
      <c r="B44"/>
      <c r="C44"/>
      <c r="D44"/>
      <c r="E44"/>
      <c r="F44"/>
      <c r="G44"/>
      <c r="H44"/>
      <c r="I44"/>
      <c r="J44"/>
      <c r="K44"/>
      <c r="L44"/>
      <c r="M44"/>
    </row>
    <row r="58" spans="2:14" ht="25.5" x14ac:dyDescent="0.25">
      <c r="B58" s="705" t="s">
        <v>146</v>
      </c>
      <c r="C58" s="705" t="s">
        <v>5</v>
      </c>
      <c r="D58" s="706" t="s">
        <v>6</v>
      </c>
      <c r="E58" s="706" t="s">
        <v>145</v>
      </c>
      <c r="F58" s="706" t="s">
        <v>3</v>
      </c>
      <c r="G58" s="705" t="s">
        <v>7</v>
      </c>
      <c r="H58" s="1013" t="s">
        <v>8</v>
      </c>
      <c r="I58" s="1013"/>
      <c r="J58" s="1013"/>
      <c r="K58" s="1013"/>
      <c r="L58" s="1013"/>
      <c r="M58" s="1013"/>
      <c r="N58" s="1013"/>
    </row>
    <row r="59" spans="2:14" x14ac:dyDescent="0.25">
      <c r="B59" s="707"/>
      <c r="C59" s="708" t="s">
        <v>158</v>
      </c>
      <c r="D59" s="708" t="s">
        <v>1546</v>
      </c>
      <c r="E59" s="708" t="s">
        <v>483</v>
      </c>
      <c r="F59" s="709">
        <v>2025</v>
      </c>
      <c r="G59" s="709"/>
      <c r="H59" s="847" t="s">
        <v>1547</v>
      </c>
      <c r="I59" s="1012"/>
      <c r="J59" s="1012"/>
      <c r="K59" s="1012"/>
      <c r="L59" s="1012"/>
      <c r="M59" s="1012"/>
      <c r="N59" s="1012"/>
    </row>
    <row r="60" spans="2:14" x14ac:dyDescent="0.25">
      <c r="B60" s="141"/>
      <c r="C60" s="710"/>
      <c r="D60" s="141"/>
      <c r="E60" s="141"/>
      <c r="F60" s="141"/>
      <c r="G60" s="141"/>
      <c r="H60" s="141"/>
      <c r="I60" s="141"/>
      <c r="J60" s="141"/>
      <c r="K60" s="141"/>
      <c r="L60" s="141"/>
      <c r="M60" s="141"/>
      <c r="N60" s="141"/>
    </row>
    <row r="61" spans="2:14" x14ac:dyDescent="0.25">
      <c r="B61" s="141"/>
      <c r="C61" s="710"/>
      <c r="D61" s="141"/>
      <c r="E61" s="141"/>
      <c r="F61" s="141"/>
      <c r="G61" s="141"/>
      <c r="H61" s="141"/>
      <c r="I61" s="141"/>
      <c r="J61" s="141"/>
      <c r="K61" s="141"/>
      <c r="L61" s="141"/>
      <c r="M61" s="141"/>
      <c r="N61" s="141"/>
    </row>
    <row r="62" spans="2:14" x14ac:dyDescent="0.25">
      <c r="B62" s="1014" t="s">
        <v>1548</v>
      </c>
      <c r="C62" s="1015"/>
      <c r="D62" s="1015"/>
      <c r="E62" s="1016"/>
      <c r="F62" s="104">
        <v>202616104.05000001</v>
      </c>
      <c r="G62" s="141"/>
      <c r="H62" s="141"/>
      <c r="I62" s="141"/>
      <c r="J62" s="141"/>
      <c r="K62" s="141"/>
      <c r="L62" s="141"/>
      <c r="M62" s="141"/>
      <c r="N62" s="141"/>
    </row>
    <row r="63" spans="2:14" x14ac:dyDescent="0.25">
      <c r="B63" s="1014" t="s">
        <v>1079</v>
      </c>
      <c r="C63" s="1015"/>
      <c r="D63" s="1015"/>
      <c r="E63" s="1016"/>
      <c r="F63" s="104">
        <v>2026161044.0699999</v>
      </c>
      <c r="G63" s="141"/>
      <c r="H63" s="141"/>
      <c r="I63" s="141"/>
      <c r="J63" s="141"/>
      <c r="K63" s="141"/>
      <c r="L63" s="141"/>
      <c r="M63" s="141"/>
      <c r="N63" s="141"/>
    </row>
    <row r="64" spans="2:14" x14ac:dyDescent="0.25">
      <c r="B64" s="1014" t="s">
        <v>1549</v>
      </c>
      <c r="C64" s="1015"/>
      <c r="D64" s="1015"/>
      <c r="E64" s="1016"/>
      <c r="F64" s="711">
        <v>9.9999999823804739E-2</v>
      </c>
      <c r="G64" s="141"/>
      <c r="H64" s="141"/>
      <c r="I64" s="141"/>
      <c r="J64" s="141"/>
      <c r="K64" s="141"/>
      <c r="L64" s="141"/>
      <c r="M64" s="141"/>
      <c r="N64" s="141"/>
    </row>
    <row r="68" spans="2:14" ht="25.5" x14ac:dyDescent="0.25">
      <c r="B68" s="705" t="s">
        <v>146</v>
      </c>
      <c r="C68" s="705" t="s">
        <v>5</v>
      </c>
      <c r="D68" s="706" t="s">
        <v>6</v>
      </c>
      <c r="E68" s="706" t="s">
        <v>145</v>
      </c>
      <c r="F68" s="706" t="s">
        <v>3</v>
      </c>
      <c r="G68" s="705" t="s">
        <v>7</v>
      </c>
      <c r="H68" s="1013" t="s">
        <v>8</v>
      </c>
      <c r="I68" s="1013"/>
      <c r="J68" s="1013"/>
      <c r="K68" s="1013"/>
      <c r="L68" s="1013"/>
      <c r="M68" s="1013"/>
      <c r="N68" s="1013"/>
    </row>
    <row r="69" spans="2:14" x14ac:dyDescent="0.25">
      <c r="B69" s="707"/>
      <c r="C69" s="708" t="s">
        <v>334</v>
      </c>
      <c r="D69" s="708" t="s">
        <v>342</v>
      </c>
      <c r="E69" s="708" t="s">
        <v>200</v>
      </c>
      <c r="F69" s="709">
        <v>2023</v>
      </c>
      <c r="G69" s="709"/>
      <c r="H69" s="847" t="s">
        <v>343</v>
      </c>
      <c r="I69" s="1012"/>
      <c r="J69" s="1012"/>
      <c r="K69" s="1012"/>
      <c r="L69" s="1012"/>
      <c r="M69" s="1012"/>
      <c r="N69" s="1012"/>
    </row>
    <row r="70" spans="2:14" x14ac:dyDescent="0.25">
      <c r="B70" s="141"/>
      <c r="C70" s="710"/>
      <c r="D70" s="141"/>
      <c r="E70" s="141"/>
      <c r="F70" s="141"/>
      <c r="G70" s="141"/>
      <c r="H70" s="141"/>
      <c r="I70" s="141"/>
      <c r="J70" s="141"/>
      <c r="K70" s="141"/>
      <c r="L70" s="141"/>
      <c r="M70" s="141"/>
      <c r="N70" s="141"/>
    </row>
    <row r="71" spans="2:14" x14ac:dyDescent="0.25">
      <c r="B71" s="141"/>
      <c r="C71" s="710"/>
      <c r="D71" s="141"/>
      <c r="E71" s="141"/>
      <c r="F71" s="141"/>
      <c r="G71" s="141"/>
      <c r="H71" s="141"/>
      <c r="I71" s="141"/>
      <c r="J71" s="141"/>
      <c r="K71" s="141"/>
      <c r="L71" s="141"/>
      <c r="M71" s="141"/>
      <c r="N71" s="141"/>
    </row>
    <row r="72" spans="2:14" x14ac:dyDescent="0.25">
      <c r="B72" s="141"/>
      <c r="C72" s="710"/>
      <c r="D72" s="141"/>
      <c r="E72" s="141"/>
      <c r="F72" s="141"/>
      <c r="G72" s="141"/>
      <c r="H72" s="141"/>
      <c r="I72" s="141"/>
      <c r="J72" s="141"/>
      <c r="K72" s="141"/>
      <c r="L72" s="141"/>
      <c r="M72" s="141"/>
      <c r="N72" s="141"/>
    </row>
    <row r="73" spans="2:14" x14ac:dyDescent="0.25">
      <c r="B73" s="141"/>
      <c r="C73" s="710"/>
      <c r="D73" s="141"/>
      <c r="E73" s="141"/>
      <c r="F73" s="141"/>
      <c r="G73" s="141"/>
      <c r="H73" s="141"/>
      <c r="I73" s="141"/>
      <c r="J73" s="141"/>
      <c r="K73" s="141"/>
      <c r="L73" s="141"/>
      <c r="M73" s="141"/>
      <c r="N73" s="141"/>
    </row>
    <row r="74" spans="2:14" x14ac:dyDescent="0.25">
      <c r="B74" s="141"/>
      <c r="C74" s="710"/>
      <c r="D74" s="141"/>
      <c r="E74" s="141"/>
      <c r="F74" s="141"/>
      <c r="G74" s="141"/>
      <c r="H74" s="141"/>
      <c r="I74" s="141"/>
      <c r="J74" s="141"/>
      <c r="K74" s="141"/>
      <c r="L74" s="141"/>
      <c r="M74" s="141"/>
      <c r="N74" s="141"/>
    </row>
    <row r="75" spans="2:14" x14ac:dyDescent="0.25">
      <c r="B75" s="141"/>
      <c r="C75" s="710"/>
      <c r="D75" s="141"/>
      <c r="E75" s="141"/>
      <c r="F75" s="141"/>
      <c r="G75" s="141"/>
      <c r="H75" s="141"/>
      <c r="I75" s="141"/>
      <c r="J75" s="141"/>
      <c r="K75" s="141"/>
      <c r="L75" s="141"/>
      <c r="M75" s="141"/>
      <c r="N75" s="141"/>
    </row>
    <row r="76" spans="2:14" x14ac:dyDescent="0.25">
      <c r="B76" s="141"/>
      <c r="C76" s="710"/>
      <c r="D76" s="141"/>
      <c r="E76" s="141"/>
      <c r="F76" s="141"/>
      <c r="G76" s="141"/>
      <c r="H76" s="141"/>
      <c r="I76" s="141"/>
      <c r="J76" s="141"/>
      <c r="K76" s="141"/>
      <c r="L76" s="141"/>
      <c r="M76" s="141"/>
      <c r="N76" s="141"/>
    </row>
    <row r="77" spans="2:14" x14ac:dyDescent="0.25">
      <c r="B77" s="141"/>
      <c r="C77" s="710"/>
      <c r="D77" s="141"/>
      <c r="E77" s="141"/>
      <c r="F77" s="141"/>
      <c r="G77" s="141"/>
      <c r="H77" s="141"/>
      <c r="I77" s="141"/>
      <c r="J77" s="141"/>
      <c r="K77" s="141"/>
      <c r="L77" s="141"/>
      <c r="M77" s="141"/>
      <c r="N77" s="141"/>
    </row>
    <row r="78" spans="2:14" x14ac:dyDescent="0.25">
      <c r="B78" s="141"/>
      <c r="C78" s="710"/>
      <c r="D78" s="141"/>
      <c r="E78" s="141"/>
      <c r="F78" s="141"/>
      <c r="G78" s="141"/>
      <c r="H78" s="141"/>
      <c r="I78" s="141"/>
      <c r="J78" s="141"/>
      <c r="K78" s="141"/>
      <c r="L78" s="141"/>
      <c r="M78" s="141"/>
      <c r="N78" s="141"/>
    </row>
    <row r="79" spans="2:14" x14ac:dyDescent="0.25">
      <c r="B79" s="141"/>
      <c r="C79" s="710"/>
      <c r="D79" s="141"/>
      <c r="E79" s="141"/>
      <c r="F79" s="141"/>
      <c r="G79" s="141"/>
      <c r="H79" s="141"/>
      <c r="I79" s="141"/>
      <c r="J79" s="141"/>
      <c r="K79" s="141"/>
      <c r="L79" s="141"/>
      <c r="M79" s="141"/>
      <c r="N79" s="141"/>
    </row>
    <row r="80" spans="2:14" x14ac:dyDescent="0.25">
      <c r="B80" s="141"/>
      <c r="C80" s="710"/>
      <c r="D80" s="141"/>
      <c r="E80" s="141"/>
      <c r="F80" s="141"/>
      <c r="G80" s="141"/>
      <c r="H80" s="141"/>
      <c r="I80" s="141"/>
      <c r="J80" s="141"/>
      <c r="K80" s="141"/>
      <c r="L80" s="141"/>
      <c r="M80" s="141"/>
      <c r="N80" s="141"/>
    </row>
    <row r="81" spans="2:14" x14ac:dyDescent="0.25">
      <c r="B81" s="141"/>
      <c r="C81" s="710"/>
      <c r="D81" s="141"/>
      <c r="E81" s="141"/>
      <c r="F81" s="141"/>
      <c r="G81" s="141"/>
      <c r="H81" s="141"/>
      <c r="I81" s="141"/>
      <c r="J81" s="141"/>
      <c r="K81" s="141"/>
      <c r="L81" s="141"/>
      <c r="M81" s="141"/>
      <c r="N81" s="141"/>
    </row>
    <row r="82" spans="2:14" x14ac:dyDescent="0.25">
      <c r="B82" s="141"/>
      <c r="C82" s="710"/>
      <c r="D82" s="141"/>
      <c r="E82" s="141"/>
      <c r="F82" s="141"/>
      <c r="G82" s="141"/>
      <c r="H82" s="141"/>
      <c r="I82" s="141"/>
      <c r="J82" s="141"/>
      <c r="K82" s="141"/>
      <c r="L82" s="141"/>
      <c r="M82" s="141"/>
      <c r="N82" s="141"/>
    </row>
    <row r="83" spans="2:14" x14ac:dyDescent="0.25">
      <c r="B83" s="141"/>
      <c r="C83" s="710"/>
      <c r="D83" s="141"/>
      <c r="E83" s="141"/>
      <c r="F83" s="141"/>
      <c r="G83" s="141"/>
      <c r="H83" s="141"/>
      <c r="I83" s="141"/>
      <c r="J83" s="141"/>
      <c r="K83" s="141"/>
      <c r="L83" s="141"/>
      <c r="M83" s="141"/>
      <c r="N83" s="141"/>
    </row>
    <row r="84" spans="2:14" x14ac:dyDescent="0.25">
      <c r="B84" s="141"/>
      <c r="C84" s="710"/>
      <c r="D84" s="141"/>
      <c r="E84" s="141"/>
      <c r="F84" s="141"/>
      <c r="G84" s="141"/>
      <c r="H84" s="141"/>
      <c r="I84" s="141"/>
      <c r="J84" s="141"/>
      <c r="K84" s="141"/>
      <c r="L84" s="141"/>
      <c r="M84" s="141"/>
      <c r="N84" s="141"/>
    </row>
    <row r="85" spans="2:14" x14ac:dyDescent="0.25">
      <c r="B85" s="141"/>
      <c r="C85" s="710"/>
      <c r="D85" s="141"/>
      <c r="E85" s="141"/>
      <c r="F85" s="141"/>
      <c r="G85" s="141"/>
      <c r="H85" s="141"/>
      <c r="I85" s="141"/>
      <c r="J85" s="141"/>
      <c r="K85" s="141"/>
      <c r="L85" s="141"/>
      <c r="M85" s="141"/>
      <c r="N85" s="141"/>
    </row>
    <row r="86" spans="2:14" x14ac:dyDescent="0.25">
      <c r="B86" s="141"/>
      <c r="C86" s="710"/>
      <c r="D86" s="141"/>
      <c r="E86" s="141"/>
      <c r="F86" s="141"/>
      <c r="G86" s="141"/>
      <c r="H86" s="141"/>
      <c r="I86" s="141"/>
      <c r="J86" s="141"/>
      <c r="K86" s="141"/>
      <c r="L86" s="141"/>
      <c r="M86" s="141"/>
      <c r="N86" s="141"/>
    </row>
    <row r="87" spans="2:14" x14ac:dyDescent="0.25">
      <c r="B87" s="712" t="s">
        <v>1550</v>
      </c>
      <c r="C87" s="713" t="s">
        <v>1551</v>
      </c>
      <c r="D87" s="714">
        <v>60000000</v>
      </c>
      <c r="E87" s="141"/>
      <c r="F87" s="141"/>
      <c r="G87" s="141"/>
      <c r="H87" s="141"/>
      <c r="I87" s="141"/>
      <c r="J87" s="141"/>
      <c r="K87" s="141"/>
      <c r="L87" s="141"/>
      <c r="M87" s="141"/>
      <c r="N87" s="141"/>
    </row>
    <row r="88" spans="2:14" x14ac:dyDescent="0.25">
      <c r="B88" s="712" t="s">
        <v>1550</v>
      </c>
      <c r="C88" s="713" t="s">
        <v>1552</v>
      </c>
      <c r="D88" s="714">
        <v>80000000</v>
      </c>
      <c r="E88" s="141"/>
      <c r="F88" s="141"/>
      <c r="G88" s="141"/>
      <c r="H88" s="141"/>
      <c r="I88" s="141"/>
      <c r="J88" s="141"/>
      <c r="K88" s="141"/>
      <c r="L88" s="141"/>
      <c r="M88" s="141"/>
      <c r="N88" s="141"/>
    </row>
    <row r="89" spans="2:14" x14ac:dyDescent="0.25">
      <c r="B89" s="712" t="s">
        <v>1550</v>
      </c>
      <c r="C89" s="713" t="s">
        <v>1553</v>
      </c>
      <c r="D89" s="714">
        <v>90000000</v>
      </c>
      <c r="E89" s="141"/>
      <c r="F89" s="141"/>
      <c r="G89" s="141"/>
      <c r="H89" s="141"/>
      <c r="I89" s="141"/>
      <c r="J89" s="141"/>
      <c r="K89" s="141"/>
      <c r="L89" s="141"/>
      <c r="M89" s="141"/>
      <c r="N89" s="141"/>
    </row>
    <row r="90" spans="2:14" x14ac:dyDescent="0.25">
      <c r="B90" s="712" t="s">
        <v>1550</v>
      </c>
      <c r="C90" s="713" t="s">
        <v>1554</v>
      </c>
      <c r="D90" s="714">
        <v>2000000</v>
      </c>
      <c r="E90" s="141"/>
      <c r="F90" s="141"/>
      <c r="G90" s="141"/>
      <c r="H90" s="141"/>
      <c r="I90" s="141"/>
      <c r="J90" s="141"/>
      <c r="K90" s="141"/>
      <c r="L90" s="141"/>
      <c r="M90" s="141"/>
      <c r="N90" s="141"/>
    </row>
    <row r="91" spans="2:14" x14ac:dyDescent="0.25">
      <c r="B91" s="712" t="s">
        <v>200</v>
      </c>
      <c r="C91" s="713" t="s">
        <v>1555</v>
      </c>
      <c r="D91" s="714">
        <v>40000000</v>
      </c>
      <c r="E91" s="141"/>
      <c r="F91" s="141"/>
      <c r="G91" s="141"/>
      <c r="H91" s="141"/>
      <c r="I91" s="141"/>
      <c r="J91" s="141"/>
      <c r="K91" s="141"/>
      <c r="L91" s="141"/>
      <c r="M91" s="141"/>
      <c r="N91" s="141"/>
    </row>
    <row r="92" spans="2:14" x14ac:dyDescent="0.25">
      <c r="B92" s="715"/>
      <c r="C92" s="716" t="s">
        <v>1556</v>
      </c>
      <c r="D92" s="714">
        <f>SUM(D87:D91)</f>
        <v>272000000</v>
      </c>
      <c r="E92" s="141"/>
      <c r="F92" s="141"/>
      <c r="G92" s="141"/>
      <c r="H92" s="141"/>
      <c r="I92" s="141"/>
      <c r="J92" s="141"/>
      <c r="K92" s="141"/>
      <c r="L92" s="141"/>
      <c r="M92" s="141"/>
      <c r="N92" s="141"/>
    </row>
    <row r="93" spans="2:14" x14ac:dyDescent="0.25">
      <c r="B93" s="715"/>
      <c r="C93" s="716" t="s">
        <v>1079</v>
      </c>
      <c r="D93" s="714">
        <v>15100544000</v>
      </c>
      <c r="E93" s="141"/>
      <c r="F93" s="141"/>
      <c r="G93" s="141"/>
      <c r="H93" s="141"/>
      <c r="I93" s="141"/>
      <c r="J93" s="141"/>
      <c r="K93" s="141"/>
      <c r="L93" s="141"/>
      <c r="M93" s="141"/>
      <c r="N93" s="141"/>
    </row>
    <row r="94" spans="2:14" x14ac:dyDescent="0.25">
      <c r="B94" s="715"/>
      <c r="C94" s="716" t="s">
        <v>1557</v>
      </c>
      <c r="D94" s="717">
        <f>D92/D93</f>
        <v>1.801259610249803E-2</v>
      </c>
      <c r="E94" s="141"/>
      <c r="F94" s="141"/>
      <c r="G94" s="141"/>
      <c r="H94" s="141"/>
      <c r="I94" s="141"/>
      <c r="J94" s="141"/>
      <c r="K94" s="141"/>
      <c r="L94" s="141"/>
      <c r="M94" s="141"/>
      <c r="N94" s="141"/>
    </row>
    <row r="95" spans="2:14" x14ac:dyDescent="0.25">
      <c r="B95" s="141"/>
      <c r="C95" s="710"/>
      <c r="D95" s="141"/>
      <c r="E95" s="141"/>
      <c r="F95" s="141"/>
      <c r="G95" s="141"/>
      <c r="H95" s="141"/>
      <c r="I95" s="141"/>
      <c r="J95" s="141"/>
      <c r="K95" s="141"/>
      <c r="L95" s="141"/>
      <c r="M95" s="141"/>
      <c r="N95" s="141"/>
    </row>
    <row r="96" spans="2:14" ht="25.5" x14ac:dyDescent="0.25">
      <c r="B96" s="705" t="s">
        <v>146</v>
      </c>
      <c r="C96" s="705" t="s">
        <v>5</v>
      </c>
      <c r="D96" s="706" t="s">
        <v>6</v>
      </c>
      <c r="E96" s="706" t="s">
        <v>145</v>
      </c>
      <c r="F96" s="706" t="s">
        <v>3</v>
      </c>
      <c r="G96" s="705" t="s">
        <v>7</v>
      </c>
      <c r="H96" s="1013" t="s">
        <v>8</v>
      </c>
      <c r="I96" s="1013"/>
      <c r="J96" s="1013"/>
      <c r="K96" s="1013"/>
      <c r="L96" s="1013"/>
      <c r="M96" s="1013"/>
      <c r="N96" s="1013"/>
    </row>
    <row r="97" spans="2:14" ht="25.5" x14ac:dyDescent="0.25">
      <c r="B97" s="707"/>
      <c r="C97" s="708" t="s">
        <v>1127</v>
      </c>
      <c r="D97" s="708" t="s">
        <v>1558</v>
      </c>
      <c r="E97" s="708" t="s">
        <v>247</v>
      </c>
      <c r="F97" s="709">
        <v>2024</v>
      </c>
      <c r="G97" s="709"/>
      <c r="H97" s="847" t="s">
        <v>1559</v>
      </c>
      <c r="I97" s="1012"/>
      <c r="J97" s="1012"/>
      <c r="K97" s="1012"/>
      <c r="L97" s="1012"/>
      <c r="M97" s="1012"/>
      <c r="N97" s="1012"/>
    </row>
    <row r="98" spans="2:14" x14ac:dyDescent="0.25">
      <c r="B98" s="141"/>
      <c r="C98" s="710"/>
      <c r="D98" s="141"/>
      <c r="E98" s="141"/>
      <c r="F98" s="141"/>
      <c r="G98" s="141"/>
      <c r="H98" s="141"/>
      <c r="I98" s="141"/>
      <c r="J98" s="141"/>
      <c r="K98" s="141"/>
      <c r="L98" s="141"/>
      <c r="M98" s="141"/>
      <c r="N98" s="141"/>
    </row>
    <row r="99" spans="2:14" x14ac:dyDescent="0.25">
      <c r="B99" s="141"/>
      <c r="C99" s="710"/>
      <c r="D99" s="141"/>
      <c r="E99" s="141"/>
      <c r="F99" s="141"/>
      <c r="G99" s="141"/>
      <c r="H99" s="141"/>
      <c r="I99" s="141"/>
      <c r="J99" s="141"/>
      <c r="K99" s="141"/>
      <c r="L99" s="141"/>
      <c r="M99" s="141"/>
      <c r="N99" s="141"/>
    </row>
    <row r="100" spans="2:14" x14ac:dyDescent="0.25">
      <c r="B100" s="141"/>
      <c r="C100" s="710"/>
      <c r="D100" s="141"/>
      <c r="E100" s="141"/>
      <c r="F100" s="141"/>
      <c r="G100" s="141"/>
      <c r="H100" s="141"/>
      <c r="I100" s="141"/>
      <c r="J100" s="141"/>
      <c r="K100" s="141"/>
      <c r="L100" s="141"/>
      <c r="M100" s="141"/>
      <c r="N100" s="141"/>
    </row>
    <row r="101" spans="2:14" ht="25.5" x14ac:dyDescent="0.25">
      <c r="B101" s="141"/>
      <c r="C101" s="710"/>
      <c r="D101" s="141"/>
      <c r="E101" s="141"/>
      <c r="F101" s="141"/>
      <c r="G101" s="141"/>
      <c r="H101" s="716" t="s">
        <v>1560</v>
      </c>
      <c r="I101" s="714">
        <v>434782609</v>
      </c>
      <c r="J101" s="141"/>
      <c r="K101" s="141"/>
      <c r="L101" s="141"/>
      <c r="M101" s="141"/>
      <c r="N101" s="141"/>
    </row>
    <row r="102" spans="2:14" ht="25.5" x14ac:dyDescent="0.25">
      <c r="B102" s="141"/>
      <c r="C102" s="710"/>
      <c r="D102" s="141"/>
      <c r="E102" s="141"/>
      <c r="F102" s="141"/>
      <c r="G102" s="141"/>
      <c r="H102" s="716" t="s">
        <v>1079</v>
      </c>
      <c r="I102" s="714">
        <v>5500000000</v>
      </c>
      <c r="J102" s="141"/>
      <c r="K102" s="141"/>
      <c r="L102" s="141"/>
      <c r="M102" s="141"/>
      <c r="N102" s="141"/>
    </row>
    <row r="103" spans="2:14" x14ac:dyDescent="0.25">
      <c r="B103" s="141"/>
      <c r="C103" s="710"/>
      <c r="D103" s="141"/>
      <c r="E103" s="141"/>
      <c r="F103" s="141"/>
      <c r="G103" s="141"/>
      <c r="H103" s="716" t="s">
        <v>1557</v>
      </c>
      <c r="I103" s="717">
        <f>I101/I102</f>
        <v>7.905138345454546E-2</v>
      </c>
      <c r="J103" s="141"/>
      <c r="K103" s="141"/>
      <c r="L103" s="141"/>
      <c r="M103" s="141"/>
      <c r="N103" s="141"/>
    </row>
    <row r="104" spans="2:14" x14ac:dyDescent="0.25">
      <c r="B104" s="141"/>
      <c r="C104" s="710"/>
      <c r="D104" s="141"/>
      <c r="E104" s="141"/>
      <c r="F104" s="141"/>
      <c r="G104" s="141"/>
      <c r="H104" s="141"/>
      <c r="I104" s="141"/>
      <c r="J104" s="141"/>
      <c r="K104" s="141"/>
      <c r="L104" s="141"/>
      <c r="M104" s="141"/>
      <c r="N104" s="141"/>
    </row>
    <row r="105" spans="2:14" x14ac:dyDescent="0.25">
      <c r="B105" s="141"/>
      <c r="C105" s="710"/>
      <c r="D105" s="141"/>
      <c r="E105" s="141"/>
      <c r="F105" s="141"/>
      <c r="G105" s="141"/>
      <c r="H105" s="141"/>
      <c r="I105" s="141"/>
      <c r="J105" s="141"/>
      <c r="K105" s="141"/>
      <c r="L105" s="141"/>
      <c r="M105" s="141"/>
      <c r="N105" s="141"/>
    </row>
    <row r="106" spans="2:14" x14ac:dyDescent="0.25">
      <c r="B106" s="141"/>
      <c r="C106" s="710"/>
      <c r="D106" s="141"/>
      <c r="E106" s="141"/>
      <c r="F106" s="141"/>
      <c r="G106" s="141"/>
      <c r="H106" s="141"/>
      <c r="I106" s="141"/>
      <c r="J106" s="141"/>
      <c r="K106" s="141"/>
      <c r="L106" s="141"/>
      <c r="M106" s="141"/>
      <c r="N106" s="141"/>
    </row>
    <row r="107" spans="2:14" x14ac:dyDescent="0.25">
      <c r="B107" s="141"/>
      <c r="C107" s="710"/>
      <c r="D107" s="141"/>
      <c r="E107" s="141"/>
      <c r="F107" s="141"/>
      <c r="G107" s="141"/>
      <c r="H107" s="141"/>
      <c r="I107" s="141"/>
      <c r="J107" s="141"/>
      <c r="K107" s="141"/>
      <c r="L107" s="141"/>
      <c r="M107" s="141"/>
      <c r="N107" s="141"/>
    </row>
    <row r="108" spans="2:14" x14ac:dyDescent="0.25">
      <c r="B108" s="141"/>
      <c r="C108" s="710"/>
      <c r="D108" s="141"/>
      <c r="E108" s="141"/>
      <c r="F108" s="141"/>
      <c r="G108" s="141"/>
      <c r="H108" s="141"/>
      <c r="I108" s="141"/>
      <c r="J108" s="141"/>
      <c r="K108" s="141"/>
      <c r="L108" s="141"/>
      <c r="M108" s="141"/>
      <c r="N108" s="141"/>
    </row>
    <row r="109" spans="2:14" x14ac:dyDescent="0.25">
      <c r="B109" s="141"/>
      <c r="C109" s="710"/>
      <c r="D109" s="141"/>
      <c r="E109" s="141"/>
      <c r="F109" s="141"/>
      <c r="G109" s="141"/>
      <c r="H109" s="141"/>
      <c r="I109" s="141"/>
      <c r="J109" s="141"/>
      <c r="K109" s="141"/>
      <c r="L109" s="141"/>
      <c r="M109" s="141"/>
      <c r="N109" s="141"/>
    </row>
    <row r="110" spans="2:14" x14ac:dyDescent="0.25">
      <c r="B110" s="141"/>
      <c r="C110" s="710"/>
      <c r="D110" s="141"/>
      <c r="E110" s="141"/>
      <c r="F110" s="141"/>
      <c r="G110" s="141"/>
      <c r="H110" s="141"/>
      <c r="I110" s="141"/>
      <c r="J110" s="141"/>
      <c r="K110" s="141"/>
      <c r="L110" s="141"/>
      <c r="M110" s="141"/>
      <c r="N110" s="141"/>
    </row>
    <row r="111" spans="2:14" ht="25.5" x14ac:dyDescent="0.25">
      <c r="B111" s="705" t="s">
        <v>146</v>
      </c>
      <c r="C111" s="705" t="s">
        <v>5</v>
      </c>
      <c r="D111" s="706" t="s">
        <v>6</v>
      </c>
      <c r="E111" s="706" t="s">
        <v>145</v>
      </c>
      <c r="F111" s="706" t="s">
        <v>3</v>
      </c>
      <c r="G111" s="705" t="s">
        <v>7</v>
      </c>
      <c r="H111" s="1013" t="s">
        <v>8</v>
      </c>
      <c r="I111" s="1013"/>
      <c r="J111" s="1013"/>
      <c r="K111" s="1013"/>
      <c r="L111" s="1013"/>
      <c r="M111" s="1013"/>
      <c r="N111" s="1013"/>
    </row>
    <row r="112" spans="2:14" x14ac:dyDescent="0.25">
      <c r="B112" s="707"/>
      <c r="C112" s="708" t="s">
        <v>1561</v>
      </c>
      <c r="D112" s="708" t="s">
        <v>1562</v>
      </c>
      <c r="E112" s="708" t="s">
        <v>200</v>
      </c>
      <c r="F112" s="709">
        <v>2025</v>
      </c>
      <c r="G112" s="709"/>
      <c r="H112" s="847" t="s">
        <v>1563</v>
      </c>
      <c r="I112" s="1012"/>
      <c r="J112" s="1012"/>
      <c r="K112" s="1012"/>
      <c r="L112" s="1012"/>
      <c r="M112" s="1012"/>
      <c r="N112" s="1012"/>
    </row>
    <row r="113" spans="2:14" x14ac:dyDescent="0.25">
      <c r="B113" s="141"/>
      <c r="C113" s="710"/>
      <c r="D113" s="141"/>
      <c r="E113" s="141"/>
      <c r="F113" s="141"/>
      <c r="G113" s="141"/>
      <c r="H113" s="141"/>
      <c r="I113" s="141"/>
      <c r="J113" s="141"/>
      <c r="K113" s="141"/>
      <c r="L113" s="141"/>
      <c r="M113" s="141"/>
      <c r="N113" s="141"/>
    </row>
    <row r="114" spans="2:14" ht="38.25" x14ac:dyDescent="0.25">
      <c r="B114" s="141"/>
      <c r="C114" s="710"/>
      <c r="D114" s="141"/>
      <c r="E114" s="141"/>
      <c r="F114" s="141"/>
      <c r="G114" s="141"/>
      <c r="H114" s="141"/>
      <c r="I114" s="141"/>
      <c r="J114" s="716" t="s">
        <v>1560</v>
      </c>
      <c r="K114" s="714">
        <v>96155000</v>
      </c>
      <c r="L114" s="141"/>
      <c r="M114" s="141"/>
      <c r="N114" s="141"/>
    </row>
    <row r="115" spans="2:14" ht="38.25" x14ac:dyDescent="0.25">
      <c r="B115" s="141"/>
      <c r="C115" s="710"/>
      <c r="D115" s="141"/>
      <c r="E115" s="141"/>
      <c r="F115" s="141"/>
      <c r="G115" s="141"/>
      <c r="H115" s="141"/>
      <c r="I115" s="141"/>
      <c r="J115" s="716" t="s">
        <v>1079</v>
      </c>
      <c r="K115" s="714">
        <v>2599000000</v>
      </c>
      <c r="L115" s="141"/>
      <c r="M115" s="141"/>
      <c r="N115" s="141"/>
    </row>
    <row r="116" spans="2:14" ht="25.5" x14ac:dyDescent="0.25">
      <c r="B116" s="141"/>
      <c r="C116" s="710"/>
      <c r="D116" s="141"/>
      <c r="E116" s="141"/>
      <c r="F116" s="141"/>
      <c r="G116" s="141"/>
      <c r="H116" s="141"/>
      <c r="I116" s="141"/>
      <c r="J116" s="716" t="s">
        <v>1557</v>
      </c>
      <c r="K116" s="717">
        <f>K114/K115</f>
        <v>3.6996921893035786E-2</v>
      </c>
      <c r="L116" s="141"/>
      <c r="M116" s="141"/>
      <c r="N116" s="141"/>
    </row>
    <row r="117" spans="2:14" x14ac:dyDescent="0.25">
      <c r="B117" s="141"/>
      <c r="C117" s="710"/>
      <c r="D117" s="141"/>
      <c r="E117" s="141"/>
      <c r="F117" s="141"/>
      <c r="G117" s="141"/>
      <c r="H117" s="141"/>
      <c r="I117" s="141"/>
      <c r="J117" s="141"/>
      <c r="K117" s="141"/>
      <c r="L117" s="141"/>
      <c r="M117" s="141"/>
      <c r="N117" s="141"/>
    </row>
    <row r="118" spans="2:14" x14ac:dyDescent="0.25">
      <c r="B118" s="141"/>
      <c r="C118" s="710"/>
      <c r="D118" s="141"/>
      <c r="E118" s="141"/>
      <c r="F118" s="141"/>
      <c r="G118" s="141"/>
      <c r="H118" s="141"/>
      <c r="I118" s="141"/>
      <c r="J118" s="141"/>
      <c r="K118" s="141"/>
      <c r="L118" s="141"/>
      <c r="M118" s="141"/>
      <c r="N118" s="141"/>
    </row>
    <row r="119" spans="2:14" x14ac:dyDescent="0.25">
      <c r="B119" s="141"/>
      <c r="C119" s="710"/>
      <c r="D119" s="141"/>
      <c r="E119" s="141"/>
      <c r="F119" s="141"/>
      <c r="G119" s="141"/>
      <c r="H119" s="141"/>
      <c r="I119" s="141"/>
      <c r="J119" s="141"/>
      <c r="K119" s="141"/>
      <c r="L119" s="141"/>
      <c r="M119" s="141"/>
      <c r="N119" s="141"/>
    </row>
    <row r="120" spans="2:14" x14ac:dyDescent="0.25">
      <c r="B120" s="141"/>
      <c r="C120" s="710"/>
      <c r="D120" s="141"/>
      <c r="E120" s="141"/>
      <c r="F120" s="141"/>
      <c r="G120" s="141"/>
      <c r="H120" s="141"/>
      <c r="I120" s="141"/>
      <c r="J120" s="141"/>
      <c r="K120" s="141"/>
      <c r="L120" s="141"/>
      <c r="M120" s="141"/>
      <c r="N120" s="141"/>
    </row>
    <row r="121" spans="2:14" ht="25.5" x14ac:dyDescent="0.25">
      <c r="B121" s="705" t="s">
        <v>146</v>
      </c>
      <c r="C121" s="705" t="s">
        <v>5</v>
      </c>
      <c r="D121" s="706" t="s">
        <v>6</v>
      </c>
      <c r="E121" s="706" t="s">
        <v>145</v>
      </c>
      <c r="F121" s="706" t="s">
        <v>3</v>
      </c>
      <c r="G121" s="705" t="s">
        <v>7</v>
      </c>
      <c r="H121" s="1013" t="s">
        <v>8</v>
      </c>
      <c r="I121" s="1013"/>
      <c r="J121" s="1013"/>
      <c r="K121" s="1013"/>
      <c r="L121" s="1013"/>
      <c r="M121" s="1013"/>
      <c r="N121" s="1013"/>
    </row>
    <row r="122" spans="2:14" ht="51" x14ac:dyDescent="0.25">
      <c r="B122" s="707"/>
      <c r="C122" s="708" t="s">
        <v>451</v>
      </c>
      <c r="D122" s="708" t="s">
        <v>1564</v>
      </c>
      <c r="E122" s="708" t="s">
        <v>1565</v>
      </c>
      <c r="F122" s="709"/>
      <c r="G122" s="709"/>
      <c r="H122" s="847" t="s">
        <v>1566</v>
      </c>
      <c r="I122" s="1012"/>
      <c r="J122" s="1012"/>
      <c r="K122" s="1012"/>
      <c r="L122" s="1012"/>
      <c r="M122" s="1012"/>
      <c r="N122" s="1012"/>
    </row>
    <row r="123" spans="2:14" x14ac:dyDescent="0.25">
      <c r="B123" s="141"/>
      <c r="C123" s="710"/>
      <c r="D123" s="141"/>
      <c r="E123" s="141"/>
      <c r="F123" s="141"/>
      <c r="G123" s="141"/>
      <c r="H123" s="141"/>
      <c r="I123" s="141"/>
      <c r="J123" s="141"/>
      <c r="K123" s="141"/>
      <c r="L123" s="141"/>
      <c r="M123" s="141"/>
      <c r="N123" s="141"/>
    </row>
    <row r="124" spans="2:14" ht="14.25" thickBot="1" x14ac:dyDescent="0.3">
      <c r="B124" s="141"/>
      <c r="C124" s="710"/>
      <c r="D124" s="141"/>
      <c r="E124" s="141"/>
      <c r="F124" s="141"/>
      <c r="G124" s="141"/>
      <c r="H124" s="141"/>
      <c r="I124" s="141"/>
      <c r="J124" s="141"/>
      <c r="K124" s="141"/>
      <c r="L124" s="141"/>
      <c r="M124" s="141"/>
      <c r="N124" s="141"/>
    </row>
    <row r="125" spans="2:14" ht="16.5" thickTop="1" thickBot="1" x14ac:dyDescent="0.3">
      <c r="B125" s="1010" t="s">
        <v>1567</v>
      </c>
      <c r="C125" s="1010"/>
      <c r="D125" s="1010"/>
      <c r="E125" s="1010"/>
      <c r="F125" s="1010"/>
      <c r="G125" s="141"/>
      <c r="H125" s="141"/>
      <c r="I125" s="141"/>
      <c r="J125" s="141"/>
      <c r="K125" s="141"/>
      <c r="L125" s="141"/>
      <c r="M125" s="141"/>
      <c r="N125" s="141"/>
    </row>
    <row r="126" spans="2:14" ht="16.5" thickTop="1" thickBot="1" x14ac:dyDescent="0.3">
      <c r="B126" s="719" t="s">
        <v>18</v>
      </c>
      <c r="C126" s="720" t="s">
        <v>1568</v>
      </c>
      <c r="D126" s="720" t="s">
        <v>1569</v>
      </c>
      <c r="E126" s="721" t="s">
        <v>228</v>
      </c>
      <c r="F126" s="721" t="s">
        <v>767</v>
      </c>
      <c r="G126" s="141"/>
      <c r="H126" s="141"/>
      <c r="I126" s="141"/>
      <c r="J126" s="141"/>
      <c r="K126" s="141"/>
      <c r="L126" s="141"/>
      <c r="M126" s="141"/>
      <c r="N126" s="141"/>
    </row>
    <row r="127" spans="2:14" ht="16.5" thickTop="1" thickBot="1" x14ac:dyDescent="0.3">
      <c r="B127" s="722" t="s">
        <v>1570</v>
      </c>
      <c r="C127" s="723">
        <v>1</v>
      </c>
      <c r="D127" s="723">
        <v>1</v>
      </c>
      <c r="E127" s="724">
        <v>11280000</v>
      </c>
      <c r="F127" s="724">
        <v>11280000</v>
      </c>
      <c r="G127" s="141"/>
      <c r="H127" s="141"/>
      <c r="I127" s="141"/>
      <c r="J127" s="141"/>
      <c r="K127" s="141"/>
      <c r="L127" s="141"/>
      <c r="M127" s="141"/>
      <c r="N127" s="141"/>
    </row>
    <row r="128" spans="2:14" ht="16.5" thickTop="1" thickBot="1" x14ac:dyDescent="0.3">
      <c r="B128" s="725" t="s">
        <v>1571</v>
      </c>
      <c r="C128" s="725"/>
      <c r="D128" s="725"/>
      <c r="E128" s="726"/>
      <c r="F128" s="726">
        <v>11280000</v>
      </c>
      <c r="G128" s="141"/>
      <c r="H128" s="141"/>
      <c r="I128" s="141"/>
      <c r="J128" s="141"/>
      <c r="K128" s="141"/>
      <c r="L128" s="141"/>
      <c r="M128" s="141"/>
      <c r="N128" s="141"/>
    </row>
    <row r="129" spans="2:14" ht="15" thickTop="1" thickBot="1" x14ac:dyDescent="0.3">
      <c r="B129" s="141"/>
      <c r="C129" s="710"/>
      <c r="D129" s="141"/>
      <c r="E129" s="141"/>
      <c r="F129" s="141"/>
      <c r="G129" s="141"/>
      <c r="H129" s="141"/>
      <c r="I129" s="141"/>
      <c r="J129" s="141"/>
      <c r="K129" s="141"/>
      <c r="L129" s="141"/>
      <c r="M129" s="141"/>
      <c r="N129" s="141"/>
    </row>
    <row r="130" spans="2:14" ht="27" thickTop="1" thickBot="1" x14ac:dyDescent="0.3">
      <c r="B130" s="1010" t="s">
        <v>1572</v>
      </c>
      <c r="C130" s="1010"/>
      <c r="D130" s="1010"/>
      <c r="E130" s="1010"/>
      <c r="F130" s="141"/>
      <c r="G130" s="716" t="s">
        <v>1560</v>
      </c>
      <c r="H130" s="714">
        <f>11280000+128182500</f>
        <v>139462500</v>
      </c>
      <c r="I130" s="141"/>
      <c r="J130" s="141"/>
      <c r="K130" s="141"/>
      <c r="L130" s="141"/>
      <c r="M130" s="141"/>
      <c r="N130" s="141"/>
    </row>
    <row r="131" spans="2:14" ht="27" thickTop="1" thickBot="1" x14ac:dyDescent="0.3">
      <c r="B131" s="719" t="s">
        <v>1573</v>
      </c>
      <c r="C131" s="727" t="s">
        <v>1574</v>
      </c>
      <c r="D131" s="721" t="s">
        <v>228</v>
      </c>
      <c r="E131" s="721" t="s">
        <v>767</v>
      </c>
      <c r="F131" s="141"/>
      <c r="G131" s="716" t="s">
        <v>1079</v>
      </c>
      <c r="H131" s="714">
        <v>2820000000</v>
      </c>
      <c r="I131" s="141"/>
      <c r="J131" s="141"/>
      <c r="K131" s="141"/>
      <c r="L131" s="141"/>
      <c r="M131" s="141"/>
      <c r="N131" s="141"/>
    </row>
    <row r="132" spans="2:14" ht="27" thickTop="1" thickBot="1" x14ac:dyDescent="0.3">
      <c r="B132" s="722" t="s">
        <v>1575</v>
      </c>
      <c r="C132" s="723">
        <v>2</v>
      </c>
      <c r="D132" s="724">
        <v>30000000</v>
      </c>
      <c r="E132" s="724">
        <v>60000000</v>
      </c>
      <c r="F132" s="141"/>
      <c r="G132" s="716" t="s">
        <v>1557</v>
      </c>
      <c r="H132" s="717">
        <f>H130/H131</f>
        <v>4.9454787234042556E-2</v>
      </c>
      <c r="I132" s="141"/>
      <c r="J132" s="141"/>
      <c r="K132" s="141"/>
      <c r="L132" s="141"/>
      <c r="M132" s="141"/>
      <c r="N132" s="141"/>
    </row>
    <row r="133" spans="2:14" ht="16.5" thickTop="1" thickBot="1" x14ac:dyDescent="0.3">
      <c r="B133" s="722" t="s">
        <v>1576</v>
      </c>
      <c r="C133" s="723">
        <v>2</v>
      </c>
      <c r="D133" s="724">
        <v>30357916.5</v>
      </c>
      <c r="E133" s="724">
        <v>60715833</v>
      </c>
      <c r="F133" s="141"/>
      <c r="G133" s="141"/>
      <c r="H133" s="141"/>
      <c r="I133" s="141"/>
      <c r="J133" s="141"/>
      <c r="K133" s="141"/>
      <c r="L133" s="141"/>
      <c r="M133" s="141"/>
      <c r="N133" s="141"/>
    </row>
    <row r="134" spans="2:14" ht="16.5" thickTop="1" thickBot="1" x14ac:dyDescent="0.3">
      <c r="B134" s="722" t="s">
        <v>1577</v>
      </c>
      <c r="C134" s="723">
        <v>1</v>
      </c>
      <c r="D134" s="724">
        <v>7466667</v>
      </c>
      <c r="E134" s="724">
        <v>7466667</v>
      </c>
      <c r="F134" s="141"/>
      <c r="G134" s="141"/>
      <c r="H134" s="141"/>
      <c r="I134" s="141"/>
      <c r="J134" s="141"/>
      <c r="K134" s="141"/>
      <c r="L134" s="141"/>
      <c r="M134" s="141"/>
      <c r="N134" s="141"/>
    </row>
    <row r="135" spans="2:14" ht="16.5" thickTop="1" thickBot="1" x14ac:dyDescent="0.3">
      <c r="B135" s="725" t="s">
        <v>1578</v>
      </c>
      <c r="C135" s="725"/>
      <c r="D135" s="726"/>
      <c r="E135" s="726">
        <v>128182500</v>
      </c>
      <c r="F135" s="141"/>
      <c r="G135" s="141"/>
      <c r="H135" s="141"/>
      <c r="I135" s="141"/>
      <c r="J135" s="141"/>
      <c r="K135" s="141"/>
      <c r="L135" s="141"/>
      <c r="M135" s="141"/>
      <c r="N135" s="141"/>
    </row>
    <row r="136" spans="2:14" ht="14.25" thickTop="1" x14ac:dyDescent="0.25">
      <c r="B136" s="141"/>
      <c r="C136" s="710"/>
      <c r="D136" s="141"/>
      <c r="E136" s="141"/>
      <c r="F136" s="141"/>
      <c r="G136" s="141"/>
      <c r="H136" s="141"/>
      <c r="I136" s="141"/>
      <c r="J136" s="141"/>
      <c r="K136" s="141"/>
      <c r="L136" s="141"/>
      <c r="M136" s="141"/>
      <c r="N136" s="141"/>
    </row>
    <row r="137" spans="2:14" x14ac:dyDescent="0.25">
      <c r="B137" s="141"/>
      <c r="C137" s="710"/>
      <c r="D137" s="141"/>
      <c r="E137" s="141"/>
      <c r="F137" s="141"/>
      <c r="G137" s="141"/>
      <c r="H137" s="141"/>
      <c r="I137" s="141"/>
      <c r="J137" s="141"/>
      <c r="K137" s="141"/>
      <c r="L137" s="141"/>
      <c r="M137" s="141"/>
      <c r="N137" s="141"/>
    </row>
    <row r="138" spans="2:14" x14ac:dyDescent="0.25">
      <c r="B138" s="141"/>
      <c r="C138" s="710"/>
      <c r="D138" s="141"/>
      <c r="E138" s="141"/>
      <c r="F138" s="141"/>
      <c r="G138" s="141"/>
      <c r="H138" s="141"/>
      <c r="I138" s="141"/>
      <c r="J138" s="141"/>
      <c r="K138" s="141"/>
      <c r="L138" s="141"/>
      <c r="M138" s="141"/>
      <c r="N138" s="141"/>
    </row>
    <row r="139" spans="2:14" x14ac:dyDescent="0.25">
      <c r="B139" s="141"/>
      <c r="C139" s="710"/>
      <c r="D139" s="141"/>
      <c r="E139" s="141"/>
      <c r="F139" s="141"/>
      <c r="G139" s="141"/>
      <c r="H139" s="141"/>
      <c r="I139" s="141"/>
      <c r="J139" s="141"/>
      <c r="K139" s="141"/>
      <c r="L139" s="141"/>
      <c r="M139" s="141"/>
      <c r="N139" s="141"/>
    </row>
    <row r="140" spans="2:14" ht="25.5" x14ac:dyDescent="0.25">
      <c r="B140" s="705" t="s">
        <v>146</v>
      </c>
      <c r="C140" s="705" t="s">
        <v>5</v>
      </c>
      <c r="D140" s="706" t="s">
        <v>6</v>
      </c>
      <c r="E140" s="706" t="s">
        <v>145</v>
      </c>
      <c r="F140" s="706" t="s">
        <v>3</v>
      </c>
      <c r="G140" s="705" t="s">
        <v>7</v>
      </c>
      <c r="H140" s="1013" t="s">
        <v>8</v>
      </c>
      <c r="I140" s="1013"/>
      <c r="J140" s="1013"/>
      <c r="K140" s="1013"/>
      <c r="L140" s="1013"/>
      <c r="M140" s="1013"/>
      <c r="N140" s="1013"/>
    </row>
    <row r="141" spans="2:14" ht="25.5" x14ac:dyDescent="0.25">
      <c r="B141" s="707"/>
      <c r="C141" s="708" t="s">
        <v>1127</v>
      </c>
      <c r="D141" s="708" t="s">
        <v>1595</v>
      </c>
      <c r="E141" s="708" t="s">
        <v>247</v>
      </c>
      <c r="F141" s="709">
        <v>2025</v>
      </c>
      <c r="G141" s="709"/>
      <c r="H141" s="847" t="s">
        <v>1596</v>
      </c>
      <c r="I141" s="1012"/>
      <c r="J141" s="1012"/>
      <c r="K141" s="1012"/>
      <c r="L141" s="1012"/>
      <c r="M141" s="1012"/>
      <c r="N141" s="1012"/>
    </row>
    <row r="142" spans="2:14" x14ac:dyDescent="0.25">
      <c r="B142" s="141"/>
      <c r="C142" s="710"/>
      <c r="D142" s="141"/>
      <c r="E142" s="141"/>
      <c r="F142" s="141"/>
      <c r="G142" s="141"/>
      <c r="H142" s="141"/>
      <c r="I142" s="141"/>
      <c r="J142" s="141"/>
      <c r="K142" s="141"/>
      <c r="L142" s="141"/>
      <c r="M142" s="141"/>
      <c r="N142" s="141"/>
    </row>
    <row r="143" spans="2:14" x14ac:dyDescent="0.25">
      <c r="B143" s="141"/>
      <c r="C143" s="710"/>
      <c r="D143" s="141"/>
      <c r="E143" s="141"/>
      <c r="F143" s="141"/>
      <c r="G143" s="141"/>
      <c r="H143" s="141"/>
      <c r="I143" s="141"/>
      <c r="J143" s="141"/>
      <c r="K143" s="141"/>
      <c r="L143" s="141"/>
      <c r="M143" s="141"/>
      <c r="N143" s="141"/>
    </row>
    <row r="144" spans="2:14" ht="25.5" x14ac:dyDescent="0.25">
      <c r="B144" s="718" t="s">
        <v>1579</v>
      </c>
      <c r="C144" s="718" t="s">
        <v>1580</v>
      </c>
      <c r="D144" s="1011" t="s">
        <v>485</v>
      </c>
      <c r="E144" s="1002"/>
      <c r="F144" s="728" t="s">
        <v>249</v>
      </c>
      <c r="G144" s="1001" t="s">
        <v>1581</v>
      </c>
      <c r="H144" s="1001"/>
      <c r="I144" s="1001" t="s">
        <v>1582</v>
      </c>
      <c r="J144" s="1002"/>
      <c r="K144" s="729" t="s">
        <v>1583</v>
      </c>
      <c r="L144" s="141"/>
      <c r="M144" s="141"/>
      <c r="N144" s="141"/>
    </row>
    <row r="145" spans="2:14" ht="25.5" x14ac:dyDescent="0.25">
      <c r="B145" s="1003" t="s">
        <v>1560</v>
      </c>
      <c r="C145" s="730" t="s">
        <v>1584</v>
      </c>
      <c r="D145" s="1004" t="s">
        <v>1585</v>
      </c>
      <c r="E145" s="1004"/>
      <c r="F145" s="731">
        <v>1</v>
      </c>
      <c r="G145" s="1005">
        <v>5</v>
      </c>
      <c r="H145" s="1006"/>
      <c r="I145" s="1007">
        <v>33705328.299999997</v>
      </c>
      <c r="J145" s="1008"/>
      <c r="K145" s="732">
        <f>F145*I145*G145</f>
        <v>168526641.5</v>
      </c>
      <c r="L145" s="141"/>
      <c r="M145" s="141"/>
      <c r="N145" s="141"/>
    </row>
    <row r="146" spans="2:14" x14ac:dyDescent="0.25">
      <c r="B146" s="1002"/>
      <c r="C146" s="1009" t="s">
        <v>765</v>
      </c>
      <c r="D146" s="1009"/>
      <c r="E146" s="1009"/>
      <c r="F146" s="1009"/>
      <c r="G146" s="1009"/>
      <c r="H146" s="1009"/>
      <c r="I146" s="1009"/>
      <c r="J146" s="1009"/>
      <c r="K146" s="733">
        <f>SUM(K145:K145)</f>
        <v>168526641.5</v>
      </c>
      <c r="L146" s="141"/>
      <c r="M146" s="141"/>
      <c r="N146" s="141"/>
    </row>
    <row r="147" spans="2:14" ht="15" x14ac:dyDescent="0.25">
      <c r="B147" s="997" t="s">
        <v>1586</v>
      </c>
      <c r="C147" s="998"/>
      <c r="D147" s="998"/>
      <c r="E147" s="998"/>
      <c r="F147" s="998"/>
      <c r="G147" s="998"/>
      <c r="H147" s="998"/>
      <c r="I147" s="998"/>
      <c r="J147" s="998"/>
      <c r="K147" s="998"/>
      <c r="L147" s="141"/>
      <c r="M147" s="141"/>
      <c r="N147" s="141"/>
    </row>
    <row r="148" spans="2:14" ht="15" x14ac:dyDescent="0.25">
      <c r="B148"/>
      <c r="C148"/>
      <c r="D148"/>
      <c r="E148"/>
      <c r="F148"/>
      <c r="G148"/>
      <c r="H148"/>
      <c r="I148"/>
      <c r="J148"/>
      <c r="K148"/>
      <c r="L148" s="141"/>
      <c r="M148" s="141"/>
      <c r="N148" s="141"/>
    </row>
    <row r="149" spans="2:14" ht="15" x14ac:dyDescent="0.25">
      <c r="B149"/>
      <c r="C149"/>
      <c r="D149"/>
      <c r="E149"/>
      <c r="F149"/>
      <c r="G149"/>
      <c r="H149"/>
      <c r="I149" s="999" t="s">
        <v>1587</v>
      </c>
      <c r="J149" s="999"/>
      <c r="K149" s="999"/>
      <c r="L149" s="141"/>
      <c r="M149" s="141"/>
      <c r="N149" s="141"/>
    </row>
    <row r="150" spans="2:14" ht="25.5" x14ac:dyDescent="0.25">
      <c r="B150"/>
      <c r="C150"/>
      <c r="D150"/>
      <c r="E150" s="716" t="s">
        <v>1560</v>
      </c>
      <c r="F150" s="714">
        <f>K146</f>
        <v>168526641.5</v>
      </c>
      <c r="G150"/>
      <c r="H150" s="356"/>
      <c r="I150" s="1000" t="s">
        <v>1588</v>
      </c>
      <c r="J150" s="993"/>
      <c r="K150" s="734">
        <v>2258000000</v>
      </c>
      <c r="L150" s="141"/>
      <c r="M150" s="141"/>
      <c r="N150" s="141"/>
    </row>
    <row r="151" spans="2:14" ht="25.5" x14ac:dyDescent="0.25">
      <c r="B151"/>
      <c r="C151"/>
      <c r="D151"/>
      <c r="E151" s="716" t="s">
        <v>1079</v>
      </c>
      <c r="F151" s="714">
        <f>K158</f>
        <v>3625202830</v>
      </c>
      <c r="G151"/>
      <c r="H151"/>
      <c r="I151" s="1000" t="s">
        <v>1589</v>
      </c>
      <c r="J151" s="993"/>
      <c r="K151" s="734">
        <v>237633100</v>
      </c>
      <c r="L151" s="141"/>
      <c r="M151" s="141"/>
      <c r="N151" s="141"/>
    </row>
    <row r="152" spans="2:14" ht="15" x14ac:dyDescent="0.25">
      <c r="B152"/>
      <c r="C152"/>
      <c r="D152"/>
      <c r="E152" s="716" t="s">
        <v>1557</v>
      </c>
      <c r="F152" s="717">
        <f>F150/F151</f>
        <v>4.6487506879718504E-2</v>
      </c>
      <c r="G152"/>
      <c r="H152"/>
      <c r="I152" s="992" t="s">
        <v>1127</v>
      </c>
      <c r="J152" s="993"/>
      <c r="K152" s="734">
        <v>5184000</v>
      </c>
      <c r="L152" s="141"/>
      <c r="M152" s="141"/>
      <c r="N152" s="141"/>
    </row>
    <row r="153" spans="2:14" ht="15" x14ac:dyDescent="0.25">
      <c r="B153"/>
      <c r="C153"/>
      <c r="D153"/>
      <c r="E153"/>
      <c r="F153"/>
      <c r="G153"/>
      <c r="H153"/>
      <c r="I153" s="992" t="s">
        <v>1590</v>
      </c>
      <c r="J153" s="993"/>
      <c r="K153" s="734">
        <v>741760000</v>
      </c>
      <c r="L153" s="141"/>
      <c r="M153" s="141"/>
      <c r="N153" s="141"/>
    </row>
    <row r="154" spans="2:14" ht="15" x14ac:dyDescent="0.25">
      <c r="B154"/>
      <c r="C154"/>
      <c r="D154"/>
      <c r="E154"/>
      <c r="F154"/>
      <c r="G154"/>
      <c r="H154"/>
      <c r="I154" s="992" t="s">
        <v>1591</v>
      </c>
      <c r="J154" s="994" t="s">
        <v>1591</v>
      </c>
      <c r="K154" s="734">
        <v>79678947</v>
      </c>
      <c r="L154" s="141"/>
      <c r="M154" s="141"/>
      <c r="N154" s="141"/>
    </row>
    <row r="155" spans="2:14" ht="15" x14ac:dyDescent="0.25">
      <c r="B155"/>
      <c r="C155"/>
      <c r="D155"/>
      <c r="E155"/>
      <c r="F155"/>
      <c r="G155"/>
      <c r="H155"/>
      <c r="I155" s="992" t="s">
        <v>1592</v>
      </c>
      <c r="J155" s="994"/>
      <c r="K155" s="734">
        <v>134420141.5</v>
      </c>
    </row>
    <row r="156" spans="2:14" ht="15" x14ac:dyDescent="0.25">
      <c r="B156"/>
      <c r="C156"/>
      <c r="D156"/>
      <c r="E156"/>
      <c r="F156"/>
      <c r="G156"/>
      <c r="H156"/>
      <c r="I156" s="992" t="s">
        <v>1593</v>
      </c>
      <c r="J156" s="994"/>
      <c r="K156" s="734">
        <v>168526641.5</v>
      </c>
    </row>
    <row r="157" spans="2:14" ht="15" x14ac:dyDescent="0.25">
      <c r="B157"/>
      <c r="C157"/>
      <c r="D157"/>
      <c r="E157"/>
      <c r="F157"/>
      <c r="G157"/>
      <c r="H157"/>
      <c r="I157" s="995" t="s">
        <v>299</v>
      </c>
      <c r="J157" s="996"/>
      <c r="K157" s="735">
        <v>3625202830</v>
      </c>
    </row>
    <row r="158" spans="2:14" ht="15" x14ac:dyDescent="0.25">
      <c r="B158"/>
      <c r="C158"/>
      <c r="D158"/>
      <c r="E158"/>
      <c r="F158"/>
      <c r="G158"/>
      <c r="H158"/>
      <c r="I158" s="989" t="s">
        <v>1123</v>
      </c>
      <c r="J158" s="989"/>
      <c r="K158" s="736">
        <v>3625202830</v>
      </c>
    </row>
    <row r="159" spans="2:14" ht="15" x14ac:dyDescent="0.25">
      <c r="B159"/>
      <c r="C159"/>
      <c r="D159"/>
      <c r="E159"/>
      <c r="F159"/>
      <c r="G159"/>
      <c r="H159"/>
      <c r="I159" s="990" t="s">
        <v>1594</v>
      </c>
      <c r="J159" s="991"/>
      <c r="K159" s="737">
        <f>+K157-K158</f>
        <v>0</v>
      </c>
    </row>
  </sheetData>
  <mergeCells count="50">
    <mergeCell ref="H5:M5"/>
    <mergeCell ref="B8:G8"/>
    <mergeCell ref="B9:B11"/>
    <mergeCell ref="H4:M4"/>
    <mergeCell ref="B22:B32"/>
    <mergeCell ref="C22:C32"/>
    <mergeCell ref="D22:D32"/>
    <mergeCell ref="E32:N32"/>
    <mergeCell ref="B34:N34"/>
    <mergeCell ref="H17:N17"/>
    <mergeCell ref="H18:N18"/>
    <mergeCell ref="H38:M38"/>
    <mergeCell ref="H39:M39"/>
    <mergeCell ref="H58:N58"/>
    <mergeCell ref="H59:N59"/>
    <mergeCell ref="B62:E62"/>
    <mergeCell ref="B63:E63"/>
    <mergeCell ref="B64:E64"/>
    <mergeCell ref="H68:N68"/>
    <mergeCell ref="H69:N69"/>
    <mergeCell ref="H96:N96"/>
    <mergeCell ref="H97:N97"/>
    <mergeCell ref="H111:N111"/>
    <mergeCell ref="B125:F125"/>
    <mergeCell ref="B130:E130"/>
    <mergeCell ref="D144:E144"/>
    <mergeCell ref="G144:H144"/>
    <mergeCell ref="H112:N112"/>
    <mergeCell ref="H121:N121"/>
    <mergeCell ref="H122:N122"/>
    <mergeCell ref="H140:N140"/>
    <mergeCell ref="H141:N141"/>
    <mergeCell ref="I144:J144"/>
    <mergeCell ref="B145:B146"/>
    <mergeCell ref="D145:E145"/>
    <mergeCell ref="G145:H145"/>
    <mergeCell ref="I145:J145"/>
    <mergeCell ref="C146:J146"/>
    <mergeCell ref="B147:K147"/>
    <mergeCell ref="I149:K149"/>
    <mergeCell ref="I150:J150"/>
    <mergeCell ref="I151:J151"/>
    <mergeCell ref="I152:J152"/>
    <mergeCell ref="I158:J158"/>
    <mergeCell ref="I159:J159"/>
    <mergeCell ref="I153:J153"/>
    <mergeCell ref="I154:J154"/>
    <mergeCell ref="I155:J155"/>
    <mergeCell ref="I156:J156"/>
    <mergeCell ref="I157:J157"/>
  </mergeCells>
  <hyperlinks>
    <hyperlink ref="H5" r:id="rId1" xr:uid="{5235C753-983C-4B69-BBDB-2F7B691BB25D}"/>
    <hyperlink ref="H18" r:id="rId2" xr:uid="{7F40A8CA-E5DE-46AD-AE6E-F5540ACC61D9}"/>
    <hyperlink ref="H39" r:id="rId3" xr:uid="{7B747EE3-D467-4EBA-A08B-C42173FA35BB}"/>
    <hyperlink ref="H59" r:id="rId4" xr:uid="{E535D278-F728-4773-9256-620B83D07A92}"/>
    <hyperlink ref="H69" r:id="rId5" xr:uid="{287E7E72-CF3A-4E64-98C5-0B6BBD5205A7}"/>
    <hyperlink ref="H97" r:id="rId6" xr:uid="{C40EA3CB-EB72-4802-8EEB-A5C5D0D521EF}"/>
    <hyperlink ref="H112" r:id="rId7" xr:uid="{D8FA694F-BCCD-4AD0-BF1E-B040353E16F0}"/>
    <hyperlink ref="H122" r:id="rId8" xr:uid="{35BBEFFF-F407-4F14-814D-0199F4DA7F9F}"/>
    <hyperlink ref="H141" r:id="rId9" xr:uid="{39B2160A-2195-43B5-90ED-89E20E869B88}"/>
  </hyperlinks>
  <pageMargins left="0.7" right="0.7" top="0.75" bottom="0.75" header="0.3" footer="0.3"/>
  <drawing r:id="rId1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AF773-6891-486F-81DD-CF0FEF618094}">
  <dimension ref="A1"/>
  <sheetViews>
    <sheetView workbookViewId="0"/>
  </sheetViews>
  <sheetFormatPr baseColWidth="10" defaultRowHeight="15" x14ac:dyDescent="0.25"/>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F6A1A-2275-4196-8F06-18A3090E07D0}">
  <sheetPr>
    <pageSetUpPr fitToPage="1"/>
  </sheetPr>
  <dimension ref="A1:I256"/>
  <sheetViews>
    <sheetView workbookViewId="0"/>
  </sheetViews>
  <sheetFormatPr baseColWidth="10" defaultColWidth="0" defaultRowHeight="13.5" customHeight="1" zeroHeight="1" x14ac:dyDescent="0.25"/>
  <cols>
    <col min="1" max="1" width="1.7109375" style="7" customWidth="1"/>
    <col min="2" max="2" width="8.42578125" style="7" customWidth="1"/>
    <col min="3" max="3" width="89" style="7" customWidth="1"/>
    <col min="4" max="4" width="8.28515625" style="7" customWidth="1"/>
    <col min="5" max="6" width="15.5703125" style="21" customWidth="1"/>
    <col min="7" max="7" width="42.28515625" style="21" customWidth="1"/>
    <col min="8" max="8" width="3.28515625" style="7" customWidth="1"/>
    <col min="9" max="9" width="0" style="7" hidden="1" customWidth="1"/>
    <col min="10" max="16384" width="12.42578125" style="7" hidden="1"/>
  </cols>
  <sheetData>
    <row r="1" spans="2:7" ht="7.35" customHeight="1" x14ac:dyDescent="0.25"/>
    <row r="2" spans="2:7" s="5" customFormat="1" ht="17.45" customHeight="1" x14ac:dyDescent="0.25">
      <c r="B2" s="1031" t="s">
        <v>9</v>
      </c>
      <c r="C2" s="1032"/>
      <c r="D2" s="1032"/>
      <c r="E2" s="1032"/>
      <c r="F2" s="1032"/>
      <c r="G2" s="1033"/>
    </row>
    <row r="3" spans="2:7" s="5" customFormat="1" ht="17.45" customHeight="1" x14ac:dyDescent="0.25">
      <c r="B3" s="1034"/>
      <c r="C3" s="1035"/>
      <c r="D3" s="1035"/>
      <c r="E3" s="1035"/>
      <c r="F3" s="1035"/>
      <c r="G3" s="1036"/>
    </row>
    <row r="4" spans="2:7" s="5" customFormat="1" ht="17.45" customHeight="1" x14ac:dyDescent="0.25">
      <c r="B4" s="1037"/>
      <c r="C4" s="1038"/>
      <c r="D4" s="1038"/>
      <c r="E4" s="1038"/>
      <c r="F4" s="1038"/>
      <c r="G4" s="1039"/>
    </row>
    <row r="5" spans="2:7" s="233" customFormat="1" ht="15.75" x14ac:dyDescent="0.25">
      <c r="B5" s="1040" t="s">
        <v>10</v>
      </c>
      <c r="C5" s="1040"/>
      <c r="D5" s="1040"/>
      <c r="E5" s="1040"/>
      <c r="F5" s="1040"/>
      <c r="G5" s="1040"/>
    </row>
    <row r="6" spans="2:7" s="5" customFormat="1" ht="58.9" customHeight="1" x14ac:dyDescent="0.25">
      <c r="B6" s="1041" t="s">
        <v>560</v>
      </c>
      <c r="C6" s="1041"/>
      <c r="D6" s="1041"/>
      <c r="E6" s="1041"/>
      <c r="F6" s="1041"/>
      <c r="G6" s="1041"/>
    </row>
    <row r="7" spans="2:7" s="5" customFormat="1" x14ac:dyDescent="0.25">
      <c r="B7" s="6" t="s">
        <v>11</v>
      </c>
      <c r="C7" s="1042" t="s">
        <v>561</v>
      </c>
      <c r="D7" s="1043"/>
      <c r="E7" s="1043"/>
      <c r="F7" s="1043"/>
      <c r="G7" s="1043"/>
    </row>
    <row r="8" spans="2:7" s="5" customFormat="1" ht="15" x14ac:dyDescent="0.25">
      <c r="B8" s="6" t="s">
        <v>12</v>
      </c>
      <c r="C8" s="1044" t="s">
        <v>562</v>
      </c>
      <c r="D8" s="1045"/>
      <c r="E8" s="1045"/>
      <c r="F8" s="1045"/>
      <c r="G8" s="1045"/>
    </row>
    <row r="9" spans="2:7" s="5" customFormat="1" x14ac:dyDescent="0.25">
      <c r="B9" s="1046" t="s">
        <v>13</v>
      </c>
      <c r="C9" s="1046"/>
      <c r="D9" s="1046"/>
      <c r="E9" s="1046"/>
      <c r="F9" s="1046"/>
      <c r="G9" s="1046"/>
    </row>
    <row r="10" spans="2:7" s="5" customFormat="1" ht="68.45" customHeight="1" x14ac:dyDescent="0.25">
      <c r="B10" s="1047" t="s">
        <v>563</v>
      </c>
      <c r="C10" s="1048"/>
      <c r="D10" s="1048"/>
      <c r="E10" s="1048"/>
      <c r="F10" s="1048"/>
      <c r="G10" s="1049"/>
    </row>
    <row r="11" spans="2:7" x14ac:dyDescent="0.25">
      <c r="B11" s="1050" t="s">
        <v>564</v>
      </c>
      <c r="C11" s="1051"/>
      <c r="D11" s="1051"/>
      <c r="E11" s="1051"/>
      <c r="F11" s="1052"/>
      <c r="G11" s="234">
        <v>9.5</v>
      </c>
    </row>
    <row r="12" spans="2:7" ht="16.5" x14ac:dyDescent="0.25">
      <c r="B12" s="1053" t="s">
        <v>14</v>
      </c>
      <c r="C12" s="1053"/>
      <c r="D12" s="1053"/>
      <c r="E12" s="1053"/>
      <c r="F12" s="1053"/>
      <c r="G12" s="1053"/>
    </row>
    <row r="13" spans="2:7" ht="42" customHeight="1" x14ac:dyDescent="0.25">
      <c r="B13" s="1027" t="s">
        <v>15</v>
      </c>
      <c r="C13" s="1027"/>
      <c r="D13" s="1027"/>
      <c r="E13" s="8" t="s">
        <v>565</v>
      </c>
      <c r="F13" s="8" t="s">
        <v>566</v>
      </c>
      <c r="G13" s="9" t="s">
        <v>16</v>
      </c>
    </row>
    <row r="14" spans="2:7" ht="24.6" customHeight="1" x14ac:dyDescent="0.25">
      <c r="B14" s="1028" t="s">
        <v>567</v>
      </c>
      <c r="C14" s="1028"/>
      <c r="D14" s="1028"/>
      <c r="E14" s="10">
        <v>0.16</v>
      </c>
      <c r="F14" s="235">
        <v>2.5899999999999999E-2</v>
      </c>
      <c r="G14" s="236" t="str">
        <f>+IF(F14&gt;E14,"El porcentaje ofertado por cada uno de los items no puede ser mayor al porcentaje techo","")</f>
        <v/>
      </c>
    </row>
    <row r="15" spans="2:7" ht="16.5" x14ac:dyDescent="0.25">
      <c r="B15" s="1029" t="s">
        <v>568</v>
      </c>
      <c r="C15" s="1029"/>
      <c r="D15" s="1029"/>
      <c r="E15" s="1029"/>
      <c r="F15" s="1029"/>
      <c r="G15" s="1029"/>
    </row>
    <row r="16" spans="2:7" ht="42" customHeight="1" x14ac:dyDescent="0.25">
      <c r="B16" s="1027" t="s">
        <v>15</v>
      </c>
      <c r="C16" s="1027"/>
      <c r="D16" s="1027"/>
      <c r="E16" s="8" t="s">
        <v>565</v>
      </c>
      <c r="F16" s="8" t="s">
        <v>566</v>
      </c>
      <c r="G16" s="9" t="s">
        <v>16</v>
      </c>
    </row>
    <row r="17" spans="2:9" ht="24.6" customHeight="1" x14ac:dyDescent="0.25">
      <c r="B17" s="1028" t="s">
        <v>569</v>
      </c>
      <c r="C17" s="1028"/>
      <c r="D17" s="1028"/>
      <c r="E17" s="10">
        <v>0.11</v>
      </c>
      <c r="F17" s="235">
        <v>1.5800000000000002E-2</v>
      </c>
      <c r="G17" s="236" t="str">
        <f>+IF(F17&gt;E17,"El porcentaje ofertado por cada uno de los items no puede ser mayor al porcentaje techo","")</f>
        <v/>
      </c>
    </row>
    <row r="18" spans="2:9" ht="16.5" x14ac:dyDescent="0.25">
      <c r="B18" s="1029" t="s">
        <v>570</v>
      </c>
      <c r="C18" s="1029"/>
      <c r="D18" s="1029"/>
      <c r="E18" s="1029"/>
      <c r="F18" s="1029"/>
      <c r="G18" s="1029"/>
    </row>
    <row r="19" spans="2:9" ht="42" customHeight="1" x14ac:dyDescent="0.25">
      <c r="B19" s="1027" t="s">
        <v>15</v>
      </c>
      <c r="C19" s="1027"/>
      <c r="D19" s="1027"/>
      <c r="E19" s="8" t="s">
        <v>565</v>
      </c>
      <c r="F19" s="8" t="s">
        <v>566</v>
      </c>
      <c r="G19" s="9" t="s">
        <v>16</v>
      </c>
    </row>
    <row r="20" spans="2:9" ht="24.6" customHeight="1" x14ac:dyDescent="0.25">
      <c r="B20" s="1028" t="s">
        <v>571</v>
      </c>
      <c r="C20" s="1028"/>
      <c r="D20" s="1028"/>
      <c r="E20" s="10">
        <v>0.17</v>
      </c>
      <c r="F20" s="235">
        <v>1.5800000000000002E-2</v>
      </c>
      <c r="G20" s="236" t="str">
        <f>+IF(F20&gt;E20,"El porcentaje ofertado por cada uno de los items no puede ser mayor al porcentaje techo","")</f>
        <v/>
      </c>
    </row>
    <row r="21" spans="2:9" ht="16.5" customHeight="1" x14ac:dyDescent="0.25">
      <c r="B21" s="1030" t="s">
        <v>572</v>
      </c>
      <c r="C21" s="1030"/>
      <c r="D21" s="1030"/>
      <c r="E21" s="1030"/>
      <c r="F21" s="1030"/>
      <c r="G21" s="1030"/>
    </row>
    <row r="22" spans="2:9" s="13" customFormat="1" ht="40.5" x14ac:dyDescent="0.25">
      <c r="B22" s="11" t="s">
        <v>17</v>
      </c>
      <c r="C22" s="11" t="s">
        <v>573</v>
      </c>
      <c r="D22" s="11" t="s">
        <v>19</v>
      </c>
      <c r="E22" s="12" t="s">
        <v>574</v>
      </c>
      <c r="F22" s="12" t="s">
        <v>575</v>
      </c>
      <c r="G22" s="9" t="s">
        <v>16</v>
      </c>
    </row>
    <row r="23" spans="2:9" ht="81" x14ac:dyDescent="0.25">
      <c r="B23" s="14">
        <v>1</v>
      </c>
      <c r="C23" s="237" t="s">
        <v>475</v>
      </c>
      <c r="D23" s="14">
        <v>1</v>
      </c>
      <c r="E23" s="238">
        <v>2221460</v>
      </c>
      <c r="F23" s="239">
        <v>1677202</v>
      </c>
      <c r="G23" s="240" t="str">
        <f>+IF(F23&gt;E23,"El precio ofertado por cada uno de los items no puede ser mayor al precio techo","")</f>
        <v/>
      </c>
      <c r="I23" s="16"/>
    </row>
    <row r="24" spans="2:9" ht="54" x14ac:dyDescent="0.25">
      <c r="B24" s="14">
        <v>2</v>
      </c>
      <c r="C24" s="237" t="s">
        <v>471</v>
      </c>
      <c r="D24" s="14">
        <v>1</v>
      </c>
      <c r="E24" s="238">
        <v>26250</v>
      </c>
      <c r="F24" s="239">
        <v>19819</v>
      </c>
      <c r="G24" s="240" t="str">
        <f t="shared" ref="G24:G87" si="0">+IF(F24&gt;E24,"El precio ofertado por cada uno de los items no puede ser mayor al precio techo","")</f>
        <v/>
      </c>
    </row>
    <row r="25" spans="2:9" ht="54" x14ac:dyDescent="0.25">
      <c r="B25" s="14">
        <v>3</v>
      </c>
      <c r="C25" s="237" t="s">
        <v>472</v>
      </c>
      <c r="D25" s="14">
        <v>1</v>
      </c>
      <c r="E25" s="238">
        <v>31365</v>
      </c>
      <c r="F25" s="239">
        <v>23681</v>
      </c>
      <c r="G25" s="240" t="str">
        <f t="shared" si="0"/>
        <v/>
      </c>
    </row>
    <row r="26" spans="2:9" ht="67.5" x14ac:dyDescent="0.25">
      <c r="B26" s="14">
        <v>4</v>
      </c>
      <c r="C26" s="237" t="s">
        <v>473</v>
      </c>
      <c r="D26" s="14">
        <v>1</v>
      </c>
      <c r="E26" s="238">
        <v>42035</v>
      </c>
      <c r="F26" s="239">
        <v>31736</v>
      </c>
      <c r="G26" s="240" t="str">
        <f t="shared" si="0"/>
        <v/>
      </c>
    </row>
    <row r="27" spans="2:9" ht="54" x14ac:dyDescent="0.25">
      <c r="B27" s="14">
        <v>5</v>
      </c>
      <c r="C27" s="237" t="s">
        <v>20</v>
      </c>
      <c r="D27" s="14">
        <v>1</v>
      </c>
      <c r="E27" s="238">
        <v>57516</v>
      </c>
      <c r="F27" s="239">
        <v>43425</v>
      </c>
      <c r="G27" s="240" t="str">
        <f t="shared" si="0"/>
        <v/>
      </c>
    </row>
    <row r="28" spans="2:9" ht="81" x14ac:dyDescent="0.25">
      <c r="B28" s="14">
        <v>6</v>
      </c>
      <c r="C28" s="237" t="s">
        <v>474</v>
      </c>
      <c r="D28" s="14">
        <v>1</v>
      </c>
      <c r="E28" s="238">
        <v>71922</v>
      </c>
      <c r="F28" s="239">
        <v>54301</v>
      </c>
      <c r="G28" s="240" t="str">
        <f t="shared" si="0"/>
        <v/>
      </c>
    </row>
    <row r="29" spans="2:9" ht="40.5" x14ac:dyDescent="0.25">
      <c r="B29" s="14">
        <v>7</v>
      </c>
      <c r="C29" s="237" t="s">
        <v>21</v>
      </c>
      <c r="D29" s="14">
        <v>1</v>
      </c>
      <c r="E29" s="238">
        <v>80156</v>
      </c>
      <c r="F29" s="239">
        <v>60518</v>
      </c>
      <c r="G29" s="240" t="str">
        <f t="shared" si="0"/>
        <v/>
      </c>
    </row>
    <row r="30" spans="2:9" ht="54" x14ac:dyDescent="0.25">
      <c r="B30" s="14">
        <v>8</v>
      </c>
      <c r="C30" s="237" t="s">
        <v>22</v>
      </c>
      <c r="D30" s="14">
        <v>1</v>
      </c>
      <c r="E30" s="238">
        <v>70229</v>
      </c>
      <c r="F30" s="239">
        <v>53023</v>
      </c>
      <c r="G30" s="240" t="str">
        <f t="shared" si="0"/>
        <v/>
      </c>
    </row>
    <row r="31" spans="2:9" ht="40.5" x14ac:dyDescent="0.25">
      <c r="B31" s="14">
        <v>9</v>
      </c>
      <c r="C31" s="237" t="s">
        <v>23</v>
      </c>
      <c r="D31" s="14">
        <v>1</v>
      </c>
      <c r="E31" s="238">
        <v>93939</v>
      </c>
      <c r="F31" s="239">
        <v>70924</v>
      </c>
      <c r="G31" s="240" t="str">
        <f t="shared" si="0"/>
        <v/>
      </c>
      <c r="H31" s="21"/>
    </row>
    <row r="32" spans="2:9" x14ac:dyDescent="0.25">
      <c r="B32" s="14">
        <v>10</v>
      </c>
      <c r="C32" s="237" t="s">
        <v>24</v>
      </c>
      <c r="D32" s="14">
        <v>1</v>
      </c>
      <c r="E32" s="238">
        <v>82375</v>
      </c>
      <c r="F32" s="239">
        <v>62193</v>
      </c>
      <c r="G32" s="240" t="str">
        <f t="shared" si="0"/>
        <v/>
      </c>
    </row>
    <row r="33" spans="2:7" x14ac:dyDescent="0.25">
      <c r="B33" s="14">
        <v>11</v>
      </c>
      <c r="C33" s="237" t="s">
        <v>25</v>
      </c>
      <c r="D33" s="14">
        <v>1</v>
      </c>
      <c r="E33" s="238">
        <v>4771</v>
      </c>
      <c r="F33" s="239">
        <v>3602</v>
      </c>
      <c r="G33" s="240" t="str">
        <f t="shared" si="0"/>
        <v/>
      </c>
    </row>
    <row r="34" spans="2:7" x14ac:dyDescent="0.25">
      <c r="B34" s="14">
        <v>12</v>
      </c>
      <c r="C34" s="15" t="s">
        <v>26</v>
      </c>
      <c r="D34" s="14">
        <v>1</v>
      </c>
      <c r="E34" s="238">
        <v>3445</v>
      </c>
      <c r="F34" s="239">
        <v>3101</v>
      </c>
      <c r="G34" s="240" t="str">
        <f t="shared" si="0"/>
        <v/>
      </c>
    </row>
    <row r="35" spans="2:7" x14ac:dyDescent="0.25">
      <c r="B35" s="14">
        <v>13</v>
      </c>
      <c r="C35" s="15" t="s">
        <v>576</v>
      </c>
      <c r="D35" s="14">
        <v>1</v>
      </c>
      <c r="E35" s="238">
        <v>261466</v>
      </c>
      <c r="F35" s="239">
        <v>175182</v>
      </c>
      <c r="G35" s="240" t="str">
        <f t="shared" si="0"/>
        <v/>
      </c>
    </row>
    <row r="36" spans="2:7" x14ac:dyDescent="0.25">
      <c r="B36" s="14">
        <v>14</v>
      </c>
      <c r="C36" s="15" t="s">
        <v>27</v>
      </c>
      <c r="D36" s="14">
        <v>1</v>
      </c>
      <c r="E36" s="238">
        <v>894735</v>
      </c>
      <c r="F36" s="239">
        <v>599472</v>
      </c>
      <c r="G36" s="240" t="str">
        <f t="shared" si="0"/>
        <v/>
      </c>
    </row>
    <row r="37" spans="2:7" x14ac:dyDescent="0.25">
      <c r="B37" s="14">
        <v>15</v>
      </c>
      <c r="C37" s="15" t="s">
        <v>28</v>
      </c>
      <c r="D37" s="14">
        <v>1</v>
      </c>
      <c r="E37" s="238">
        <v>667546</v>
      </c>
      <c r="F37" s="239">
        <v>447256</v>
      </c>
      <c r="G37" s="240" t="str">
        <f t="shared" si="0"/>
        <v/>
      </c>
    </row>
    <row r="38" spans="2:7" x14ac:dyDescent="0.25">
      <c r="B38" s="14">
        <v>16</v>
      </c>
      <c r="C38" s="17" t="s">
        <v>29</v>
      </c>
      <c r="D38" s="14">
        <v>1</v>
      </c>
      <c r="E38" s="238">
        <v>494964</v>
      </c>
      <c r="F38" s="239">
        <v>331626</v>
      </c>
      <c r="G38" s="240" t="str">
        <f t="shared" si="0"/>
        <v/>
      </c>
    </row>
    <row r="39" spans="2:7" x14ac:dyDescent="0.25">
      <c r="B39" s="14">
        <v>17</v>
      </c>
      <c r="C39" s="15" t="s">
        <v>30</v>
      </c>
      <c r="D39" s="14">
        <v>1</v>
      </c>
      <c r="E39" s="238">
        <v>1004592</v>
      </c>
      <c r="F39" s="239">
        <v>673077</v>
      </c>
      <c r="G39" s="240" t="str">
        <f t="shared" si="0"/>
        <v/>
      </c>
    </row>
    <row r="40" spans="2:7" x14ac:dyDescent="0.25">
      <c r="B40" s="14">
        <v>18</v>
      </c>
      <c r="C40" s="15" t="s">
        <v>31</v>
      </c>
      <c r="D40" s="14">
        <v>1</v>
      </c>
      <c r="E40" s="238">
        <v>336513</v>
      </c>
      <c r="F40" s="239">
        <v>225464</v>
      </c>
      <c r="G40" s="240" t="str">
        <f t="shared" si="0"/>
        <v/>
      </c>
    </row>
    <row r="41" spans="2:7" x14ac:dyDescent="0.25">
      <c r="B41" s="14">
        <v>19</v>
      </c>
      <c r="C41" s="15" t="s">
        <v>32</v>
      </c>
      <c r="D41" s="14">
        <v>1</v>
      </c>
      <c r="E41" s="238">
        <v>339826</v>
      </c>
      <c r="F41" s="239">
        <v>227683</v>
      </c>
      <c r="G41" s="240" t="str">
        <f t="shared" si="0"/>
        <v/>
      </c>
    </row>
    <row r="42" spans="2:7" x14ac:dyDescent="0.25">
      <c r="B42" s="14">
        <v>20</v>
      </c>
      <c r="C42" s="15" t="s">
        <v>33</v>
      </c>
      <c r="D42" s="14">
        <v>1</v>
      </c>
      <c r="E42" s="238">
        <v>556563</v>
      </c>
      <c r="F42" s="239">
        <v>372897</v>
      </c>
      <c r="G42" s="240" t="str">
        <f t="shared" si="0"/>
        <v/>
      </c>
    </row>
    <row r="43" spans="2:7" x14ac:dyDescent="0.25">
      <c r="B43" s="14">
        <v>21</v>
      </c>
      <c r="C43" s="15" t="s">
        <v>34</v>
      </c>
      <c r="D43" s="14">
        <v>1</v>
      </c>
      <c r="E43" s="238">
        <v>379265</v>
      </c>
      <c r="F43" s="239">
        <v>254108</v>
      </c>
      <c r="G43" s="240" t="str">
        <f t="shared" si="0"/>
        <v/>
      </c>
    </row>
    <row r="44" spans="2:7" ht="27" x14ac:dyDescent="0.25">
      <c r="B44" s="14">
        <v>22</v>
      </c>
      <c r="C44" s="15" t="s">
        <v>35</v>
      </c>
      <c r="D44" s="14">
        <v>1</v>
      </c>
      <c r="E44" s="238">
        <v>398300</v>
      </c>
      <c r="F44" s="239">
        <v>266861</v>
      </c>
      <c r="G44" s="240" t="str">
        <f t="shared" si="0"/>
        <v/>
      </c>
    </row>
    <row r="45" spans="2:7" ht="40.5" x14ac:dyDescent="0.25">
      <c r="B45" s="14">
        <v>23</v>
      </c>
      <c r="C45" s="15" t="s">
        <v>36</v>
      </c>
      <c r="D45" s="14">
        <v>1</v>
      </c>
      <c r="E45" s="238">
        <v>539185</v>
      </c>
      <c r="F45" s="239">
        <v>377430</v>
      </c>
      <c r="G45" s="240" t="str">
        <f t="shared" si="0"/>
        <v/>
      </c>
    </row>
    <row r="46" spans="2:7" ht="27" x14ac:dyDescent="0.25">
      <c r="B46" s="14">
        <v>24</v>
      </c>
      <c r="C46" s="15" t="s">
        <v>37</v>
      </c>
      <c r="D46" s="14">
        <v>1</v>
      </c>
      <c r="E46" s="238">
        <v>680023</v>
      </c>
      <c r="F46" s="239">
        <v>476016</v>
      </c>
      <c r="G46" s="240" t="str">
        <f t="shared" si="0"/>
        <v/>
      </c>
    </row>
    <row r="47" spans="2:7" ht="27" x14ac:dyDescent="0.25">
      <c r="B47" s="14">
        <v>25</v>
      </c>
      <c r="C47" s="15" t="s">
        <v>38</v>
      </c>
      <c r="D47" s="14">
        <v>1</v>
      </c>
      <c r="E47" s="238">
        <v>770110</v>
      </c>
      <c r="F47" s="239">
        <v>539077</v>
      </c>
      <c r="G47" s="240" t="str">
        <f t="shared" si="0"/>
        <v/>
      </c>
    </row>
    <row r="48" spans="2:7" ht="27" x14ac:dyDescent="0.25">
      <c r="B48" s="14">
        <v>26</v>
      </c>
      <c r="C48" s="15" t="s">
        <v>39</v>
      </c>
      <c r="D48" s="14">
        <v>1</v>
      </c>
      <c r="E48" s="238">
        <v>810467</v>
      </c>
      <c r="F48" s="239">
        <v>567327</v>
      </c>
      <c r="G48" s="240" t="str">
        <f t="shared" si="0"/>
        <v/>
      </c>
    </row>
    <row r="49" spans="2:7" ht="27" x14ac:dyDescent="0.25">
      <c r="B49" s="14">
        <v>27</v>
      </c>
      <c r="C49" s="15" t="s">
        <v>40</v>
      </c>
      <c r="D49" s="14">
        <v>1</v>
      </c>
      <c r="E49" s="238">
        <v>1321103</v>
      </c>
      <c r="F49" s="239">
        <v>924772</v>
      </c>
      <c r="G49" s="240" t="str">
        <f t="shared" si="0"/>
        <v/>
      </c>
    </row>
    <row r="50" spans="2:7" ht="40.5" x14ac:dyDescent="0.25">
      <c r="B50" s="14">
        <v>28</v>
      </c>
      <c r="C50" s="15" t="s">
        <v>41</v>
      </c>
      <c r="D50" s="14">
        <v>1</v>
      </c>
      <c r="E50" s="238">
        <v>1574816</v>
      </c>
      <c r="F50" s="239">
        <v>1102371</v>
      </c>
      <c r="G50" s="240" t="str">
        <f t="shared" si="0"/>
        <v/>
      </c>
    </row>
    <row r="51" spans="2:7" ht="40.5" x14ac:dyDescent="0.25">
      <c r="B51" s="14">
        <v>29</v>
      </c>
      <c r="C51" s="15" t="s">
        <v>42</v>
      </c>
      <c r="D51" s="14">
        <v>1</v>
      </c>
      <c r="E51" s="238">
        <v>667928</v>
      </c>
      <c r="F51" s="239">
        <v>467550</v>
      </c>
      <c r="G51" s="240" t="str">
        <f t="shared" si="0"/>
        <v/>
      </c>
    </row>
    <row r="52" spans="2:7" ht="40.5" x14ac:dyDescent="0.25">
      <c r="B52" s="14">
        <v>30</v>
      </c>
      <c r="C52" s="15" t="s">
        <v>43</v>
      </c>
      <c r="D52" s="14">
        <v>1</v>
      </c>
      <c r="E52" s="238">
        <v>736301</v>
      </c>
      <c r="F52" s="239">
        <v>515411</v>
      </c>
      <c r="G52" s="240" t="str">
        <f t="shared" si="0"/>
        <v/>
      </c>
    </row>
    <row r="53" spans="2:7" x14ac:dyDescent="0.25">
      <c r="B53" s="14">
        <v>31</v>
      </c>
      <c r="C53" s="15" t="s">
        <v>44</v>
      </c>
      <c r="D53" s="14">
        <v>1</v>
      </c>
      <c r="E53" s="238">
        <v>629834</v>
      </c>
      <c r="F53" s="239">
        <v>440884</v>
      </c>
      <c r="G53" s="240" t="str">
        <f t="shared" si="0"/>
        <v/>
      </c>
    </row>
    <row r="54" spans="2:7" x14ac:dyDescent="0.25">
      <c r="B54" s="14">
        <v>32</v>
      </c>
      <c r="C54" s="15" t="s">
        <v>45</v>
      </c>
      <c r="D54" s="14">
        <v>1</v>
      </c>
      <c r="E54" s="238">
        <v>596165</v>
      </c>
      <c r="F54" s="239">
        <v>417316</v>
      </c>
      <c r="G54" s="240" t="str">
        <f t="shared" si="0"/>
        <v/>
      </c>
    </row>
    <row r="55" spans="2:7" ht="54" x14ac:dyDescent="0.25">
      <c r="B55" s="14">
        <v>33</v>
      </c>
      <c r="C55" s="15" t="s">
        <v>46</v>
      </c>
      <c r="D55" s="14">
        <v>1</v>
      </c>
      <c r="E55" s="238">
        <v>8671621</v>
      </c>
      <c r="F55" s="239">
        <v>6070135</v>
      </c>
      <c r="G55" s="240" t="str">
        <f t="shared" si="0"/>
        <v/>
      </c>
    </row>
    <row r="56" spans="2:7" x14ac:dyDescent="0.25">
      <c r="B56" s="14">
        <v>34</v>
      </c>
      <c r="C56" s="15" t="s">
        <v>47</v>
      </c>
      <c r="D56" s="14">
        <v>1</v>
      </c>
      <c r="E56" s="238">
        <v>572305</v>
      </c>
      <c r="F56" s="239">
        <v>400614</v>
      </c>
      <c r="G56" s="240" t="str">
        <f t="shared" si="0"/>
        <v/>
      </c>
    </row>
    <row r="57" spans="2:7" x14ac:dyDescent="0.25">
      <c r="B57" s="14">
        <v>35</v>
      </c>
      <c r="C57" s="15" t="s">
        <v>48</v>
      </c>
      <c r="D57" s="14">
        <v>1</v>
      </c>
      <c r="E57" s="238">
        <v>682933</v>
      </c>
      <c r="F57" s="239">
        <v>478053</v>
      </c>
      <c r="G57" s="240" t="str">
        <f t="shared" si="0"/>
        <v/>
      </c>
    </row>
    <row r="58" spans="2:7" x14ac:dyDescent="0.25">
      <c r="B58" s="14">
        <v>36</v>
      </c>
      <c r="C58" s="15" t="s">
        <v>49</v>
      </c>
      <c r="D58" s="14">
        <v>1</v>
      </c>
      <c r="E58" s="238">
        <v>124156</v>
      </c>
      <c r="F58" s="239">
        <v>83185</v>
      </c>
      <c r="G58" s="240" t="str">
        <f t="shared" si="0"/>
        <v/>
      </c>
    </row>
    <row r="59" spans="2:7" x14ac:dyDescent="0.25">
      <c r="B59" s="14">
        <v>37</v>
      </c>
      <c r="C59" s="15" t="s">
        <v>50</v>
      </c>
      <c r="D59" s="14">
        <v>1</v>
      </c>
      <c r="E59" s="238">
        <v>247249</v>
      </c>
      <c r="F59" s="239">
        <v>165657</v>
      </c>
      <c r="G59" s="240" t="str">
        <f t="shared" si="0"/>
        <v/>
      </c>
    </row>
    <row r="60" spans="2:7" x14ac:dyDescent="0.25">
      <c r="B60" s="14">
        <v>38</v>
      </c>
      <c r="C60" s="15" t="s">
        <v>51</v>
      </c>
      <c r="D60" s="14">
        <v>1</v>
      </c>
      <c r="E60" s="238">
        <v>354892</v>
      </c>
      <c r="F60" s="239">
        <v>237778</v>
      </c>
      <c r="G60" s="240" t="str">
        <f t="shared" si="0"/>
        <v/>
      </c>
    </row>
    <row r="61" spans="2:7" x14ac:dyDescent="0.25">
      <c r="B61" s="14">
        <v>39</v>
      </c>
      <c r="C61" s="15" t="s">
        <v>577</v>
      </c>
      <c r="D61" s="14">
        <v>1</v>
      </c>
      <c r="E61" s="238">
        <v>228277</v>
      </c>
      <c r="F61" s="239">
        <v>152946</v>
      </c>
      <c r="G61" s="240" t="str">
        <f t="shared" si="0"/>
        <v/>
      </c>
    </row>
    <row r="62" spans="2:7" x14ac:dyDescent="0.25">
      <c r="B62" s="14">
        <v>40</v>
      </c>
      <c r="C62" s="15" t="s">
        <v>578</v>
      </c>
      <c r="D62" s="14">
        <v>1</v>
      </c>
      <c r="E62" s="238">
        <v>271073</v>
      </c>
      <c r="F62" s="239">
        <v>181619</v>
      </c>
      <c r="G62" s="240" t="str">
        <f t="shared" si="0"/>
        <v/>
      </c>
    </row>
    <row r="63" spans="2:7" x14ac:dyDescent="0.25">
      <c r="B63" s="14">
        <v>41</v>
      </c>
      <c r="C63" s="15" t="s">
        <v>52</v>
      </c>
      <c r="D63" s="14">
        <v>1</v>
      </c>
      <c r="E63" s="238">
        <v>1031688</v>
      </c>
      <c r="F63" s="239">
        <v>722182</v>
      </c>
      <c r="G63" s="240" t="str">
        <f t="shared" si="0"/>
        <v/>
      </c>
    </row>
    <row r="64" spans="2:7" x14ac:dyDescent="0.25">
      <c r="B64" s="14">
        <v>42</v>
      </c>
      <c r="C64" s="15" t="s">
        <v>53</v>
      </c>
      <c r="D64" s="14">
        <v>1</v>
      </c>
      <c r="E64" s="238">
        <v>841001</v>
      </c>
      <c r="F64" s="239">
        <v>588701</v>
      </c>
      <c r="G64" s="240" t="str">
        <f t="shared" si="0"/>
        <v/>
      </c>
    </row>
    <row r="65" spans="2:7" x14ac:dyDescent="0.25">
      <c r="B65" s="14">
        <v>43</v>
      </c>
      <c r="C65" s="15" t="s">
        <v>54</v>
      </c>
      <c r="D65" s="14">
        <v>1</v>
      </c>
      <c r="E65" s="238">
        <v>873380</v>
      </c>
      <c r="F65" s="239">
        <v>611366</v>
      </c>
      <c r="G65" s="240" t="str">
        <f t="shared" si="0"/>
        <v/>
      </c>
    </row>
    <row r="66" spans="2:7" x14ac:dyDescent="0.25">
      <c r="B66" s="14">
        <v>44</v>
      </c>
      <c r="C66" s="15" t="s">
        <v>55</v>
      </c>
      <c r="D66" s="14">
        <v>1</v>
      </c>
      <c r="E66" s="238">
        <v>1110022</v>
      </c>
      <c r="F66" s="239">
        <v>777015</v>
      </c>
      <c r="G66" s="240" t="str">
        <f t="shared" si="0"/>
        <v/>
      </c>
    </row>
    <row r="67" spans="2:7" x14ac:dyDescent="0.25">
      <c r="B67" s="14">
        <v>45</v>
      </c>
      <c r="C67" s="15" t="s">
        <v>56</v>
      </c>
      <c r="D67" s="14">
        <v>1</v>
      </c>
      <c r="E67" s="238">
        <v>1509920</v>
      </c>
      <c r="F67" s="239">
        <v>1011646</v>
      </c>
      <c r="G67" s="240" t="str">
        <f t="shared" si="0"/>
        <v/>
      </c>
    </row>
    <row r="68" spans="2:7" x14ac:dyDescent="0.25">
      <c r="B68" s="14">
        <v>46</v>
      </c>
      <c r="C68" s="15" t="s">
        <v>57</v>
      </c>
      <c r="D68" s="14">
        <v>1</v>
      </c>
      <c r="E68" s="238">
        <v>1677757</v>
      </c>
      <c r="F68" s="239">
        <v>1124097</v>
      </c>
      <c r="G68" s="240" t="str">
        <f t="shared" si="0"/>
        <v/>
      </c>
    </row>
    <row r="69" spans="2:7" x14ac:dyDescent="0.25">
      <c r="B69" s="14">
        <v>47</v>
      </c>
      <c r="C69" s="15" t="s">
        <v>58</v>
      </c>
      <c r="D69" s="14">
        <v>1</v>
      </c>
      <c r="E69" s="238">
        <v>2381940</v>
      </c>
      <c r="F69" s="239">
        <v>1595900</v>
      </c>
      <c r="G69" s="240" t="str">
        <f t="shared" si="0"/>
        <v/>
      </c>
    </row>
    <row r="70" spans="2:7" x14ac:dyDescent="0.25">
      <c r="B70" s="14">
        <v>48</v>
      </c>
      <c r="C70" s="15" t="s">
        <v>59</v>
      </c>
      <c r="D70" s="14">
        <v>1</v>
      </c>
      <c r="E70" s="238">
        <v>662894</v>
      </c>
      <c r="F70" s="239">
        <v>444139</v>
      </c>
      <c r="G70" s="240" t="str">
        <f t="shared" si="0"/>
        <v/>
      </c>
    </row>
    <row r="71" spans="2:7" x14ac:dyDescent="0.25">
      <c r="B71" s="14">
        <v>49</v>
      </c>
      <c r="C71" s="15" t="s">
        <v>60</v>
      </c>
      <c r="D71" s="14">
        <v>1</v>
      </c>
      <c r="E71" s="238">
        <v>805031</v>
      </c>
      <c r="F71" s="239">
        <v>539371</v>
      </c>
      <c r="G71" s="240" t="str">
        <f t="shared" si="0"/>
        <v/>
      </c>
    </row>
    <row r="72" spans="2:7" x14ac:dyDescent="0.25">
      <c r="B72" s="14">
        <v>50</v>
      </c>
      <c r="C72" s="15" t="s">
        <v>61</v>
      </c>
      <c r="D72" s="14">
        <v>1</v>
      </c>
      <c r="E72" s="238">
        <v>3151047</v>
      </c>
      <c r="F72" s="239">
        <v>2111201</v>
      </c>
      <c r="G72" s="240" t="str">
        <f t="shared" si="0"/>
        <v/>
      </c>
    </row>
    <row r="73" spans="2:7" x14ac:dyDescent="0.25">
      <c r="B73" s="14">
        <v>51</v>
      </c>
      <c r="C73" s="15" t="s">
        <v>62</v>
      </c>
      <c r="D73" s="14">
        <v>1</v>
      </c>
      <c r="E73" s="238">
        <v>4265630</v>
      </c>
      <c r="F73" s="239">
        <v>2857972</v>
      </c>
      <c r="G73" s="240" t="str">
        <f t="shared" si="0"/>
        <v/>
      </c>
    </row>
    <row r="74" spans="2:7" x14ac:dyDescent="0.25">
      <c r="B74" s="14">
        <v>52</v>
      </c>
      <c r="C74" s="15" t="s">
        <v>63</v>
      </c>
      <c r="D74" s="14">
        <v>1</v>
      </c>
      <c r="E74" s="238">
        <v>5176297</v>
      </c>
      <c r="F74" s="239">
        <v>3468119</v>
      </c>
      <c r="G74" s="240" t="str">
        <f t="shared" si="0"/>
        <v/>
      </c>
    </row>
    <row r="75" spans="2:7" x14ac:dyDescent="0.25">
      <c r="B75" s="14">
        <v>53</v>
      </c>
      <c r="C75" s="15" t="s">
        <v>64</v>
      </c>
      <c r="D75" s="14">
        <v>1</v>
      </c>
      <c r="E75" s="238">
        <v>849186</v>
      </c>
      <c r="F75" s="239">
        <v>568955</v>
      </c>
      <c r="G75" s="240" t="str">
        <f t="shared" si="0"/>
        <v/>
      </c>
    </row>
    <row r="76" spans="2:7" ht="27" x14ac:dyDescent="0.25">
      <c r="B76" s="14">
        <v>54</v>
      </c>
      <c r="C76" s="15" t="s">
        <v>579</v>
      </c>
      <c r="D76" s="14">
        <v>1</v>
      </c>
      <c r="E76" s="238">
        <v>4009311</v>
      </c>
      <c r="F76" s="239">
        <v>2686238</v>
      </c>
      <c r="G76" s="240" t="str">
        <f t="shared" si="0"/>
        <v/>
      </c>
    </row>
    <row r="77" spans="2:7" x14ac:dyDescent="0.25">
      <c r="B77" s="14">
        <v>55</v>
      </c>
      <c r="C77" s="15" t="s">
        <v>65</v>
      </c>
      <c r="D77" s="14">
        <v>1</v>
      </c>
      <c r="E77" s="238">
        <v>2548546</v>
      </c>
      <c r="F77" s="239">
        <v>1707526</v>
      </c>
      <c r="G77" s="240" t="str">
        <f t="shared" si="0"/>
        <v/>
      </c>
    </row>
    <row r="78" spans="2:7" x14ac:dyDescent="0.25">
      <c r="B78" s="14">
        <v>56</v>
      </c>
      <c r="C78" s="15" t="s">
        <v>66</v>
      </c>
      <c r="D78" s="14">
        <v>1</v>
      </c>
      <c r="E78" s="238">
        <v>2994930</v>
      </c>
      <c r="F78" s="239">
        <v>2006603</v>
      </c>
      <c r="G78" s="240" t="str">
        <f t="shared" si="0"/>
        <v/>
      </c>
    </row>
    <row r="79" spans="2:7" x14ac:dyDescent="0.25">
      <c r="B79" s="14">
        <v>57</v>
      </c>
      <c r="C79" s="15" t="s">
        <v>67</v>
      </c>
      <c r="D79" s="14">
        <v>1</v>
      </c>
      <c r="E79" s="238">
        <v>3632002</v>
      </c>
      <c r="F79" s="239">
        <v>2433441</v>
      </c>
      <c r="G79" s="240" t="str">
        <f t="shared" si="0"/>
        <v/>
      </c>
    </row>
    <row r="80" spans="2:7" ht="27" x14ac:dyDescent="0.25">
      <c r="B80" s="14">
        <v>58</v>
      </c>
      <c r="C80" s="15" t="s">
        <v>580</v>
      </c>
      <c r="D80" s="14">
        <v>1</v>
      </c>
      <c r="E80" s="238">
        <v>1706606</v>
      </c>
      <c r="F80" s="239">
        <v>1450615</v>
      </c>
      <c r="G80" s="240" t="str">
        <f t="shared" si="0"/>
        <v/>
      </c>
    </row>
    <row r="81" spans="2:7" ht="27" x14ac:dyDescent="0.25">
      <c r="B81" s="14">
        <v>59</v>
      </c>
      <c r="C81" s="15" t="s">
        <v>581</v>
      </c>
      <c r="D81" s="14">
        <v>1</v>
      </c>
      <c r="E81" s="238">
        <v>2063851</v>
      </c>
      <c r="F81" s="239">
        <v>1754273</v>
      </c>
      <c r="G81" s="240" t="str">
        <f t="shared" si="0"/>
        <v/>
      </c>
    </row>
    <row r="82" spans="2:7" ht="27" x14ac:dyDescent="0.25">
      <c r="B82" s="14">
        <v>60</v>
      </c>
      <c r="C82" s="15" t="s">
        <v>582</v>
      </c>
      <c r="D82" s="14">
        <v>1</v>
      </c>
      <c r="E82" s="238">
        <v>2767577</v>
      </c>
      <c r="F82" s="239">
        <v>2352440</v>
      </c>
      <c r="G82" s="240" t="str">
        <f t="shared" si="0"/>
        <v/>
      </c>
    </row>
    <row r="83" spans="2:7" ht="27" x14ac:dyDescent="0.25">
      <c r="B83" s="14">
        <v>61</v>
      </c>
      <c r="C83" s="15" t="s">
        <v>583</v>
      </c>
      <c r="D83" s="14">
        <v>1</v>
      </c>
      <c r="E83" s="238">
        <v>3361040</v>
      </c>
      <c r="F83" s="239">
        <v>2856884</v>
      </c>
      <c r="G83" s="240" t="str">
        <f t="shared" si="0"/>
        <v/>
      </c>
    </row>
    <row r="84" spans="2:7" ht="27" x14ac:dyDescent="0.25">
      <c r="B84" s="14">
        <v>62</v>
      </c>
      <c r="C84" s="15" t="s">
        <v>584</v>
      </c>
      <c r="D84" s="14">
        <v>1</v>
      </c>
      <c r="E84" s="238">
        <v>4292765</v>
      </c>
      <c r="F84" s="239">
        <v>3648850</v>
      </c>
      <c r="G84" s="240" t="str">
        <f t="shared" si="0"/>
        <v/>
      </c>
    </row>
    <row r="85" spans="2:7" ht="27" x14ac:dyDescent="0.25">
      <c r="B85" s="14">
        <v>63</v>
      </c>
      <c r="C85" s="15" t="s">
        <v>585</v>
      </c>
      <c r="D85" s="14">
        <v>1</v>
      </c>
      <c r="E85" s="238">
        <v>5387767</v>
      </c>
      <c r="F85" s="239">
        <v>4579602</v>
      </c>
      <c r="G85" s="240" t="str">
        <f t="shared" si="0"/>
        <v/>
      </c>
    </row>
    <row r="86" spans="2:7" x14ac:dyDescent="0.25">
      <c r="B86" s="14">
        <v>64</v>
      </c>
      <c r="C86" s="15" t="s">
        <v>586</v>
      </c>
      <c r="D86" s="14">
        <v>1</v>
      </c>
      <c r="E86" s="238">
        <v>2149455</v>
      </c>
      <c r="F86" s="239">
        <v>1827037</v>
      </c>
      <c r="G86" s="240" t="str">
        <f t="shared" si="0"/>
        <v/>
      </c>
    </row>
    <row r="87" spans="2:7" x14ac:dyDescent="0.25">
      <c r="B87" s="14">
        <v>65</v>
      </c>
      <c r="C87" s="15" t="s">
        <v>68</v>
      </c>
      <c r="D87" s="14">
        <v>1</v>
      </c>
      <c r="E87" s="238">
        <v>2663970</v>
      </c>
      <c r="F87" s="239">
        <v>2264375</v>
      </c>
      <c r="G87" s="240" t="str">
        <f t="shared" si="0"/>
        <v/>
      </c>
    </row>
    <row r="88" spans="2:7" x14ac:dyDescent="0.25">
      <c r="B88" s="14">
        <v>66</v>
      </c>
      <c r="C88" s="15" t="s">
        <v>69</v>
      </c>
      <c r="D88" s="14">
        <v>1</v>
      </c>
      <c r="E88" s="238">
        <v>3273001</v>
      </c>
      <c r="F88" s="239">
        <v>2782051</v>
      </c>
      <c r="G88" s="240" t="str">
        <f t="shared" ref="G88:G151" si="1">+IF(F88&gt;E88,"El precio ofertado por cada uno de los items no puede ser mayor al precio techo","")</f>
        <v/>
      </c>
    </row>
    <row r="89" spans="2:7" x14ac:dyDescent="0.25">
      <c r="B89" s="14">
        <v>67</v>
      </c>
      <c r="C89" s="15" t="s">
        <v>70</v>
      </c>
      <c r="D89" s="14">
        <v>1</v>
      </c>
      <c r="E89" s="238">
        <v>3840235</v>
      </c>
      <c r="F89" s="239">
        <v>3264200</v>
      </c>
      <c r="G89" s="240" t="str">
        <f t="shared" si="1"/>
        <v/>
      </c>
    </row>
    <row r="90" spans="2:7" x14ac:dyDescent="0.25">
      <c r="B90" s="14">
        <v>68</v>
      </c>
      <c r="C90" s="15" t="s">
        <v>71</v>
      </c>
      <c r="D90" s="14">
        <v>1</v>
      </c>
      <c r="E90" s="238">
        <v>4418033</v>
      </c>
      <c r="F90" s="239">
        <v>3755328</v>
      </c>
      <c r="G90" s="240" t="str">
        <f t="shared" si="1"/>
        <v/>
      </c>
    </row>
    <row r="91" spans="2:7" x14ac:dyDescent="0.25">
      <c r="B91" s="14">
        <v>69</v>
      </c>
      <c r="C91" s="15" t="s">
        <v>72</v>
      </c>
      <c r="D91" s="14">
        <v>1</v>
      </c>
      <c r="E91" s="238">
        <v>4947438</v>
      </c>
      <c r="F91" s="239">
        <v>4205322</v>
      </c>
      <c r="G91" s="240" t="str">
        <f t="shared" si="1"/>
        <v/>
      </c>
    </row>
    <row r="92" spans="2:7" ht="27" x14ac:dyDescent="0.25">
      <c r="B92" s="14">
        <v>70</v>
      </c>
      <c r="C92" s="15" t="s">
        <v>73</v>
      </c>
      <c r="D92" s="14">
        <v>1</v>
      </c>
      <c r="E92" s="238">
        <v>201037</v>
      </c>
      <c r="F92" s="239">
        <v>140726</v>
      </c>
      <c r="G92" s="240" t="str">
        <f t="shared" si="1"/>
        <v/>
      </c>
    </row>
    <row r="93" spans="2:7" ht="27" x14ac:dyDescent="0.25">
      <c r="B93" s="14">
        <v>71</v>
      </c>
      <c r="C93" s="15" t="s">
        <v>74</v>
      </c>
      <c r="D93" s="14">
        <v>1</v>
      </c>
      <c r="E93" s="238">
        <v>365779</v>
      </c>
      <c r="F93" s="239">
        <v>256045</v>
      </c>
      <c r="G93" s="240" t="str">
        <f t="shared" si="1"/>
        <v/>
      </c>
    </row>
    <row r="94" spans="2:7" ht="27" x14ac:dyDescent="0.25">
      <c r="B94" s="14">
        <v>72</v>
      </c>
      <c r="C94" s="15" t="s">
        <v>75</v>
      </c>
      <c r="D94" s="14">
        <v>1</v>
      </c>
      <c r="E94" s="238">
        <v>379327</v>
      </c>
      <c r="F94" s="239">
        <v>265529</v>
      </c>
      <c r="G94" s="240" t="str">
        <f t="shared" si="1"/>
        <v/>
      </c>
    </row>
    <row r="95" spans="2:7" ht="27" x14ac:dyDescent="0.25">
      <c r="B95" s="14">
        <v>73</v>
      </c>
      <c r="C95" s="15" t="s">
        <v>76</v>
      </c>
      <c r="D95" s="14">
        <v>1</v>
      </c>
      <c r="E95" s="238">
        <v>359677</v>
      </c>
      <c r="F95" s="239">
        <v>251774</v>
      </c>
      <c r="G95" s="240" t="str">
        <f t="shared" si="1"/>
        <v/>
      </c>
    </row>
    <row r="96" spans="2:7" x14ac:dyDescent="0.25">
      <c r="B96" s="14">
        <v>74</v>
      </c>
      <c r="C96" s="15" t="s">
        <v>77</v>
      </c>
      <c r="D96" s="14">
        <v>1</v>
      </c>
      <c r="E96" s="238">
        <v>1575895</v>
      </c>
      <c r="F96" s="239">
        <v>1103127</v>
      </c>
      <c r="G96" s="240" t="str">
        <f t="shared" si="1"/>
        <v/>
      </c>
    </row>
    <row r="97" spans="2:7" x14ac:dyDescent="0.25">
      <c r="B97" s="14">
        <v>75</v>
      </c>
      <c r="C97" s="15" t="s">
        <v>78</v>
      </c>
      <c r="D97" s="14">
        <v>1</v>
      </c>
      <c r="E97" s="238">
        <v>2829167</v>
      </c>
      <c r="F97" s="239">
        <v>1980417</v>
      </c>
      <c r="G97" s="240" t="str">
        <f t="shared" si="1"/>
        <v/>
      </c>
    </row>
    <row r="98" spans="2:7" x14ac:dyDescent="0.25">
      <c r="B98" s="14">
        <v>76</v>
      </c>
      <c r="C98" s="15" t="s">
        <v>587</v>
      </c>
      <c r="D98" s="14">
        <v>1</v>
      </c>
      <c r="E98" s="238">
        <v>49676</v>
      </c>
      <c r="F98" s="239">
        <v>34773</v>
      </c>
      <c r="G98" s="240" t="str">
        <f t="shared" si="1"/>
        <v/>
      </c>
    </row>
    <row r="99" spans="2:7" x14ac:dyDescent="0.25">
      <c r="B99" s="14">
        <v>77</v>
      </c>
      <c r="C99" s="15" t="s">
        <v>588</v>
      </c>
      <c r="D99" s="14">
        <v>1</v>
      </c>
      <c r="E99" s="238">
        <v>74845</v>
      </c>
      <c r="F99" s="239">
        <v>52392</v>
      </c>
      <c r="G99" s="240" t="str">
        <f t="shared" si="1"/>
        <v/>
      </c>
    </row>
    <row r="100" spans="2:7" x14ac:dyDescent="0.25">
      <c r="B100" s="14">
        <v>78</v>
      </c>
      <c r="C100" s="15" t="s">
        <v>589</v>
      </c>
      <c r="D100" s="14">
        <v>1</v>
      </c>
      <c r="E100" s="238">
        <v>173213</v>
      </c>
      <c r="F100" s="239">
        <v>121249</v>
      </c>
      <c r="G100" s="240" t="str">
        <f t="shared" si="1"/>
        <v/>
      </c>
    </row>
    <row r="101" spans="2:7" x14ac:dyDescent="0.25">
      <c r="B101" s="14">
        <v>79</v>
      </c>
      <c r="C101" s="15" t="s">
        <v>590</v>
      </c>
      <c r="D101" s="14">
        <v>1</v>
      </c>
      <c r="E101" s="238">
        <v>288014</v>
      </c>
      <c r="F101" s="239">
        <v>201610</v>
      </c>
      <c r="G101" s="240" t="str">
        <f t="shared" si="1"/>
        <v/>
      </c>
    </row>
    <row r="102" spans="2:7" x14ac:dyDescent="0.25">
      <c r="B102" s="14">
        <v>80</v>
      </c>
      <c r="C102" s="15" t="s">
        <v>591</v>
      </c>
      <c r="D102" s="14">
        <v>1</v>
      </c>
      <c r="E102" s="238">
        <v>335069</v>
      </c>
      <c r="F102" s="239">
        <v>234548</v>
      </c>
      <c r="G102" s="240" t="str">
        <f t="shared" si="1"/>
        <v/>
      </c>
    </row>
    <row r="103" spans="2:7" x14ac:dyDescent="0.25">
      <c r="B103" s="14">
        <v>81</v>
      </c>
      <c r="C103" s="15" t="s">
        <v>592</v>
      </c>
      <c r="D103" s="14">
        <v>1</v>
      </c>
      <c r="E103" s="238">
        <v>300664</v>
      </c>
      <c r="F103" s="239">
        <v>210465</v>
      </c>
      <c r="G103" s="240" t="str">
        <f t="shared" si="1"/>
        <v/>
      </c>
    </row>
    <row r="104" spans="2:7" x14ac:dyDescent="0.25">
      <c r="B104" s="14">
        <v>82</v>
      </c>
      <c r="C104" s="15" t="s">
        <v>79</v>
      </c>
      <c r="D104" s="14">
        <v>1</v>
      </c>
      <c r="E104" s="238">
        <v>471959</v>
      </c>
      <c r="F104" s="239">
        <v>316213</v>
      </c>
      <c r="G104" s="240" t="str">
        <f t="shared" si="1"/>
        <v/>
      </c>
    </row>
    <row r="105" spans="2:7" x14ac:dyDescent="0.25">
      <c r="B105" s="14">
        <v>83</v>
      </c>
      <c r="C105" s="15" t="s">
        <v>80</v>
      </c>
      <c r="D105" s="14">
        <v>1</v>
      </c>
      <c r="E105" s="238">
        <v>608176</v>
      </c>
      <c r="F105" s="239">
        <v>407478</v>
      </c>
      <c r="G105" s="240" t="str">
        <f t="shared" si="1"/>
        <v/>
      </c>
    </row>
    <row r="106" spans="2:7" x14ac:dyDescent="0.25">
      <c r="B106" s="14">
        <v>84</v>
      </c>
      <c r="C106" s="15" t="s">
        <v>81</v>
      </c>
      <c r="D106" s="14">
        <v>1</v>
      </c>
      <c r="E106" s="238">
        <v>1170416</v>
      </c>
      <c r="F106" s="239">
        <v>784179</v>
      </c>
      <c r="G106" s="240" t="str">
        <f t="shared" si="1"/>
        <v/>
      </c>
    </row>
    <row r="107" spans="2:7" x14ac:dyDescent="0.25">
      <c r="B107" s="14">
        <v>85</v>
      </c>
      <c r="C107" s="15" t="s">
        <v>82</v>
      </c>
      <c r="D107" s="14">
        <v>1</v>
      </c>
      <c r="E107" s="238">
        <v>788991</v>
      </c>
      <c r="F107" s="239">
        <v>528624</v>
      </c>
      <c r="G107" s="240" t="str">
        <f t="shared" si="1"/>
        <v/>
      </c>
    </row>
    <row r="108" spans="2:7" x14ac:dyDescent="0.25">
      <c r="B108" s="14">
        <v>86</v>
      </c>
      <c r="C108" s="15" t="s">
        <v>83</v>
      </c>
      <c r="D108" s="14">
        <v>1</v>
      </c>
      <c r="E108" s="238">
        <v>483383</v>
      </c>
      <c r="F108" s="239">
        <v>323867</v>
      </c>
      <c r="G108" s="240" t="str">
        <f t="shared" si="1"/>
        <v/>
      </c>
    </row>
    <row r="109" spans="2:7" x14ac:dyDescent="0.25">
      <c r="B109" s="14">
        <v>87</v>
      </c>
      <c r="C109" s="15" t="s">
        <v>84</v>
      </c>
      <c r="D109" s="14">
        <v>1</v>
      </c>
      <c r="E109" s="238">
        <v>612257</v>
      </c>
      <c r="F109" s="239">
        <v>410212</v>
      </c>
      <c r="G109" s="240" t="str">
        <f t="shared" si="1"/>
        <v/>
      </c>
    </row>
    <row r="110" spans="2:7" x14ac:dyDescent="0.25">
      <c r="B110" s="14">
        <v>88</v>
      </c>
      <c r="C110" s="15" t="s">
        <v>85</v>
      </c>
      <c r="D110" s="14">
        <v>1</v>
      </c>
      <c r="E110" s="238">
        <v>1083211</v>
      </c>
      <c r="F110" s="239">
        <v>725751</v>
      </c>
      <c r="G110" s="240" t="str">
        <f t="shared" si="1"/>
        <v/>
      </c>
    </row>
    <row r="111" spans="2:7" x14ac:dyDescent="0.25">
      <c r="B111" s="14">
        <v>89</v>
      </c>
      <c r="C111" s="15" t="s">
        <v>86</v>
      </c>
      <c r="D111" s="14">
        <v>1</v>
      </c>
      <c r="E111" s="238">
        <v>757855</v>
      </c>
      <c r="F111" s="239">
        <v>507763</v>
      </c>
      <c r="G111" s="240" t="str">
        <f t="shared" si="1"/>
        <v/>
      </c>
    </row>
    <row r="112" spans="2:7" x14ac:dyDescent="0.25">
      <c r="B112" s="14">
        <v>90</v>
      </c>
      <c r="C112" s="15" t="s">
        <v>87</v>
      </c>
      <c r="D112" s="14">
        <v>1</v>
      </c>
      <c r="E112" s="238">
        <v>775731</v>
      </c>
      <c r="F112" s="239">
        <v>519740</v>
      </c>
      <c r="G112" s="240" t="str">
        <f t="shared" si="1"/>
        <v/>
      </c>
    </row>
    <row r="113" spans="2:7" x14ac:dyDescent="0.25">
      <c r="B113" s="14">
        <v>91</v>
      </c>
      <c r="C113" s="15" t="s">
        <v>593</v>
      </c>
      <c r="D113" s="14">
        <v>1</v>
      </c>
      <c r="E113" s="238">
        <v>1230819</v>
      </c>
      <c r="F113" s="239">
        <v>824649</v>
      </c>
      <c r="G113" s="240" t="str">
        <f t="shared" si="1"/>
        <v/>
      </c>
    </row>
    <row r="114" spans="2:7" x14ac:dyDescent="0.25">
      <c r="B114" s="14">
        <v>92</v>
      </c>
      <c r="C114" s="15" t="s">
        <v>594</v>
      </c>
      <c r="D114" s="14">
        <v>1</v>
      </c>
      <c r="E114" s="238">
        <v>1172472</v>
      </c>
      <c r="F114" s="239">
        <v>785556</v>
      </c>
      <c r="G114" s="240" t="str">
        <f t="shared" si="1"/>
        <v/>
      </c>
    </row>
    <row r="115" spans="2:7" x14ac:dyDescent="0.25">
      <c r="B115" s="14">
        <v>93</v>
      </c>
      <c r="C115" s="15" t="s">
        <v>595</v>
      </c>
      <c r="D115" s="14">
        <v>1</v>
      </c>
      <c r="E115" s="238">
        <v>1368564</v>
      </c>
      <c r="F115" s="239">
        <v>916938</v>
      </c>
      <c r="G115" s="240" t="str">
        <f t="shared" si="1"/>
        <v/>
      </c>
    </row>
    <row r="116" spans="2:7" x14ac:dyDescent="0.25">
      <c r="B116" s="14">
        <v>94</v>
      </c>
      <c r="C116" s="15" t="s">
        <v>596</v>
      </c>
      <c r="D116" s="14">
        <v>1</v>
      </c>
      <c r="E116" s="238">
        <v>1864390</v>
      </c>
      <c r="F116" s="239">
        <v>1249141</v>
      </c>
      <c r="G116" s="240" t="str">
        <f t="shared" si="1"/>
        <v/>
      </c>
    </row>
    <row r="117" spans="2:7" x14ac:dyDescent="0.25">
      <c r="B117" s="14">
        <v>95</v>
      </c>
      <c r="C117" s="15" t="s">
        <v>597</v>
      </c>
      <c r="D117" s="14">
        <v>1</v>
      </c>
      <c r="E117" s="238">
        <v>2659259</v>
      </c>
      <c r="F117" s="239">
        <v>1781704</v>
      </c>
      <c r="G117" s="240" t="str">
        <f t="shared" si="1"/>
        <v/>
      </c>
    </row>
    <row r="118" spans="2:7" x14ac:dyDescent="0.25">
      <c r="B118" s="14">
        <v>96</v>
      </c>
      <c r="C118" s="15" t="s">
        <v>598</v>
      </c>
      <c r="D118" s="14">
        <v>1</v>
      </c>
      <c r="E118" s="238">
        <v>3194554</v>
      </c>
      <c r="F118" s="239">
        <v>2140351</v>
      </c>
      <c r="G118" s="240" t="str">
        <f t="shared" si="1"/>
        <v/>
      </c>
    </row>
    <row r="119" spans="2:7" x14ac:dyDescent="0.25">
      <c r="B119" s="14">
        <v>97</v>
      </c>
      <c r="C119" s="15" t="s">
        <v>599</v>
      </c>
      <c r="D119" s="14">
        <v>1</v>
      </c>
      <c r="E119" s="238">
        <v>1427714</v>
      </c>
      <c r="F119" s="239">
        <v>956568</v>
      </c>
      <c r="G119" s="240" t="str">
        <f t="shared" si="1"/>
        <v/>
      </c>
    </row>
    <row r="120" spans="2:7" x14ac:dyDescent="0.25">
      <c r="B120" s="14">
        <v>98</v>
      </c>
      <c r="C120" s="15" t="s">
        <v>600</v>
      </c>
      <c r="D120" s="14">
        <v>1</v>
      </c>
      <c r="E120" s="238">
        <v>2876656</v>
      </c>
      <c r="F120" s="239">
        <v>1927360</v>
      </c>
      <c r="G120" s="240" t="str">
        <f t="shared" si="1"/>
        <v/>
      </c>
    </row>
    <row r="121" spans="2:7" x14ac:dyDescent="0.25">
      <c r="B121" s="14">
        <v>99</v>
      </c>
      <c r="C121" s="15" t="s">
        <v>88</v>
      </c>
      <c r="D121" s="14">
        <v>1</v>
      </c>
      <c r="E121" s="238">
        <v>4619394</v>
      </c>
      <c r="F121" s="239">
        <v>3094994</v>
      </c>
      <c r="G121" s="240" t="str">
        <f t="shared" si="1"/>
        <v/>
      </c>
    </row>
    <row r="122" spans="2:7" x14ac:dyDescent="0.25">
      <c r="B122" s="14">
        <v>100</v>
      </c>
      <c r="C122" s="15" t="s">
        <v>601</v>
      </c>
      <c r="D122" s="14">
        <v>1</v>
      </c>
      <c r="E122" s="238">
        <v>384213</v>
      </c>
      <c r="F122" s="239">
        <v>257423</v>
      </c>
      <c r="G122" s="240" t="str">
        <f t="shared" si="1"/>
        <v/>
      </c>
    </row>
    <row r="123" spans="2:7" ht="27" x14ac:dyDescent="0.25">
      <c r="B123" s="14">
        <v>101</v>
      </c>
      <c r="C123" s="15" t="s">
        <v>89</v>
      </c>
      <c r="D123" s="14">
        <v>1</v>
      </c>
      <c r="E123" s="238">
        <v>1891399</v>
      </c>
      <c r="F123" s="239">
        <v>1267237</v>
      </c>
      <c r="G123" s="240" t="str">
        <f t="shared" si="1"/>
        <v/>
      </c>
    </row>
    <row r="124" spans="2:7" ht="27" x14ac:dyDescent="0.25">
      <c r="B124" s="14">
        <v>102</v>
      </c>
      <c r="C124" s="15" t="s">
        <v>90</v>
      </c>
      <c r="D124" s="14">
        <v>1</v>
      </c>
      <c r="E124" s="238">
        <v>3003420</v>
      </c>
      <c r="F124" s="239">
        <v>2012291</v>
      </c>
      <c r="G124" s="240" t="str">
        <f t="shared" si="1"/>
        <v/>
      </c>
    </row>
    <row r="125" spans="2:7" ht="27" x14ac:dyDescent="0.25">
      <c r="B125" s="14">
        <v>103</v>
      </c>
      <c r="C125" s="15" t="s">
        <v>91</v>
      </c>
      <c r="D125" s="14">
        <v>1</v>
      </c>
      <c r="E125" s="238">
        <v>1921578</v>
      </c>
      <c r="F125" s="239">
        <v>1287457</v>
      </c>
      <c r="G125" s="240" t="str">
        <f t="shared" si="1"/>
        <v/>
      </c>
    </row>
    <row r="126" spans="2:7" ht="27" x14ac:dyDescent="0.25">
      <c r="B126" s="14">
        <v>104</v>
      </c>
      <c r="C126" s="15" t="s">
        <v>92</v>
      </c>
      <c r="D126" s="14">
        <v>1</v>
      </c>
      <c r="E126" s="238">
        <v>2167856</v>
      </c>
      <c r="F126" s="239">
        <v>1452464</v>
      </c>
      <c r="G126" s="240" t="str">
        <f t="shared" si="1"/>
        <v/>
      </c>
    </row>
    <row r="127" spans="2:7" ht="27" x14ac:dyDescent="0.25">
      <c r="B127" s="14">
        <v>105</v>
      </c>
      <c r="C127" s="15" t="s">
        <v>93</v>
      </c>
      <c r="D127" s="14">
        <v>1</v>
      </c>
      <c r="E127" s="238">
        <v>2999281</v>
      </c>
      <c r="F127" s="239">
        <v>2009518</v>
      </c>
      <c r="G127" s="240" t="str">
        <f t="shared" si="1"/>
        <v/>
      </c>
    </row>
    <row r="128" spans="2:7" ht="27" x14ac:dyDescent="0.25">
      <c r="B128" s="14">
        <v>106</v>
      </c>
      <c r="C128" s="15" t="s">
        <v>94</v>
      </c>
      <c r="D128" s="14">
        <v>1</v>
      </c>
      <c r="E128" s="238">
        <v>3698309</v>
      </c>
      <c r="F128" s="239">
        <v>2477867</v>
      </c>
      <c r="G128" s="240" t="str">
        <f t="shared" si="1"/>
        <v/>
      </c>
    </row>
    <row r="129" spans="2:7" ht="27" x14ac:dyDescent="0.25">
      <c r="B129" s="14">
        <v>107</v>
      </c>
      <c r="C129" s="15" t="s">
        <v>95</v>
      </c>
      <c r="D129" s="14">
        <v>1</v>
      </c>
      <c r="E129" s="238">
        <v>4024430</v>
      </c>
      <c r="F129" s="239">
        <v>2696368</v>
      </c>
      <c r="G129" s="240" t="str">
        <f t="shared" si="1"/>
        <v/>
      </c>
    </row>
    <row r="130" spans="2:7" ht="27" x14ac:dyDescent="0.25">
      <c r="B130" s="14">
        <v>108</v>
      </c>
      <c r="C130" s="15" t="s">
        <v>96</v>
      </c>
      <c r="D130" s="14">
        <v>1</v>
      </c>
      <c r="E130" s="238">
        <v>5280292</v>
      </c>
      <c r="F130" s="239">
        <v>3537796</v>
      </c>
      <c r="G130" s="240" t="str">
        <f t="shared" si="1"/>
        <v/>
      </c>
    </row>
    <row r="131" spans="2:7" x14ac:dyDescent="0.25">
      <c r="B131" s="14">
        <v>109</v>
      </c>
      <c r="C131" s="15" t="s">
        <v>97</v>
      </c>
      <c r="D131" s="14">
        <v>1</v>
      </c>
      <c r="E131" s="238">
        <v>5511983</v>
      </c>
      <c r="F131" s="239">
        <v>3693029</v>
      </c>
      <c r="G131" s="240" t="str">
        <f t="shared" si="1"/>
        <v/>
      </c>
    </row>
    <row r="132" spans="2:7" x14ac:dyDescent="0.25">
      <c r="B132" s="14">
        <v>110</v>
      </c>
      <c r="C132" s="15" t="s">
        <v>98</v>
      </c>
      <c r="D132" s="14">
        <v>1</v>
      </c>
      <c r="E132" s="238">
        <v>7473616</v>
      </c>
      <c r="F132" s="239">
        <v>5007323</v>
      </c>
      <c r="G132" s="240" t="str">
        <f t="shared" si="1"/>
        <v/>
      </c>
    </row>
    <row r="133" spans="2:7" x14ac:dyDescent="0.25">
      <c r="B133" s="14">
        <v>111</v>
      </c>
      <c r="C133" s="15" t="s">
        <v>99</v>
      </c>
      <c r="D133" s="14">
        <v>1</v>
      </c>
      <c r="E133" s="238">
        <v>9453371</v>
      </c>
      <c r="F133" s="239">
        <v>6333759</v>
      </c>
      <c r="G133" s="240" t="str">
        <f t="shared" si="1"/>
        <v/>
      </c>
    </row>
    <row r="134" spans="2:7" x14ac:dyDescent="0.25">
      <c r="B134" s="14">
        <v>112</v>
      </c>
      <c r="C134" s="15" t="s">
        <v>100</v>
      </c>
      <c r="D134" s="14">
        <v>1</v>
      </c>
      <c r="E134" s="238">
        <v>11752638</v>
      </c>
      <c r="F134" s="239">
        <v>7874267</v>
      </c>
      <c r="G134" s="240" t="str">
        <f t="shared" si="1"/>
        <v/>
      </c>
    </row>
    <row r="135" spans="2:7" ht="27" x14ac:dyDescent="0.25">
      <c r="B135" s="14">
        <v>113</v>
      </c>
      <c r="C135" s="15" t="s">
        <v>101</v>
      </c>
      <c r="D135" s="14">
        <v>1</v>
      </c>
      <c r="E135" s="238">
        <v>15375302</v>
      </c>
      <c r="F135" s="239">
        <v>10301452</v>
      </c>
      <c r="G135" s="240" t="str">
        <f t="shared" si="1"/>
        <v/>
      </c>
    </row>
    <row r="136" spans="2:7" x14ac:dyDescent="0.25">
      <c r="B136" s="14">
        <v>114</v>
      </c>
      <c r="C136" s="15" t="s">
        <v>102</v>
      </c>
      <c r="D136" s="14">
        <v>1</v>
      </c>
      <c r="E136" s="238">
        <v>309504</v>
      </c>
      <c r="F136" s="239">
        <v>207368</v>
      </c>
      <c r="G136" s="240" t="str">
        <f t="shared" si="1"/>
        <v/>
      </c>
    </row>
    <row r="137" spans="2:7" x14ac:dyDescent="0.25">
      <c r="B137" s="14">
        <v>115</v>
      </c>
      <c r="C137" s="15" t="s">
        <v>103</v>
      </c>
      <c r="D137" s="14">
        <v>1</v>
      </c>
      <c r="E137" s="238">
        <v>154579</v>
      </c>
      <c r="F137" s="239">
        <v>103568</v>
      </c>
      <c r="G137" s="240" t="str">
        <f t="shared" si="1"/>
        <v/>
      </c>
    </row>
    <row r="138" spans="2:7" x14ac:dyDescent="0.25">
      <c r="B138" s="14">
        <v>116</v>
      </c>
      <c r="C138" s="15" t="s">
        <v>104</v>
      </c>
      <c r="D138" s="14">
        <v>1</v>
      </c>
      <c r="E138" s="238">
        <v>204141</v>
      </c>
      <c r="F138" s="239">
        <v>136774</v>
      </c>
      <c r="G138" s="240" t="str">
        <f t="shared" si="1"/>
        <v/>
      </c>
    </row>
    <row r="139" spans="2:7" x14ac:dyDescent="0.25">
      <c r="B139" s="14">
        <v>117</v>
      </c>
      <c r="C139" s="15" t="s">
        <v>105</v>
      </c>
      <c r="D139" s="14">
        <v>1</v>
      </c>
      <c r="E139" s="238">
        <v>663084</v>
      </c>
      <c r="F139" s="239">
        <v>444266</v>
      </c>
      <c r="G139" s="240" t="str">
        <f t="shared" si="1"/>
        <v/>
      </c>
    </row>
    <row r="140" spans="2:7" ht="27" x14ac:dyDescent="0.25">
      <c r="B140" s="14">
        <v>118</v>
      </c>
      <c r="C140" s="15" t="s">
        <v>106</v>
      </c>
      <c r="D140" s="14">
        <v>1</v>
      </c>
      <c r="E140" s="238">
        <v>1384318</v>
      </c>
      <c r="F140" s="239">
        <v>927493</v>
      </c>
      <c r="G140" s="240" t="str">
        <f t="shared" si="1"/>
        <v/>
      </c>
    </row>
    <row r="141" spans="2:7" ht="27" x14ac:dyDescent="0.25">
      <c r="B141" s="14">
        <v>119</v>
      </c>
      <c r="C141" s="15" t="s">
        <v>107</v>
      </c>
      <c r="D141" s="14">
        <v>1</v>
      </c>
      <c r="E141" s="238">
        <v>9762718</v>
      </c>
      <c r="F141" s="239">
        <v>6541021</v>
      </c>
      <c r="G141" s="240" t="str">
        <f t="shared" si="1"/>
        <v/>
      </c>
    </row>
    <row r="142" spans="2:7" x14ac:dyDescent="0.25">
      <c r="B142" s="14">
        <v>120</v>
      </c>
      <c r="C142" s="15" t="s">
        <v>108</v>
      </c>
      <c r="D142" s="14">
        <v>1</v>
      </c>
      <c r="E142" s="238">
        <v>548914</v>
      </c>
      <c r="F142" s="239">
        <v>367772</v>
      </c>
      <c r="G142" s="240" t="str">
        <f t="shared" si="1"/>
        <v/>
      </c>
    </row>
    <row r="143" spans="2:7" x14ac:dyDescent="0.25">
      <c r="B143" s="14">
        <v>121</v>
      </c>
      <c r="C143" s="15" t="s">
        <v>109</v>
      </c>
      <c r="D143" s="14">
        <v>1</v>
      </c>
      <c r="E143" s="238">
        <v>261420</v>
      </c>
      <c r="F143" s="239">
        <v>175151</v>
      </c>
      <c r="G143" s="240" t="str">
        <f t="shared" si="1"/>
        <v/>
      </c>
    </row>
    <row r="144" spans="2:7" x14ac:dyDescent="0.25">
      <c r="B144" s="14">
        <v>122</v>
      </c>
      <c r="C144" s="15" t="s">
        <v>602</v>
      </c>
      <c r="D144" s="14">
        <v>1</v>
      </c>
      <c r="E144" s="238">
        <v>4875</v>
      </c>
      <c r="F144" s="239">
        <v>3266</v>
      </c>
      <c r="G144" s="240" t="str">
        <f t="shared" si="1"/>
        <v/>
      </c>
    </row>
    <row r="145" spans="2:7" x14ac:dyDescent="0.25">
      <c r="B145" s="14">
        <v>123</v>
      </c>
      <c r="C145" s="15" t="s">
        <v>603</v>
      </c>
      <c r="D145" s="14">
        <v>1</v>
      </c>
      <c r="E145" s="238">
        <v>3930</v>
      </c>
      <c r="F145" s="239">
        <v>2633</v>
      </c>
      <c r="G145" s="240" t="str">
        <f t="shared" si="1"/>
        <v/>
      </c>
    </row>
    <row r="146" spans="2:7" x14ac:dyDescent="0.25">
      <c r="B146" s="14">
        <v>124</v>
      </c>
      <c r="C146" s="15" t="s">
        <v>604</v>
      </c>
      <c r="D146" s="14">
        <v>1</v>
      </c>
      <c r="E146" s="238">
        <v>64900</v>
      </c>
      <c r="F146" s="239">
        <v>43483</v>
      </c>
      <c r="G146" s="240" t="str">
        <f t="shared" si="1"/>
        <v/>
      </c>
    </row>
    <row r="147" spans="2:7" x14ac:dyDescent="0.25">
      <c r="B147" s="14">
        <v>125</v>
      </c>
      <c r="C147" s="15" t="s">
        <v>605</v>
      </c>
      <c r="D147" s="14">
        <v>1</v>
      </c>
      <c r="E147" s="238">
        <v>38010</v>
      </c>
      <c r="F147" s="239">
        <v>25467</v>
      </c>
      <c r="G147" s="240" t="str">
        <f t="shared" si="1"/>
        <v/>
      </c>
    </row>
    <row r="148" spans="2:7" x14ac:dyDescent="0.25">
      <c r="B148" s="14">
        <v>126</v>
      </c>
      <c r="C148" s="15" t="s">
        <v>606</v>
      </c>
      <c r="D148" s="14">
        <v>1</v>
      </c>
      <c r="E148" s="238">
        <v>298642</v>
      </c>
      <c r="F148" s="239">
        <v>200090</v>
      </c>
      <c r="G148" s="240" t="str">
        <f t="shared" si="1"/>
        <v/>
      </c>
    </row>
    <row r="149" spans="2:7" x14ac:dyDescent="0.25">
      <c r="B149" s="14">
        <v>127</v>
      </c>
      <c r="C149" s="15" t="s">
        <v>607</v>
      </c>
      <c r="D149" s="14">
        <v>1</v>
      </c>
      <c r="E149" s="238">
        <v>72863</v>
      </c>
      <c r="F149" s="239">
        <v>48818</v>
      </c>
      <c r="G149" s="240" t="str">
        <f t="shared" si="1"/>
        <v/>
      </c>
    </row>
    <row r="150" spans="2:7" x14ac:dyDescent="0.25">
      <c r="B150" s="14">
        <v>128</v>
      </c>
      <c r="C150" s="15" t="s">
        <v>608</v>
      </c>
      <c r="D150" s="14">
        <v>1</v>
      </c>
      <c r="E150" s="238">
        <v>152353</v>
      </c>
      <c r="F150" s="239">
        <v>102077</v>
      </c>
      <c r="G150" s="240" t="str">
        <f t="shared" si="1"/>
        <v/>
      </c>
    </row>
    <row r="151" spans="2:7" x14ac:dyDescent="0.25">
      <c r="B151" s="14">
        <v>129</v>
      </c>
      <c r="C151" s="15" t="s">
        <v>609</v>
      </c>
      <c r="D151" s="14">
        <v>1</v>
      </c>
      <c r="E151" s="238">
        <v>548823</v>
      </c>
      <c r="F151" s="239">
        <v>367711</v>
      </c>
      <c r="G151" s="240" t="str">
        <f t="shared" si="1"/>
        <v/>
      </c>
    </row>
    <row r="152" spans="2:7" x14ac:dyDescent="0.25">
      <c r="B152" s="14">
        <v>130</v>
      </c>
      <c r="C152" s="15" t="s">
        <v>610</v>
      </c>
      <c r="D152" s="14">
        <v>1</v>
      </c>
      <c r="E152" s="238">
        <v>155109</v>
      </c>
      <c r="F152" s="239">
        <v>103923</v>
      </c>
      <c r="G152" s="240" t="str">
        <f t="shared" ref="G152:G215" si="2">+IF(F152&gt;E152,"El precio ofertado por cada uno de los items no puede ser mayor al precio techo","")</f>
        <v/>
      </c>
    </row>
    <row r="153" spans="2:7" x14ac:dyDescent="0.25">
      <c r="B153" s="14">
        <v>131</v>
      </c>
      <c r="C153" s="15" t="s">
        <v>611</v>
      </c>
      <c r="D153" s="14">
        <v>1</v>
      </c>
      <c r="E153" s="238">
        <v>120857</v>
      </c>
      <c r="F153" s="239">
        <v>80974</v>
      </c>
      <c r="G153" s="240" t="str">
        <f t="shared" si="2"/>
        <v/>
      </c>
    </row>
    <row r="154" spans="2:7" x14ac:dyDescent="0.25">
      <c r="B154" s="14">
        <v>132</v>
      </c>
      <c r="C154" s="15" t="s">
        <v>612</v>
      </c>
      <c r="D154" s="14">
        <v>1</v>
      </c>
      <c r="E154" s="238">
        <v>381089</v>
      </c>
      <c r="F154" s="239">
        <v>255330</v>
      </c>
      <c r="G154" s="240" t="str">
        <f t="shared" si="2"/>
        <v/>
      </c>
    </row>
    <row r="155" spans="2:7" x14ac:dyDescent="0.25">
      <c r="B155" s="14">
        <v>133</v>
      </c>
      <c r="C155" s="15" t="s">
        <v>613</v>
      </c>
      <c r="D155" s="14">
        <v>1</v>
      </c>
      <c r="E155" s="238">
        <v>88344</v>
      </c>
      <c r="F155" s="239">
        <v>59190</v>
      </c>
      <c r="G155" s="240" t="str">
        <f t="shared" si="2"/>
        <v/>
      </c>
    </row>
    <row r="156" spans="2:7" x14ac:dyDescent="0.25">
      <c r="B156" s="14">
        <v>134</v>
      </c>
      <c r="C156" s="15" t="s">
        <v>110</v>
      </c>
      <c r="D156" s="14">
        <v>1</v>
      </c>
      <c r="E156" s="238">
        <v>89035</v>
      </c>
      <c r="F156" s="239">
        <v>59653</v>
      </c>
      <c r="G156" s="240" t="str">
        <f t="shared" si="2"/>
        <v/>
      </c>
    </row>
    <row r="157" spans="2:7" x14ac:dyDescent="0.25">
      <c r="B157" s="14">
        <v>135</v>
      </c>
      <c r="C157" s="15" t="s">
        <v>111</v>
      </c>
      <c r="D157" s="14">
        <v>1</v>
      </c>
      <c r="E157" s="238">
        <v>122557</v>
      </c>
      <c r="F157" s="239">
        <v>82113</v>
      </c>
      <c r="G157" s="240" t="str">
        <f t="shared" si="2"/>
        <v/>
      </c>
    </row>
    <row r="158" spans="2:7" x14ac:dyDescent="0.25">
      <c r="B158" s="14">
        <v>136</v>
      </c>
      <c r="C158" s="15" t="s">
        <v>112</v>
      </c>
      <c r="D158" s="14">
        <v>1</v>
      </c>
      <c r="E158" s="238">
        <v>80298</v>
      </c>
      <c r="F158" s="239">
        <v>53800</v>
      </c>
      <c r="G158" s="240" t="str">
        <f t="shared" si="2"/>
        <v/>
      </c>
    </row>
    <row r="159" spans="2:7" x14ac:dyDescent="0.25">
      <c r="B159" s="14">
        <v>137</v>
      </c>
      <c r="C159" s="15" t="s">
        <v>113</v>
      </c>
      <c r="D159" s="14">
        <v>1</v>
      </c>
      <c r="E159" s="238">
        <v>74551</v>
      </c>
      <c r="F159" s="239">
        <v>49949</v>
      </c>
      <c r="G159" s="240" t="str">
        <f t="shared" si="2"/>
        <v/>
      </c>
    </row>
    <row r="160" spans="2:7" x14ac:dyDescent="0.25">
      <c r="B160" s="14">
        <v>138</v>
      </c>
      <c r="C160" s="15" t="s">
        <v>614</v>
      </c>
      <c r="D160" s="14">
        <v>1</v>
      </c>
      <c r="E160" s="238">
        <v>278892</v>
      </c>
      <c r="F160" s="239">
        <v>186858</v>
      </c>
      <c r="G160" s="240" t="str">
        <f t="shared" si="2"/>
        <v/>
      </c>
    </row>
    <row r="161" spans="2:7" x14ac:dyDescent="0.25">
      <c r="B161" s="14">
        <v>139</v>
      </c>
      <c r="C161" s="15" t="s">
        <v>114</v>
      </c>
      <c r="D161" s="14">
        <v>1</v>
      </c>
      <c r="E161" s="238">
        <v>268403</v>
      </c>
      <c r="F161" s="239">
        <v>179830</v>
      </c>
      <c r="G161" s="240" t="str">
        <f t="shared" si="2"/>
        <v/>
      </c>
    </row>
    <row r="162" spans="2:7" x14ac:dyDescent="0.25">
      <c r="B162" s="14">
        <v>140</v>
      </c>
      <c r="C162" s="15" t="s">
        <v>615</v>
      </c>
      <c r="D162" s="14">
        <v>1</v>
      </c>
      <c r="E162" s="238">
        <v>59106</v>
      </c>
      <c r="F162" s="239">
        <v>39601</v>
      </c>
      <c r="G162" s="240" t="str">
        <f t="shared" si="2"/>
        <v/>
      </c>
    </row>
    <row r="163" spans="2:7" ht="40.5" x14ac:dyDescent="0.25">
      <c r="B163" s="14">
        <v>141</v>
      </c>
      <c r="C163" s="15" t="s">
        <v>616</v>
      </c>
      <c r="D163" s="14">
        <v>1</v>
      </c>
      <c r="E163" s="238">
        <v>4553860</v>
      </c>
      <c r="F163" s="239">
        <v>3051086</v>
      </c>
      <c r="G163" s="240" t="str">
        <f t="shared" si="2"/>
        <v/>
      </c>
    </row>
    <row r="164" spans="2:7" x14ac:dyDescent="0.25">
      <c r="B164" s="14">
        <v>142</v>
      </c>
      <c r="C164" s="15" t="s">
        <v>115</v>
      </c>
      <c r="D164" s="14">
        <v>1</v>
      </c>
      <c r="E164" s="238">
        <v>177594</v>
      </c>
      <c r="F164" s="239">
        <v>118988</v>
      </c>
      <c r="G164" s="240" t="str">
        <f t="shared" si="2"/>
        <v/>
      </c>
    </row>
    <row r="165" spans="2:7" ht="27" x14ac:dyDescent="0.25">
      <c r="B165" s="14">
        <v>143</v>
      </c>
      <c r="C165" s="15" t="s">
        <v>116</v>
      </c>
      <c r="D165" s="14">
        <v>1</v>
      </c>
      <c r="E165" s="238">
        <v>832006</v>
      </c>
      <c r="F165" s="239">
        <v>557444</v>
      </c>
      <c r="G165" s="240" t="str">
        <f t="shared" si="2"/>
        <v/>
      </c>
    </row>
    <row r="166" spans="2:7" ht="27" x14ac:dyDescent="0.25">
      <c r="B166" s="14">
        <v>144</v>
      </c>
      <c r="C166" s="15" t="s">
        <v>117</v>
      </c>
      <c r="D166" s="14">
        <v>1</v>
      </c>
      <c r="E166" s="238">
        <v>992315</v>
      </c>
      <c r="F166" s="239">
        <v>664851</v>
      </c>
      <c r="G166" s="240" t="str">
        <f t="shared" si="2"/>
        <v/>
      </c>
    </row>
    <row r="167" spans="2:7" ht="27" x14ac:dyDescent="0.25">
      <c r="B167" s="14">
        <v>145</v>
      </c>
      <c r="C167" s="15" t="s">
        <v>118</v>
      </c>
      <c r="D167" s="14">
        <v>1</v>
      </c>
      <c r="E167" s="238">
        <v>1078976</v>
      </c>
      <c r="F167" s="239">
        <v>722914</v>
      </c>
      <c r="G167" s="240" t="str">
        <f t="shared" si="2"/>
        <v/>
      </c>
    </row>
    <row r="168" spans="2:7" x14ac:dyDescent="0.25">
      <c r="B168" s="14">
        <v>146</v>
      </c>
      <c r="C168" s="15" t="s">
        <v>119</v>
      </c>
      <c r="D168" s="14">
        <v>1</v>
      </c>
      <c r="E168" s="238">
        <v>1372133</v>
      </c>
      <c r="F168" s="239">
        <v>919329</v>
      </c>
      <c r="G168" s="240" t="str">
        <f t="shared" si="2"/>
        <v/>
      </c>
    </row>
    <row r="169" spans="2:7" x14ac:dyDescent="0.25">
      <c r="B169" s="14">
        <v>147</v>
      </c>
      <c r="C169" s="15" t="s">
        <v>120</v>
      </c>
      <c r="D169" s="14">
        <v>1</v>
      </c>
      <c r="E169" s="238">
        <v>1147369</v>
      </c>
      <c r="F169" s="239">
        <v>768737</v>
      </c>
      <c r="G169" s="240" t="str">
        <f t="shared" si="2"/>
        <v/>
      </c>
    </row>
    <row r="170" spans="2:7" x14ac:dyDescent="0.25">
      <c r="B170" s="14">
        <v>148</v>
      </c>
      <c r="C170" s="15" t="s">
        <v>121</v>
      </c>
      <c r="D170" s="14">
        <v>1</v>
      </c>
      <c r="E170" s="238">
        <v>2922075</v>
      </c>
      <c r="F170" s="239">
        <v>1957790</v>
      </c>
      <c r="G170" s="240" t="str">
        <f t="shared" si="2"/>
        <v/>
      </c>
    </row>
    <row r="171" spans="2:7" x14ac:dyDescent="0.25">
      <c r="B171" s="14">
        <v>149</v>
      </c>
      <c r="C171" s="15" t="s">
        <v>122</v>
      </c>
      <c r="D171" s="14">
        <v>1</v>
      </c>
      <c r="E171" s="238">
        <v>2644134</v>
      </c>
      <c r="F171" s="239">
        <v>1771570</v>
      </c>
      <c r="G171" s="240" t="str">
        <f t="shared" si="2"/>
        <v/>
      </c>
    </row>
    <row r="172" spans="2:7" x14ac:dyDescent="0.25">
      <c r="B172" s="14">
        <v>150</v>
      </c>
      <c r="C172" s="15" t="s">
        <v>123</v>
      </c>
      <c r="D172" s="14">
        <v>1</v>
      </c>
      <c r="E172" s="238">
        <v>2019716</v>
      </c>
      <c r="F172" s="239">
        <v>1353210</v>
      </c>
      <c r="G172" s="240" t="str">
        <f t="shared" si="2"/>
        <v/>
      </c>
    </row>
    <row r="173" spans="2:7" x14ac:dyDescent="0.25">
      <c r="B173" s="14">
        <v>151</v>
      </c>
      <c r="C173" s="15" t="s">
        <v>617</v>
      </c>
      <c r="D173" s="14">
        <v>1</v>
      </c>
      <c r="E173" s="238">
        <v>1636628</v>
      </c>
      <c r="F173" s="239">
        <v>1096541</v>
      </c>
      <c r="G173" s="240" t="str">
        <f t="shared" si="2"/>
        <v/>
      </c>
    </row>
    <row r="174" spans="2:7" x14ac:dyDescent="0.25">
      <c r="B174" s="14">
        <v>152</v>
      </c>
      <c r="C174" s="15" t="s">
        <v>124</v>
      </c>
      <c r="D174" s="14">
        <v>1</v>
      </c>
      <c r="E174" s="238">
        <v>1487628</v>
      </c>
      <c r="F174" s="239">
        <v>996711</v>
      </c>
      <c r="G174" s="240" t="str">
        <f t="shared" si="2"/>
        <v/>
      </c>
    </row>
    <row r="175" spans="2:7" x14ac:dyDescent="0.25">
      <c r="B175" s="14">
        <v>153</v>
      </c>
      <c r="C175" s="15" t="s">
        <v>125</v>
      </c>
      <c r="D175" s="14">
        <v>1</v>
      </c>
      <c r="E175" s="238">
        <v>3539174</v>
      </c>
      <c r="F175" s="239">
        <v>2371247</v>
      </c>
      <c r="G175" s="240" t="str">
        <f t="shared" si="2"/>
        <v/>
      </c>
    </row>
    <row r="176" spans="2:7" x14ac:dyDescent="0.25">
      <c r="B176" s="14">
        <v>154</v>
      </c>
      <c r="C176" s="15" t="s">
        <v>126</v>
      </c>
      <c r="D176" s="14">
        <v>1</v>
      </c>
      <c r="E176" s="238">
        <v>723367</v>
      </c>
      <c r="F176" s="239">
        <v>484656</v>
      </c>
      <c r="G176" s="240" t="str">
        <f t="shared" si="2"/>
        <v/>
      </c>
    </row>
    <row r="177" spans="2:7" x14ac:dyDescent="0.25">
      <c r="B177" s="14">
        <v>155</v>
      </c>
      <c r="C177" s="15" t="s">
        <v>127</v>
      </c>
      <c r="D177" s="14">
        <v>1</v>
      </c>
      <c r="E177" s="238">
        <v>973406</v>
      </c>
      <c r="F177" s="239">
        <v>652182</v>
      </c>
      <c r="G177" s="240" t="str">
        <f t="shared" si="2"/>
        <v/>
      </c>
    </row>
    <row r="178" spans="2:7" x14ac:dyDescent="0.25">
      <c r="B178" s="14">
        <v>156</v>
      </c>
      <c r="C178" s="18" t="s">
        <v>128</v>
      </c>
      <c r="D178" s="14">
        <v>1</v>
      </c>
      <c r="E178" s="238">
        <v>5967480</v>
      </c>
      <c r="F178" s="239">
        <v>3998212</v>
      </c>
      <c r="G178" s="240" t="str">
        <f t="shared" si="2"/>
        <v/>
      </c>
    </row>
    <row r="179" spans="2:7" x14ac:dyDescent="0.25">
      <c r="B179" s="14">
        <v>157</v>
      </c>
      <c r="C179" s="18" t="s">
        <v>129</v>
      </c>
      <c r="D179" s="14">
        <v>1</v>
      </c>
      <c r="E179" s="238">
        <v>4039152</v>
      </c>
      <c r="F179" s="239">
        <v>2706232</v>
      </c>
      <c r="G179" s="240" t="str">
        <f t="shared" si="2"/>
        <v/>
      </c>
    </row>
    <row r="180" spans="2:7" x14ac:dyDescent="0.25">
      <c r="B180" s="14">
        <v>158</v>
      </c>
      <c r="C180" s="18" t="s">
        <v>130</v>
      </c>
      <c r="D180" s="14">
        <v>1</v>
      </c>
      <c r="E180" s="238">
        <v>6565098</v>
      </c>
      <c r="F180" s="239">
        <v>4398616</v>
      </c>
      <c r="G180" s="240" t="str">
        <f t="shared" si="2"/>
        <v/>
      </c>
    </row>
    <row r="181" spans="2:7" x14ac:dyDescent="0.25">
      <c r="B181" s="14">
        <v>159</v>
      </c>
      <c r="C181" s="18" t="s">
        <v>131</v>
      </c>
      <c r="D181" s="14">
        <v>1</v>
      </c>
      <c r="E181" s="238">
        <v>4350518</v>
      </c>
      <c r="F181" s="239">
        <v>2914847</v>
      </c>
      <c r="G181" s="240" t="str">
        <f t="shared" si="2"/>
        <v/>
      </c>
    </row>
    <row r="182" spans="2:7" x14ac:dyDescent="0.25">
      <c r="B182" s="14">
        <v>160</v>
      </c>
      <c r="C182" s="18" t="s">
        <v>132</v>
      </c>
      <c r="D182" s="14">
        <v>1</v>
      </c>
      <c r="E182" s="238">
        <v>6205666</v>
      </c>
      <c r="F182" s="239">
        <v>4157796</v>
      </c>
      <c r="G182" s="240" t="str">
        <f t="shared" si="2"/>
        <v/>
      </c>
    </row>
    <row r="183" spans="2:7" x14ac:dyDescent="0.25">
      <c r="B183" s="14">
        <v>161</v>
      </c>
      <c r="C183" s="18" t="s">
        <v>133</v>
      </c>
      <c r="D183" s="14">
        <v>1</v>
      </c>
      <c r="E183" s="238">
        <v>4672498</v>
      </c>
      <c r="F183" s="239">
        <v>3130574</v>
      </c>
      <c r="G183" s="240" t="str">
        <f t="shared" si="2"/>
        <v/>
      </c>
    </row>
    <row r="184" spans="2:7" x14ac:dyDescent="0.25">
      <c r="B184" s="14">
        <v>162</v>
      </c>
      <c r="C184" s="15" t="s">
        <v>134</v>
      </c>
      <c r="D184" s="14">
        <v>1</v>
      </c>
      <c r="E184" s="238">
        <v>5198935</v>
      </c>
      <c r="F184" s="239">
        <v>3483286</v>
      </c>
      <c r="G184" s="240" t="str">
        <f t="shared" si="2"/>
        <v/>
      </c>
    </row>
    <row r="185" spans="2:7" ht="40.5" x14ac:dyDescent="0.25">
      <c r="B185" s="14">
        <v>163</v>
      </c>
      <c r="C185" s="15" t="s">
        <v>135</v>
      </c>
      <c r="D185" s="14">
        <v>1</v>
      </c>
      <c r="E185" s="238">
        <v>6301005</v>
      </c>
      <c r="F185" s="239">
        <v>4221673</v>
      </c>
      <c r="G185" s="240" t="str">
        <f t="shared" si="2"/>
        <v/>
      </c>
    </row>
    <row r="186" spans="2:7" ht="40.5" x14ac:dyDescent="0.25">
      <c r="B186" s="14">
        <v>164</v>
      </c>
      <c r="C186" s="15" t="s">
        <v>136</v>
      </c>
      <c r="D186" s="14">
        <v>1</v>
      </c>
      <c r="E186" s="238">
        <v>2490787</v>
      </c>
      <c r="F186" s="239">
        <v>1668827</v>
      </c>
      <c r="G186" s="240" t="str">
        <f t="shared" si="2"/>
        <v/>
      </c>
    </row>
    <row r="187" spans="2:7" x14ac:dyDescent="0.25">
      <c r="B187" s="14">
        <v>165</v>
      </c>
      <c r="C187" s="15" t="s">
        <v>137</v>
      </c>
      <c r="D187" s="14">
        <v>1</v>
      </c>
      <c r="E187" s="238">
        <v>708004</v>
      </c>
      <c r="F187" s="239">
        <v>474363</v>
      </c>
      <c r="G187" s="240" t="str">
        <f t="shared" si="2"/>
        <v/>
      </c>
    </row>
    <row r="188" spans="2:7" ht="67.5" x14ac:dyDescent="0.25">
      <c r="B188" s="14">
        <v>166</v>
      </c>
      <c r="C188" s="18" t="s">
        <v>138</v>
      </c>
      <c r="D188" s="14">
        <v>1</v>
      </c>
      <c r="E188" s="238">
        <v>263183</v>
      </c>
      <c r="F188" s="239">
        <v>176333</v>
      </c>
      <c r="G188" s="240" t="str">
        <f t="shared" si="2"/>
        <v/>
      </c>
    </row>
    <row r="189" spans="2:7" ht="27" x14ac:dyDescent="0.25">
      <c r="B189" s="14">
        <v>167</v>
      </c>
      <c r="C189" s="18" t="s">
        <v>139</v>
      </c>
      <c r="D189" s="14">
        <v>1</v>
      </c>
      <c r="E189" s="238">
        <v>271742</v>
      </c>
      <c r="F189" s="239">
        <v>182067</v>
      </c>
      <c r="G189" s="240" t="str">
        <f t="shared" si="2"/>
        <v/>
      </c>
    </row>
    <row r="190" spans="2:7" ht="40.5" x14ac:dyDescent="0.25">
      <c r="B190" s="14">
        <v>168</v>
      </c>
      <c r="C190" s="18" t="s">
        <v>140</v>
      </c>
      <c r="D190" s="14">
        <v>1</v>
      </c>
      <c r="E190" s="238">
        <v>327203</v>
      </c>
      <c r="F190" s="239">
        <v>219226</v>
      </c>
      <c r="G190" s="240" t="str">
        <f t="shared" si="2"/>
        <v/>
      </c>
    </row>
    <row r="191" spans="2:7" ht="40.5" x14ac:dyDescent="0.25">
      <c r="B191" s="14">
        <v>169</v>
      </c>
      <c r="C191" s="18" t="s">
        <v>141</v>
      </c>
      <c r="D191" s="14">
        <v>1</v>
      </c>
      <c r="E191" s="238">
        <v>357204</v>
      </c>
      <c r="F191" s="239">
        <v>239327</v>
      </c>
      <c r="G191" s="240" t="str">
        <f t="shared" si="2"/>
        <v/>
      </c>
    </row>
    <row r="192" spans="2:7" ht="54" x14ac:dyDescent="0.25">
      <c r="B192" s="14">
        <v>170</v>
      </c>
      <c r="C192" s="18" t="s">
        <v>142</v>
      </c>
      <c r="D192" s="14">
        <v>1</v>
      </c>
      <c r="E192" s="238">
        <v>1960167</v>
      </c>
      <c r="F192" s="239">
        <v>1313312</v>
      </c>
      <c r="G192" s="240" t="str">
        <f t="shared" si="2"/>
        <v/>
      </c>
    </row>
    <row r="193" spans="2:7" ht="54" x14ac:dyDescent="0.25">
      <c r="B193" s="14">
        <v>171</v>
      </c>
      <c r="C193" s="18" t="s">
        <v>142</v>
      </c>
      <c r="D193" s="14">
        <v>1</v>
      </c>
      <c r="E193" s="238">
        <v>2124047</v>
      </c>
      <c r="F193" s="239">
        <v>1423111</v>
      </c>
      <c r="G193" s="240" t="str">
        <f t="shared" si="2"/>
        <v/>
      </c>
    </row>
    <row r="194" spans="2:7" x14ac:dyDescent="0.25">
      <c r="B194" s="14">
        <v>172</v>
      </c>
      <c r="C194" s="18" t="s">
        <v>618</v>
      </c>
      <c r="D194" s="14">
        <v>1</v>
      </c>
      <c r="E194" s="238">
        <v>78737</v>
      </c>
      <c r="F194" s="239">
        <v>52754</v>
      </c>
      <c r="G194" s="240" t="str">
        <f t="shared" si="2"/>
        <v/>
      </c>
    </row>
    <row r="195" spans="2:7" x14ac:dyDescent="0.25">
      <c r="B195" s="14">
        <v>173</v>
      </c>
      <c r="C195" s="18" t="s">
        <v>619</v>
      </c>
      <c r="D195" s="14">
        <v>1</v>
      </c>
      <c r="E195" s="238">
        <v>68287</v>
      </c>
      <c r="F195" s="239">
        <v>45752</v>
      </c>
      <c r="G195" s="240" t="str">
        <f t="shared" si="2"/>
        <v/>
      </c>
    </row>
    <row r="196" spans="2:7" x14ac:dyDescent="0.25">
      <c r="B196" s="14">
        <v>174</v>
      </c>
      <c r="C196" s="18" t="s">
        <v>620</v>
      </c>
      <c r="D196" s="14">
        <v>1</v>
      </c>
      <c r="E196" s="238">
        <v>58528</v>
      </c>
      <c r="F196" s="239">
        <v>39214</v>
      </c>
      <c r="G196" s="240" t="str">
        <f t="shared" si="2"/>
        <v/>
      </c>
    </row>
    <row r="197" spans="2:7" x14ac:dyDescent="0.25">
      <c r="B197" s="14">
        <v>175</v>
      </c>
      <c r="C197" s="18" t="s">
        <v>621</v>
      </c>
      <c r="D197" s="14">
        <v>1</v>
      </c>
      <c r="E197" s="238">
        <v>2529434</v>
      </c>
      <c r="F197" s="239">
        <v>1694721</v>
      </c>
      <c r="G197" s="240" t="str">
        <f t="shared" si="2"/>
        <v/>
      </c>
    </row>
    <row r="198" spans="2:7" x14ac:dyDescent="0.25">
      <c r="B198" s="14">
        <v>176</v>
      </c>
      <c r="C198" s="18" t="s">
        <v>622</v>
      </c>
      <c r="D198" s="14">
        <v>1</v>
      </c>
      <c r="E198" s="238">
        <v>4587765</v>
      </c>
      <c r="F198" s="239">
        <v>3073803</v>
      </c>
      <c r="G198" s="240" t="str">
        <f t="shared" si="2"/>
        <v/>
      </c>
    </row>
    <row r="199" spans="2:7" ht="27" x14ac:dyDescent="0.25">
      <c r="B199" s="14">
        <v>177</v>
      </c>
      <c r="C199" s="18" t="s">
        <v>623</v>
      </c>
      <c r="D199" s="14">
        <v>1</v>
      </c>
      <c r="E199" s="238">
        <v>1647170</v>
      </c>
      <c r="F199" s="239">
        <v>1103604</v>
      </c>
      <c r="G199" s="240" t="str">
        <f t="shared" si="2"/>
        <v/>
      </c>
    </row>
    <row r="200" spans="2:7" ht="27" x14ac:dyDescent="0.25">
      <c r="B200" s="14">
        <v>178</v>
      </c>
      <c r="C200" s="18" t="s">
        <v>624</v>
      </c>
      <c r="D200" s="14">
        <v>1</v>
      </c>
      <c r="E200" s="238">
        <v>113493</v>
      </c>
      <c r="F200" s="239">
        <v>76040</v>
      </c>
      <c r="G200" s="240" t="str">
        <f t="shared" si="2"/>
        <v/>
      </c>
    </row>
    <row r="201" spans="2:7" ht="27" x14ac:dyDescent="0.25">
      <c r="B201" s="14">
        <v>179</v>
      </c>
      <c r="C201" s="18" t="s">
        <v>625</v>
      </c>
      <c r="D201" s="14">
        <v>1</v>
      </c>
      <c r="E201" s="238">
        <v>2033141</v>
      </c>
      <c r="F201" s="239">
        <v>1362204</v>
      </c>
      <c r="G201" s="240" t="str">
        <f t="shared" si="2"/>
        <v/>
      </c>
    </row>
    <row r="202" spans="2:7" ht="27" x14ac:dyDescent="0.25">
      <c r="B202" s="14">
        <v>180</v>
      </c>
      <c r="C202" s="18" t="s">
        <v>626</v>
      </c>
      <c r="D202" s="14">
        <v>1</v>
      </c>
      <c r="E202" s="238">
        <v>181740</v>
      </c>
      <c r="F202" s="239">
        <v>121766</v>
      </c>
      <c r="G202" s="240" t="str">
        <f t="shared" si="2"/>
        <v/>
      </c>
    </row>
    <row r="203" spans="2:7" ht="27" x14ac:dyDescent="0.25">
      <c r="B203" s="14">
        <v>181</v>
      </c>
      <c r="C203" s="18" t="s">
        <v>627</v>
      </c>
      <c r="D203" s="14">
        <v>1</v>
      </c>
      <c r="E203" s="238">
        <v>2706445</v>
      </c>
      <c r="F203" s="239">
        <v>1813318</v>
      </c>
      <c r="G203" s="240" t="str">
        <f t="shared" si="2"/>
        <v/>
      </c>
    </row>
    <row r="204" spans="2:7" ht="27" x14ac:dyDescent="0.25">
      <c r="B204" s="14">
        <v>182</v>
      </c>
      <c r="C204" s="18" t="s">
        <v>628</v>
      </c>
      <c r="D204" s="14">
        <v>1</v>
      </c>
      <c r="E204" s="238">
        <v>3387252</v>
      </c>
      <c r="F204" s="239">
        <v>2269459</v>
      </c>
      <c r="G204" s="240" t="str">
        <f t="shared" si="2"/>
        <v/>
      </c>
    </row>
    <row r="205" spans="2:7" ht="27" x14ac:dyDescent="0.25">
      <c r="B205" s="14">
        <v>183</v>
      </c>
      <c r="C205" s="18" t="s">
        <v>629</v>
      </c>
      <c r="D205" s="14">
        <v>1</v>
      </c>
      <c r="E205" s="238">
        <v>339109</v>
      </c>
      <c r="F205" s="239">
        <v>227203</v>
      </c>
      <c r="G205" s="240" t="str">
        <f t="shared" si="2"/>
        <v/>
      </c>
    </row>
    <row r="206" spans="2:7" x14ac:dyDescent="0.25">
      <c r="B206" s="14">
        <v>184</v>
      </c>
      <c r="C206" s="18" t="s">
        <v>630</v>
      </c>
      <c r="D206" s="14">
        <v>1</v>
      </c>
      <c r="E206" s="238">
        <v>259173</v>
      </c>
      <c r="F206" s="239">
        <v>173646</v>
      </c>
      <c r="G206" s="240" t="str">
        <f t="shared" si="2"/>
        <v/>
      </c>
    </row>
    <row r="207" spans="2:7" x14ac:dyDescent="0.25">
      <c r="B207" s="14">
        <v>185</v>
      </c>
      <c r="C207" s="18" t="s">
        <v>631</v>
      </c>
      <c r="D207" s="14">
        <v>1</v>
      </c>
      <c r="E207" s="238">
        <v>67453</v>
      </c>
      <c r="F207" s="239">
        <v>45194</v>
      </c>
      <c r="G207" s="240" t="str">
        <f t="shared" si="2"/>
        <v/>
      </c>
    </row>
    <row r="208" spans="2:7" ht="27" x14ac:dyDescent="0.25">
      <c r="B208" s="14">
        <v>186</v>
      </c>
      <c r="C208" s="18" t="s">
        <v>632</v>
      </c>
      <c r="D208" s="14">
        <v>1</v>
      </c>
      <c r="E208" s="238">
        <v>108454</v>
      </c>
      <c r="F208" s="239">
        <v>72664</v>
      </c>
      <c r="G208" s="240" t="str">
        <f t="shared" si="2"/>
        <v/>
      </c>
    </row>
    <row r="209" spans="2:7" x14ac:dyDescent="0.25">
      <c r="B209" s="14">
        <v>187</v>
      </c>
      <c r="C209" s="18" t="s">
        <v>633</v>
      </c>
      <c r="D209" s="14">
        <v>1</v>
      </c>
      <c r="E209" s="238">
        <v>127820</v>
      </c>
      <c r="F209" s="239">
        <v>85639</v>
      </c>
      <c r="G209" s="240" t="str">
        <f t="shared" si="2"/>
        <v/>
      </c>
    </row>
    <row r="210" spans="2:7" x14ac:dyDescent="0.25">
      <c r="B210" s="14">
        <v>188</v>
      </c>
      <c r="C210" s="18" t="s">
        <v>634</v>
      </c>
      <c r="D210" s="14">
        <v>1</v>
      </c>
      <c r="E210" s="238">
        <v>140929</v>
      </c>
      <c r="F210" s="239">
        <v>94422</v>
      </c>
      <c r="G210" s="240" t="str">
        <f t="shared" si="2"/>
        <v/>
      </c>
    </row>
    <row r="211" spans="2:7" x14ac:dyDescent="0.25">
      <c r="B211" s="14">
        <v>189</v>
      </c>
      <c r="C211" s="18" t="s">
        <v>635</v>
      </c>
      <c r="D211" s="14">
        <v>1</v>
      </c>
      <c r="E211" s="238">
        <v>25232</v>
      </c>
      <c r="F211" s="239">
        <v>16905</v>
      </c>
      <c r="G211" s="240" t="str">
        <f t="shared" si="2"/>
        <v/>
      </c>
    </row>
    <row r="212" spans="2:7" x14ac:dyDescent="0.25">
      <c r="B212" s="14">
        <v>190</v>
      </c>
      <c r="C212" s="18" t="s">
        <v>636</v>
      </c>
      <c r="D212" s="14">
        <v>1</v>
      </c>
      <c r="E212" s="238">
        <v>63413</v>
      </c>
      <c r="F212" s="239">
        <v>42487</v>
      </c>
      <c r="G212" s="240" t="str">
        <f t="shared" si="2"/>
        <v/>
      </c>
    </row>
    <row r="213" spans="2:7" x14ac:dyDescent="0.25">
      <c r="B213" s="14">
        <v>191</v>
      </c>
      <c r="C213" s="18" t="s">
        <v>637</v>
      </c>
      <c r="D213" s="14">
        <v>1</v>
      </c>
      <c r="E213" s="238">
        <v>13626</v>
      </c>
      <c r="F213" s="239">
        <v>9129</v>
      </c>
      <c r="G213" s="240" t="str">
        <f t="shared" si="2"/>
        <v/>
      </c>
    </row>
    <row r="214" spans="2:7" x14ac:dyDescent="0.25">
      <c r="B214" s="14">
        <v>192</v>
      </c>
      <c r="C214" s="18" t="s">
        <v>638</v>
      </c>
      <c r="D214" s="14">
        <v>1</v>
      </c>
      <c r="E214" s="238">
        <v>38189</v>
      </c>
      <c r="F214" s="239">
        <v>25587</v>
      </c>
      <c r="G214" s="240" t="str">
        <f t="shared" si="2"/>
        <v/>
      </c>
    </row>
    <row r="215" spans="2:7" x14ac:dyDescent="0.25">
      <c r="B215" s="14">
        <v>193</v>
      </c>
      <c r="C215" s="18" t="s">
        <v>639</v>
      </c>
      <c r="D215" s="14">
        <v>1</v>
      </c>
      <c r="E215" s="238">
        <v>83477</v>
      </c>
      <c r="F215" s="239">
        <v>55930</v>
      </c>
      <c r="G215" s="240" t="str">
        <f t="shared" si="2"/>
        <v/>
      </c>
    </row>
    <row r="216" spans="2:7" x14ac:dyDescent="0.25">
      <c r="B216" s="14">
        <v>194</v>
      </c>
      <c r="C216" s="18" t="s">
        <v>640</v>
      </c>
      <c r="D216" s="14">
        <v>1</v>
      </c>
      <c r="E216" s="238">
        <v>91144</v>
      </c>
      <c r="F216" s="239">
        <v>61066</v>
      </c>
      <c r="G216" s="240" t="str">
        <f t="shared" ref="G216:G235" si="3">+IF(F216&gt;E216,"El precio ofertado por cada uno de los items no puede ser mayor al precio techo","")</f>
        <v/>
      </c>
    </row>
    <row r="217" spans="2:7" x14ac:dyDescent="0.25">
      <c r="B217" s="14">
        <v>195</v>
      </c>
      <c r="C217" s="18" t="s">
        <v>641</v>
      </c>
      <c r="D217" s="14">
        <v>1</v>
      </c>
      <c r="E217" s="238">
        <v>115467</v>
      </c>
      <c r="F217" s="239">
        <v>77363</v>
      </c>
      <c r="G217" s="240" t="str">
        <f t="shared" si="3"/>
        <v/>
      </c>
    </row>
    <row r="218" spans="2:7" x14ac:dyDescent="0.25">
      <c r="B218" s="14">
        <v>196</v>
      </c>
      <c r="C218" s="18" t="s">
        <v>642</v>
      </c>
      <c r="D218" s="14">
        <v>1</v>
      </c>
      <c r="E218" s="238">
        <v>30968</v>
      </c>
      <c r="F218" s="239">
        <v>20749</v>
      </c>
      <c r="G218" s="240" t="str">
        <f t="shared" si="3"/>
        <v/>
      </c>
    </row>
    <row r="219" spans="2:7" x14ac:dyDescent="0.25">
      <c r="B219" s="14">
        <v>197</v>
      </c>
      <c r="C219" s="18" t="s">
        <v>643</v>
      </c>
      <c r="D219" s="14">
        <v>1</v>
      </c>
      <c r="E219" s="238">
        <v>20306</v>
      </c>
      <c r="F219" s="239">
        <v>13605</v>
      </c>
      <c r="G219" s="240" t="str">
        <f t="shared" si="3"/>
        <v/>
      </c>
    </row>
    <row r="220" spans="2:7" x14ac:dyDescent="0.25">
      <c r="B220" s="14">
        <v>198</v>
      </c>
      <c r="C220" s="18" t="s">
        <v>644</v>
      </c>
      <c r="D220" s="14">
        <v>1</v>
      </c>
      <c r="E220" s="238">
        <v>11430</v>
      </c>
      <c r="F220" s="239">
        <v>7658</v>
      </c>
      <c r="G220" s="240" t="str">
        <f t="shared" si="3"/>
        <v/>
      </c>
    </row>
    <row r="221" spans="2:7" x14ac:dyDescent="0.25">
      <c r="B221" s="14">
        <v>199</v>
      </c>
      <c r="C221" s="18" t="s">
        <v>645</v>
      </c>
      <c r="D221" s="14">
        <v>1</v>
      </c>
      <c r="E221" s="238">
        <v>62156</v>
      </c>
      <c r="F221" s="239">
        <v>41645</v>
      </c>
      <c r="G221" s="240" t="str">
        <f t="shared" si="3"/>
        <v/>
      </c>
    </row>
    <row r="222" spans="2:7" x14ac:dyDescent="0.25">
      <c r="B222" s="14">
        <v>200</v>
      </c>
      <c r="C222" s="18" t="s">
        <v>646</v>
      </c>
      <c r="D222" s="14">
        <v>1</v>
      </c>
      <c r="E222" s="238">
        <v>38209</v>
      </c>
      <c r="F222" s="239">
        <v>25600</v>
      </c>
      <c r="G222" s="240" t="str">
        <f t="shared" si="3"/>
        <v/>
      </c>
    </row>
    <row r="223" spans="2:7" x14ac:dyDescent="0.25">
      <c r="B223" s="14">
        <v>201</v>
      </c>
      <c r="C223" s="18" t="s">
        <v>647</v>
      </c>
      <c r="D223" s="14">
        <v>1</v>
      </c>
      <c r="E223" s="238">
        <v>63439</v>
      </c>
      <c r="F223" s="239">
        <v>42504</v>
      </c>
      <c r="G223" s="240" t="str">
        <f t="shared" si="3"/>
        <v/>
      </c>
    </row>
    <row r="224" spans="2:7" x14ac:dyDescent="0.25">
      <c r="B224" s="14">
        <v>202</v>
      </c>
      <c r="C224" s="18" t="s">
        <v>648</v>
      </c>
      <c r="D224" s="14">
        <v>1</v>
      </c>
      <c r="E224" s="238">
        <v>18173</v>
      </c>
      <c r="F224" s="239">
        <v>12176</v>
      </c>
      <c r="G224" s="240" t="str">
        <f t="shared" si="3"/>
        <v/>
      </c>
    </row>
    <row r="225" spans="2:7" x14ac:dyDescent="0.25">
      <c r="B225" s="14">
        <v>203</v>
      </c>
      <c r="C225" s="18" t="s">
        <v>649</v>
      </c>
      <c r="D225" s="14">
        <v>1</v>
      </c>
      <c r="E225" s="238">
        <v>38639</v>
      </c>
      <c r="F225" s="239">
        <v>25888</v>
      </c>
      <c r="G225" s="240" t="str">
        <f t="shared" si="3"/>
        <v/>
      </c>
    </row>
    <row r="226" spans="2:7" x14ac:dyDescent="0.25">
      <c r="B226" s="14">
        <v>204</v>
      </c>
      <c r="C226" s="18" t="s">
        <v>650</v>
      </c>
      <c r="D226" s="14">
        <v>1</v>
      </c>
      <c r="E226" s="238">
        <v>29926</v>
      </c>
      <c r="F226" s="239">
        <v>20050</v>
      </c>
      <c r="G226" s="240" t="str">
        <f t="shared" si="3"/>
        <v/>
      </c>
    </row>
    <row r="227" spans="2:7" x14ac:dyDescent="0.25">
      <c r="B227" s="14">
        <v>205</v>
      </c>
      <c r="C227" s="18" t="s">
        <v>651</v>
      </c>
      <c r="D227" s="14">
        <v>1</v>
      </c>
      <c r="E227" s="238">
        <v>22959</v>
      </c>
      <c r="F227" s="239">
        <v>15383</v>
      </c>
      <c r="G227" s="240" t="str">
        <f t="shared" si="3"/>
        <v/>
      </c>
    </row>
    <row r="228" spans="2:7" x14ac:dyDescent="0.25">
      <c r="B228" s="14">
        <v>206</v>
      </c>
      <c r="C228" s="18" t="s">
        <v>652</v>
      </c>
      <c r="D228" s="14">
        <v>1</v>
      </c>
      <c r="E228" s="238">
        <v>42482</v>
      </c>
      <c r="F228" s="239">
        <v>28463</v>
      </c>
      <c r="G228" s="240" t="str">
        <f t="shared" si="3"/>
        <v/>
      </c>
    </row>
    <row r="229" spans="2:7" x14ac:dyDescent="0.25">
      <c r="B229" s="14">
        <v>207</v>
      </c>
      <c r="C229" s="18" t="s">
        <v>653</v>
      </c>
      <c r="D229" s="14">
        <v>1</v>
      </c>
      <c r="E229" s="238">
        <v>50595</v>
      </c>
      <c r="F229" s="239">
        <v>33899</v>
      </c>
      <c r="G229" s="240" t="str">
        <f t="shared" si="3"/>
        <v/>
      </c>
    </row>
    <row r="230" spans="2:7" ht="27" x14ac:dyDescent="0.25">
      <c r="B230" s="14">
        <v>208</v>
      </c>
      <c r="C230" s="18" t="s">
        <v>654</v>
      </c>
      <c r="D230" s="14">
        <v>1</v>
      </c>
      <c r="E230" s="238">
        <v>18902</v>
      </c>
      <c r="F230" s="239">
        <v>12664</v>
      </c>
      <c r="G230" s="240" t="str">
        <f t="shared" si="3"/>
        <v/>
      </c>
    </row>
    <row r="231" spans="2:7" x14ac:dyDescent="0.25">
      <c r="B231" s="14">
        <v>209</v>
      </c>
      <c r="C231" s="18" t="s">
        <v>655</v>
      </c>
      <c r="D231" s="14">
        <v>1</v>
      </c>
      <c r="E231" s="238">
        <v>24908</v>
      </c>
      <c r="F231" s="239">
        <v>16688</v>
      </c>
      <c r="G231" s="240" t="str">
        <f t="shared" si="3"/>
        <v/>
      </c>
    </row>
    <row r="232" spans="2:7" x14ac:dyDescent="0.25">
      <c r="B232" s="14">
        <v>210</v>
      </c>
      <c r="C232" s="18" t="s">
        <v>656</v>
      </c>
      <c r="D232" s="14">
        <v>1</v>
      </c>
      <c r="E232" s="238">
        <v>9676</v>
      </c>
      <c r="F232" s="239">
        <v>6483</v>
      </c>
      <c r="G232" s="240" t="str">
        <f t="shared" si="3"/>
        <v/>
      </c>
    </row>
    <row r="233" spans="2:7" x14ac:dyDescent="0.25">
      <c r="B233" s="14">
        <v>211</v>
      </c>
      <c r="C233" s="18" t="s">
        <v>657</v>
      </c>
      <c r="D233" s="14">
        <v>1</v>
      </c>
      <c r="E233" s="238">
        <v>52001</v>
      </c>
      <c r="F233" s="239">
        <v>34841</v>
      </c>
      <c r="G233" s="240" t="str">
        <f t="shared" si="3"/>
        <v/>
      </c>
    </row>
    <row r="234" spans="2:7" x14ac:dyDescent="0.25">
      <c r="B234" s="14">
        <v>212</v>
      </c>
      <c r="C234" s="18" t="s">
        <v>658</v>
      </c>
      <c r="D234" s="14">
        <v>1</v>
      </c>
      <c r="E234" s="238">
        <v>95121</v>
      </c>
      <c r="F234" s="239">
        <v>63731</v>
      </c>
      <c r="G234" s="240" t="str">
        <f t="shared" si="3"/>
        <v/>
      </c>
    </row>
    <row r="235" spans="2:7" x14ac:dyDescent="0.25">
      <c r="B235" s="20">
        <v>213</v>
      </c>
      <c r="C235" s="19" t="s">
        <v>659</v>
      </c>
      <c r="D235" s="20">
        <v>1</v>
      </c>
      <c r="E235" s="238">
        <v>117140</v>
      </c>
      <c r="F235" s="239">
        <v>78484</v>
      </c>
      <c r="G235" s="240" t="str">
        <f t="shared" si="3"/>
        <v/>
      </c>
    </row>
    <row r="236" spans="2:7" ht="13.9" customHeight="1" x14ac:dyDescent="0.25">
      <c r="B236" s="1026" t="s">
        <v>143</v>
      </c>
      <c r="C236" s="1026"/>
      <c r="D236" s="1026"/>
      <c r="E236" s="241">
        <f>+SUM(E23:E235)</f>
        <v>328732736</v>
      </c>
      <c r="F236" s="241">
        <f>+SUM(F23:F235)</f>
        <v>228716353</v>
      </c>
    </row>
    <row r="237" spans="2:7" x14ac:dyDescent="0.25"/>
    <row r="238" spans="2:7" x14ac:dyDescent="0.25"/>
    <row r="239" spans="2:7" x14ac:dyDescent="0.25"/>
    <row r="240" spans="2:7" x14ac:dyDescent="0.25"/>
    <row r="241" x14ac:dyDescent="0.25"/>
    <row r="242" x14ac:dyDescent="0.25"/>
    <row r="243" x14ac:dyDescent="0.25"/>
    <row r="244" x14ac:dyDescent="0.25"/>
    <row r="245" x14ac:dyDescent="0.25"/>
    <row r="246" x14ac:dyDescent="0.25"/>
    <row r="247" x14ac:dyDescent="0.25"/>
    <row r="248" x14ac:dyDescent="0.25"/>
    <row r="249" x14ac:dyDescent="0.25"/>
    <row r="250" x14ac:dyDescent="0.25"/>
    <row r="251" x14ac:dyDescent="0.25"/>
    <row r="252" x14ac:dyDescent="0.25"/>
    <row r="253" x14ac:dyDescent="0.25"/>
    <row r="254" x14ac:dyDescent="0.25"/>
    <row r="255" x14ac:dyDescent="0.25"/>
    <row r="256" x14ac:dyDescent="0.25"/>
  </sheetData>
  <sheetProtection autoFilter="0"/>
  <autoFilter ref="B22:G22" xr:uid="{2C098840-6399-4188-8489-4139691D4A29}"/>
  <mergeCells count="19">
    <mergeCell ref="B15:G15"/>
    <mergeCell ref="B2:G4"/>
    <mergeCell ref="B5:G5"/>
    <mergeCell ref="B6:G6"/>
    <mergeCell ref="C7:G7"/>
    <mergeCell ref="C8:G8"/>
    <mergeCell ref="B9:G9"/>
    <mergeCell ref="B10:G10"/>
    <mergeCell ref="B11:F11"/>
    <mergeCell ref="B12:G12"/>
    <mergeCell ref="B13:D13"/>
    <mergeCell ref="B14:D14"/>
    <mergeCell ref="B236:D236"/>
    <mergeCell ref="B16:D16"/>
    <mergeCell ref="B17:D17"/>
    <mergeCell ref="B18:G18"/>
    <mergeCell ref="B19:D19"/>
    <mergeCell ref="B20:D20"/>
    <mergeCell ref="B21:G21"/>
  </mergeCells>
  <dataValidations count="2">
    <dataValidation type="whole" allowBlank="1" showInputMessage="1" showErrorMessage="1" sqref="F23:F235" xr:uid="{F9C0D57B-DBB7-499A-BF5D-E1F181805885}">
      <formula1>0</formula1>
      <formula2>10000000000</formula2>
    </dataValidation>
    <dataValidation type="textLength" allowBlank="1" showInputMessage="1" showErrorMessage="1" sqref="F14 F17 F20" xr:uid="{F4D9E61B-9886-49B1-B63B-67C1586CD8E9}">
      <formula1>0</formula1>
      <formula2>6</formula2>
    </dataValidation>
  </dataValidations>
  <hyperlinks>
    <hyperlink ref="C8" r:id="rId1" xr:uid="{E0563749-89FC-4E0D-BF47-CB24588D7C26}"/>
  </hyperlinks>
  <printOptions horizontalCentered="1"/>
  <pageMargins left="0.31496062992125984" right="0.31496062992125984" top="0.35433070866141736" bottom="0.35433070866141736" header="0.31496062992125984" footer="0.31496062992125984"/>
  <pageSetup paperSize="9" scale="49" fitToHeight="4" orientation="portrait" r:id="rId2"/>
  <drawing r:id="rId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BFF7F-BE95-48FD-8C68-6E2FF3E36DA1}">
  <sheetPr>
    <tabColor rgb="FF92D050"/>
  </sheetPr>
  <dimension ref="A1"/>
  <sheetViews>
    <sheetView workbookViewId="0"/>
  </sheetViews>
  <sheetFormatPr baseColWidth="10" defaultRowHeight="15" x14ac:dyDescent="0.25"/>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53213-5948-44B0-A330-006B1A891C30}">
  <dimension ref="A2:O57"/>
  <sheetViews>
    <sheetView topLeftCell="A6" workbookViewId="0">
      <selection activeCell="I11" sqref="I11"/>
    </sheetView>
  </sheetViews>
  <sheetFormatPr baseColWidth="10" defaultColWidth="11.42578125" defaultRowHeight="24.75" customHeight="1" x14ac:dyDescent="0.25"/>
  <cols>
    <col min="1" max="1" width="11.42578125" style="59"/>
    <col min="2" max="2" width="35" style="59" customWidth="1"/>
    <col min="3" max="3" width="12.85546875" style="59" bestFit="1" customWidth="1"/>
    <col min="4" max="5" width="11.5703125" style="59" bestFit="1" customWidth="1"/>
    <col min="6" max="6" width="15.5703125" style="59" customWidth="1"/>
    <col min="7" max="7" width="14.7109375" style="59" bestFit="1" customWidth="1"/>
    <col min="8" max="8" width="11.5703125" style="59" bestFit="1" customWidth="1"/>
    <col min="9" max="9" width="13.85546875" style="59" bestFit="1" customWidth="1"/>
    <col min="10" max="10" width="11.5703125" style="59" bestFit="1" customWidth="1"/>
    <col min="11" max="11" width="14.7109375" style="59" bestFit="1" customWidth="1"/>
    <col min="12" max="16384" width="11.42578125" style="59"/>
  </cols>
  <sheetData>
    <row r="2" spans="2:15" ht="24.75" customHeight="1" x14ac:dyDescent="0.25">
      <c r="B2" s="59" t="s">
        <v>8</v>
      </c>
      <c r="C2" s="261" t="s">
        <v>552</v>
      </c>
    </row>
    <row r="3" spans="2:15" ht="24.75" customHeight="1" x14ac:dyDescent="0.25">
      <c r="B3" s="59" t="s">
        <v>5</v>
      </c>
      <c r="C3" s="59" t="s">
        <v>705</v>
      </c>
    </row>
    <row r="4" spans="2:15" ht="24.75" customHeight="1" x14ac:dyDescent="0.25">
      <c r="B4" s="59" t="s">
        <v>3</v>
      </c>
      <c r="C4" s="59">
        <v>2024</v>
      </c>
    </row>
    <row r="5" spans="2:15" ht="24.75" customHeight="1" x14ac:dyDescent="0.25">
      <c r="B5" s="59" t="s">
        <v>706</v>
      </c>
      <c r="C5" s="927" t="s">
        <v>707</v>
      </c>
      <c r="D5" s="927"/>
      <c r="E5" s="927"/>
      <c r="F5" s="927"/>
      <c r="G5" s="927"/>
      <c r="H5" s="927"/>
      <c r="I5" s="927"/>
      <c r="J5" s="927"/>
      <c r="K5" s="927"/>
      <c r="L5" s="927"/>
      <c r="M5" s="927"/>
      <c r="N5" s="927"/>
      <c r="O5" s="927"/>
    </row>
    <row r="7" spans="2:15" ht="24.75" customHeight="1" thickBot="1" x14ac:dyDescent="0.3"/>
    <row r="8" spans="2:15" ht="24.75" customHeight="1" thickBot="1" x14ac:dyDescent="0.3">
      <c r="B8" s="1054" t="s">
        <v>708</v>
      </c>
      <c r="C8" s="1055"/>
      <c r="D8" s="1055"/>
      <c r="E8" s="1055"/>
      <c r="F8" s="1056"/>
      <c r="G8" s="1057" t="s">
        <v>709</v>
      </c>
      <c r="H8" s="1057"/>
      <c r="I8" s="1058" t="s">
        <v>710</v>
      </c>
      <c r="J8" s="1058"/>
      <c r="K8" s="1058"/>
    </row>
    <row r="9" spans="2:15" ht="24.75" customHeight="1" thickBot="1" x14ac:dyDescent="0.3">
      <c r="B9" s="264" t="s">
        <v>711</v>
      </c>
      <c r="C9" s="265" t="s">
        <v>456</v>
      </c>
      <c r="D9" s="266" t="s">
        <v>557</v>
      </c>
      <c r="E9" s="264" t="s">
        <v>249</v>
      </c>
      <c r="F9" s="267" t="s">
        <v>558</v>
      </c>
      <c r="G9" s="262" t="s">
        <v>252</v>
      </c>
      <c r="H9" s="262" t="s">
        <v>712</v>
      </c>
      <c r="I9" s="268" t="s">
        <v>713</v>
      </c>
      <c r="J9" s="263" t="s">
        <v>714</v>
      </c>
      <c r="K9" s="263" t="s">
        <v>252</v>
      </c>
    </row>
    <row r="10" spans="2:15" ht="24.75" customHeight="1" thickBot="1" x14ac:dyDescent="0.3">
      <c r="B10" s="269" t="s">
        <v>715</v>
      </c>
      <c r="C10" s="270">
        <f>SUM(C11:C17)</f>
        <v>500000</v>
      </c>
      <c r="D10" s="271">
        <v>4</v>
      </c>
      <c r="E10" s="271">
        <v>48</v>
      </c>
      <c r="F10" s="272">
        <f>+C10*D10*E10</f>
        <v>96000000</v>
      </c>
      <c r="G10" s="273">
        <f>+PRODUCT(E10,D10,C10)</f>
        <v>96000000</v>
      </c>
      <c r="H10" s="274">
        <f>+(F10/G10)-1</f>
        <v>0</v>
      </c>
      <c r="I10" s="275">
        <f>SUM(I11:I17)</f>
        <v>669721.33333333337</v>
      </c>
      <c r="J10" s="276">
        <f>+IFERROR((C10/I10)-1,"")</f>
        <v>-0.2534208257762931</v>
      </c>
      <c r="K10" s="273">
        <f>+PRODUCT(E10,D10,I10)</f>
        <v>128586496</v>
      </c>
    </row>
    <row r="11" spans="2:15" ht="24.75" customHeight="1" x14ac:dyDescent="0.25">
      <c r="B11" s="277" t="s">
        <v>716</v>
      </c>
      <c r="C11" s="278">
        <v>231000</v>
      </c>
      <c r="D11" s="279"/>
      <c r="E11" s="279"/>
      <c r="F11" s="280"/>
      <c r="I11" s="281">
        <v>245093.33333333334</v>
      </c>
      <c r="J11" s="276">
        <f>+IFERROR((C11/I11)-1,"")</f>
        <v>-5.7501904036557527E-2</v>
      </c>
    </row>
    <row r="12" spans="2:15" ht="24.75" customHeight="1" x14ac:dyDescent="0.25">
      <c r="B12" s="282" t="s">
        <v>717</v>
      </c>
      <c r="C12" s="283">
        <v>90000</v>
      </c>
      <c r="D12" s="279"/>
      <c r="E12" s="279"/>
      <c r="F12" s="280"/>
      <c r="I12" s="281">
        <v>90000</v>
      </c>
      <c r="J12" s="276">
        <f t="shared" ref="J12:J17" si="0">+IFERROR((C12/I12)-1,"")</f>
        <v>0</v>
      </c>
      <c r="L12" s="284" t="s">
        <v>718</v>
      </c>
    </row>
    <row r="13" spans="2:15" ht="24.75" customHeight="1" x14ac:dyDescent="0.25">
      <c r="B13" s="282" t="s">
        <v>719</v>
      </c>
      <c r="C13" s="283">
        <v>25000</v>
      </c>
      <c r="D13" s="279"/>
      <c r="E13" s="279"/>
      <c r="F13" s="280"/>
      <c r="I13" s="285">
        <v>71638</v>
      </c>
      <c r="J13" s="276">
        <f t="shared" si="0"/>
        <v>-0.65102319997766545</v>
      </c>
    </row>
    <row r="14" spans="2:15" ht="24.75" customHeight="1" x14ac:dyDescent="0.25">
      <c r="B14" s="282" t="s">
        <v>720</v>
      </c>
      <c r="C14" s="283">
        <v>22000</v>
      </c>
      <c r="D14" s="279"/>
      <c r="E14" s="279"/>
      <c r="F14" s="280"/>
      <c r="I14" s="285">
        <v>42602</v>
      </c>
      <c r="J14" s="276">
        <f t="shared" si="0"/>
        <v>-0.48359231960940796</v>
      </c>
    </row>
    <row r="15" spans="2:15" ht="24.75" customHeight="1" x14ac:dyDescent="0.25">
      <c r="B15" s="282" t="s">
        <v>721</v>
      </c>
      <c r="C15" s="283">
        <v>60000</v>
      </c>
      <c r="D15" s="279"/>
      <c r="E15" s="279"/>
      <c r="F15" s="280"/>
      <c r="I15" s="285">
        <v>88893</v>
      </c>
      <c r="J15" s="276">
        <f t="shared" si="0"/>
        <v>-0.32503121730619955</v>
      </c>
    </row>
    <row r="16" spans="2:15" ht="24.75" customHeight="1" x14ac:dyDescent="0.25">
      <c r="B16" s="282" t="s">
        <v>722</v>
      </c>
      <c r="C16" s="283">
        <v>22000</v>
      </c>
      <c r="D16" s="279"/>
      <c r="E16" s="279"/>
      <c r="F16" s="280"/>
      <c r="I16" s="285">
        <v>42602</v>
      </c>
      <c r="J16" s="276">
        <f t="shared" si="0"/>
        <v>-0.48359231960940796</v>
      </c>
    </row>
    <row r="17" spans="2:12" ht="24.75" customHeight="1" thickBot="1" x14ac:dyDescent="0.3">
      <c r="B17" s="286" t="s">
        <v>723</v>
      </c>
      <c r="C17" s="287">
        <v>50000</v>
      </c>
      <c r="D17" s="279"/>
      <c r="E17" s="279"/>
      <c r="F17" s="280"/>
      <c r="I17" s="285">
        <v>88893</v>
      </c>
      <c r="J17" s="276">
        <f t="shared" si="0"/>
        <v>-0.43752601442183303</v>
      </c>
    </row>
    <row r="18" spans="2:12" ht="24.75" customHeight="1" thickBot="1" x14ac:dyDescent="0.3">
      <c r="B18" s="269" t="s">
        <v>724</v>
      </c>
      <c r="C18" s="270">
        <f>SUM(C19:C25)</f>
        <v>500000</v>
      </c>
      <c r="D18" s="271">
        <v>1</v>
      </c>
      <c r="E18" s="271">
        <v>20</v>
      </c>
      <c r="F18" s="272">
        <f>+C18*D18*E18</f>
        <v>10000000</v>
      </c>
      <c r="G18" s="273">
        <f>+PRODUCT(E18,D18,C18)</f>
        <v>10000000</v>
      </c>
      <c r="H18" s="288">
        <f>+(F18/G18)-1</f>
        <v>0</v>
      </c>
      <c r="I18" s="275">
        <f>SUM(I19:I25)</f>
        <v>669721.33333333337</v>
      </c>
      <c r="J18" s="276">
        <f>+IFERROR((C18/I18)-1,"")</f>
        <v>-0.2534208257762931</v>
      </c>
      <c r="K18" s="273">
        <f>+PRODUCT(E18,D18,I18)</f>
        <v>13394426.666666668</v>
      </c>
    </row>
    <row r="19" spans="2:12" ht="24.75" customHeight="1" x14ac:dyDescent="0.25">
      <c r="B19" s="277" t="s">
        <v>716</v>
      </c>
      <c r="C19" s="278">
        <v>231000</v>
      </c>
      <c r="D19" s="279"/>
      <c r="E19" s="279"/>
      <c r="F19" s="280"/>
      <c r="I19" s="281">
        <v>245093.33333333334</v>
      </c>
      <c r="J19" s="276">
        <f>+IFERROR((C19/I19)-1,"")</f>
        <v>-5.7501904036557527E-2</v>
      </c>
    </row>
    <row r="20" spans="2:12" ht="24.75" customHeight="1" x14ac:dyDescent="0.25">
      <c r="B20" s="282" t="s">
        <v>717</v>
      </c>
      <c r="C20" s="283">
        <v>90000</v>
      </c>
      <c r="D20" s="279"/>
      <c r="E20" s="279"/>
      <c r="F20" s="280"/>
      <c r="I20" s="281">
        <v>90000</v>
      </c>
      <c r="J20" s="276">
        <f t="shared" ref="J20:J25" si="1">+IFERROR((C20/I20)-1,"")</f>
        <v>0</v>
      </c>
      <c r="L20" s="284" t="s">
        <v>718</v>
      </c>
    </row>
    <row r="21" spans="2:12" ht="24.75" customHeight="1" x14ac:dyDescent="0.25">
      <c r="B21" s="282" t="s">
        <v>719</v>
      </c>
      <c r="C21" s="283">
        <v>25000</v>
      </c>
      <c r="D21" s="279"/>
      <c r="E21" s="279"/>
      <c r="F21" s="280"/>
      <c r="I21" s="285">
        <v>71638</v>
      </c>
      <c r="J21" s="276">
        <f t="shared" si="1"/>
        <v>-0.65102319997766545</v>
      </c>
    </row>
    <row r="22" spans="2:12" ht="24.75" customHeight="1" x14ac:dyDescent="0.25">
      <c r="B22" s="282" t="s">
        <v>720</v>
      </c>
      <c r="C22" s="283">
        <v>22000</v>
      </c>
      <c r="D22" s="279"/>
      <c r="E22" s="279"/>
      <c r="F22" s="280"/>
      <c r="I22" s="285">
        <v>42602</v>
      </c>
      <c r="J22" s="276">
        <f t="shared" si="1"/>
        <v>-0.48359231960940796</v>
      </c>
    </row>
    <row r="23" spans="2:12" ht="24.75" customHeight="1" x14ac:dyDescent="0.25">
      <c r="B23" s="282" t="s">
        <v>721</v>
      </c>
      <c r="C23" s="283">
        <v>60000</v>
      </c>
      <c r="D23" s="279"/>
      <c r="E23" s="279"/>
      <c r="F23" s="280"/>
      <c r="I23" s="285">
        <v>88893</v>
      </c>
      <c r="J23" s="276">
        <f t="shared" si="1"/>
        <v>-0.32503121730619955</v>
      </c>
    </row>
    <row r="24" spans="2:12" ht="24.75" customHeight="1" x14ac:dyDescent="0.25">
      <c r="B24" s="282" t="s">
        <v>722</v>
      </c>
      <c r="C24" s="283">
        <v>22000</v>
      </c>
      <c r="D24" s="279"/>
      <c r="E24" s="279"/>
      <c r="F24" s="280"/>
      <c r="I24" s="285">
        <v>42602</v>
      </c>
      <c r="J24" s="276">
        <f t="shared" si="1"/>
        <v>-0.48359231960940796</v>
      </c>
    </row>
    <row r="25" spans="2:12" ht="24.75" customHeight="1" thickBot="1" x14ac:dyDescent="0.3">
      <c r="B25" s="286" t="s">
        <v>723</v>
      </c>
      <c r="C25" s="287">
        <v>50000</v>
      </c>
      <c r="D25" s="279"/>
      <c r="E25" s="279"/>
      <c r="F25" s="280"/>
      <c r="I25" s="285">
        <v>88893</v>
      </c>
      <c r="J25" s="276">
        <f t="shared" si="1"/>
        <v>-0.43752601442183303</v>
      </c>
    </row>
    <row r="26" spans="2:12" ht="47.25" customHeight="1" thickBot="1" x14ac:dyDescent="0.3">
      <c r="B26" s="289" t="s">
        <v>695</v>
      </c>
      <c r="C26" s="290">
        <f>SUM(C27:C32)</f>
        <v>2916666.67</v>
      </c>
      <c r="D26" s="271">
        <v>1</v>
      </c>
      <c r="E26" s="271">
        <v>48</v>
      </c>
      <c r="F26" s="272">
        <v>140000000</v>
      </c>
      <c r="G26" s="273">
        <f>+PRODUCT(E26,D26,C26)</f>
        <v>140000000.16</v>
      </c>
      <c r="H26" s="288">
        <f>+(F26/G26)-1</f>
        <v>-1.1428571422555933E-9</v>
      </c>
      <c r="I26" s="275">
        <f>+SUM(I27:I32)</f>
        <v>3064403.7142857146</v>
      </c>
      <c r="J26" s="276">
        <f>+IFERROR((C26/I26)-1,"")</f>
        <v>-4.8210698739526547E-2</v>
      </c>
      <c r="K26" s="273">
        <f>+PRODUCT(E26,D26,I26)</f>
        <v>147091378.2857143</v>
      </c>
    </row>
    <row r="27" spans="2:12" ht="24.75" customHeight="1" x14ac:dyDescent="0.25">
      <c r="B27" s="253" t="s">
        <v>696</v>
      </c>
      <c r="C27" s="291">
        <v>1100000</v>
      </c>
      <c r="D27" s="279"/>
      <c r="E27" s="279"/>
      <c r="F27" s="280"/>
      <c r="I27" s="292">
        <v>1215118</v>
      </c>
      <c r="J27" s="293">
        <f t="shared" ref="J27:J32" si="2">+IFERROR((C27/I27)-1,"")</f>
        <v>-9.4738124198637474E-2</v>
      </c>
    </row>
    <row r="28" spans="2:12" ht="24.75" customHeight="1" x14ac:dyDescent="0.25">
      <c r="B28" s="254" t="s">
        <v>697</v>
      </c>
      <c r="C28" s="294">
        <v>800000</v>
      </c>
      <c r="D28" s="279"/>
      <c r="E28" s="279"/>
      <c r="F28" s="280"/>
      <c r="G28" s="295"/>
      <c r="I28" s="292">
        <v>800000</v>
      </c>
      <c r="J28" s="293">
        <f t="shared" si="2"/>
        <v>0</v>
      </c>
    </row>
    <row r="29" spans="2:12" ht="24.75" customHeight="1" x14ac:dyDescent="0.25">
      <c r="B29" s="254" t="s">
        <v>698</v>
      </c>
      <c r="C29" s="294">
        <v>700000</v>
      </c>
      <c r="D29" s="279"/>
      <c r="E29" s="279"/>
      <c r="F29" s="280"/>
      <c r="G29" s="295"/>
      <c r="H29" s="127"/>
      <c r="I29" s="292">
        <f>5000000/7</f>
        <v>714285.71428571432</v>
      </c>
      <c r="J29" s="293">
        <f>+IFERROR((C29/I29)-1,"")</f>
        <v>-2.0000000000000018E-2</v>
      </c>
    </row>
    <row r="30" spans="2:12" ht="24.75" customHeight="1" x14ac:dyDescent="0.25">
      <c r="B30" s="254" t="s">
        <v>699</v>
      </c>
      <c r="C30" s="294">
        <v>230000</v>
      </c>
      <c r="D30" s="279"/>
      <c r="E30" s="279"/>
      <c r="F30" s="280"/>
      <c r="I30" s="292">
        <v>230000</v>
      </c>
      <c r="J30" s="293">
        <f>+IFERROR((C30/I30)-1,"")</f>
        <v>0</v>
      </c>
    </row>
    <row r="31" spans="2:12" ht="24.75" customHeight="1" x14ac:dyDescent="0.25">
      <c r="B31" s="254" t="s">
        <v>700</v>
      </c>
      <c r="C31" s="294">
        <v>80000</v>
      </c>
      <c r="D31" s="279"/>
      <c r="E31" s="279"/>
      <c r="F31" s="280"/>
      <c r="I31" s="292">
        <v>90000</v>
      </c>
      <c r="J31" s="293">
        <f t="shared" si="2"/>
        <v>-0.11111111111111116</v>
      </c>
    </row>
    <row r="32" spans="2:12" ht="24.75" customHeight="1" thickBot="1" x14ac:dyDescent="0.3">
      <c r="B32" s="255" t="s">
        <v>701</v>
      </c>
      <c r="C32" s="296">
        <v>6666.67</v>
      </c>
      <c r="D32" s="279"/>
      <c r="E32" s="279"/>
      <c r="F32" s="280"/>
      <c r="I32" s="292">
        <v>15000</v>
      </c>
      <c r="J32" s="293">
        <f t="shared" si="2"/>
        <v>-0.5555553333333334</v>
      </c>
    </row>
    <row r="33" spans="1:12" ht="24.75" customHeight="1" thickBot="1" x14ac:dyDescent="0.3">
      <c r="B33" s="289" t="s">
        <v>676</v>
      </c>
      <c r="C33" s="290">
        <f>SUM(C34)</f>
        <v>2000000</v>
      </c>
      <c r="D33" s="271">
        <v>1</v>
      </c>
      <c r="E33" s="271">
        <v>3</v>
      </c>
      <c r="F33" s="272">
        <f>+C33*D33*E33</f>
        <v>6000000</v>
      </c>
      <c r="G33" s="273">
        <f>+PRODUCT(E33,D33,C33)</f>
        <v>6000000</v>
      </c>
      <c r="H33" s="288">
        <f>+(F33/G33)-1</f>
        <v>0</v>
      </c>
      <c r="I33" s="275">
        <f>SUM(I34)</f>
        <v>5000000</v>
      </c>
      <c r="J33" s="276">
        <f>+IFERROR((C33/I33)-1,"")</f>
        <v>-0.6</v>
      </c>
      <c r="K33" s="273">
        <f>+PRODUCT(E33,D33,I33)</f>
        <v>15000000</v>
      </c>
    </row>
    <row r="34" spans="1:12" ht="24.75" customHeight="1" thickBot="1" x14ac:dyDescent="0.3">
      <c r="B34" s="297" t="s">
        <v>677</v>
      </c>
      <c r="C34" s="298">
        <v>2000000</v>
      </c>
      <c r="D34" s="279"/>
      <c r="E34" s="279"/>
      <c r="F34" s="280"/>
      <c r="I34" s="285">
        <v>5000000</v>
      </c>
      <c r="J34" s="276">
        <f>+IFERROR((C34/I34)-1,"")</f>
        <v>-0.6</v>
      </c>
    </row>
    <row r="35" spans="1:12" ht="24.75" customHeight="1" thickBot="1" x14ac:dyDescent="0.3">
      <c r="B35" s="299" t="s">
        <v>725</v>
      </c>
      <c r="C35" s="290">
        <v>1450000</v>
      </c>
      <c r="D35" s="271">
        <v>1</v>
      </c>
      <c r="E35" s="271">
        <v>1</v>
      </c>
      <c r="F35" s="272">
        <f>+C35*D35*E35</f>
        <v>1450000</v>
      </c>
      <c r="G35" s="273">
        <f>+PRODUCT(E35,D35,C35)</f>
        <v>1450000</v>
      </c>
      <c r="H35" s="288">
        <f>+(F35/G35)-1</f>
        <v>0</v>
      </c>
      <c r="I35" s="275">
        <v>8000000</v>
      </c>
      <c r="J35" s="276">
        <f>+IFERROR((C35/I35)-1,"")</f>
        <v>-0.81874999999999998</v>
      </c>
      <c r="K35" s="273">
        <f>+PRODUCT(E35,D35,I35)</f>
        <v>8000000</v>
      </c>
    </row>
    <row r="36" spans="1:12" ht="24.75" customHeight="1" x14ac:dyDescent="0.25">
      <c r="B36" s="300" t="s">
        <v>726</v>
      </c>
      <c r="C36" s="291">
        <f>28000*50</f>
        <v>1400000</v>
      </c>
      <c r="D36" s="279"/>
      <c r="E36" s="279"/>
      <c r="F36" s="280"/>
      <c r="I36" s="127"/>
    </row>
    <row r="37" spans="1:12" ht="24.75" customHeight="1" thickBot="1" x14ac:dyDescent="0.3">
      <c r="B37" s="301" t="s">
        <v>727</v>
      </c>
      <c r="C37" s="296">
        <v>50000</v>
      </c>
      <c r="D37" s="279"/>
      <c r="E37" s="279"/>
      <c r="F37" s="280"/>
    </row>
    <row r="38" spans="1:12" ht="24.75" customHeight="1" thickBot="1" x14ac:dyDescent="0.3">
      <c r="B38" s="289" t="s">
        <v>728</v>
      </c>
      <c r="C38" s="290">
        <f>SUM(C39)</f>
        <v>3000000</v>
      </c>
      <c r="D38" s="271">
        <v>1</v>
      </c>
      <c r="E38" s="271">
        <v>3</v>
      </c>
      <c r="F38" s="272">
        <f>+C38*D38*E38</f>
        <v>9000000</v>
      </c>
      <c r="G38" s="273">
        <f>+PRODUCT(E38,D38,C38)</f>
        <v>9000000</v>
      </c>
      <c r="H38" s="288">
        <f>+(F38/G38)-1</f>
        <v>0</v>
      </c>
      <c r="I38" s="275">
        <v>1015000</v>
      </c>
      <c r="J38" s="276">
        <f>+IFERROR((C38/I38)-1,"")</f>
        <v>1.9556650246305418</v>
      </c>
      <c r="K38" s="273">
        <f>+PRODUCT(E38,D38,I38)</f>
        <v>3045000</v>
      </c>
    </row>
    <row r="39" spans="1:12" ht="24.75" customHeight="1" thickBot="1" x14ac:dyDescent="0.3">
      <c r="B39" s="302" t="s">
        <v>729</v>
      </c>
      <c r="C39" s="298">
        <v>3000000</v>
      </c>
      <c r="D39" s="279"/>
      <c r="E39" s="279"/>
      <c r="F39" s="280"/>
    </row>
    <row r="40" spans="1:12" ht="24.75" customHeight="1" thickBot="1" x14ac:dyDescent="0.3">
      <c r="B40" s="289" t="s">
        <v>555</v>
      </c>
      <c r="C40" s="290">
        <f>SUM(C41)</f>
        <v>3000000</v>
      </c>
      <c r="D40" s="271">
        <v>1</v>
      </c>
      <c r="E40" s="271">
        <v>3</v>
      </c>
      <c r="F40" s="272">
        <f>+C40*D40*E40</f>
        <v>9000000</v>
      </c>
      <c r="G40" s="273">
        <f>+PRODUCT(E40,D40,C40)</f>
        <v>9000000</v>
      </c>
      <c r="H40" s="288">
        <f>+(F40/G40)-1</f>
        <v>0</v>
      </c>
      <c r="I40" s="275">
        <v>1985000</v>
      </c>
      <c r="J40" s="276">
        <f>+IFERROR((C40/I40)-1,"")</f>
        <v>0.51133501259445846</v>
      </c>
      <c r="K40" s="273">
        <f>+PRODUCT(E40,D40,I40)</f>
        <v>5955000</v>
      </c>
    </row>
    <row r="41" spans="1:12" ht="24.75" customHeight="1" thickBot="1" x14ac:dyDescent="0.3">
      <c r="A41" s="127"/>
      <c r="B41" s="302" t="s">
        <v>730</v>
      </c>
      <c r="C41" s="298">
        <v>3000000</v>
      </c>
      <c r="D41" s="279"/>
      <c r="E41" s="279"/>
      <c r="F41" s="280"/>
    </row>
    <row r="42" spans="1:12" ht="24.75" customHeight="1" thickBot="1" x14ac:dyDescent="0.3">
      <c r="B42" s="303" t="s">
        <v>731</v>
      </c>
      <c r="C42" s="290">
        <f>SUM(C43:C43)</f>
        <v>10000000</v>
      </c>
      <c r="D42" s="271">
        <v>1</v>
      </c>
      <c r="E42" s="271">
        <v>1</v>
      </c>
      <c r="F42" s="272">
        <f>+C42*D42*E42</f>
        <v>10000000</v>
      </c>
      <c r="G42" s="273">
        <f>+PRODUCT(E42,D42,C42)</f>
        <v>10000000</v>
      </c>
      <c r="H42" s="288">
        <f>+(F42/G42)-1</f>
        <v>0</v>
      </c>
      <c r="I42" s="275">
        <v>1100000</v>
      </c>
      <c r="J42" s="276">
        <f>+IFERROR((C42/I42)-1,"")</f>
        <v>8.0909090909090917</v>
      </c>
      <c r="K42" s="273">
        <f>+PRODUCT(E42,D42,I42)</f>
        <v>1100000</v>
      </c>
      <c r="L42" s="304" t="s">
        <v>732</v>
      </c>
    </row>
    <row r="43" spans="1:12" ht="24.75" customHeight="1" thickBot="1" x14ac:dyDescent="0.3">
      <c r="B43" s="305" t="s">
        <v>733</v>
      </c>
      <c r="C43" s="306">
        <v>10000000</v>
      </c>
      <c r="D43" s="279"/>
      <c r="E43" s="279"/>
      <c r="F43" s="280"/>
    </row>
    <row r="44" spans="1:12" ht="24.75" customHeight="1" thickBot="1" x14ac:dyDescent="0.3">
      <c r="B44" s="289" t="s">
        <v>734</v>
      </c>
      <c r="C44" s="307">
        <f>SUM(C45)</f>
        <v>2666666.6666666665</v>
      </c>
      <c r="D44" s="308">
        <v>1</v>
      </c>
      <c r="E44" s="308">
        <v>3</v>
      </c>
      <c r="F44" s="309">
        <f>+C44*D44*E44</f>
        <v>8000000</v>
      </c>
      <c r="G44" s="273">
        <f>+PRODUCT(E44,D44,C44)</f>
        <v>8000000</v>
      </c>
      <c r="H44" s="288">
        <f>+(F44/G44)-1</f>
        <v>0</v>
      </c>
      <c r="I44" s="275">
        <v>625000</v>
      </c>
      <c r="J44" s="276">
        <f>+IFERROR((C44/I44)-1,"")</f>
        <v>3.2666666666666666</v>
      </c>
      <c r="K44" s="273">
        <f>+PRODUCT(E44,D44,I44)</f>
        <v>1875000</v>
      </c>
    </row>
    <row r="45" spans="1:12" ht="57.75" customHeight="1" thickBot="1" x14ac:dyDescent="0.3">
      <c r="B45" s="310" t="s">
        <v>735</v>
      </c>
      <c r="C45" s="311">
        <v>2666666.6666666665</v>
      </c>
      <c r="D45" s="279"/>
      <c r="E45" s="279"/>
      <c r="F45" s="280"/>
    </row>
    <row r="46" spans="1:12" ht="24.75" customHeight="1" thickBot="1" x14ac:dyDescent="0.3">
      <c r="B46" s="303" t="s">
        <v>736</v>
      </c>
      <c r="C46" s="290">
        <f>SUM(C47)</f>
        <v>500000</v>
      </c>
      <c r="D46" s="271">
        <v>1</v>
      </c>
      <c r="E46" s="271">
        <v>2</v>
      </c>
      <c r="F46" s="272">
        <f>+C46*D46*E46</f>
        <v>1000000</v>
      </c>
      <c r="G46" s="273">
        <f>+PRODUCT(E46,D46,C46)</f>
        <v>1000000</v>
      </c>
      <c r="H46" s="288">
        <f>+(F46/G46)-1</f>
        <v>0</v>
      </c>
      <c r="I46" s="275">
        <v>300000</v>
      </c>
      <c r="J46" s="276">
        <f>+IFERROR((C46/I46)-1,"")</f>
        <v>0.66666666666666674</v>
      </c>
      <c r="K46" s="273">
        <f>+PRODUCT(E46,D46,I46)</f>
        <v>600000</v>
      </c>
      <c r="L46" s="312" t="s">
        <v>737</v>
      </c>
    </row>
    <row r="47" spans="1:12" ht="24.75" customHeight="1" thickBot="1" x14ac:dyDescent="0.3">
      <c r="B47" s="313" t="s">
        <v>738</v>
      </c>
      <c r="C47" s="311">
        <v>500000</v>
      </c>
      <c r="D47" s="279"/>
      <c r="E47" s="279"/>
      <c r="F47" s="280"/>
    </row>
    <row r="48" spans="1:12" ht="24.75" customHeight="1" thickBot="1" x14ac:dyDescent="0.3">
      <c r="B48" s="289" t="s">
        <v>739</v>
      </c>
      <c r="C48" s="290">
        <f>SUM(C49:C52)</f>
        <v>300000</v>
      </c>
      <c r="D48" s="271">
        <v>3</v>
      </c>
      <c r="E48" s="271">
        <v>5</v>
      </c>
      <c r="F48" s="272">
        <f>+C48*D48*E48</f>
        <v>4500000</v>
      </c>
      <c r="G48" s="273">
        <f>+PRODUCT(E48,D48,C48)</f>
        <v>4500000</v>
      </c>
      <c r="H48" s="288">
        <f>+(F48/G48)-1</f>
        <v>0</v>
      </c>
      <c r="I48" s="314">
        <f>SUM(I49:I52)</f>
        <v>401935.33333333337</v>
      </c>
      <c r="J48" s="276">
        <f>+IFERROR((C48/I48)-1,"")</f>
        <v>-0.25361127743600553</v>
      </c>
      <c r="K48" s="273">
        <f>+PRODUCT(E48,D48,I48)</f>
        <v>6029030.0000000009</v>
      </c>
    </row>
    <row r="49" spans="2:11" ht="24.75" customHeight="1" x14ac:dyDescent="0.25">
      <c r="B49" s="277" t="s">
        <v>716</v>
      </c>
      <c r="C49" s="278">
        <v>231000</v>
      </c>
      <c r="D49" s="279"/>
      <c r="E49" s="279"/>
      <c r="F49" s="280"/>
      <c r="I49" s="281">
        <v>245093.33333333334</v>
      </c>
      <c r="J49" s="276">
        <f>+IFERROR((C49/I49)-1,"")</f>
        <v>-5.7501904036557527E-2</v>
      </c>
    </row>
    <row r="50" spans="2:11" ht="24.75" customHeight="1" x14ac:dyDescent="0.25">
      <c r="B50" s="282" t="s">
        <v>719</v>
      </c>
      <c r="C50" s="283">
        <v>25000</v>
      </c>
      <c r="D50" s="279"/>
      <c r="E50" s="279"/>
      <c r="F50" s="280"/>
      <c r="I50" s="285">
        <v>71638</v>
      </c>
      <c r="J50" s="276">
        <f t="shared" ref="J50:J52" si="3">+IFERROR((C50/I50)-1,"")</f>
        <v>-0.65102319997766545</v>
      </c>
    </row>
    <row r="51" spans="2:11" ht="24.75" customHeight="1" x14ac:dyDescent="0.25">
      <c r="B51" s="282" t="s">
        <v>720</v>
      </c>
      <c r="C51" s="283">
        <v>22000</v>
      </c>
      <c r="D51" s="279"/>
      <c r="E51" s="279"/>
      <c r="F51" s="280"/>
      <c r="I51" s="285">
        <v>42602</v>
      </c>
      <c r="J51" s="276">
        <f t="shared" si="3"/>
        <v>-0.48359231960940796</v>
      </c>
    </row>
    <row r="52" spans="2:11" ht="24.75" customHeight="1" thickBot="1" x14ac:dyDescent="0.3">
      <c r="B52" s="286" t="s">
        <v>722</v>
      </c>
      <c r="C52" s="287">
        <v>22000</v>
      </c>
      <c r="D52" s="279"/>
      <c r="E52" s="279"/>
      <c r="F52" s="280"/>
      <c r="I52" s="285">
        <v>42602</v>
      </c>
      <c r="J52" s="276">
        <f t="shared" si="3"/>
        <v>-0.48359231960940796</v>
      </c>
    </row>
    <row r="53" spans="2:11" ht="24.75" customHeight="1" thickBot="1" x14ac:dyDescent="0.3">
      <c r="B53" s="289" t="s">
        <v>740</v>
      </c>
      <c r="C53" s="290">
        <f>SUM(C54)</f>
        <v>1100000</v>
      </c>
      <c r="D53" s="271">
        <v>1</v>
      </c>
      <c r="E53" s="271">
        <v>3</v>
      </c>
      <c r="F53" s="272">
        <f>+C53*D53*E53</f>
        <v>3300000</v>
      </c>
      <c r="G53" s="273">
        <f>+PRODUCT(E53,D53,C53)</f>
        <v>3300000</v>
      </c>
      <c r="H53" s="288">
        <f>+(F53/G53)-1</f>
        <v>0</v>
      </c>
      <c r="I53" s="275">
        <v>0</v>
      </c>
      <c r="J53" s="276" t="str">
        <f>+IFERROR((C53/I53)-1,"")</f>
        <v/>
      </c>
      <c r="K53" s="273">
        <f>+PRODUCT(E53,D53,I53)</f>
        <v>0</v>
      </c>
    </row>
    <row r="54" spans="2:11" ht="24.75" customHeight="1" thickBot="1" x14ac:dyDescent="0.3">
      <c r="B54" s="315" t="s">
        <v>741</v>
      </c>
      <c r="C54" s="316">
        <v>1100000</v>
      </c>
      <c r="D54" s="279"/>
      <c r="E54" s="279"/>
      <c r="F54" s="280"/>
    </row>
    <row r="55" spans="2:11" ht="24.75" customHeight="1" thickBot="1" x14ac:dyDescent="0.3">
      <c r="B55" s="269" t="s">
        <v>742</v>
      </c>
      <c r="C55" s="290">
        <f>SUM(C56)</f>
        <v>1750000</v>
      </c>
      <c r="D55" s="271">
        <v>1</v>
      </c>
      <c r="E55" s="271">
        <v>1</v>
      </c>
      <c r="F55" s="272">
        <f>+C55*D55*E55</f>
        <v>1750000</v>
      </c>
      <c r="G55" s="273">
        <f>+PRODUCT(E55,D55,C55)</f>
        <v>1750000</v>
      </c>
      <c r="H55" s="288">
        <f>+(F55/G55)-1</f>
        <v>0</v>
      </c>
      <c r="I55" s="275">
        <v>285600</v>
      </c>
      <c r="J55" s="276">
        <f>+IFERROR((C55/I55)-1,"")</f>
        <v>5.1274509803921573</v>
      </c>
      <c r="K55" s="273">
        <f>+PRODUCT(E55,D55,I55)</f>
        <v>285600</v>
      </c>
    </row>
    <row r="56" spans="2:11" ht="24.75" customHeight="1" thickBot="1" x14ac:dyDescent="0.3">
      <c r="B56" s="315" t="s">
        <v>743</v>
      </c>
      <c r="C56" s="316">
        <v>1750000</v>
      </c>
      <c r="D56" s="279"/>
      <c r="E56" s="279"/>
      <c r="F56" s="280"/>
    </row>
    <row r="57" spans="2:11" ht="24.75" customHeight="1" thickBot="1" x14ac:dyDescent="0.3">
      <c r="B57" s="1059" t="s">
        <v>744</v>
      </c>
      <c r="C57" s="1060"/>
      <c r="D57" s="1061">
        <f>SUM(F10:F56)</f>
        <v>300000000</v>
      </c>
      <c r="E57" s="1061"/>
      <c r="F57" s="1062"/>
      <c r="G57" s="317">
        <f>SUM(G10:G56)</f>
        <v>300000000.15999997</v>
      </c>
      <c r="I57" s="127"/>
      <c r="K57" s="317">
        <f>+K10+K18+K26+K33+K35+K38+K40+K42+K44+K46+K48+K53+K55</f>
        <v>330961930.95238096</v>
      </c>
    </row>
  </sheetData>
  <mergeCells count="6">
    <mergeCell ref="C5:O5"/>
    <mergeCell ref="B8:F8"/>
    <mergeCell ref="G8:H8"/>
    <mergeCell ref="I8:K8"/>
    <mergeCell ref="B57:C57"/>
    <mergeCell ref="D57:F57"/>
  </mergeCells>
  <conditionalFormatting sqref="H10">
    <cfRule type="cellIs" dxfId="33" priority="34" operator="greaterThan">
      <formula>0</formula>
    </cfRule>
    <cfRule type="cellIs" dxfId="32" priority="33" operator="lessThan">
      <formula>0</formula>
    </cfRule>
  </conditionalFormatting>
  <conditionalFormatting sqref="H18">
    <cfRule type="cellIs" dxfId="31" priority="32" operator="greaterThan">
      <formula>0</formula>
    </cfRule>
    <cfRule type="cellIs" dxfId="30" priority="31" operator="lessThan">
      <formula>0</formula>
    </cfRule>
  </conditionalFormatting>
  <conditionalFormatting sqref="H26">
    <cfRule type="cellIs" dxfId="29" priority="30" operator="greaterThan">
      <formula>0</formula>
    </cfRule>
    <cfRule type="cellIs" dxfId="28" priority="29" operator="lessThan">
      <formula>0</formula>
    </cfRule>
  </conditionalFormatting>
  <conditionalFormatting sqref="H33">
    <cfRule type="cellIs" dxfId="27" priority="28" operator="greaterThan">
      <formula>0</formula>
    </cfRule>
    <cfRule type="cellIs" dxfId="26" priority="27" operator="lessThan">
      <formula>0</formula>
    </cfRule>
  </conditionalFormatting>
  <conditionalFormatting sqref="H35">
    <cfRule type="cellIs" dxfId="25" priority="26" operator="greaterThan">
      <formula>0</formula>
    </cfRule>
    <cfRule type="cellIs" dxfId="24" priority="25" operator="lessThan">
      <formula>0</formula>
    </cfRule>
  </conditionalFormatting>
  <conditionalFormatting sqref="H38">
    <cfRule type="cellIs" dxfId="23" priority="24" operator="greaterThan">
      <formula>0</formula>
    </cfRule>
    <cfRule type="cellIs" dxfId="22" priority="23" operator="lessThan">
      <formula>0</formula>
    </cfRule>
  </conditionalFormatting>
  <conditionalFormatting sqref="H40">
    <cfRule type="cellIs" dxfId="21" priority="22" operator="greaterThan">
      <formula>0</formula>
    </cfRule>
    <cfRule type="cellIs" dxfId="20" priority="21" operator="lessThan">
      <formula>0</formula>
    </cfRule>
  </conditionalFormatting>
  <conditionalFormatting sqref="H42">
    <cfRule type="cellIs" dxfId="19" priority="20" operator="greaterThan">
      <formula>0</formula>
    </cfRule>
    <cfRule type="cellIs" dxfId="18" priority="19" operator="lessThan">
      <formula>0</formula>
    </cfRule>
  </conditionalFormatting>
  <conditionalFormatting sqref="H44">
    <cfRule type="cellIs" dxfId="17" priority="17" operator="lessThan">
      <formula>0</formula>
    </cfRule>
    <cfRule type="cellIs" dxfId="16" priority="18" operator="greaterThan">
      <formula>0</formula>
    </cfRule>
  </conditionalFormatting>
  <conditionalFormatting sqref="H46">
    <cfRule type="cellIs" dxfId="15" priority="16" operator="greaterThan">
      <formula>0</formula>
    </cfRule>
    <cfRule type="cellIs" dxfId="14" priority="15" operator="lessThan">
      <formula>0</formula>
    </cfRule>
  </conditionalFormatting>
  <conditionalFormatting sqref="H48">
    <cfRule type="cellIs" dxfId="13" priority="14" operator="greaterThan">
      <formula>0</formula>
    </cfRule>
    <cfRule type="cellIs" dxfId="12" priority="13" operator="lessThan">
      <formula>0</formula>
    </cfRule>
  </conditionalFormatting>
  <conditionalFormatting sqref="H53">
    <cfRule type="cellIs" dxfId="11" priority="12" operator="greaterThan">
      <formula>0</formula>
    </cfRule>
    <cfRule type="cellIs" dxfId="10" priority="11" operator="lessThan">
      <formula>0</formula>
    </cfRule>
  </conditionalFormatting>
  <conditionalFormatting sqref="H55">
    <cfRule type="cellIs" dxfId="9" priority="10" operator="greaterThan">
      <formula>0</formula>
    </cfRule>
    <cfRule type="cellIs" dxfId="8" priority="9" operator="lessThan">
      <formula>0</formula>
    </cfRule>
  </conditionalFormatting>
  <conditionalFormatting sqref="J10:J35">
    <cfRule type="cellIs" dxfId="7" priority="8" operator="greaterThan">
      <formula>0</formula>
    </cfRule>
  </conditionalFormatting>
  <conditionalFormatting sqref="J38">
    <cfRule type="cellIs" dxfId="6" priority="7" operator="greaterThan">
      <formula>0</formula>
    </cfRule>
  </conditionalFormatting>
  <conditionalFormatting sqref="J40">
    <cfRule type="cellIs" dxfId="5" priority="6" operator="greaterThan">
      <formula>0</formula>
    </cfRule>
  </conditionalFormatting>
  <conditionalFormatting sqref="J42">
    <cfRule type="cellIs" dxfId="4" priority="5" operator="greaterThan">
      <formula>0</formula>
    </cfRule>
  </conditionalFormatting>
  <conditionalFormatting sqref="J44">
    <cfRule type="cellIs" dxfId="3" priority="4" operator="greaterThan">
      <formula>0</formula>
    </cfRule>
  </conditionalFormatting>
  <conditionalFormatting sqref="J46">
    <cfRule type="cellIs" dxfId="2" priority="3" operator="greaterThan">
      <formula>0</formula>
    </cfRule>
  </conditionalFormatting>
  <conditionalFormatting sqref="J48:J53">
    <cfRule type="cellIs" dxfId="1" priority="2" operator="greaterThan">
      <formula>0</formula>
    </cfRule>
  </conditionalFormatting>
  <conditionalFormatting sqref="J55">
    <cfRule type="cellIs" dxfId="0" priority="1" operator="greaterThan">
      <formula>0</formula>
    </cfRule>
  </conditionalFormatting>
  <hyperlinks>
    <hyperlink ref="L46" r:id="rId1" xr:uid="{671FBD74-057F-4240-8558-8315A1518D79}"/>
    <hyperlink ref="C2" r:id="rId2" xr:uid="{AF40F1B2-720C-47C8-AD5C-319D3B835848}"/>
  </hyperlink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63C96-EDAE-40FF-896C-37CBEB82BB1B}">
  <dimension ref="B2:Q170"/>
  <sheetViews>
    <sheetView topLeftCell="A158" workbookViewId="0">
      <selection activeCell="E98" sqref="E98:N98"/>
    </sheetView>
  </sheetViews>
  <sheetFormatPr baseColWidth="10" defaultRowHeight="15" x14ac:dyDescent="0.25"/>
  <cols>
    <col min="5" max="5" width="13.5703125" customWidth="1"/>
    <col min="6" max="6" width="11.5703125" bestFit="1" customWidth="1"/>
    <col min="8" max="8" width="11.7109375" bestFit="1" customWidth="1"/>
    <col min="9" max="9" width="11.5703125" bestFit="1" customWidth="1"/>
    <col min="11" max="12" width="11.5703125" bestFit="1" customWidth="1"/>
    <col min="13" max="14" width="11.7109375" bestFit="1" customWidth="1"/>
    <col min="15" max="15" width="13.28515625" bestFit="1" customWidth="1"/>
    <col min="16" max="16" width="14.85546875" customWidth="1"/>
    <col min="17" max="17" width="13" bestFit="1" customWidth="1"/>
  </cols>
  <sheetData>
    <row r="2" spans="2:15" x14ac:dyDescent="0.25">
      <c r="C2" s="318" t="s">
        <v>450</v>
      </c>
    </row>
    <row r="4" spans="2:15" x14ac:dyDescent="0.25">
      <c r="C4" t="s">
        <v>451</v>
      </c>
    </row>
    <row r="5" spans="2:15" x14ac:dyDescent="0.25">
      <c r="C5">
        <v>2024</v>
      </c>
    </row>
    <row r="6" spans="2:15" x14ac:dyDescent="0.25">
      <c r="C6" t="s">
        <v>745</v>
      </c>
    </row>
    <row r="10" spans="2:15" x14ac:dyDescent="0.25">
      <c r="B10" s="1064" t="s">
        <v>746</v>
      </c>
      <c r="C10" s="873"/>
      <c r="D10" s="1064" t="s">
        <v>747</v>
      </c>
      <c r="E10" s="872"/>
      <c r="F10" s="872"/>
      <c r="G10" s="872"/>
      <c r="H10" s="872"/>
      <c r="I10" s="872"/>
      <c r="J10" s="872"/>
      <c r="K10" s="872"/>
      <c r="L10" s="872"/>
      <c r="M10" s="872"/>
      <c r="N10" s="872"/>
      <c r="O10" s="873"/>
    </row>
    <row r="11" spans="2:15" x14ac:dyDescent="0.25">
      <c r="B11" s="1064" t="s">
        <v>748</v>
      </c>
      <c r="C11" s="873"/>
      <c r="D11" s="1065" t="s">
        <v>749</v>
      </c>
      <c r="E11" s="872"/>
      <c r="F11" s="872"/>
      <c r="G11" s="872"/>
      <c r="H11" s="872"/>
      <c r="I11" s="872"/>
      <c r="J11" s="872"/>
      <c r="K11" s="872"/>
      <c r="L11" s="872"/>
      <c r="M11" s="872"/>
      <c r="N11" s="872"/>
      <c r="O11" s="873"/>
    </row>
    <row r="12" spans="2:15" x14ac:dyDescent="0.25">
      <c r="B12" s="1065"/>
      <c r="C12" s="872"/>
      <c r="D12" s="872"/>
      <c r="E12" s="872"/>
      <c r="F12" s="872"/>
      <c r="G12" s="872"/>
      <c r="H12" s="872"/>
      <c r="I12" s="872"/>
      <c r="J12" s="872"/>
      <c r="K12" s="872"/>
      <c r="L12" s="872"/>
      <c r="M12" s="872"/>
      <c r="N12" s="872"/>
      <c r="O12" s="873"/>
    </row>
    <row r="13" spans="2:15" x14ac:dyDescent="0.25">
      <c r="B13" s="319"/>
      <c r="C13" s="66"/>
      <c r="D13" s="66"/>
      <c r="E13" s="66"/>
      <c r="F13" s="66"/>
      <c r="G13" s="66"/>
      <c r="H13" s="66"/>
      <c r="I13" s="66"/>
      <c r="J13" s="78"/>
      <c r="K13" s="66"/>
      <c r="L13" s="66"/>
      <c r="M13" s="66"/>
      <c r="N13" s="66"/>
      <c r="O13" s="66"/>
    </row>
    <row r="14" spans="2:15" ht="22.5" x14ac:dyDescent="0.25">
      <c r="B14" s="209" t="s">
        <v>706</v>
      </c>
      <c r="C14" s="209" t="s">
        <v>711</v>
      </c>
      <c r="D14" s="209" t="s">
        <v>750</v>
      </c>
      <c r="E14" s="209" t="s">
        <v>453</v>
      </c>
      <c r="F14" s="209" t="s">
        <v>454</v>
      </c>
      <c r="G14" s="209" t="s">
        <v>455</v>
      </c>
      <c r="H14" s="209" t="s">
        <v>456</v>
      </c>
      <c r="I14" s="209" t="s">
        <v>457</v>
      </c>
      <c r="J14" s="209" t="s">
        <v>458</v>
      </c>
      <c r="K14" s="209" t="s">
        <v>459</v>
      </c>
      <c r="L14" s="209" t="s">
        <v>460</v>
      </c>
      <c r="M14" s="209" t="s">
        <v>461</v>
      </c>
      <c r="N14" s="209" t="s">
        <v>462</v>
      </c>
      <c r="O14" s="209" t="s">
        <v>463</v>
      </c>
    </row>
    <row r="15" spans="2:15" ht="124.5" x14ac:dyDescent="0.25">
      <c r="B15" s="912" t="s">
        <v>684</v>
      </c>
      <c r="C15" s="915" t="s">
        <v>685</v>
      </c>
      <c r="D15" s="1063" t="s">
        <v>751</v>
      </c>
      <c r="E15" s="210" t="s">
        <v>541</v>
      </c>
      <c r="F15" s="211">
        <v>2</v>
      </c>
      <c r="G15" s="211" t="s">
        <v>464</v>
      </c>
      <c r="H15" s="212">
        <v>4200000</v>
      </c>
      <c r="I15" s="211">
        <v>1</v>
      </c>
      <c r="J15" s="211" t="s">
        <v>315</v>
      </c>
      <c r="K15" s="212">
        <f>+H15*19%</f>
        <v>798000</v>
      </c>
      <c r="L15" s="213">
        <v>0.19</v>
      </c>
      <c r="M15" s="212">
        <f t="shared" ref="M15:M25" si="0">+K15+H15</f>
        <v>4998000</v>
      </c>
      <c r="N15" s="212">
        <f t="shared" ref="N15:N25" si="1">+H15*I15*F15</f>
        <v>8400000</v>
      </c>
      <c r="O15" s="214">
        <f t="shared" ref="O15:O25" si="2">+M15*I15*F15</f>
        <v>9996000</v>
      </c>
    </row>
    <row r="16" spans="2:15" ht="22.5" x14ac:dyDescent="0.25">
      <c r="B16" s="913"/>
      <c r="C16" s="913"/>
      <c r="D16" s="913"/>
      <c r="E16" s="215" t="s">
        <v>542</v>
      </c>
      <c r="F16" s="211">
        <v>2</v>
      </c>
      <c r="G16" s="211" t="s">
        <v>464</v>
      </c>
      <c r="H16" s="212">
        <v>1650000</v>
      </c>
      <c r="I16" s="211">
        <v>1</v>
      </c>
      <c r="J16" s="211" t="s">
        <v>315</v>
      </c>
      <c r="K16" s="212">
        <f>+H16*8%</f>
        <v>132000</v>
      </c>
      <c r="L16" s="213">
        <v>0.08</v>
      </c>
      <c r="M16" s="212">
        <f t="shared" si="0"/>
        <v>1782000</v>
      </c>
      <c r="N16" s="212">
        <f t="shared" si="1"/>
        <v>3300000</v>
      </c>
      <c r="O16" s="214">
        <f t="shared" si="2"/>
        <v>3564000</v>
      </c>
    </row>
    <row r="17" spans="2:16" x14ac:dyDescent="0.25">
      <c r="B17" s="913"/>
      <c r="C17" s="913"/>
      <c r="D17" s="913"/>
      <c r="E17" s="210" t="s">
        <v>543</v>
      </c>
      <c r="F17" s="211">
        <v>2</v>
      </c>
      <c r="G17" s="211" t="s">
        <v>464</v>
      </c>
      <c r="H17" s="212">
        <v>200000</v>
      </c>
      <c r="I17" s="211">
        <v>4</v>
      </c>
      <c r="J17" s="211" t="s">
        <v>287</v>
      </c>
      <c r="K17" s="212">
        <f t="shared" ref="K17:K18" si="3">+H17*19%</f>
        <v>38000</v>
      </c>
      <c r="L17" s="213">
        <v>0.19</v>
      </c>
      <c r="M17" s="212">
        <f t="shared" si="0"/>
        <v>238000</v>
      </c>
      <c r="N17" s="212">
        <f t="shared" si="1"/>
        <v>1600000</v>
      </c>
      <c r="O17" s="214">
        <f t="shared" si="2"/>
        <v>1904000</v>
      </c>
    </row>
    <row r="18" spans="2:16" ht="34.5" x14ac:dyDescent="0.25">
      <c r="B18" s="913"/>
      <c r="C18" s="913"/>
      <c r="D18" s="913"/>
      <c r="E18" s="210" t="s">
        <v>544</v>
      </c>
      <c r="F18" s="211">
        <v>2</v>
      </c>
      <c r="G18" s="211" t="s">
        <v>464</v>
      </c>
      <c r="H18" s="212">
        <v>2500000</v>
      </c>
      <c r="I18" s="211">
        <v>1</v>
      </c>
      <c r="J18" s="211" t="s">
        <v>545</v>
      </c>
      <c r="K18" s="212">
        <f t="shared" si="3"/>
        <v>475000</v>
      </c>
      <c r="L18" s="213">
        <v>0.19</v>
      </c>
      <c r="M18" s="212">
        <f t="shared" si="0"/>
        <v>2975000</v>
      </c>
      <c r="N18" s="212">
        <f t="shared" si="1"/>
        <v>5000000</v>
      </c>
      <c r="O18" s="214">
        <f t="shared" si="2"/>
        <v>5950000</v>
      </c>
    </row>
    <row r="19" spans="2:16" ht="45.75" x14ac:dyDescent="0.25">
      <c r="B19" s="913"/>
      <c r="C19" s="913"/>
      <c r="D19" s="913"/>
      <c r="E19" s="210" t="s">
        <v>465</v>
      </c>
      <c r="F19" s="211">
        <v>2</v>
      </c>
      <c r="G19" s="211" t="s">
        <v>464</v>
      </c>
      <c r="H19" s="212">
        <v>30000</v>
      </c>
      <c r="I19" s="211">
        <v>70</v>
      </c>
      <c r="J19" s="211" t="s">
        <v>466</v>
      </c>
      <c r="K19" s="212">
        <f t="shared" ref="K19:K21" si="4">+H19*8%</f>
        <v>2400</v>
      </c>
      <c r="L19" s="213">
        <v>0.08</v>
      </c>
      <c r="M19" s="212">
        <f t="shared" si="0"/>
        <v>32400</v>
      </c>
      <c r="N19" s="212">
        <f t="shared" si="1"/>
        <v>4200000</v>
      </c>
      <c r="O19" s="214">
        <f t="shared" si="2"/>
        <v>4536000</v>
      </c>
    </row>
    <row r="20" spans="2:16" ht="45.75" x14ac:dyDescent="0.25">
      <c r="B20" s="913"/>
      <c r="C20" s="913"/>
      <c r="D20" s="913"/>
      <c r="E20" s="210" t="s">
        <v>467</v>
      </c>
      <c r="F20" s="211">
        <v>2</v>
      </c>
      <c r="G20" s="211" t="s">
        <v>464</v>
      </c>
      <c r="H20" s="212">
        <v>30000</v>
      </c>
      <c r="I20" s="211">
        <v>70</v>
      </c>
      <c r="J20" s="211" t="s">
        <v>466</v>
      </c>
      <c r="K20" s="212">
        <f t="shared" si="4"/>
        <v>2400</v>
      </c>
      <c r="L20" s="213">
        <v>0.08</v>
      </c>
      <c r="M20" s="212">
        <f t="shared" si="0"/>
        <v>32400</v>
      </c>
      <c r="N20" s="212">
        <f t="shared" si="1"/>
        <v>4200000</v>
      </c>
      <c r="O20" s="214">
        <f t="shared" si="2"/>
        <v>4536000</v>
      </c>
    </row>
    <row r="21" spans="2:16" ht="45.75" x14ac:dyDescent="0.25">
      <c r="B21" s="913"/>
      <c r="C21" s="913"/>
      <c r="D21" s="913"/>
      <c r="E21" s="210" t="s">
        <v>468</v>
      </c>
      <c r="F21" s="211">
        <v>2</v>
      </c>
      <c r="G21" s="211" t="s">
        <v>464</v>
      </c>
      <c r="H21" s="212">
        <v>60000</v>
      </c>
      <c r="I21" s="211">
        <v>70</v>
      </c>
      <c r="J21" s="211" t="s">
        <v>315</v>
      </c>
      <c r="K21" s="212">
        <f t="shared" si="4"/>
        <v>4800</v>
      </c>
      <c r="L21" s="213">
        <v>0.08</v>
      </c>
      <c r="M21" s="212">
        <f t="shared" si="0"/>
        <v>64800</v>
      </c>
      <c r="N21" s="212">
        <f t="shared" si="1"/>
        <v>8400000</v>
      </c>
      <c r="O21" s="214">
        <f t="shared" si="2"/>
        <v>9072000</v>
      </c>
    </row>
    <row r="22" spans="2:16" ht="57" x14ac:dyDescent="0.25">
      <c r="B22" s="913"/>
      <c r="C22" s="913"/>
      <c r="D22" s="913"/>
      <c r="E22" s="210" t="s">
        <v>686</v>
      </c>
      <c r="F22" s="211">
        <v>4</v>
      </c>
      <c r="G22" s="211" t="s">
        <v>464</v>
      </c>
      <c r="H22" s="212">
        <v>500000</v>
      </c>
      <c r="I22" s="211">
        <v>50</v>
      </c>
      <c r="J22" s="211" t="s">
        <v>287</v>
      </c>
      <c r="K22" s="212">
        <v>0</v>
      </c>
      <c r="L22" s="213">
        <v>0</v>
      </c>
      <c r="M22" s="212">
        <f t="shared" si="0"/>
        <v>500000</v>
      </c>
      <c r="N22" s="212">
        <f t="shared" si="1"/>
        <v>100000000</v>
      </c>
      <c r="O22" s="214">
        <f t="shared" si="2"/>
        <v>100000000</v>
      </c>
    </row>
    <row r="23" spans="2:16" ht="34.5" x14ac:dyDescent="0.25">
      <c r="B23" s="913"/>
      <c r="C23" s="913"/>
      <c r="D23" s="913"/>
      <c r="E23" s="210" t="s">
        <v>687</v>
      </c>
      <c r="F23" s="211">
        <v>1</v>
      </c>
      <c r="G23" s="211" t="s">
        <v>688</v>
      </c>
      <c r="H23" s="212">
        <v>70050000</v>
      </c>
      <c r="I23" s="211">
        <v>1</v>
      </c>
      <c r="J23" s="211" t="s">
        <v>689</v>
      </c>
      <c r="K23" s="212">
        <v>0</v>
      </c>
      <c r="L23" s="213">
        <v>0</v>
      </c>
      <c r="M23" s="212">
        <f t="shared" si="0"/>
        <v>70050000</v>
      </c>
      <c r="N23" s="212">
        <f t="shared" si="1"/>
        <v>70050000</v>
      </c>
      <c r="O23" s="214">
        <f t="shared" si="2"/>
        <v>70050000</v>
      </c>
      <c r="P23" s="320">
        <f>N23/50/2</f>
        <v>700500</v>
      </c>
    </row>
    <row r="24" spans="2:16" ht="34.5" x14ac:dyDescent="0.25">
      <c r="B24" s="913"/>
      <c r="C24" s="913"/>
      <c r="D24" s="913"/>
      <c r="E24" s="210" t="s">
        <v>690</v>
      </c>
      <c r="F24" s="211">
        <v>1</v>
      </c>
      <c r="G24" s="211" t="s">
        <v>688</v>
      </c>
      <c r="H24" s="212">
        <v>120000000</v>
      </c>
      <c r="I24" s="211">
        <v>1</v>
      </c>
      <c r="J24" s="211" t="s">
        <v>287</v>
      </c>
      <c r="K24" s="212">
        <f t="shared" ref="K24:K25" si="5">+H24*19%</f>
        <v>22800000</v>
      </c>
      <c r="L24" s="213">
        <v>0.19</v>
      </c>
      <c r="M24" s="212">
        <f t="shared" si="0"/>
        <v>142800000</v>
      </c>
      <c r="N24" s="212">
        <f t="shared" si="1"/>
        <v>120000000</v>
      </c>
      <c r="O24" s="214">
        <f t="shared" si="2"/>
        <v>142800000</v>
      </c>
      <c r="P24" s="320">
        <f>N24/50/2</f>
        <v>1200000</v>
      </c>
    </row>
    <row r="25" spans="2:16" ht="79.5" x14ac:dyDescent="0.25">
      <c r="B25" s="913"/>
      <c r="C25" s="913"/>
      <c r="D25" s="913"/>
      <c r="E25" s="210" t="s">
        <v>752</v>
      </c>
      <c r="F25" s="211">
        <v>1</v>
      </c>
      <c r="G25" s="211" t="s">
        <v>464</v>
      </c>
      <c r="H25" s="212">
        <v>50000</v>
      </c>
      <c r="I25" s="211">
        <v>60</v>
      </c>
      <c r="J25" s="211" t="s">
        <v>753</v>
      </c>
      <c r="K25" s="212">
        <f t="shared" si="5"/>
        <v>9500</v>
      </c>
      <c r="L25" s="213">
        <v>0.19</v>
      </c>
      <c r="M25" s="212">
        <f t="shared" si="0"/>
        <v>59500</v>
      </c>
      <c r="N25" s="212">
        <f t="shared" si="1"/>
        <v>3000000</v>
      </c>
      <c r="O25" s="214">
        <f t="shared" si="2"/>
        <v>3570000</v>
      </c>
    </row>
    <row r="26" spans="2:16" x14ac:dyDescent="0.25">
      <c r="B26" s="914"/>
      <c r="C26" s="914"/>
      <c r="D26" s="914"/>
      <c r="E26" s="871" t="s">
        <v>547</v>
      </c>
      <c r="F26" s="872"/>
      <c r="G26" s="872"/>
      <c r="H26" s="872"/>
      <c r="I26" s="872"/>
      <c r="J26" s="872"/>
      <c r="K26" s="872"/>
      <c r="L26" s="872"/>
      <c r="M26" s="872"/>
      <c r="N26" s="873"/>
      <c r="O26" s="216">
        <f>O25+O24+O23+O22+O21+O20+O19+O18+O17+O16+O15</f>
        <v>355978000</v>
      </c>
    </row>
    <row r="27" spans="2:16" ht="22.5" x14ac:dyDescent="0.25">
      <c r="B27" s="209" t="s">
        <v>754</v>
      </c>
      <c r="C27" s="209" t="s">
        <v>711</v>
      </c>
      <c r="D27" s="209" t="s">
        <v>750</v>
      </c>
      <c r="E27" s="209" t="s">
        <v>453</v>
      </c>
      <c r="F27" s="209" t="s">
        <v>454</v>
      </c>
      <c r="G27" s="209" t="s">
        <v>455</v>
      </c>
      <c r="H27" s="209" t="s">
        <v>456</v>
      </c>
      <c r="I27" s="209" t="s">
        <v>457</v>
      </c>
      <c r="J27" s="209" t="s">
        <v>458</v>
      </c>
      <c r="K27" s="209" t="s">
        <v>459</v>
      </c>
      <c r="L27" s="209" t="s">
        <v>460</v>
      </c>
      <c r="M27" s="209" t="s">
        <v>461</v>
      </c>
      <c r="N27" s="209" t="s">
        <v>462</v>
      </c>
      <c r="O27" s="209" t="s">
        <v>463</v>
      </c>
    </row>
    <row r="28" spans="2:16" ht="123.75" x14ac:dyDescent="0.25">
      <c r="B28" s="1024" t="s">
        <v>755</v>
      </c>
      <c r="C28" s="1066" t="s">
        <v>756</v>
      </c>
      <c r="D28" s="915" t="s">
        <v>757</v>
      </c>
      <c r="E28" s="217" t="s">
        <v>548</v>
      </c>
      <c r="F28" s="218">
        <v>2</v>
      </c>
      <c r="G28" s="218" t="s">
        <v>549</v>
      </c>
      <c r="H28" s="219">
        <v>3000000</v>
      </c>
      <c r="I28" s="218">
        <v>1</v>
      </c>
      <c r="J28" s="218" t="s">
        <v>315</v>
      </c>
      <c r="K28" s="219">
        <f>+H28*19%</f>
        <v>570000</v>
      </c>
      <c r="L28" s="220">
        <v>0.19</v>
      </c>
      <c r="M28" s="219">
        <f t="shared" ref="M28:M37" si="6">+K28+H28</f>
        <v>3570000</v>
      </c>
      <c r="N28" s="219">
        <f t="shared" ref="N28:N37" si="7">+H28*I28*F28</f>
        <v>6000000</v>
      </c>
      <c r="O28" s="221">
        <f t="shared" ref="O28:O37" si="8">+M28*I28*F28</f>
        <v>7140000</v>
      </c>
    </row>
    <row r="29" spans="2:16" ht="22.5" x14ac:dyDescent="0.25">
      <c r="B29" s="913"/>
      <c r="C29" s="913"/>
      <c r="D29" s="913"/>
      <c r="E29" s="217" t="s">
        <v>542</v>
      </c>
      <c r="F29" s="218">
        <v>2</v>
      </c>
      <c r="G29" s="218" t="s">
        <v>549</v>
      </c>
      <c r="H29" s="219">
        <v>1000000</v>
      </c>
      <c r="I29" s="218">
        <v>1</v>
      </c>
      <c r="J29" s="218" t="s">
        <v>315</v>
      </c>
      <c r="K29" s="219">
        <f>+H29*8%</f>
        <v>80000</v>
      </c>
      <c r="L29" s="220">
        <v>0.08</v>
      </c>
      <c r="M29" s="219">
        <f t="shared" si="6"/>
        <v>1080000</v>
      </c>
      <c r="N29" s="219">
        <f t="shared" si="7"/>
        <v>2000000</v>
      </c>
      <c r="O29" s="221">
        <f t="shared" si="8"/>
        <v>2160000</v>
      </c>
    </row>
    <row r="30" spans="2:16" x14ac:dyDescent="0.25">
      <c r="B30" s="913"/>
      <c r="C30" s="913"/>
      <c r="D30" s="913"/>
      <c r="E30" s="217" t="s">
        <v>543</v>
      </c>
      <c r="F30" s="218">
        <v>2</v>
      </c>
      <c r="G30" s="218" t="s">
        <v>549</v>
      </c>
      <c r="H30" s="219">
        <v>200000</v>
      </c>
      <c r="I30" s="218">
        <v>2</v>
      </c>
      <c r="J30" s="218" t="s">
        <v>287</v>
      </c>
      <c r="K30" s="219">
        <f>+H30*19%</f>
        <v>38000</v>
      </c>
      <c r="L30" s="220">
        <v>0.19</v>
      </c>
      <c r="M30" s="219">
        <f t="shared" si="6"/>
        <v>238000</v>
      </c>
      <c r="N30" s="219">
        <f t="shared" si="7"/>
        <v>800000</v>
      </c>
      <c r="O30" s="221">
        <f t="shared" si="8"/>
        <v>952000</v>
      </c>
    </row>
    <row r="31" spans="2:16" ht="57" x14ac:dyDescent="0.25">
      <c r="B31" s="913"/>
      <c r="C31" s="913"/>
      <c r="D31" s="913"/>
      <c r="E31" s="321" t="s">
        <v>758</v>
      </c>
      <c r="F31" s="218">
        <v>1</v>
      </c>
      <c r="G31" s="218" t="s">
        <v>688</v>
      </c>
      <c r="H31" s="219">
        <v>74000000</v>
      </c>
      <c r="I31" s="218">
        <v>1</v>
      </c>
      <c r="J31" s="218" t="s">
        <v>689</v>
      </c>
      <c r="K31" s="219">
        <f>+H31*0%</f>
        <v>0</v>
      </c>
      <c r="L31" s="220">
        <v>0</v>
      </c>
      <c r="M31" s="219">
        <f t="shared" si="6"/>
        <v>74000000</v>
      </c>
      <c r="N31" s="219">
        <f t="shared" si="7"/>
        <v>74000000</v>
      </c>
      <c r="O31" s="221">
        <f t="shared" si="8"/>
        <v>74000000</v>
      </c>
    </row>
    <row r="32" spans="2:16" ht="33.75" x14ac:dyDescent="0.25">
      <c r="B32" s="913"/>
      <c r="C32" s="913"/>
      <c r="D32" s="913"/>
      <c r="E32" s="217" t="s">
        <v>544</v>
      </c>
      <c r="F32" s="218">
        <v>2</v>
      </c>
      <c r="G32" s="218" t="s">
        <v>549</v>
      </c>
      <c r="H32" s="219">
        <v>1500000</v>
      </c>
      <c r="I32" s="218">
        <v>1</v>
      </c>
      <c r="J32" s="218" t="s">
        <v>545</v>
      </c>
      <c r="K32" s="219">
        <f>+H32*19%</f>
        <v>285000</v>
      </c>
      <c r="L32" s="220">
        <v>0.19</v>
      </c>
      <c r="M32" s="219">
        <f t="shared" si="6"/>
        <v>1785000</v>
      </c>
      <c r="N32" s="219">
        <f t="shared" si="7"/>
        <v>3000000</v>
      </c>
      <c r="O32" s="221">
        <f t="shared" si="8"/>
        <v>3570000</v>
      </c>
    </row>
    <row r="33" spans="2:15" ht="22.5" x14ac:dyDescent="0.25">
      <c r="B33" s="913"/>
      <c r="C33" s="913"/>
      <c r="D33" s="913"/>
      <c r="E33" s="217" t="s">
        <v>759</v>
      </c>
      <c r="F33" s="218">
        <v>2</v>
      </c>
      <c r="G33" s="218" t="s">
        <v>549</v>
      </c>
      <c r="H33" s="219">
        <v>30000</v>
      </c>
      <c r="I33" s="218">
        <v>55</v>
      </c>
      <c r="J33" s="218" t="s">
        <v>760</v>
      </c>
      <c r="K33" s="219">
        <f t="shared" ref="K33:K35" si="9">+H33*8%</f>
        <v>2400</v>
      </c>
      <c r="L33" s="220">
        <v>0.08</v>
      </c>
      <c r="M33" s="219">
        <f t="shared" si="6"/>
        <v>32400</v>
      </c>
      <c r="N33" s="219">
        <f t="shared" si="7"/>
        <v>3300000</v>
      </c>
      <c r="O33" s="221">
        <f t="shared" si="8"/>
        <v>3564000</v>
      </c>
    </row>
    <row r="34" spans="2:15" ht="22.5" x14ac:dyDescent="0.25">
      <c r="B34" s="913"/>
      <c r="C34" s="913"/>
      <c r="D34" s="913"/>
      <c r="E34" s="217" t="s">
        <v>761</v>
      </c>
      <c r="F34" s="218">
        <v>2</v>
      </c>
      <c r="G34" s="218" t="s">
        <v>549</v>
      </c>
      <c r="H34" s="219">
        <v>30000</v>
      </c>
      <c r="I34" s="218">
        <v>55</v>
      </c>
      <c r="J34" s="218" t="s">
        <v>315</v>
      </c>
      <c r="K34" s="219">
        <f t="shared" si="9"/>
        <v>2400</v>
      </c>
      <c r="L34" s="220">
        <v>0.08</v>
      </c>
      <c r="M34" s="219">
        <f t="shared" si="6"/>
        <v>32400</v>
      </c>
      <c r="N34" s="219">
        <f t="shared" si="7"/>
        <v>3300000</v>
      </c>
      <c r="O34" s="221">
        <f t="shared" si="8"/>
        <v>3564000</v>
      </c>
    </row>
    <row r="35" spans="2:15" ht="22.5" x14ac:dyDescent="0.25">
      <c r="B35" s="913"/>
      <c r="C35" s="913"/>
      <c r="D35" s="913"/>
      <c r="E35" s="322" t="s">
        <v>762</v>
      </c>
      <c r="F35" s="218">
        <v>2</v>
      </c>
      <c r="G35" s="218" t="s">
        <v>549</v>
      </c>
      <c r="H35" s="221">
        <v>60000</v>
      </c>
      <c r="I35" s="218">
        <v>55</v>
      </c>
      <c r="J35" s="218" t="s">
        <v>315</v>
      </c>
      <c r="K35" s="221">
        <f t="shared" si="9"/>
        <v>4800</v>
      </c>
      <c r="L35" s="220">
        <v>0.08</v>
      </c>
      <c r="M35" s="221">
        <f t="shared" si="6"/>
        <v>64800</v>
      </c>
      <c r="N35" s="221">
        <f t="shared" si="7"/>
        <v>6600000</v>
      </c>
      <c r="O35" s="221">
        <f t="shared" si="8"/>
        <v>7128000</v>
      </c>
    </row>
    <row r="36" spans="2:15" ht="56.25" x14ac:dyDescent="0.25">
      <c r="B36" s="913"/>
      <c r="C36" s="913"/>
      <c r="D36" s="913"/>
      <c r="E36" s="217" t="s">
        <v>763</v>
      </c>
      <c r="F36" s="218">
        <v>1</v>
      </c>
      <c r="G36" s="218" t="s">
        <v>549</v>
      </c>
      <c r="H36" s="219">
        <v>35000</v>
      </c>
      <c r="I36" s="218">
        <v>45</v>
      </c>
      <c r="J36" s="218" t="s">
        <v>753</v>
      </c>
      <c r="K36" s="219">
        <f t="shared" ref="K36:K37" si="10">+H36*19%</f>
        <v>6650</v>
      </c>
      <c r="L36" s="220">
        <v>0.19</v>
      </c>
      <c r="M36" s="219">
        <f t="shared" si="6"/>
        <v>41650</v>
      </c>
      <c r="N36" s="219">
        <f t="shared" si="7"/>
        <v>1575000</v>
      </c>
      <c r="O36" s="221">
        <f t="shared" si="8"/>
        <v>1874250</v>
      </c>
    </row>
    <row r="37" spans="2:15" ht="101.25" x14ac:dyDescent="0.25">
      <c r="B37" s="913"/>
      <c r="C37" s="913"/>
      <c r="D37" s="913"/>
      <c r="E37" s="217" t="s">
        <v>764</v>
      </c>
      <c r="F37" s="218">
        <v>1</v>
      </c>
      <c r="G37" s="218" t="s">
        <v>549</v>
      </c>
      <c r="H37" s="219">
        <v>1000000</v>
      </c>
      <c r="I37" s="218">
        <v>1</v>
      </c>
      <c r="J37" s="218" t="s">
        <v>753</v>
      </c>
      <c r="K37" s="219">
        <f t="shared" si="10"/>
        <v>190000</v>
      </c>
      <c r="L37" s="220">
        <v>0.19</v>
      </c>
      <c r="M37" s="219">
        <f t="shared" si="6"/>
        <v>1190000</v>
      </c>
      <c r="N37" s="219">
        <f t="shared" si="7"/>
        <v>1000000</v>
      </c>
      <c r="O37" s="221">
        <f t="shared" si="8"/>
        <v>1190000</v>
      </c>
    </row>
    <row r="38" spans="2:15" x14ac:dyDescent="0.25">
      <c r="B38" s="913"/>
      <c r="C38" s="914"/>
      <c r="D38" s="913"/>
      <c r="E38" s="1064" t="s">
        <v>765</v>
      </c>
      <c r="F38" s="872"/>
      <c r="G38" s="872"/>
      <c r="H38" s="872"/>
      <c r="I38" s="872"/>
      <c r="J38" s="872"/>
      <c r="K38" s="872"/>
      <c r="L38" s="872"/>
      <c r="M38" s="872"/>
      <c r="N38" s="873"/>
      <c r="O38" s="323">
        <f>SUM(O28:O37)</f>
        <v>105142250</v>
      </c>
    </row>
    <row r="39" spans="2:15" ht="23.25" x14ac:dyDescent="0.25">
      <c r="B39" s="913"/>
      <c r="C39" s="1066" t="s">
        <v>766</v>
      </c>
      <c r="D39" s="913"/>
      <c r="E39" s="324" t="s">
        <v>453</v>
      </c>
      <c r="F39" s="324" t="s">
        <v>454</v>
      </c>
      <c r="G39" s="324" t="s">
        <v>455</v>
      </c>
      <c r="H39" s="324" t="s">
        <v>456</v>
      </c>
      <c r="I39" s="324" t="s">
        <v>457</v>
      </c>
      <c r="J39" s="324" t="s">
        <v>458</v>
      </c>
      <c r="K39" s="324" t="s">
        <v>767</v>
      </c>
      <c r="L39" s="324" t="s">
        <v>460</v>
      </c>
      <c r="M39" s="324" t="s">
        <v>461</v>
      </c>
      <c r="N39" s="324" t="s">
        <v>462</v>
      </c>
      <c r="O39" s="324" t="s">
        <v>463</v>
      </c>
    </row>
    <row r="40" spans="2:15" ht="124.5" x14ac:dyDescent="0.25">
      <c r="B40" s="913"/>
      <c r="C40" s="913"/>
      <c r="D40" s="913"/>
      <c r="E40" s="325" t="s">
        <v>548</v>
      </c>
      <c r="F40" s="218">
        <v>2</v>
      </c>
      <c r="G40" s="218" t="s">
        <v>549</v>
      </c>
      <c r="H40" s="219">
        <v>3000000</v>
      </c>
      <c r="I40" s="218">
        <v>1</v>
      </c>
      <c r="J40" s="218" t="s">
        <v>315</v>
      </c>
      <c r="K40" s="219">
        <f>+H40*19%</f>
        <v>570000</v>
      </c>
      <c r="L40" s="220">
        <v>0.19</v>
      </c>
      <c r="M40" s="219">
        <f t="shared" ref="M40:M49" si="11">+K40+H40</f>
        <v>3570000</v>
      </c>
      <c r="N40" s="219">
        <f t="shared" ref="N40:N49" si="12">+H40*I40*F40</f>
        <v>6000000</v>
      </c>
      <c r="O40" s="221">
        <f t="shared" ref="O40:O49" si="13">+M40*I40*F40</f>
        <v>7140000</v>
      </c>
    </row>
    <row r="41" spans="2:15" ht="23.25" x14ac:dyDescent="0.25">
      <c r="B41" s="913"/>
      <c r="C41" s="913"/>
      <c r="D41" s="913"/>
      <c r="E41" s="325" t="s">
        <v>542</v>
      </c>
      <c r="F41" s="218">
        <v>2</v>
      </c>
      <c r="G41" s="218" t="s">
        <v>549</v>
      </c>
      <c r="H41" s="219">
        <v>1000000</v>
      </c>
      <c r="I41" s="218">
        <v>1</v>
      </c>
      <c r="J41" s="326" t="s">
        <v>315</v>
      </c>
      <c r="K41" s="219">
        <f>+H41*8%</f>
        <v>80000</v>
      </c>
      <c r="L41" s="220">
        <v>0.08</v>
      </c>
      <c r="M41" s="327">
        <f t="shared" si="11"/>
        <v>1080000</v>
      </c>
      <c r="N41" s="327">
        <f t="shared" si="12"/>
        <v>2000000</v>
      </c>
      <c r="O41" s="221">
        <f t="shared" si="13"/>
        <v>2160000</v>
      </c>
    </row>
    <row r="42" spans="2:15" x14ac:dyDescent="0.25">
      <c r="B42" s="913"/>
      <c r="C42" s="913"/>
      <c r="D42" s="913"/>
      <c r="E42" s="325" t="s">
        <v>543</v>
      </c>
      <c r="F42" s="218">
        <v>2</v>
      </c>
      <c r="G42" s="218" t="s">
        <v>549</v>
      </c>
      <c r="H42" s="219">
        <v>200000</v>
      </c>
      <c r="I42" s="218">
        <v>2</v>
      </c>
      <c r="J42" s="326" t="s">
        <v>287</v>
      </c>
      <c r="K42" s="219">
        <f>+H42*19%</f>
        <v>38000</v>
      </c>
      <c r="L42" s="220">
        <v>0.19</v>
      </c>
      <c r="M42" s="327">
        <f t="shared" si="11"/>
        <v>238000</v>
      </c>
      <c r="N42" s="327">
        <f t="shared" si="12"/>
        <v>800000</v>
      </c>
      <c r="O42" s="221">
        <f t="shared" si="13"/>
        <v>952000</v>
      </c>
    </row>
    <row r="43" spans="2:15" ht="56.25" x14ac:dyDescent="0.25">
      <c r="B43" s="913"/>
      <c r="C43" s="913"/>
      <c r="D43" s="913"/>
      <c r="E43" s="328" t="s">
        <v>758</v>
      </c>
      <c r="F43" s="218">
        <v>1</v>
      </c>
      <c r="G43" s="218" t="s">
        <v>688</v>
      </c>
      <c r="H43" s="219">
        <v>74000000</v>
      </c>
      <c r="I43" s="218">
        <v>1</v>
      </c>
      <c r="J43" s="218" t="s">
        <v>689</v>
      </c>
      <c r="K43" s="219">
        <f>+H43*0%</f>
        <v>0</v>
      </c>
      <c r="L43" s="220">
        <v>0</v>
      </c>
      <c r="M43" s="219">
        <f t="shared" si="11"/>
        <v>74000000</v>
      </c>
      <c r="N43" s="219">
        <f t="shared" si="12"/>
        <v>74000000</v>
      </c>
      <c r="O43" s="221">
        <f t="shared" si="13"/>
        <v>74000000</v>
      </c>
    </row>
    <row r="44" spans="2:15" ht="34.5" x14ac:dyDescent="0.25">
      <c r="B44" s="913"/>
      <c r="C44" s="913"/>
      <c r="D44" s="913"/>
      <c r="E44" s="325" t="s">
        <v>544</v>
      </c>
      <c r="F44" s="218">
        <v>2</v>
      </c>
      <c r="G44" s="218" t="s">
        <v>549</v>
      </c>
      <c r="H44" s="219">
        <v>1500000</v>
      </c>
      <c r="I44" s="218">
        <v>1</v>
      </c>
      <c r="J44" s="326" t="s">
        <v>545</v>
      </c>
      <c r="K44" s="219">
        <f>+H44*19%</f>
        <v>285000</v>
      </c>
      <c r="L44" s="220">
        <v>0.19</v>
      </c>
      <c r="M44" s="327">
        <f t="shared" si="11"/>
        <v>1785000</v>
      </c>
      <c r="N44" s="327">
        <f t="shared" si="12"/>
        <v>3000000</v>
      </c>
      <c r="O44" s="221">
        <f t="shared" si="13"/>
        <v>3570000</v>
      </c>
    </row>
    <row r="45" spans="2:15" ht="23.25" x14ac:dyDescent="0.25">
      <c r="B45" s="913"/>
      <c r="C45" s="913"/>
      <c r="D45" s="913"/>
      <c r="E45" s="325" t="s">
        <v>759</v>
      </c>
      <c r="F45" s="218">
        <v>2</v>
      </c>
      <c r="G45" s="218" t="s">
        <v>549</v>
      </c>
      <c r="H45" s="219">
        <v>30000</v>
      </c>
      <c r="I45" s="218">
        <v>55</v>
      </c>
      <c r="J45" s="326" t="s">
        <v>760</v>
      </c>
      <c r="K45" s="219">
        <f t="shared" ref="K45:K47" si="14">+H45*8%</f>
        <v>2400</v>
      </c>
      <c r="L45" s="329">
        <v>0.08</v>
      </c>
      <c r="M45" s="327">
        <f t="shared" si="11"/>
        <v>32400</v>
      </c>
      <c r="N45" s="327">
        <f t="shared" si="12"/>
        <v>3300000</v>
      </c>
      <c r="O45" s="221">
        <f t="shared" si="13"/>
        <v>3564000</v>
      </c>
    </row>
    <row r="46" spans="2:15" ht="23.25" x14ac:dyDescent="0.25">
      <c r="B46" s="913"/>
      <c r="C46" s="913"/>
      <c r="D46" s="913"/>
      <c r="E46" s="325" t="s">
        <v>761</v>
      </c>
      <c r="F46" s="218">
        <v>2</v>
      </c>
      <c r="G46" s="218" t="s">
        <v>549</v>
      </c>
      <c r="H46" s="219">
        <v>30000</v>
      </c>
      <c r="I46" s="218">
        <v>55</v>
      </c>
      <c r="J46" s="326" t="s">
        <v>760</v>
      </c>
      <c r="K46" s="219">
        <f t="shared" si="14"/>
        <v>2400</v>
      </c>
      <c r="L46" s="329">
        <v>0.08</v>
      </c>
      <c r="M46" s="327">
        <f t="shared" si="11"/>
        <v>32400</v>
      </c>
      <c r="N46" s="327">
        <f t="shared" si="12"/>
        <v>3300000</v>
      </c>
      <c r="O46" s="221">
        <f t="shared" si="13"/>
        <v>3564000</v>
      </c>
    </row>
    <row r="47" spans="2:15" ht="23.25" x14ac:dyDescent="0.25">
      <c r="B47" s="913"/>
      <c r="C47" s="913"/>
      <c r="D47" s="913"/>
      <c r="E47" s="330" t="s">
        <v>762</v>
      </c>
      <c r="F47" s="218">
        <v>2</v>
      </c>
      <c r="G47" s="218" t="s">
        <v>549</v>
      </c>
      <c r="H47" s="221">
        <v>60000</v>
      </c>
      <c r="I47" s="218">
        <v>55</v>
      </c>
      <c r="J47" s="326" t="s">
        <v>315</v>
      </c>
      <c r="K47" s="221">
        <f t="shared" si="14"/>
        <v>4800</v>
      </c>
      <c r="L47" s="329">
        <v>0.08</v>
      </c>
      <c r="M47" s="331">
        <f t="shared" si="11"/>
        <v>64800</v>
      </c>
      <c r="N47" s="331">
        <f t="shared" si="12"/>
        <v>6600000</v>
      </c>
      <c r="O47" s="221">
        <f t="shared" si="13"/>
        <v>7128000</v>
      </c>
    </row>
    <row r="48" spans="2:15" ht="57" x14ac:dyDescent="0.25">
      <c r="B48" s="913"/>
      <c r="C48" s="913"/>
      <c r="D48" s="913"/>
      <c r="E48" s="325" t="s">
        <v>768</v>
      </c>
      <c r="F48" s="218">
        <v>1</v>
      </c>
      <c r="G48" s="218" t="s">
        <v>549</v>
      </c>
      <c r="H48" s="219">
        <v>35000</v>
      </c>
      <c r="I48" s="218">
        <v>45</v>
      </c>
      <c r="J48" s="218" t="s">
        <v>753</v>
      </c>
      <c r="K48" s="219">
        <f t="shared" ref="K48:K49" si="15">+H48*19%</f>
        <v>6650</v>
      </c>
      <c r="L48" s="220">
        <v>0.19</v>
      </c>
      <c r="M48" s="219">
        <f t="shared" si="11"/>
        <v>41650</v>
      </c>
      <c r="N48" s="219">
        <f t="shared" si="12"/>
        <v>1575000</v>
      </c>
      <c r="O48" s="221">
        <f t="shared" si="13"/>
        <v>1874250</v>
      </c>
    </row>
    <row r="49" spans="2:15" ht="102" x14ac:dyDescent="0.25">
      <c r="B49" s="913"/>
      <c r="C49" s="913"/>
      <c r="D49" s="913"/>
      <c r="E49" s="325" t="s">
        <v>764</v>
      </c>
      <c r="F49" s="218">
        <v>1</v>
      </c>
      <c r="G49" s="218" t="s">
        <v>549</v>
      </c>
      <c r="H49" s="219">
        <v>1000000</v>
      </c>
      <c r="I49" s="218">
        <v>1</v>
      </c>
      <c r="J49" s="218" t="s">
        <v>753</v>
      </c>
      <c r="K49" s="219">
        <f t="shared" si="15"/>
        <v>190000</v>
      </c>
      <c r="L49" s="220">
        <v>0.19</v>
      </c>
      <c r="M49" s="219">
        <f t="shared" si="11"/>
        <v>1190000</v>
      </c>
      <c r="N49" s="219">
        <f t="shared" si="12"/>
        <v>1000000</v>
      </c>
      <c r="O49" s="221">
        <f t="shared" si="13"/>
        <v>1190000</v>
      </c>
    </row>
    <row r="50" spans="2:15" x14ac:dyDescent="0.25">
      <c r="B50" s="914"/>
      <c r="C50" s="914"/>
      <c r="D50" s="914"/>
      <c r="E50" s="1025" t="s">
        <v>765</v>
      </c>
      <c r="F50" s="872"/>
      <c r="G50" s="872"/>
      <c r="H50" s="872"/>
      <c r="I50" s="872"/>
      <c r="J50" s="872"/>
      <c r="K50" s="872"/>
      <c r="L50" s="872"/>
      <c r="M50" s="872"/>
      <c r="N50" s="873"/>
      <c r="O50" s="323">
        <f>SUM(O40:O49)</f>
        <v>105142250</v>
      </c>
    </row>
    <row r="51" spans="2:15" ht="23.25" x14ac:dyDescent="0.25">
      <c r="B51" s="209" t="s">
        <v>754</v>
      </c>
      <c r="C51" s="209" t="s">
        <v>711</v>
      </c>
      <c r="D51" s="209" t="s">
        <v>750</v>
      </c>
      <c r="E51" s="324" t="s">
        <v>453</v>
      </c>
      <c r="F51" s="324" t="s">
        <v>454</v>
      </c>
      <c r="G51" s="324" t="s">
        <v>455</v>
      </c>
      <c r="H51" s="324" t="s">
        <v>456</v>
      </c>
      <c r="I51" s="324" t="s">
        <v>457</v>
      </c>
      <c r="J51" s="324" t="s">
        <v>458</v>
      </c>
      <c r="K51" s="324" t="s">
        <v>767</v>
      </c>
      <c r="L51" s="324" t="s">
        <v>460</v>
      </c>
      <c r="M51" s="324" t="s">
        <v>461</v>
      </c>
      <c r="N51" s="324" t="s">
        <v>462</v>
      </c>
      <c r="O51" s="324" t="s">
        <v>463</v>
      </c>
    </row>
    <row r="52" spans="2:15" ht="123.75" x14ac:dyDescent="0.25">
      <c r="B52" s="1024" t="s">
        <v>769</v>
      </c>
      <c r="C52" s="1066" t="s">
        <v>770</v>
      </c>
      <c r="D52" s="915" t="s">
        <v>771</v>
      </c>
      <c r="E52" s="217" t="s">
        <v>772</v>
      </c>
      <c r="F52" s="218">
        <v>2</v>
      </c>
      <c r="G52" s="218" t="s">
        <v>549</v>
      </c>
      <c r="H52" s="219">
        <v>3000000</v>
      </c>
      <c r="I52" s="218">
        <v>1</v>
      </c>
      <c r="J52" s="218" t="s">
        <v>315</v>
      </c>
      <c r="K52" s="219">
        <f>+H52*19%</f>
        <v>570000</v>
      </c>
      <c r="L52" s="220">
        <v>0.19</v>
      </c>
      <c r="M52" s="219">
        <f t="shared" ref="M52:M61" si="16">+K52+H52</f>
        <v>3570000</v>
      </c>
      <c r="N52" s="219">
        <f t="shared" ref="N52:N61" si="17">+H52*I52*F52</f>
        <v>6000000</v>
      </c>
      <c r="O52" s="221">
        <f t="shared" ref="O52:O61" si="18">+M52*I52*F52</f>
        <v>7140000</v>
      </c>
    </row>
    <row r="53" spans="2:15" ht="23.25" x14ac:dyDescent="0.25">
      <c r="B53" s="913"/>
      <c r="C53" s="913"/>
      <c r="D53" s="913"/>
      <c r="E53" s="325" t="s">
        <v>542</v>
      </c>
      <c r="F53" s="218">
        <v>2</v>
      </c>
      <c r="G53" s="218" t="s">
        <v>549</v>
      </c>
      <c r="H53" s="219">
        <v>1000000</v>
      </c>
      <c r="I53" s="218">
        <v>1</v>
      </c>
      <c r="J53" s="218" t="s">
        <v>315</v>
      </c>
      <c r="K53" s="219">
        <f>+H53*8%</f>
        <v>80000</v>
      </c>
      <c r="L53" s="220">
        <v>0.08</v>
      </c>
      <c r="M53" s="219">
        <f t="shared" si="16"/>
        <v>1080000</v>
      </c>
      <c r="N53" s="219">
        <f t="shared" si="17"/>
        <v>2000000</v>
      </c>
      <c r="O53" s="221">
        <f t="shared" si="18"/>
        <v>2160000</v>
      </c>
    </row>
    <row r="54" spans="2:15" x14ac:dyDescent="0.25">
      <c r="B54" s="913"/>
      <c r="C54" s="913"/>
      <c r="D54" s="913"/>
      <c r="E54" s="325" t="s">
        <v>543</v>
      </c>
      <c r="F54" s="218">
        <v>2</v>
      </c>
      <c r="G54" s="218" t="s">
        <v>549</v>
      </c>
      <c r="H54" s="219">
        <v>200000</v>
      </c>
      <c r="I54" s="218">
        <v>2</v>
      </c>
      <c r="J54" s="218" t="s">
        <v>287</v>
      </c>
      <c r="K54" s="219">
        <f>+H54*19%</f>
        <v>38000</v>
      </c>
      <c r="L54" s="220">
        <v>0.19</v>
      </c>
      <c r="M54" s="219">
        <f t="shared" si="16"/>
        <v>238000</v>
      </c>
      <c r="N54" s="219">
        <f t="shared" si="17"/>
        <v>800000</v>
      </c>
      <c r="O54" s="221">
        <f t="shared" si="18"/>
        <v>952000</v>
      </c>
    </row>
    <row r="55" spans="2:15" ht="56.25" x14ac:dyDescent="0.25">
      <c r="B55" s="913"/>
      <c r="C55" s="913"/>
      <c r="D55" s="913"/>
      <c r="E55" s="328" t="s">
        <v>773</v>
      </c>
      <c r="F55" s="218">
        <v>1</v>
      </c>
      <c r="G55" s="218" t="s">
        <v>688</v>
      </c>
      <c r="H55" s="219">
        <v>73000000</v>
      </c>
      <c r="I55" s="218">
        <v>1</v>
      </c>
      <c r="J55" s="218" t="s">
        <v>689</v>
      </c>
      <c r="K55" s="219">
        <f>+H55*0%</f>
        <v>0</v>
      </c>
      <c r="L55" s="220">
        <v>0</v>
      </c>
      <c r="M55" s="219">
        <f t="shared" si="16"/>
        <v>73000000</v>
      </c>
      <c r="N55" s="219">
        <f t="shared" si="17"/>
        <v>73000000</v>
      </c>
      <c r="O55" s="221">
        <f t="shared" si="18"/>
        <v>73000000</v>
      </c>
    </row>
    <row r="56" spans="2:15" ht="34.5" x14ac:dyDescent="0.25">
      <c r="B56" s="913"/>
      <c r="C56" s="913"/>
      <c r="D56" s="913"/>
      <c r="E56" s="325" t="s">
        <v>544</v>
      </c>
      <c r="F56" s="218">
        <v>2</v>
      </c>
      <c r="G56" s="218" t="s">
        <v>549</v>
      </c>
      <c r="H56" s="219">
        <v>1500000</v>
      </c>
      <c r="I56" s="218">
        <v>1</v>
      </c>
      <c r="J56" s="218" t="s">
        <v>545</v>
      </c>
      <c r="K56" s="219">
        <f>+H56*19%</f>
        <v>285000</v>
      </c>
      <c r="L56" s="220">
        <v>0.19</v>
      </c>
      <c r="M56" s="219">
        <f t="shared" si="16"/>
        <v>1785000</v>
      </c>
      <c r="N56" s="219">
        <f t="shared" si="17"/>
        <v>3000000</v>
      </c>
      <c r="O56" s="221">
        <f t="shared" si="18"/>
        <v>3570000</v>
      </c>
    </row>
    <row r="57" spans="2:15" ht="23.25" x14ac:dyDescent="0.25">
      <c r="B57" s="913"/>
      <c r="C57" s="913"/>
      <c r="D57" s="913"/>
      <c r="E57" s="325" t="s">
        <v>759</v>
      </c>
      <c r="F57" s="218">
        <v>2</v>
      </c>
      <c r="G57" s="218" t="s">
        <v>549</v>
      </c>
      <c r="H57" s="219">
        <v>30000</v>
      </c>
      <c r="I57" s="218">
        <v>51</v>
      </c>
      <c r="J57" s="218" t="s">
        <v>760</v>
      </c>
      <c r="K57" s="219">
        <f t="shared" ref="K57:K59" si="19">+H57*8%</f>
        <v>2400</v>
      </c>
      <c r="L57" s="220">
        <v>0.08</v>
      </c>
      <c r="M57" s="219">
        <f t="shared" si="16"/>
        <v>32400</v>
      </c>
      <c r="N57" s="219">
        <f t="shared" si="17"/>
        <v>3060000</v>
      </c>
      <c r="O57" s="221">
        <f t="shared" si="18"/>
        <v>3304800</v>
      </c>
    </row>
    <row r="58" spans="2:15" ht="23.25" x14ac:dyDescent="0.25">
      <c r="B58" s="913"/>
      <c r="C58" s="913"/>
      <c r="D58" s="913"/>
      <c r="E58" s="325" t="s">
        <v>761</v>
      </c>
      <c r="F58" s="218">
        <v>2</v>
      </c>
      <c r="G58" s="218" t="s">
        <v>549</v>
      </c>
      <c r="H58" s="219">
        <v>30000</v>
      </c>
      <c r="I58" s="218">
        <v>51</v>
      </c>
      <c r="J58" s="218" t="s">
        <v>760</v>
      </c>
      <c r="K58" s="219">
        <f t="shared" si="19"/>
        <v>2400</v>
      </c>
      <c r="L58" s="220">
        <v>0.08</v>
      </c>
      <c r="M58" s="219">
        <f t="shared" si="16"/>
        <v>32400</v>
      </c>
      <c r="N58" s="219">
        <f t="shared" si="17"/>
        <v>3060000</v>
      </c>
      <c r="O58" s="221">
        <f t="shared" si="18"/>
        <v>3304800</v>
      </c>
    </row>
    <row r="59" spans="2:15" ht="23.25" x14ac:dyDescent="0.25">
      <c r="B59" s="913"/>
      <c r="C59" s="913"/>
      <c r="D59" s="913"/>
      <c r="E59" s="330" t="s">
        <v>762</v>
      </c>
      <c r="F59" s="218">
        <v>2</v>
      </c>
      <c r="G59" s="218" t="s">
        <v>549</v>
      </c>
      <c r="H59" s="221">
        <v>60000</v>
      </c>
      <c r="I59" s="218">
        <v>51</v>
      </c>
      <c r="J59" s="218" t="s">
        <v>315</v>
      </c>
      <c r="K59" s="221">
        <f t="shared" si="19"/>
        <v>4800</v>
      </c>
      <c r="L59" s="220">
        <v>0.08</v>
      </c>
      <c r="M59" s="221">
        <f t="shared" si="16"/>
        <v>64800</v>
      </c>
      <c r="N59" s="221">
        <f t="shared" si="17"/>
        <v>6120000</v>
      </c>
      <c r="O59" s="221">
        <f t="shared" si="18"/>
        <v>6609600</v>
      </c>
    </row>
    <row r="60" spans="2:15" ht="57" x14ac:dyDescent="0.25">
      <c r="B60" s="913"/>
      <c r="C60" s="913"/>
      <c r="D60" s="913"/>
      <c r="E60" s="325" t="s">
        <v>768</v>
      </c>
      <c r="F60" s="218">
        <v>1</v>
      </c>
      <c r="G60" s="218" t="s">
        <v>549</v>
      </c>
      <c r="H60" s="219">
        <v>35000</v>
      </c>
      <c r="I60" s="218">
        <v>41</v>
      </c>
      <c r="J60" s="218" t="s">
        <v>753</v>
      </c>
      <c r="K60" s="219">
        <f t="shared" ref="K60:K61" si="20">+H60*19%</f>
        <v>6650</v>
      </c>
      <c r="L60" s="220">
        <v>0.19</v>
      </c>
      <c r="M60" s="219">
        <f t="shared" si="16"/>
        <v>41650</v>
      </c>
      <c r="N60" s="219">
        <f t="shared" si="17"/>
        <v>1435000</v>
      </c>
      <c r="O60" s="221">
        <f t="shared" si="18"/>
        <v>1707650</v>
      </c>
    </row>
    <row r="61" spans="2:15" ht="102" x14ac:dyDescent="0.25">
      <c r="B61" s="913"/>
      <c r="C61" s="913"/>
      <c r="D61" s="913"/>
      <c r="E61" s="325" t="s">
        <v>764</v>
      </c>
      <c r="F61" s="218">
        <v>1</v>
      </c>
      <c r="G61" s="218" t="s">
        <v>549</v>
      </c>
      <c r="H61" s="219">
        <v>1000000</v>
      </c>
      <c r="I61" s="218">
        <v>1</v>
      </c>
      <c r="J61" s="218" t="s">
        <v>753</v>
      </c>
      <c r="K61" s="219">
        <f t="shared" si="20"/>
        <v>190000</v>
      </c>
      <c r="L61" s="220">
        <v>0.19</v>
      </c>
      <c r="M61" s="219">
        <f t="shared" si="16"/>
        <v>1190000</v>
      </c>
      <c r="N61" s="219">
        <f t="shared" si="17"/>
        <v>1000000</v>
      </c>
      <c r="O61" s="221">
        <f t="shared" si="18"/>
        <v>1190000</v>
      </c>
    </row>
    <row r="62" spans="2:15" x14ac:dyDescent="0.25">
      <c r="B62" s="913"/>
      <c r="C62" s="914"/>
      <c r="D62" s="913"/>
      <c r="E62" s="1025" t="s">
        <v>765</v>
      </c>
      <c r="F62" s="872"/>
      <c r="G62" s="872"/>
      <c r="H62" s="872"/>
      <c r="I62" s="872"/>
      <c r="J62" s="872"/>
      <c r="K62" s="872"/>
      <c r="L62" s="872"/>
      <c r="M62" s="872"/>
      <c r="N62" s="873"/>
      <c r="O62" s="323">
        <f>SUM(O52:O61)</f>
        <v>102938850</v>
      </c>
    </row>
    <row r="63" spans="2:15" ht="23.25" x14ac:dyDescent="0.25">
      <c r="B63" s="913"/>
      <c r="C63" s="1066" t="s">
        <v>774</v>
      </c>
      <c r="D63" s="913"/>
      <c r="E63" s="324" t="s">
        <v>453</v>
      </c>
      <c r="F63" s="324" t="s">
        <v>454</v>
      </c>
      <c r="G63" s="324" t="s">
        <v>455</v>
      </c>
      <c r="H63" s="324" t="s">
        <v>456</v>
      </c>
      <c r="I63" s="324" t="s">
        <v>457</v>
      </c>
      <c r="J63" s="324" t="s">
        <v>458</v>
      </c>
      <c r="K63" s="324" t="s">
        <v>767</v>
      </c>
      <c r="L63" s="324" t="s">
        <v>460</v>
      </c>
      <c r="M63" s="324" t="s">
        <v>461</v>
      </c>
      <c r="N63" s="324" t="s">
        <v>462</v>
      </c>
      <c r="O63" s="324" t="s">
        <v>463</v>
      </c>
    </row>
    <row r="64" spans="2:15" ht="123.75" x14ac:dyDescent="0.25">
      <c r="B64" s="913"/>
      <c r="C64" s="913"/>
      <c r="D64" s="913"/>
      <c r="E64" s="217" t="s">
        <v>772</v>
      </c>
      <c r="F64" s="218">
        <v>2</v>
      </c>
      <c r="G64" s="218" t="s">
        <v>549</v>
      </c>
      <c r="H64" s="219">
        <v>3000000</v>
      </c>
      <c r="I64" s="218">
        <v>1</v>
      </c>
      <c r="J64" s="218" t="s">
        <v>315</v>
      </c>
      <c r="K64" s="219">
        <f>+H64*19%</f>
        <v>570000</v>
      </c>
      <c r="L64" s="220">
        <v>0.19</v>
      </c>
      <c r="M64" s="219">
        <f t="shared" ref="M64:M73" si="21">+K64+H64</f>
        <v>3570000</v>
      </c>
      <c r="N64" s="219">
        <f t="shared" ref="N64:N73" si="22">+H64*I64*F64</f>
        <v>6000000</v>
      </c>
      <c r="O64" s="221">
        <f t="shared" ref="O64:O73" si="23">+M64*I64*F64</f>
        <v>7140000</v>
      </c>
    </row>
    <row r="65" spans="2:15" ht="23.25" x14ac:dyDescent="0.25">
      <c r="B65" s="913"/>
      <c r="C65" s="913"/>
      <c r="D65" s="913"/>
      <c r="E65" s="325" t="s">
        <v>542</v>
      </c>
      <c r="F65" s="218">
        <v>2</v>
      </c>
      <c r="G65" s="218" t="s">
        <v>549</v>
      </c>
      <c r="H65" s="219">
        <v>1000000</v>
      </c>
      <c r="I65" s="218">
        <v>1</v>
      </c>
      <c r="J65" s="218" t="s">
        <v>315</v>
      </c>
      <c r="K65" s="219">
        <f>+H65*8%</f>
        <v>80000</v>
      </c>
      <c r="L65" s="220">
        <v>0.08</v>
      </c>
      <c r="M65" s="219">
        <f t="shared" si="21"/>
        <v>1080000</v>
      </c>
      <c r="N65" s="219">
        <f t="shared" si="22"/>
        <v>2000000</v>
      </c>
      <c r="O65" s="221">
        <f t="shared" si="23"/>
        <v>2160000</v>
      </c>
    </row>
    <row r="66" spans="2:15" x14ac:dyDescent="0.25">
      <c r="B66" s="913"/>
      <c r="C66" s="913"/>
      <c r="D66" s="913"/>
      <c r="E66" s="325" t="s">
        <v>543</v>
      </c>
      <c r="F66" s="218">
        <v>2</v>
      </c>
      <c r="G66" s="218" t="s">
        <v>549</v>
      </c>
      <c r="H66" s="219">
        <v>200000</v>
      </c>
      <c r="I66" s="218">
        <v>2</v>
      </c>
      <c r="J66" s="218" t="s">
        <v>287</v>
      </c>
      <c r="K66" s="219">
        <f>+H66*19%</f>
        <v>38000</v>
      </c>
      <c r="L66" s="220">
        <v>0.19</v>
      </c>
      <c r="M66" s="219">
        <f t="shared" si="21"/>
        <v>238000</v>
      </c>
      <c r="N66" s="219">
        <f t="shared" si="22"/>
        <v>800000</v>
      </c>
      <c r="O66" s="221">
        <f t="shared" si="23"/>
        <v>952000</v>
      </c>
    </row>
    <row r="67" spans="2:15" ht="56.25" x14ac:dyDescent="0.25">
      <c r="B67" s="913"/>
      <c r="C67" s="913"/>
      <c r="D67" s="913"/>
      <c r="E67" s="328" t="s">
        <v>773</v>
      </c>
      <c r="F67" s="218">
        <v>1</v>
      </c>
      <c r="G67" s="218" t="s">
        <v>688</v>
      </c>
      <c r="H67" s="219">
        <v>73000000</v>
      </c>
      <c r="I67" s="218">
        <v>1</v>
      </c>
      <c r="J67" s="218" t="s">
        <v>689</v>
      </c>
      <c r="K67" s="219">
        <f>+H67*0%</f>
        <v>0</v>
      </c>
      <c r="L67" s="220">
        <v>0</v>
      </c>
      <c r="M67" s="219">
        <f t="shared" si="21"/>
        <v>73000000</v>
      </c>
      <c r="N67" s="219">
        <f t="shared" si="22"/>
        <v>73000000</v>
      </c>
      <c r="O67" s="221">
        <f t="shared" si="23"/>
        <v>73000000</v>
      </c>
    </row>
    <row r="68" spans="2:15" ht="34.5" x14ac:dyDescent="0.25">
      <c r="B68" s="913"/>
      <c r="C68" s="913"/>
      <c r="D68" s="913"/>
      <c r="E68" s="325" t="s">
        <v>544</v>
      </c>
      <c r="F68" s="218">
        <v>2</v>
      </c>
      <c r="G68" s="218" t="s">
        <v>549</v>
      </c>
      <c r="H68" s="219">
        <v>1500000</v>
      </c>
      <c r="I68" s="218">
        <v>1</v>
      </c>
      <c r="J68" s="218" t="s">
        <v>545</v>
      </c>
      <c r="K68" s="219">
        <f>+H68*19%</f>
        <v>285000</v>
      </c>
      <c r="L68" s="220">
        <v>0.19</v>
      </c>
      <c r="M68" s="219">
        <f t="shared" si="21"/>
        <v>1785000</v>
      </c>
      <c r="N68" s="219">
        <f t="shared" si="22"/>
        <v>3000000</v>
      </c>
      <c r="O68" s="221">
        <f t="shared" si="23"/>
        <v>3570000</v>
      </c>
    </row>
    <row r="69" spans="2:15" ht="23.25" x14ac:dyDescent="0.25">
      <c r="B69" s="913"/>
      <c r="C69" s="913"/>
      <c r="D69" s="913"/>
      <c r="E69" s="325" t="s">
        <v>759</v>
      </c>
      <c r="F69" s="218">
        <v>2</v>
      </c>
      <c r="G69" s="218" t="s">
        <v>549</v>
      </c>
      <c r="H69" s="219">
        <v>30000</v>
      </c>
      <c r="I69" s="218">
        <v>51</v>
      </c>
      <c r="J69" s="218" t="s">
        <v>760</v>
      </c>
      <c r="K69" s="219">
        <f t="shared" ref="K69:K71" si="24">+H69*8%</f>
        <v>2400</v>
      </c>
      <c r="L69" s="220">
        <v>0.08</v>
      </c>
      <c r="M69" s="219">
        <f t="shared" si="21"/>
        <v>32400</v>
      </c>
      <c r="N69" s="219">
        <f t="shared" si="22"/>
        <v>3060000</v>
      </c>
      <c r="O69" s="221">
        <f t="shared" si="23"/>
        <v>3304800</v>
      </c>
    </row>
    <row r="70" spans="2:15" ht="23.25" x14ac:dyDescent="0.25">
      <c r="B70" s="913"/>
      <c r="C70" s="913"/>
      <c r="D70" s="913"/>
      <c r="E70" s="325" t="s">
        <v>761</v>
      </c>
      <c r="F70" s="218">
        <v>2</v>
      </c>
      <c r="G70" s="218" t="s">
        <v>549</v>
      </c>
      <c r="H70" s="219">
        <v>30000</v>
      </c>
      <c r="I70" s="218">
        <v>51</v>
      </c>
      <c r="J70" s="218" t="s">
        <v>760</v>
      </c>
      <c r="K70" s="219">
        <f t="shared" si="24"/>
        <v>2400</v>
      </c>
      <c r="L70" s="220">
        <v>0.08</v>
      </c>
      <c r="M70" s="219">
        <f t="shared" si="21"/>
        <v>32400</v>
      </c>
      <c r="N70" s="219">
        <f t="shared" si="22"/>
        <v>3060000</v>
      </c>
      <c r="O70" s="221">
        <f t="shared" si="23"/>
        <v>3304800</v>
      </c>
    </row>
    <row r="71" spans="2:15" ht="23.25" x14ac:dyDescent="0.25">
      <c r="B71" s="913"/>
      <c r="C71" s="913"/>
      <c r="D71" s="913"/>
      <c r="E71" s="330" t="s">
        <v>762</v>
      </c>
      <c r="F71" s="218">
        <v>2</v>
      </c>
      <c r="G71" s="218" t="s">
        <v>549</v>
      </c>
      <c r="H71" s="221">
        <v>60000</v>
      </c>
      <c r="I71" s="218">
        <v>51</v>
      </c>
      <c r="J71" s="218" t="s">
        <v>315</v>
      </c>
      <c r="K71" s="221">
        <f t="shared" si="24"/>
        <v>4800</v>
      </c>
      <c r="L71" s="220">
        <v>0.08</v>
      </c>
      <c r="M71" s="221">
        <f t="shared" si="21"/>
        <v>64800</v>
      </c>
      <c r="N71" s="221">
        <f t="shared" si="22"/>
        <v>6120000</v>
      </c>
      <c r="O71" s="221">
        <f t="shared" si="23"/>
        <v>6609600</v>
      </c>
    </row>
    <row r="72" spans="2:15" ht="57" x14ac:dyDescent="0.25">
      <c r="B72" s="913"/>
      <c r="C72" s="913"/>
      <c r="D72" s="913"/>
      <c r="E72" s="325" t="s">
        <v>768</v>
      </c>
      <c r="F72" s="218">
        <v>1</v>
      </c>
      <c r="G72" s="218" t="s">
        <v>549</v>
      </c>
      <c r="H72" s="219">
        <v>35000</v>
      </c>
      <c r="I72" s="218">
        <v>41</v>
      </c>
      <c r="J72" s="218" t="s">
        <v>753</v>
      </c>
      <c r="K72" s="219">
        <f t="shared" ref="K72:K73" si="25">+H72*19%</f>
        <v>6650</v>
      </c>
      <c r="L72" s="220">
        <v>0.19</v>
      </c>
      <c r="M72" s="219">
        <f t="shared" si="21"/>
        <v>41650</v>
      </c>
      <c r="N72" s="219">
        <f t="shared" si="22"/>
        <v>1435000</v>
      </c>
      <c r="O72" s="221">
        <f t="shared" si="23"/>
        <v>1707650</v>
      </c>
    </row>
    <row r="73" spans="2:15" ht="102" x14ac:dyDescent="0.25">
      <c r="B73" s="913"/>
      <c r="C73" s="913"/>
      <c r="D73" s="913"/>
      <c r="E73" s="325" t="s">
        <v>764</v>
      </c>
      <c r="F73" s="218">
        <v>1</v>
      </c>
      <c r="G73" s="218" t="s">
        <v>549</v>
      </c>
      <c r="H73" s="219">
        <v>1000000</v>
      </c>
      <c r="I73" s="218">
        <v>1</v>
      </c>
      <c r="J73" s="218" t="s">
        <v>753</v>
      </c>
      <c r="K73" s="219">
        <f t="shared" si="25"/>
        <v>190000</v>
      </c>
      <c r="L73" s="220">
        <v>0.19</v>
      </c>
      <c r="M73" s="219">
        <f t="shared" si="21"/>
        <v>1190000</v>
      </c>
      <c r="N73" s="219">
        <f t="shared" si="22"/>
        <v>1000000</v>
      </c>
      <c r="O73" s="221">
        <f t="shared" si="23"/>
        <v>1190000</v>
      </c>
    </row>
    <row r="74" spans="2:15" x14ac:dyDescent="0.25">
      <c r="B74" s="913"/>
      <c r="C74" s="914"/>
      <c r="D74" s="913"/>
      <c r="E74" s="1025" t="s">
        <v>765</v>
      </c>
      <c r="F74" s="872"/>
      <c r="G74" s="872"/>
      <c r="H74" s="872"/>
      <c r="I74" s="872"/>
      <c r="J74" s="872"/>
      <c r="K74" s="872"/>
      <c r="L74" s="872"/>
      <c r="M74" s="872"/>
      <c r="N74" s="873"/>
      <c r="O74" s="323">
        <f>SUM(O64:O73)</f>
        <v>102938850</v>
      </c>
    </row>
    <row r="75" spans="2:15" ht="23.25" x14ac:dyDescent="0.25">
      <c r="B75" s="913"/>
      <c r="C75" s="1066" t="s">
        <v>775</v>
      </c>
      <c r="D75" s="913"/>
      <c r="E75" s="324" t="s">
        <v>453</v>
      </c>
      <c r="F75" s="324" t="s">
        <v>454</v>
      </c>
      <c r="G75" s="324" t="s">
        <v>455</v>
      </c>
      <c r="H75" s="324" t="s">
        <v>456</v>
      </c>
      <c r="I75" s="324" t="s">
        <v>457</v>
      </c>
      <c r="J75" s="324" t="s">
        <v>458</v>
      </c>
      <c r="K75" s="324" t="s">
        <v>459</v>
      </c>
      <c r="L75" s="324" t="s">
        <v>460</v>
      </c>
      <c r="M75" s="324" t="s">
        <v>461</v>
      </c>
      <c r="N75" s="324" t="s">
        <v>462</v>
      </c>
      <c r="O75" s="324" t="s">
        <v>463</v>
      </c>
    </row>
    <row r="76" spans="2:15" ht="123.75" x14ac:dyDescent="0.25">
      <c r="B76" s="913"/>
      <c r="C76" s="913"/>
      <c r="D76" s="913"/>
      <c r="E76" s="217" t="s">
        <v>772</v>
      </c>
      <c r="F76" s="218">
        <v>2</v>
      </c>
      <c r="G76" s="218" t="s">
        <v>549</v>
      </c>
      <c r="H76" s="219">
        <v>3000000</v>
      </c>
      <c r="I76" s="218">
        <v>1</v>
      </c>
      <c r="J76" s="218" t="s">
        <v>315</v>
      </c>
      <c r="K76" s="219">
        <f>+H76*19%</f>
        <v>570000</v>
      </c>
      <c r="L76" s="220">
        <v>0.19</v>
      </c>
      <c r="M76" s="219">
        <f t="shared" ref="M76:M85" si="26">+K76+H76</f>
        <v>3570000</v>
      </c>
      <c r="N76" s="219">
        <f t="shared" ref="N76:N85" si="27">+H76*I76*F76</f>
        <v>6000000</v>
      </c>
      <c r="O76" s="221">
        <f t="shared" ref="O76:O85" si="28">+M76*I76*F76</f>
        <v>7140000</v>
      </c>
    </row>
    <row r="77" spans="2:15" ht="23.25" x14ac:dyDescent="0.25">
      <c r="B77" s="913"/>
      <c r="C77" s="913"/>
      <c r="D77" s="913"/>
      <c r="E77" s="325" t="s">
        <v>542</v>
      </c>
      <c r="F77" s="218">
        <v>2</v>
      </c>
      <c r="G77" s="218" t="s">
        <v>549</v>
      </c>
      <c r="H77" s="219">
        <v>1000000</v>
      </c>
      <c r="I77" s="218">
        <v>1</v>
      </c>
      <c r="J77" s="218" t="s">
        <v>315</v>
      </c>
      <c r="K77" s="219">
        <f>+H77*8%</f>
        <v>80000</v>
      </c>
      <c r="L77" s="220">
        <v>0.08</v>
      </c>
      <c r="M77" s="219">
        <f t="shared" si="26"/>
        <v>1080000</v>
      </c>
      <c r="N77" s="219">
        <f t="shared" si="27"/>
        <v>2000000</v>
      </c>
      <c r="O77" s="221">
        <f t="shared" si="28"/>
        <v>2160000</v>
      </c>
    </row>
    <row r="78" spans="2:15" x14ac:dyDescent="0.25">
      <c r="B78" s="913"/>
      <c r="C78" s="913"/>
      <c r="D78" s="913"/>
      <c r="E78" s="325" t="s">
        <v>543</v>
      </c>
      <c r="F78" s="218">
        <v>2</v>
      </c>
      <c r="G78" s="218" t="s">
        <v>549</v>
      </c>
      <c r="H78" s="219">
        <v>200000</v>
      </c>
      <c r="I78" s="218">
        <v>2</v>
      </c>
      <c r="J78" s="218" t="s">
        <v>287</v>
      </c>
      <c r="K78" s="219">
        <f>+H78*19%</f>
        <v>38000</v>
      </c>
      <c r="L78" s="220">
        <v>0.19</v>
      </c>
      <c r="M78" s="219">
        <f t="shared" si="26"/>
        <v>238000</v>
      </c>
      <c r="N78" s="219">
        <f t="shared" si="27"/>
        <v>800000</v>
      </c>
      <c r="O78" s="221">
        <f t="shared" si="28"/>
        <v>952000</v>
      </c>
    </row>
    <row r="79" spans="2:15" ht="56.25" x14ac:dyDescent="0.25">
      <c r="B79" s="913"/>
      <c r="C79" s="913"/>
      <c r="D79" s="913"/>
      <c r="E79" s="328" t="s">
        <v>773</v>
      </c>
      <c r="F79" s="218">
        <v>1</v>
      </c>
      <c r="G79" s="218" t="s">
        <v>688</v>
      </c>
      <c r="H79" s="219">
        <v>73000000</v>
      </c>
      <c r="I79" s="218">
        <v>1</v>
      </c>
      <c r="J79" s="218" t="s">
        <v>689</v>
      </c>
      <c r="K79" s="219">
        <f>+H79*0%</f>
        <v>0</v>
      </c>
      <c r="L79" s="220">
        <v>0</v>
      </c>
      <c r="M79" s="219">
        <f t="shared" si="26"/>
        <v>73000000</v>
      </c>
      <c r="N79" s="219">
        <f t="shared" si="27"/>
        <v>73000000</v>
      </c>
      <c r="O79" s="221">
        <f t="shared" si="28"/>
        <v>73000000</v>
      </c>
    </row>
    <row r="80" spans="2:15" ht="34.5" x14ac:dyDescent="0.25">
      <c r="B80" s="913"/>
      <c r="C80" s="913"/>
      <c r="D80" s="913"/>
      <c r="E80" s="325" t="s">
        <v>544</v>
      </c>
      <c r="F80" s="218">
        <v>2</v>
      </c>
      <c r="G80" s="218" t="s">
        <v>549</v>
      </c>
      <c r="H80" s="219">
        <v>1500000</v>
      </c>
      <c r="I80" s="218">
        <v>1</v>
      </c>
      <c r="J80" s="218" t="s">
        <v>545</v>
      </c>
      <c r="K80" s="219">
        <f>+H80*19%</f>
        <v>285000</v>
      </c>
      <c r="L80" s="220">
        <v>0.19</v>
      </c>
      <c r="M80" s="219">
        <f t="shared" si="26"/>
        <v>1785000</v>
      </c>
      <c r="N80" s="219">
        <f t="shared" si="27"/>
        <v>3000000</v>
      </c>
      <c r="O80" s="221">
        <f t="shared" si="28"/>
        <v>3570000</v>
      </c>
    </row>
    <row r="81" spans="2:15" ht="23.25" x14ac:dyDescent="0.25">
      <c r="B81" s="913"/>
      <c r="C81" s="913"/>
      <c r="D81" s="913"/>
      <c r="E81" s="325" t="s">
        <v>759</v>
      </c>
      <c r="F81" s="218">
        <v>2</v>
      </c>
      <c r="G81" s="218" t="s">
        <v>549</v>
      </c>
      <c r="H81" s="219">
        <v>30000</v>
      </c>
      <c r="I81" s="218">
        <v>51</v>
      </c>
      <c r="J81" s="218" t="s">
        <v>760</v>
      </c>
      <c r="K81" s="219">
        <f t="shared" ref="K81:K83" si="29">+H81*8%</f>
        <v>2400</v>
      </c>
      <c r="L81" s="220">
        <v>0.08</v>
      </c>
      <c r="M81" s="219">
        <f t="shared" si="26"/>
        <v>32400</v>
      </c>
      <c r="N81" s="219">
        <f t="shared" si="27"/>
        <v>3060000</v>
      </c>
      <c r="O81" s="221">
        <f t="shared" si="28"/>
        <v>3304800</v>
      </c>
    </row>
    <row r="82" spans="2:15" ht="23.25" x14ac:dyDescent="0.25">
      <c r="B82" s="913"/>
      <c r="C82" s="913"/>
      <c r="D82" s="913"/>
      <c r="E82" s="325" t="s">
        <v>761</v>
      </c>
      <c r="F82" s="218">
        <v>2</v>
      </c>
      <c r="G82" s="218" t="s">
        <v>549</v>
      </c>
      <c r="H82" s="219">
        <v>30000</v>
      </c>
      <c r="I82" s="218">
        <v>51</v>
      </c>
      <c r="J82" s="218" t="s">
        <v>760</v>
      </c>
      <c r="K82" s="219">
        <f t="shared" si="29"/>
        <v>2400</v>
      </c>
      <c r="L82" s="220">
        <v>0.08</v>
      </c>
      <c r="M82" s="219">
        <f t="shared" si="26"/>
        <v>32400</v>
      </c>
      <c r="N82" s="219">
        <f t="shared" si="27"/>
        <v>3060000</v>
      </c>
      <c r="O82" s="221">
        <f t="shared" si="28"/>
        <v>3304800</v>
      </c>
    </row>
    <row r="83" spans="2:15" ht="23.25" x14ac:dyDescent="0.25">
      <c r="B83" s="913"/>
      <c r="C83" s="913"/>
      <c r="D83" s="913"/>
      <c r="E83" s="330" t="s">
        <v>762</v>
      </c>
      <c r="F83" s="218">
        <v>2</v>
      </c>
      <c r="G83" s="218" t="s">
        <v>549</v>
      </c>
      <c r="H83" s="221">
        <v>60000</v>
      </c>
      <c r="I83" s="218">
        <v>51</v>
      </c>
      <c r="J83" s="218" t="s">
        <v>315</v>
      </c>
      <c r="K83" s="221">
        <f t="shared" si="29"/>
        <v>4800</v>
      </c>
      <c r="L83" s="220">
        <v>0.08</v>
      </c>
      <c r="M83" s="221">
        <f t="shared" si="26"/>
        <v>64800</v>
      </c>
      <c r="N83" s="221">
        <f t="shared" si="27"/>
        <v>6120000</v>
      </c>
      <c r="O83" s="221">
        <f t="shared" si="28"/>
        <v>6609600</v>
      </c>
    </row>
    <row r="84" spans="2:15" ht="57" x14ac:dyDescent="0.25">
      <c r="B84" s="913"/>
      <c r="C84" s="913"/>
      <c r="D84" s="913"/>
      <c r="E84" s="325" t="s">
        <v>768</v>
      </c>
      <c r="F84" s="218">
        <v>1</v>
      </c>
      <c r="G84" s="218" t="s">
        <v>549</v>
      </c>
      <c r="H84" s="219">
        <v>35000</v>
      </c>
      <c r="I84" s="218">
        <v>41</v>
      </c>
      <c r="J84" s="218" t="s">
        <v>753</v>
      </c>
      <c r="K84" s="219">
        <f t="shared" ref="K84:K85" si="30">+H84*19%</f>
        <v>6650</v>
      </c>
      <c r="L84" s="220">
        <v>0.19</v>
      </c>
      <c r="M84" s="219">
        <f t="shared" si="26"/>
        <v>41650</v>
      </c>
      <c r="N84" s="219">
        <f t="shared" si="27"/>
        <v>1435000</v>
      </c>
      <c r="O84" s="221">
        <f t="shared" si="28"/>
        <v>1707650</v>
      </c>
    </row>
    <row r="85" spans="2:15" ht="102" x14ac:dyDescent="0.25">
      <c r="B85" s="913"/>
      <c r="C85" s="913"/>
      <c r="D85" s="913"/>
      <c r="E85" s="325" t="s">
        <v>764</v>
      </c>
      <c r="F85" s="218">
        <v>1</v>
      </c>
      <c r="G85" s="218" t="s">
        <v>549</v>
      </c>
      <c r="H85" s="219">
        <v>1000000</v>
      </c>
      <c r="I85" s="218">
        <v>1</v>
      </c>
      <c r="J85" s="218" t="s">
        <v>753</v>
      </c>
      <c r="K85" s="219">
        <f t="shared" si="30"/>
        <v>190000</v>
      </c>
      <c r="L85" s="220">
        <v>0.19</v>
      </c>
      <c r="M85" s="219">
        <f t="shared" si="26"/>
        <v>1190000</v>
      </c>
      <c r="N85" s="219">
        <f t="shared" si="27"/>
        <v>1000000</v>
      </c>
      <c r="O85" s="221">
        <f t="shared" si="28"/>
        <v>1190000</v>
      </c>
    </row>
    <row r="86" spans="2:15" x14ac:dyDescent="0.25">
      <c r="B86" s="914"/>
      <c r="C86" s="914"/>
      <c r="D86" s="914"/>
      <c r="E86" s="1025" t="s">
        <v>765</v>
      </c>
      <c r="F86" s="872"/>
      <c r="G86" s="872"/>
      <c r="H86" s="872"/>
      <c r="I86" s="872"/>
      <c r="J86" s="872"/>
      <c r="K86" s="872"/>
      <c r="L86" s="872"/>
      <c r="M86" s="872"/>
      <c r="N86" s="873"/>
      <c r="O86" s="323">
        <f>SUM(O76:O85)</f>
        <v>102938850</v>
      </c>
    </row>
    <row r="87" spans="2:15" ht="23.25" x14ac:dyDescent="0.25">
      <c r="B87" s="209" t="s">
        <v>754</v>
      </c>
      <c r="C87" s="209" t="s">
        <v>711</v>
      </c>
      <c r="D87" s="209" t="s">
        <v>750</v>
      </c>
      <c r="E87" s="209" t="s">
        <v>453</v>
      </c>
      <c r="F87" s="209" t="s">
        <v>454</v>
      </c>
      <c r="G87" s="209" t="s">
        <v>455</v>
      </c>
      <c r="H87" s="209" t="s">
        <v>456</v>
      </c>
      <c r="I87" s="209" t="s">
        <v>457</v>
      </c>
      <c r="J87" s="209" t="s">
        <v>458</v>
      </c>
      <c r="K87" s="209" t="s">
        <v>459</v>
      </c>
      <c r="L87" s="209" t="s">
        <v>460</v>
      </c>
      <c r="M87" s="209" t="s">
        <v>461</v>
      </c>
      <c r="N87" s="324" t="s">
        <v>462</v>
      </c>
      <c r="O87" s="324" t="s">
        <v>463</v>
      </c>
    </row>
    <row r="88" spans="2:15" ht="123.75" x14ac:dyDescent="0.25">
      <c r="B88" s="1024" t="s">
        <v>776</v>
      </c>
      <c r="C88" s="1066" t="s">
        <v>777</v>
      </c>
      <c r="D88" s="915" t="s">
        <v>778</v>
      </c>
      <c r="E88" s="217" t="s">
        <v>779</v>
      </c>
      <c r="F88" s="218">
        <v>2</v>
      </c>
      <c r="G88" s="218" t="s">
        <v>549</v>
      </c>
      <c r="H88" s="219">
        <v>3000000</v>
      </c>
      <c r="I88" s="218">
        <v>1</v>
      </c>
      <c r="J88" s="218" t="s">
        <v>315</v>
      </c>
      <c r="K88" s="219">
        <f>+H88*19%</f>
        <v>570000</v>
      </c>
      <c r="L88" s="220">
        <v>0.19</v>
      </c>
      <c r="M88" s="219">
        <f t="shared" ref="M88:M97" si="31">+K88+H88</f>
        <v>3570000</v>
      </c>
      <c r="N88" s="219">
        <f t="shared" ref="N88:N97" si="32">+H88*I88*F88</f>
        <v>6000000</v>
      </c>
      <c r="O88" s="221">
        <f t="shared" ref="O88:O97" si="33">+M88*I88*F88</f>
        <v>7140000</v>
      </c>
    </row>
    <row r="89" spans="2:15" ht="22.5" x14ac:dyDescent="0.25">
      <c r="B89" s="913"/>
      <c r="C89" s="913"/>
      <c r="D89" s="913"/>
      <c r="E89" s="217" t="s">
        <v>542</v>
      </c>
      <c r="F89" s="218">
        <v>2</v>
      </c>
      <c r="G89" s="218" t="s">
        <v>549</v>
      </c>
      <c r="H89" s="219">
        <v>1000000</v>
      </c>
      <c r="I89" s="218">
        <v>1</v>
      </c>
      <c r="J89" s="218" t="s">
        <v>315</v>
      </c>
      <c r="K89" s="219">
        <f>+H89*8%</f>
        <v>80000</v>
      </c>
      <c r="L89" s="220">
        <v>0.08</v>
      </c>
      <c r="M89" s="219">
        <f t="shared" si="31"/>
        <v>1080000</v>
      </c>
      <c r="N89" s="219">
        <f t="shared" si="32"/>
        <v>2000000</v>
      </c>
      <c r="O89" s="221">
        <f t="shared" si="33"/>
        <v>2160000</v>
      </c>
    </row>
    <row r="90" spans="2:15" x14ac:dyDescent="0.25">
      <c r="B90" s="913"/>
      <c r="C90" s="913"/>
      <c r="D90" s="913"/>
      <c r="E90" s="217" t="s">
        <v>543</v>
      </c>
      <c r="F90" s="218">
        <v>2</v>
      </c>
      <c r="G90" s="218" t="s">
        <v>549</v>
      </c>
      <c r="H90" s="219">
        <v>200000</v>
      </c>
      <c r="I90" s="218">
        <v>2</v>
      </c>
      <c r="J90" s="218" t="s">
        <v>287</v>
      </c>
      <c r="K90" s="219">
        <f>+H90*19%</f>
        <v>38000</v>
      </c>
      <c r="L90" s="220">
        <v>0.19</v>
      </c>
      <c r="M90" s="219">
        <f t="shared" si="31"/>
        <v>238000</v>
      </c>
      <c r="N90" s="219">
        <f t="shared" si="32"/>
        <v>800000</v>
      </c>
      <c r="O90" s="221">
        <f t="shared" si="33"/>
        <v>952000</v>
      </c>
    </row>
    <row r="91" spans="2:15" ht="56.25" x14ac:dyDescent="0.25">
      <c r="B91" s="913"/>
      <c r="C91" s="913"/>
      <c r="D91" s="913"/>
      <c r="E91" s="217" t="s">
        <v>780</v>
      </c>
      <c r="F91" s="218">
        <v>1</v>
      </c>
      <c r="G91" s="218" t="s">
        <v>688</v>
      </c>
      <c r="H91" s="219">
        <v>83000000</v>
      </c>
      <c r="I91" s="218">
        <v>1</v>
      </c>
      <c r="J91" s="218" t="s">
        <v>689</v>
      </c>
      <c r="K91" s="219">
        <f>+H91*0%</f>
        <v>0</v>
      </c>
      <c r="L91" s="220">
        <v>0</v>
      </c>
      <c r="M91" s="219">
        <f t="shared" si="31"/>
        <v>83000000</v>
      </c>
      <c r="N91" s="219">
        <f t="shared" si="32"/>
        <v>83000000</v>
      </c>
      <c r="O91" s="221">
        <f t="shared" si="33"/>
        <v>83000000</v>
      </c>
    </row>
    <row r="92" spans="2:15" ht="33.75" x14ac:dyDescent="0.25">
      <c r="B92" s="913"/>
      <c r="C92" s="913"/>
      <c r="D92" s="913"/>
      <c r="E92" s="217" t="s">
        <v>544</v>
      </c>
      <c r="F92" s="218">
        <v>2</v>
      </c>
      <c r="G92" s="218" t="s">
        <v>549</v>
      </c>
      <c r="H92" s="219">
        <v>1500000</v>
      </c>
      <c r="I92" s="218">
        <v>1</v>
      </c>
      <c r="J92" s="218" t="s">
        <v>545</v>
      </c>
      <c r="K92" s="219">
        <f>+H92*19%</f>
        <v>285000</v>
      </c>
      <c r="L92" s="220">
        <v>0.19</v>
      </c>
      <c r="M92" s="219">
        <f t="shared" si="31"/>
        <v>1785000</v>
      </c>
      <c r="N92" s="219">
        <f t="shared" si="32"/>
        <v>3000000</v>
      </c>
      <c r="O92" s="221">
        <f t="shared" si="33"/>
        <v>3570000</v>
      </c>
    </row>
    <row r="93" spans="2:15" ht="22.5" x14ac:dyDescent="0.25">
      <c r="B93" s="913"/>
      <c r="C93" s="913"/>
      <c r="D93" s="913"/>
      <c r="E93" s="217" t="s">
        <v>759</v>
      </c>
      <c r="F93" s="218">
        <v>2</v>
      </c>
      <c r="G93" s="218" t="s">
        <v>549</v>
      </c>
      <c r="H93" s="219">
        <v>30000</v>
      </c>
      <c r="I93" s="218">
        <v>65</v>
      </c>
      <c r="J93" s="218" t="s">
        <v>760</v>
      </c>
      <c r="K93" s="219">
        <f t="shared" ref="K93:K95" si="34">+H93*8%</f>
        <v>2400</v>
      </c>
      <c r="L93" s="220">
        <v>0.08</v>
      </c>
      <c r="M93" s="219">
        <f t="shared" si="31"/>
        <v>32400</v>
      </c>
      <c r="N93" s="219">
        <f t="shared" si="32"/>
        <v>3900000</v>
      </c>
      <c r="O93" s="221">
        <f t="shared" si="33"/>
        <v>4212000</v>
      </c>
    </row>
    <row r="94" spans="2:15" ht="22.5" x14ac:dyDescent="0.25">
      <c r="B94" s="913"/>
      <c r="C94" s="913"/>
      <c r="D94" s="913"/>
      <c r="E94" s="217" t="s">
        <v>761</v>
      </c>
      <c r="F94" s="218">
        <v>2</v>
      </c>
      <c r="G94" s="218" t="s">
        <v>549</v>
      </c>
      <c r="H94" s="219">
        <v>30000</v>
      </c>
      <c r="I94" s="218">
        <v>65</v>
      </c>
      <c r="J94" s="218" t="s">
        <v>315</v>
      </c>
      <c r="K94" s="219">
        <f t="shared" si="34"/>
        <v>2400</v>
      </c>
      <c r="L94" s="220">
        <v>0.08</v>
      </c>
      <c r="M94" s="219">
        <f t="shared" si="31"/>
        <v>32400</v>
      </c>
      <c r="N94" s="219">
        <f t="shared" si="32"/>
        <v>3900000</v>
      </c>
      <c r="O94" s="221">
        <f t="shared" si="33"/>
        <v>4212000</v>
      </c>
    </row>
    <row r="95" spans="2:15" ht="22.5" x14ac:dyDescent="0.25">
      <c r="B95" s="913"/>
      <c r="C95" s="913"/>
      <c r="D95" s="913"/>
      <c r="E95" s="322" t="s">
        <v>762</v>
      </c>
      <c r="F95" s="218">
        <v>2</v>
      </c>
      <c r="G95" s="218" t="s">
        <v>549</v>
      </c>
      <c r="H95" s="221">
        <v>60000</v>
      </c>
      <c r="I95" s="218">
        <v>65</v>
      </c>
      <c r="J95" s="218" t="s">
        <v>315</v>
      </c>
      <c r="K95" s="221">
        <f t="shared" si="34"/>
        <v>4800</v>
      </c>
      <c r="L95" s="220">
        <v>0.08</v>
      </c>
      <c r="M95" s="221">
        <f t="shared" si="31"/>
        <v>64800</v>
      </c>
      <c r="N95" s="221">
        <f t="shared" si="32"/>
        <v>7800000</v>
      </c>
      <c r="O95" s="221">
        <f t="shared" si="33"/>
        <v>8424000</v>
      </c>
    </row>
    <row r="96" spans="2:15" ht="56.25" x14ac:dyDescent="0.25">
      <c r="B96" s="913"/>
      <c r="C96" s="913"/>
      <c r="D96" s="913"/>
      <c r="E96" s="217" t="s">
        <v>763</v>
      </c>
      <c r="F96" s="218">
        <v>1</v>
      </c>
      <c r="G96" s="218" t="s">
        <v>549</v>
      </c>
      <c r="H96" s="219">
        <v>35000</v>
      </c>
      <c r="I96" s="218">
        <v>55</v>
      </c>
      <c r="J96" s="218" t="s">
        <v>753</v>
      </c>
      <c r="K96" s="219">
        <f t="shared" ref="K96:K97" si="35">+H96*19%</f>
        <v>6650</v>
      </c>
      <c r="L96" s="220">
        <v>0.19</v>
      </c>
      <c r="M96" s="219">
        <f t="shared" si="31"/>
        <v>41650</v>
      </c>
      <c r="N96" s="219">
        <f t="shared" si="32"/>
        <v>1925000</v>
      </c>
      <c r="O96" s="221">
        <f t="shared" si="33"/>
        <v>2290750</v>
      </c>
    </row>
    <row r="97" spans="2:15" ht="101.25" x14ac:dyDescent="0.25">
      <c r="B97" s="913"/>
      <c r="C97" s="913"/>
      <c r="D97" s="913"/>
      <c r="E97" s="217" t="s">
        <v>764</v>
      </c>
      <c r="F97" s="218">
        <v>1</v>
      </c>
      <c r="G97" s="218" t="s">
        <v>549</v>
      </c>
      <c r="H97" s="219">
        <v>1000000</v>
      </c>
      <c r="I97" s="218">
        <v>1</v>
      </c>
      <c r="J97" s="218" t="s">
        <v>753</v>
      </c>
      <c r="K97" s="219">
        <f t="shared" si="35"/>
        <v>190000</v>
      </c>
      <c r="L97" s="220">
        <v>0.19</v>
      </c>
      <c r="M97" s="219">
        <f t="shared" si="31"/>
        <v>1190000</v>
      </c>
      <c r="N97" s="219">
        <f t="shared" si="32"/>
        <v>1000000</v>
      </c>
      <c r="O97" s="221">
        <f t="shared" si="33"/>
        <v>1190000</v>
      </c>
    </row>
    <row r="98" spans="2:15" x14ac:dyDescent="0.25">
      <c r="B98" s="913"/>
      <c r="C98" s="914"/>
      <c r="D98" s="913"/>
      <c r="E98" s="1064" t="s">
        <v>765</v>
      </c>
      <c r="F98" s="872"/>
      <c r="G98" s="872"/>
      <c r="H98" s="872"/>
      <c r="I98" s="872"/>
      <c r="J98" s="872"/>
      <c r="K98" s="872"/>
      <c r="L98" s="872"/>
      <c r="M98" s="872"/>
      <c r="N98" s="873"/>
      <c r="O98" s="323">
        <f>SUM(O88:O97)</f>
        <v>117150750</v>
      </c>
    </row>
    <row r="99" spans="2:15" ht="23.25" x14ac:dyDescent="0.25">
      <c r="B99" s="913"/>
      <c r="C99" s="1066" t="s">
        <v>781</v>
      </c>
      <c r="D99" s="913"/>
      <c r="E99" s="324" t="s">
        <v>453</v>
      </c>
      <c r="F99" s="324" t="s">
        <v>454</v>
      </c>
      <c r="G99" s="324" t="s">
        <v>455</v>
      </c>
      <c r="H99" s="324" t="s">
        <v>456</v>
      </c>
      <c r="I99" s="324" t="s">
        <v>457</v>
      </c>
      <c r="J99" s="324" t="s">
        <v>458</v>
      </c>
      <c r="K99" s="324" t="s">
        <v>459</v>
      </c>
      <c r="L99" s="324" t="s">
        <v>460</v>
      </c>
      <c r="M99" s="324" t="s">
        <v>461</v>
      </c>
      <c r="N99" s="324" t="s">
        <v>462</v>
      </c>
      <c r="O99" s="324" t="s">
        <v>463</v>
      </c>
    </row>
    <row r="100" spans="2:15" ht="123.75" x14ac:dyDescent="0.25">
      <c r="B100" s="913"/>
      <c r="C100" s="913"/>
      <c r="D100" s="913"/>
      <c r="E100" s="217" t="s">
        <v>779</v>
      </c>
      <c r="F100" s="218">
        <v>2</v>
      </c>
      <c r="G100" s="218" t="s">
        <v>549</v>
      </c>
      <c r="H100" s="219">
        <v>3000000</v>
      </c>
      <c r="I100" s="218">
        <v>1</v>
      </c>
      <c r="J100" s="218" t="s">
        <v>315</v>
      </c>
      <c r="K100" s="219">
        <f>+H100*19%</f>
        <v>570000</v>
      </c>
      <c r="L100" s="220">
        <v>0.19</v>
      </c>
      <c r="M100" s="219">
        <f t="shared" ref="M100:M109" si="36">+K100+H100</f>
        <v>3570000</v>
      </c>
      <c r="N100" s="219">
        <f t="shared" ref="N100:N109" si="37">+H100*I100*F100</f>
        <v>6000000</v>
      </c>
      <c r="O100" s="221">
        <f t="shared" ref="O100:O109" si="38">+M100*I100*F100</f>
        <v>7140000</v>
      </c>
    </row>
    <row r="101" spans="2:15" ht="22.5" x14ac:dyDescent="0.25">
      <c r="B101" s="913"/>
      <c r="C101" s="913"/>
      <c r="D101" s="913"/>
      <c r="E101" s="217" t="s">
        <v>542</v>
      </c>
      <c r="F101" s="218">
        <v>2</v>
      </c>
      <c r="G101" s="218" t="s">
        <v>549</v>
      </c>
      <c r="H101" s="219">
        <v>1000000</v>
      </c>
      <c r="I101" s="218">
        <v>1</v>
      </c>
      <c r="J101" s="218" t="s">
        <v>315</v>
      </c>
      <c r="K101" s="219">
        <f>+H101*8%</f>
        <v>80000</v>
      </c>
      <c r="L101" s="220">
        <v>0.08</v>
      </c>
      <c r="M101" s="219">
        <f t="shared" si="36"/>
        <v>1080000</v>
      </c>
      <c r="N101" s="219">
        <f t="shared" si="37"/>
        <v>2000000</v>
      </c>
      <c r="O101" s="221">
        <f t="shared" si="38"/>
        <v>2160000</v>
      </c>
    </row>
    <row r="102" spans="2:15" x14ac:dyDescent="0.25">
      <c r="B102" s="913"/>
      <c r="C102" s="913"/>
      <c r="D102" s="913"/>
      <c r="E102" s="217" t="s">
        <v>543</v>
      </c>
      <c r="F102" s="218">
        <v>2</v>
      </c>
      <c r="G102" s="218" t="s">
        <v>549</v>
      </c>
      <c r="H102" s="219">
        <v>200000</v>
      </c>
      <c r="I102" s="218">
        <v>2</v>
      </c>
      <c r="J102" s="218" t="s">
        <v>287</v>
      </c>
      <c r="K102" s="219">
        <f>+H102*19%</f>
        <v>38000</v>
      </c>
      <c r="L102" s="220">
        <v>0.19</v>
      </c>
      <c r="M102" s="219">
        <f t="shared" si="36"/>
        <v>238000</v>
      </c>
      <c r="N102" s="219">
        <f t="shared" si="37"/>
        <v>800000</v>
      </c>
      <c r="O102" s="221">
        <f t="shared" si="38"/>
        <v>952000</v>
      </c>
    </row>
    <row r="103" spans="2:15" ht="56.25" x14ac:dyDescent="0.25">
      <c r="B103" s="913"/>
      <c r="C103" s="913"/>
      <c r="D103" s="913"/>
      <c r="E103" s="217" t="s">
        <v>780</v>
      </c>
      <c r="F103" s="218">
        <v>1</v>
      </c>
      <c r="G103" s="218" t="s">
        <v>688</v>
      </c>
      <c r="H103" s="219">
        <v>83000000</v>
      </c>
      <c r="I103" s="218">
        <v>1</v>
      </c>
      <c r="J103" s="218" t="s">
        <v>689</v>
      </c>
      <c r="K103" s="219">
        <f>+H103*0%</f>
        <v>0</v>
      </c>
      <c r="L103" s="220">
        <v>0</v>
      </c>
      <c r="M103" s="219">
        <f t="shared" si="36"/>
        <v>83000000</v>
      </c>
      <c r="N103" s="219">
        <f t="shared" si="37"/>
        <v>83000000</v>
      </c>
      <c r="O103" s="221">
        <f t="shared" si="38"/>
        <v>83000000</v>
      </c>
    </row>
    <row r="104" spans="2:15" ht="33.75" x14ac:dyDescent="0.25">
      <c r="B104" s="913"/>
      <c r="C104" s="913"/>
      <c r="D104" s="913"/>
      <c r="E104" s="217" t="s">
        <v>544</v>
      </c>
      <c r="F104" s="218">
        <v>2</v>
      </c>
      <c r="G104" s="218" t="s">
        <v>549</v>
      </c>
      <c r="H104" s="219">
        <v>1500000</v>
      </c>
      <c r="I104" s="218">
        <v>1</v>
      </c>
      <c r="J104" s="218" t="s">
        <v>545</v>
      </c>
      <c r="K104" s="219">
        <f>+H104*19%</f>
        <v>285000</v>
      </c>
      <c r="L104" s="220">
        <v>0.19</v>
      </c>
      <c r="M104" s="219">
        <f t="shared" si="36"/>
        <v>1785000</v>
      </c>
      <c r="N104" s="219">
        <f t="shared" si="37"/>
        <v>3000000</v>
      </c>
      <c r="O104" s="221">
        <f t="shared" si="38"/>
        <v>3570000</v>
      </c>
    </row>
    <row r="105" spans="2:15" ht="22.5" x14ac:dyDescent="0.25">
      <c r="B105" s="913"/>
      <c r="C105" s="913"/>
      <c r="D105" s="913"/>
      <c r="E105" s="217" t="s">
        <v>759</v>
      </c>
      <c r="F105" s="218">
        <v>2</v>
      </c>
      <c r="G105" s="218" t="s">
        <v>549</v>
      </c>
      <c r="H105" s="219">
        <v>30000</v>
      </c>
      <c r="I105" s="218">
        <v>65</v>
      </c>
      <c r="J105" s="218" t="s">
        <v>760</v>
      </c>
      <c r="K105" s="219">
        <f t="shared" ref="K105:K107" si="39">+H105*8%</f>
        <v>2400</v>
      </c>
      <c r="L105" s="220">
        <v>0.08</v>
      </c>
      <c r="M105" s="219">
        <f t="shared" si="36"/>
        <v>32400</v>
      </c>
      <c r="N105" s="219">
        <f t="shared" si="37"/>
        <v>3900000</v>
      </c>
      <c r="O105" s="221">
        <f t="shared" si="38"/>
        <v>4212000</v>
      </c>
    </row>
    <row r="106" spans="2:15" ht="22.5" x14ac:dyDescent="0.25">
      <c r="B106" s="913"/>
      <c r="C106" s="913"/>
      <c r="D106" s="913"/>
      <c r="E106" s="217" t="s">
        <v>761</v>
      </c>
      <c r="F106" s="218">
        <v>2</v>
      </c>
      <c r="G106" s="218" t="s">
        <v>549</v>
      </c>
      <c r="H106" s="219">
        <v>30000</v>
      </c>
      <c r="I106" s="218">
        <v>65</v>
      </c>
      <c r="J106" s="218" t="s">
        <v>315</v>
      </c>
      <c r="K106" s="219">
        <f t="shared" si="39"/>
        <v>2400</v>
      </c>
      <c r="L106" s="220">
        <v>0.08</v>
      </c>
      <c r="M106" s="219">
        <f t="shared" si="36"/>
        <v>32400</v>
      </c>
      <c r="N106" s="219">
        <f t="shared" si="37"/>
        <v>3900000</v>
      </c>
      <c r="O106" s="221">
        <f t="shared" si="38"/>
        <v>4212000</v>
      </c>
    </row>
    <row r="107" spans="2:15" ht="22.5" x14ac:dyDescent="0.25">
      <c r="B107" s="913"/>
      <c r="C107" s="913"/>
      <c r="D107" s="913"/>
      <c r="E107" s="322" t="s">
        <v>762</v>
      </c>
      <c r="F107" s="218">
        <v>2</v>
      </c>
      <c r="G107" s="218" t="s">
        <v>549</v>
      </c>
      <c r="H107" s="221">
        <v>60000</v>
      </c>
      <c r="I107" s="218">
        <v>65</v>
      </c>
      <c r="J107" s="218" t="s">
        <v>315</v>
      </c>
      <c r="K107" s="221">
        <f t="shared" si="39"/>
        <v>4800</v>
      </c>
      <c r="L107" s="220">
        <v>0.08</v>
      </c>
      <c r="M107" s="221">
        <f t="shared" si="36"/>
        <v>64800</v>
      </c>
      <c r="N107" s="221">
        <f t="shared" si="37"/>
        <v>7800000</v>
      </c>
      <c r="O107" s="221">
        <f t="shared" si="38"/>
        <v>8424000</v>
      </c>
    </row>
    <row r="108" spans="2:15" ht="56.25" x14ac:dyDescent="0.25">
      <c r="B108" s="913"/>
      <c r="C108" s="913"/>
      <c r="D108" s="913"/>
      <c r="E108" s="217" t="s">
        <v>763</v>
      </c>
      <c r="F108" s="218">
        <v>1</v>
      </c>
      <c r="G108" s="218" t="s">
        <v>549</v>
      </c>
      <c r="H108" s="219">
        <v>35000</v>
      </c>
      <c r="I108" s="218">
        <v>55</v>
      </c>
      <c r="J108" s="218" t="s">
        <v>753</v>
      </c>
      <c r="K108" s="219">
        <f t="shared" ref="K108:K109" si="40">+H108*19%</f>
        <v>6650</v>
      </c>
      <c r="L108" s="220">
        <v>0.19</v>
      </c>
      <c r="M108" s="219">
        <f t="shared" si="36"/>
        <v>41650</v>
      </c>
      <c r="N108" s="219">
        <f t="shared" si="37"/>
        <v>1925000</v>
      </c>
      <c r="O108" s="221">
        <f t="shared" si="38"/>
        <v>2290750</v>
      </c>
    </row>
    <row r="109" spans="2:15" ht="101.25" x14ac:dyDescent="0.25">
      <c r="B109" s="913"/>
      <c r="C109" s="913"/>
      <c r="D109" s="913"/>
      <c r="E109" s="217" t="s">
        <v>764</v>
      </c>
      <c r="F109" s="218">
        <v>1</v>
      </c>
      <c r="G109" s="218" t="s">
        <v>549</v>
      </c>
      <c r="H109" s="219">
        <v>1000000</v>
      </c>
      <c r="I109" s="218">
        <v>1</v>
      </c>
      <c r="J109" s="218" t="s">
        <v>753</v>
      </c>
      <c r="K109" s="219">
        <f t="shared" si="40"/>
        <v>190000</v>
      </c>
      <c r="L109" s="220">
        <v>0.19</v>
      </c>
      <c r="M109" s="219">
        <f t="shared" si="36"/>
        <v>1190000</v>
      </c>
      <c r="N109" s="219">
        <f t="shared" si="37"/>
        <v>1000000</v>
      </c>
      <c r="O109" s="221">
        <f t="shared" si="38"/>
        <v>1190000</v>
      </c>
    </row>
    <row r="110" spans="2:15" x14ac:dyDescent="0.25">
      <c r="B110" s="913"/>
      <c r="C110" s="913"/>
      <c r="D110" s="913"/>
      <c r="E110" s="1025" t="s">
        <v>765</v>
      </c>
      <c r="F110" s="872"/>
      <c r="G110" s="872"/>
      <c r="H110" s="872"/>
      <c r="I110" s="872"/>
      <c r="J110" s="872"/>
      <c r="K110" s="872"/>
      <c r="L110" s="872"/>
      <c r="M110" s="872"/>
      <c r="N110" s="873"/>
      <c r="O110" s="332">
        <f>SUM(O100:O109)</f>
        <v>117150750</v>
      </c>
    </row>
    <row r="111" spans="2:15" ht="23.25" x14ac:dyDescent="0.25">
      <c r="B111" s="209" t="s">
        <v>754</v>
      </c>
      <c r="C111" s="209" t="s">
        <v>711</v>
      </c>
      <c r="D111" s="209" t="s">
        <v>750</v>
      </c>
      <c r="E111" s="324" t="s">
        <v>453</v>
      </c>
      <c r="F111" s="324" t="s">
        <v>454</v>
      </c>
      <c r="G111" s="324" t="s">
        <v>455</v>
      </c>
      <c r="H111" s="324" t="s">
        <v>456</v>
      </c>
      <c r="I111" s="324" t="s">
        <v>457</v>
      </c>
      <c r="J111" s="324" t="s">
        <v>458</v>
      </c>
      <c r="K111" s="324" t="s">
        <v>459</v>
      </c>
      <c r="L111" s="324" t="s">
        <v>460</v>
      </c>
      <c r="M111" s="324" t="s">
        <v>461</v>
      </c>
      <c r="N111" s="324" t="s">
        <v>462</v>
      </c>
      <c r="O111" s="324" t="s">
        <v>463</v>
      </c>
    </row>
    <row r="112" spans="2:15" ht="124.5" x14ac:dyDescent="0.25">
      <c r="B112" s="1024" t="s">
        <v>782</v>
      </c>
      <c r="C112" s="1024" t="s">
        <v>783</v>
      </c>
      <c r="D112" s="915" t="s">
        <v>778</v>
      </c>
      <c r="E112" s="325" t="s">
        <v>784</v>
      </c>
      <c r="F112" s="218">
        <v>2</v>
      </c>
      <c r="G112" s="218" t="s">
        <v>549</v>
      </c>
      <c r="H112" s="219">
        <v>3000000</v>
      </c>
      <c r="I112" s="218">
        <v>1</v>
      </c>
      <c r="J112" s="218" t="s">
        <v>315</v>
      </c>
      <c r="K112" s="219">
        <f>+H112*19%</f>
        <v>570000</v>
      </c>
      <c r="L112" s="220">
        <v>0.19</v>
      </c>
      <c r="M112" s="219">
        <f t="shared" ref="M112:M121" si="41">+K112+H112</f>
        <v>3570000</v>
      </c>
      <c r="N112" s="219">
        <f t="shared" ref="N112:N121" si="42">+H112*I112*F112</f>
        <v>6000000</v>
      </c>
      <c r="O112" s="221">
        <f t="shared" ref="O112:O121" si="43">+M112*I112*F112</f>
        <v>7140000</v>
      </c>
    </row>
    <row r="113" spans="2:15" ht="23.25" x14ac:dyDescent="0.25">
      <c r="B113" s="913"/>
      <c r="C113" s="913"/>
      <c r="D113" s="913"/>
      <c r="E113" s="325" t="s">
        <v>542</v>
      </c>
      <c r="F113" s="326">
        <v>2</v>
      </c>
      <c r="G113" s="218" t="s">
        <v>549</v>
      </c>
      <c r="H113" s="219">
        <v>1000000</v>
      </c>
      <c r="I113" s="218">
        <v>1</v>
      </c>
      <c r="J113" s="218" t="s">
        <v>315</v>
      </c>
      <c r="K113" s="219">
        <f>+H113*8%</f>
        <v>80000</v>
      </c>
      <c r="L113" s="220">
        <v>0.08</v>
      </c>
      <c r="M113" s="219">
        <f t="shared" si="41"/>
        <v>1080000</v>
      </c>
      <c r="N113" s="219">
        <f t="shared" si="42"/>
        <v>2000000</v>
      </c>
      <c r="O113" s="221">
        <f t="shared" si="43"/>
        <v>2160000</v>
      </c>
    </row>
    <row r="114" spans="2:15" x14ac:dyDescent="0.25">
      <c r="B114" s="913"/>
      <c r="C114" s="913"/>
      <c r="D114" s="913"/>
      <c r="E114" s="325" t="s">
        <v>543</v>
      </c>
      <c r="F114" s="326">
        <v>2</v>
      </c>
      <c r="G114" s="218" t="s">
        <v>549</v>
      </c>
      <c r="H114" s="219">
        <v>200000</v>
      </c>
      <c r="I114" s="218">
        <v>2</v>
      </c>
      <c r="J114" s="218" t="s">
        <v>287</v>
      </c>
      <c r="K114" s="219">
        <f>+H114*19%</f>
        <v>38000</v>
      </c>
      <c r="L114" s="220">
        <v>0.19</v>
      </c>
      <c r="M114" s="219">
        <f t="shared" si="41"/>
        <v>238000</v>
      </c>
      <c r="N114" s="219">
        <f t="shared" si="42"/>
        <v>800000</v>
      </c>
      <c r="O114" s="221">
        <f t="shared" si="43"/>
        <v>952000</v>
      </c>
    </row>
    <row r="115" spans="2:15" ht="57" x14ac:dyDescent="0.25">
      <c r="B115" s="913"/>
      <c r="C115" s="913"/>
      <c r="D115" s="913"/>
      <c r="E115" s="325" t="s">
        <v>785</v>
      </c>
      <c r="F115" s="326">
        <v>1</v>
      </c>
      <c r="G115" s="218" t="s">
        <v>688</v>
      </c>
      <c r="H115" s="219">
        <v>80000000</v>
      </c>
      <c r="I115" s="218">
        <v>1</v>
      </c>
      <c r="J115" s="218" t="s">
        <v>689</v>
      </c>
      <c r="K115" s="219">
        <f>+H115*0%</f>
        <v>0</v>
      </c>
      <c r="L115" s="220">
        <v>0</v>
      </c>
      <c r="M115" s="219">
        <f t="shared" si="41"/>
        <v>80000000</v>
      </c>
      <c r="N115" s="219">
        <f t="shared" si="42"/>
        <v>80000000</v>
      </c>
      <c r="O115" s="221">
        <f t="shared" si="43"/>
        <v>80000000</v>
      </c>
    </row>
    <row r="116" spans="2:15" ht="34.5" x14ac:dyDescent="0.25">
      <c r="B116" s="913"/>
      <c r="C116" s="913"/>
      <c r="D116" s="913"/>
      <c r="E116" s="325" t="s">
        <v>544</v>
      </c>
      <c r="F116" s="326">
        <v>2</v>
      </c>
      <c r="G116" s="218" t="s">
        <v>549</v>
      </c>
      <c r="H116" s="219">
        <v>1400000</v>
      </c>
      <c r="I116" s="218">
        <v>1</v>
      </c>
      <c r="J116" s="218" t="s">
        <v>545</v>
      </c>
      <c r="K116" s="219">
        <f>+H116*19%</f>
        <v>266000</v>
      </c>
      <c r="L116" s="220">
        <v>0.19</v>
      </c>
      <c r="M116" s="219">
        <f t="shared" si="41"/>
        <v>1666000</v>
      </c>
      <c r="N116" s="219">
        <f t="shared" si="42"/>
        <v>2800000</v>
      </c>
      <c r="O116" s="221">
        <f t="shared" si="43"/>
        <v>3332000</v>
      </c>
    </row>
    <row r="117" spans="2:15" ht="23.25" x14ac:dyDescent="0.25">
      <c r="B117" s="913"/>
      <c r="C117" s="913"/>
      <c r="D117" s="913"/>
      <c r="E117" s="325" t="s">
        <v>759</v>
      </c>
      <c r="F117" s="326">
        <v>2</v>
      </c>
      <c r="G117" s="218" t="s">
        <v>549</v>
      </c>
      <c r="H117" s="219">
        <v>30000</v>
      </c>
      <c r="I117" s="218">
        <v>64</v>
      </c>
      <c r="J117" s="218" t="s">
        <v>760</v>
      </c>
      <c r="K117" s="219">
        <f t="shared" ref="K117:K119" si="44">+H117*8%</f>
        <v>2400</v>
      </c>
      <c r="L117" s="220">
        <v>0.08</v>
      </c>
      <c r="M117" s="219">
        <f t="shared" si="41"/>
        <v>32400</v>
      </c>
      <c r="N117" s="219">
        <f t="shared" si="42"/>
        <v>3840000</v>
      </c>
      <c r="O117" s="221">
        <f t="shared" si="43"/>
        <v>4147200</v>
      </c>
    </row>
    <row r="118" spans="2:15" ht="23.25" x14ac:dyDescent="0.25">
      <c r="B118" s="913"/>
      <c r="C118" s="913"/>
      <c r="D118" s="913"/>
      <c r="E118" s="325" t="s">
        <v>761</v>
      </c>
      <c r="F118" s="326">
        <v>2</v>
      </c>
      <c r="G118" s="218" t="s">
        <v>549</v>
      </c>
      <c r="H118" s="219">
        <v>30000</v>
      </c>
      <c r="I118" s="218">
        <v>64</v>
      </c>
      <c r="J118" s="218" t="s">
        <v>315</v>
      </c>
      <c r="K118" s="219">
        <f t="shared" si="44"/>
        <v>2400</v>
      </c>
      <c r="L118" s="220">
        <v>0.08</v>
      </c>
      <c r="M118" s="219">
        <f t="shared" si="41"/>
        <v>32400</v>
      </c>
      <c r="N118" s="219">
        <f t="shared" si="42"/>
        <v>3840000</v>
      </c>
      <c r="O118" s="221">
        <f t="shared" si="43"/>
        <v>4147200</v>
      </c>
    </row>
    <row r="119" spans="2:15" ht="23.25" x14ac:dyDescent="0.25">
      <c r="B119" s="913"/>
      <c r="C119" s="913"/>
      <c r="D119" s="913"/>
      <c r="E119" s="330" t="s">
        <v>762</v>
      </c>
      <c r="F119" s="326">
        <v>2</v>
      </c>
      <c r="G119" s="218" t="s">
        <v>549</v>
      </c>
      <c r="H119" s="221">
        <v>60000</v>
      </c>
      <c r="I119" s="218">
        <v>64</v>
      </c>
      <c r="J119" s="218" t="s">
        <v>315</v>
      </c>
      <c r="K119" s="221">
        <f t="shared" si="44"/>
        <v>4800</v>
      </c>
      <c r="L119" s="220">
        <v>0.08</v>
      </c>
      <c r="M119" s="221">
        <f t="shared" si="41"/>
        <v>64800</v>
      </c>
      <c r="N119" s="221">
        <f t="shared" si="42"/>
        <v>7680000</v>
      </c>
      <c r="O119" s="221">
        <f t="shared" si="43"/>
        <v>8294400</v>
      </c>
    </row>
    <row r="120" spans="2:15" ht="57" x14ac:dyDescent="0.25">
      <c r="B120" s="913"/>
      <c r="C120" s="913"/>
      <c r="D120" s="913"/>
      <c r="E120" s="325" t="s">
        <v>763</v>
      </c>
      <c r="F120" s="218">
        <v>1</v>
      </c>
      <c r="G120" s="218" t="s">
        <v>549</v>
      </c>
      <c r="H120" s="219">
        <v>40000</v>
      </c>
      <c r="I120" s="218">
        <v>54</v>
      </c>
      <c r="J120" s="218" t="s">
        <v>753</v>
      </c>
      <c r="K120" s="219">
        <f t="shared" ref="K120:K121" si="45">+H120*19%</f>
        <v>7600</v>
      </c>
      <c r="L120" s="220">
        <v>0.19</v>
      </c>
      <c r="M120" s="219">
        <f t="shared" si="41"/>
        <v>47600</v>
      </c>
      <c r="N120" s="219">
        <f t="shared" si="42"/>
        <v>2160000</v>
      </c>
      <c r="O120" s="221">
        <f t="shared" si="43"/>
        <v>2570400</v>
      </c>
    </row>
    <row r="121" spans="2:15" ht="102" x14ac:dyDescent="0.25">
      <c r="B121" s="913"/>
      <c r="C121" s="913"/>
      <c r="D121" s="913"/>
      <c r="E121" s="325" t="s">
        <v>764</v>
      </c>
      <c r="F121" s="218">
        <v>1</v>
      </c>
      <c r="G121" s="218" t="s">
        <v>549</v>
      </c>
      <c r="H121" s="219">
        <v>2000000</v>
      </c>
      <c r="I121" s="218">
        <v>1</v>
      </c>
      <c r="J121" s="218" t="s">
        <v>753</v>
      </c>
      <c r="K121" s="219">
        <f t="shared" si="45"/>
        <v>380000</v>
      </c>
      <c r="L121" s="220">
        <v>0.19</v>
      </c>
      <c r="M121" s="219">
        <f t="shared" si="41"/>
        <v>2380000</v>
      </c>
      <c r="N121" s="219">
        <f t="shared" si="42"/>
        <v>2000000</v>
      </c>
      <c r="O121" s="221">
        <f t="shared" si="43"/>
        <v>2380000</v>
      </c>
    </row>
    <row r="122" spans="2:15" x14ac:dyDescent="0.25">
      <c r="B122" s="914"/>
      <c r="C122" s="914"/>
      <c r="D122" s="914"/>
      <c r="E122" s="1025" t="s">
        <v>765</v>
      </c>
      <c r="F122" s="872"/>
      <c r="G122" s="872"/>
      <c r="H122" s="872"/>
      <c r="I122" s="872"/>
      <c r="J122" s="872"/>
      <c r="K122" s="872"/>
      <c r="L122" s="872"/>
      <c r="M122" s="872"/>
      <c r="N122" s="873"/>
      <c r="O122" s="332">
        <f>SUM(O112:O121)</f>
        <v>115123200</v>
      </c>
    </row>
    <row r="123" spans="2:15" ht="23.25" x14ac:dyDescent="0.25">
      <c r="B123" s="209" t="s">
        <v>754</v>
      </c>
      <c r="C123" s="209" t="s">
        <v>711</v>
      </c>
      <c r="D123" s="209" t="s">
        <v>750</v>
      </c>
      <c r="E123" s="324" t="s">
        <v>453</v>
      </c>
      <c r="F123" s="324" t="s">
        <v>454</v>
      </c>
      <c r="G123" s="324" t="s">
        <v>455</v>
      </c>
      <c r="H123" s="324" t="s">
        <v>456</v>
      </c>
      <c r="I123" s="324" t="s">
        <v>457</v>
      </c>
      <c r="J123" s="324" t="s">
        <v>458</v>
      </c>
      <c r="K123" s="324" t="s">
        <v>459</v>
      </c>
      <c r="L123" s="324" t="s">
        <v>460</v>
      </c>
      <c r="M123" s="324" t="s">
        <v>461</v>
      </c>
      <c r="N123" s="324" t="s">
        <v>462</v>
      </c>
      <c r="O123" s="324" t="s">
        <v>463</v>
      </c>
    </row>
    <row r="124" spans="2:15" ht="124.5" x14ac:dyDescent="0.25">
      <c r="B124" s="1024" t="s">
        <v>786</v>
      </c>
      <c r="C124" s="1024" t="s">
        <v>787</v>
      </c>
      <c r="D124" s="915" t="s">
        <v>778</v>
      </c>
      <c r="E124" s="325" t="s">
        <v>788</v>
      </c>
      <c r="F124" s="218">
        <v>2</v>
      </c>
      <c r="G124" s="218" t="s">
        <v>549</v>
      </c>
      <c r="H124" s="219">
        <v>3000000</v>
      </c>
      <c r="I124" s="218">
        <v>1</v>
      </c>
      <c r="J124" s="218" t="s">
        <v>315</v>
      </c>
      <c r="K124" s="219">
        <f>+H124*19%</f>
        <v>570000</v>
      </c>
      <c r="L124" s="220">
        <v>0.19</v>
      </c>
      <c r="M124" s="219">
        <f t="shared" ref="M124:M133" si="46">+K124+H124</f>
        <v>3570000</v>
      </c>
      <c r="N124" s="219">
        <f t="shared" ref="N124:N133" si="47">+H124*I124*F124</f>
        <v>6000000</v>
      </c>
      <c r="O124" s="221">
        <f t="shared" ref="O124:O133" si="48">+M124*I124*F124</f>
        <v>7140000</v>
      </c>
    </row>
    <row r="125" spans="2:15" ht="23.25" x14ac:dyDescent="0.25">
      <c r="B125" s="913"/>
      <c r="C125" s="913"/>
      <c r="D125" s="913"/>
      <c r="E125" s="325" t="s">
        <v>542</v>
      </c>
      <c r="F125" s="326">
        <v>2</v>
      </c>
      <c r="G125" s="218" t="s">
        <v>549</v>
      </c>
      <c r="H125" s="219">
        <v>1000000</v>
      </c>
      <c r="I125" s="218">
        <v>1</v>
      </c>
      <c r="J125" s="218" t="s">
        <v>315</v>
      </c>
      <c r="K125" s="219">
        <f>+H125*8%</f>
        <v>80000</v>
      </c>
      <c r="L125" s="220">
        <v>0.08</v>
      </c>
      <c r="M125" s="219">
        <f t="shared" si="46"/>
        <v>1080000</v>
      </c>
      <c r="N125" s="219">
        <f t="shared" si="47"/>
        <v>2000000</v>
      </c>
      <c r="O125" s="221">
        <f t="shared" si="48"/>
        <v>2160000</v>
      </c>
    </row>
    <row r="126" spans="2:15" x14ac:dyDescent="0.25">
      <c r="B126" s="913"/>
      <c r="C126" s="913"/>
      <c r="D126" s="913"/>
      <c r="E126" s="325" t="s">
        <v>543</v>
      </c>
      <c r="F126" s="326">
        <v>2</v>
      </c>
      <c r="G126" s="218" t="s">
        <v>549</v>
      </c>
      <c r="H126" s="219">
        <v>200000</v>
      </c>
      <c r="I126" s="218">
        <v>2</v>
      </c>
      <c r="J126" s="218" t="s">
        <v>287</v>
      </c>
      <c r="K126" s="219">
        <f>+H126*19%</f>
        <v>38000</v>
      </c>
      <c r="L126" s="220">
        <v>0.19</v>
      </c>
      <c r="M126" s="219">
        <f t="shared" si="46"/>
        <v>238000</v>
      </c>
      <c r="N126" s="219">
        <f t="shared" si="47"/>
        <v>800000</v>
      </c>
      <c r="O126" s="221">
        <f t="shared" si="48"/>
        <v>952000</v>
      </c>
    </row>
    <row r="127" spans="2:15" ht="56.25" x14ac:dyDescent="0.25">
      <c r="B127" s="913"/>
      <c r="C127" s="913"/>
      <c r="D127" s="913"/>
      <c r="E127" s="322" t="s">
        <v>789</v>
      </c>
      <c r="F127" s="326">
        <v>1</v>
      </c>
      <c r="G127" s="218" t="s">
        <v>688</v>
      </c>
      <c r="H127" s="219">
        <v>72000000</v>
      </c>
      <c r="I127" s="218">
        <v>1</v>
      </c>
      <c r="J127" s="218" t="s">
        <v>689</v>
      </c>
      <c r="K127" s="221">
        <f>+H127*0%</f>
        <v>0</v>
      </c>
      <c r="L127" s="220">
        <v>0</v>
      </c>
      <c r="M127" s="221">
        <f t="shared" si="46"/>
        <v>72000000</v>
      </c>
      <c r="N127" s="221">
        <f t="shared" si="47"/>
        <v>72000000</v>
      </c>
      <c r="O127" s="221">
        <f t="shared" si="48"/>
        <v>72000000</v>
      </c>
    </row>
    <row r="128" spans="2:15" ht="34.5" x14ac:dyDescent="0.25">
      <c r="B128" s="913"/>
      <c r="C128" s="913"/>
      <c r="D128" s="913"/>
      <c r="E128" s="325" t="s">
        <v>544</v>
      </c>
      <c r="F128" s="326">
        <v>2</v>
      </c>
      <c r="G128" s="218" t="s">
        <v>549</v>
      </c>
      <c r="H128" s="219">
        <v>1400000</v>
      </c>
      <c r="I128" s="218">
        <v>1</v>
      </c>
      <c r="J128" s="218" t="s">
        <v>545</v>
      </c>
      <c r="K128" s="219">
        <f>+H128*19%</f>
        <v>266000</v>
      </c>
      <c r="L128" s="220">
        <v>0.19</v>
      </c>
      <c r="M128" s="219">
        <f t="shared" si="46"/>
        <v>1666000</v>
      </c>
      <c r="N128" s="219">
        <f t="shared" si="47"/>
        <v>2800000</v>
      </c>
      <c r="O128" s="221">
        <f t="shared" si="48"/>
        <v>3332000</v>
      </c>
    </row>
    <row r="129" spans="2:15" ht="23.25" x14ac:dyDescent="0.25">
      <c r="B129" s="913"/>
      <c r="C129" s="913"/>
      <c r="D129" s="913"/>
      <c r="E129" s="325" t="s">
        <v>759</v>
      </c>
      <c r="F129" s="326">
        <v>2</v>
      </c>
      <c r="G129" s="218" t="s">
        <v>549</v>
      </c>
      <c r="H129" s="219">
        <v>30000</v>
      </c>
      <c r="I129" s="218">
        <v>46</v>
      </c>
      <c r="J129" s="218" t="s">
        <v>760</v>
      </c>
      <c r="K129" s="219">
        <f t="shared" ref="K129:K131" si="49">+H129*8%</f>
        <v>2400</v>
      </c>
      <c r="L129" s="220">
        <v>0.08</v>
      </c>
      <c r="M129" s="219">
        <f t="shared" si="46"/>
        <v>32400</v>
      </c>
      <c r="N129" s="219">
        <f t="shared" si="47"/>
        <v>2760000</v>
      </c>
      <c r="O129" s="221">
        <f t="shared" si="48"/>
        <v>2980800</v>
      </c>
    </row>
    <row r="130" spans="2:15" ht="23.25" x14ac:dyDescent="0.25">
      <c r="B130" s="913"/>
      <c r="C130" s="913"/>
      <c r="D130" s="913"/>
      <c r="E130" s="325" t="s">
        <v>761</v>
      </c>
      <c r="F130" s="326">
        <v>2</v>
      </c>
      <c r="G130" s="218" t="s">
        <v>549</v>
      </c>
      <c r="H130" s="219">
        <v>30000</v>
      </c>
      <c r="I130" s="218">
        <v>46</v>
      </c>
      <c r="J130" s="218" t="s">
        <v>315</v>
      </c>
      <c r="K130" s="219">
        <f t="shared" si="49"/>
        <v>2400</v>
      </c>
      <c r="L130" s="220">
        <v>0.08</v>
      </c>
      <c r="M130" s="219">
        <f t="shared" si="46"/>
        <v>32400</v>
      </c>
      <c r="N130" s="219">
        <f t="shared" si="47"/>
        <v>2760000</v>
      </c>
      <c r="O130" s="221">
        <f t="shared" si="48"/>
        <v>2980800</v>
      </c>
    </row>
    <row r="131" spans="2:15" ht="22.5" x14ac:dyDescent="0.25">
      <c r="B131" s="913"/>
      <c r="C131" s="913"/>
      <c r="D131" s="913"/>
      <c r="E131" s="322" t="s">
        <v>762</v>
      </c>
      <c r="F131" s="326">
        <v>2</v>
      </c>
      <c r="G131" s="218" t="s">
        <v>549</v>
      </c>
      <c r="H131" s="221">
        <v>60000</v>
      </c>
      <c r="I131" s="218">
        <v>46</v>
      </c>
      <c r="J131" s="218" t="s">
        <v>315</v>
      </c>
      <c r="K131" s="221">
        <f t="shared" si="49"/>
        <v>4800</v>
      </c>
      <c r="L131" s="220">
        <v>0.08</v>
      </c>
      <c r="M131" s="221">
        <f t="shared" si="46"/>
        <v>64800</v>
      </c>
      <c r="N131" s="221">
        <f t="shared" si="47"/>
        <v>5520000</v>
      </c>
      <c r="O131" s="221">
        <f t="shared" si="48"/>
        <v>5961600</v>
      </c>
    </row>
    <row r="132" spans="2:15" ht="57" x14ac:dyDescent="0.25">
      <c r="B132" s="913"/>
      <c r="C132" s="913"/>
      <c r="D132" s="913"/>
      <c r="E132" s="325" t="s">
        <v>763</v>
      </c>
      <c r="F132" s="218">
        <v>1</v>
      </c>
      <c r="G132" s="218" t="s">
        <v>549</v>
      </c>
      <c r="H132" s="219">
        <v>40000</v>
      </c>
      <c r="I132" s="218">
        <v>36</v>
      </c>
      <c r="J132" s="218" t="s">
        <v>753</v>
      </c>
      <c r="K132" s="219">
        <f t="shared" ref="K132:K133" si="50">+H132*19%</f>
        <v>7600</v>
      </c>
      <c r="L132" s="220">
        <v>0.19</v>
      </c>
      <c r="M132" s="219">
        <f t="shared" si="46"/>
        <v>47600</v>
      </c>
      <c r="N132" s="219">
        <f t="shared" si="47"/>
        <v>1440000</v>
      </c>
      <c r="O132" s="221">
        <f t="shared" si="48"/>
        <v>1713600</v>
      </c>
    </row>
    <row r="133" spans="2:15" ht="102" x14ac:dyDescent="0.25">
      <c r="B133" s="913"/>
      <c r="C133" s="913"/>
      <c r="D133" s="913"/>
      <c r="E133" s="325" t="s">
        <v>764</v>
      </c>
      <c r="F133" s="218">
        <v>1</v>
      </c>
      <c r="G133" s="218" t="s">
        <v>549</v>
      </c>
      <c r="H133" s="219">
        <v>2000000</v>
      </c>
      <c r="I133" s="218">
        <v>1</v>
      </c>
      <c r="J133" s="218" t="s">
        <v>753</v>
      </c>
      <c r="K133" s="219">
        <f t="shared" si="50"/>
        <v>380000</v>
      </c>
      <c r="L133" s="220">
        <v>0.19</v>
      </c>
      <c r="M133" s="219">
        <f t="shared" si="46"/>
        <v>2380000</v>
      </c>
      <c r="N133" s="219">
        <f t="shared" si="47"/>
        <v>2000000</v>
      </c>
      <c r="O133" s="221">
        <f t="shared" si="48"/>
        <v>2380000</v>
      </c>
    </row>
    <row r="134" spans="2:15" x14ac:dyDescent="0.25">
      <c r="B134" s="914"/>
      <c r="C134" s="914"/>
      <c r="D134" s="914"/>
      <c r="E134" s="1025" t="s">
        <v>765</v>
      </c>
      <c r="F134" s="872"/>
      <c r="G134" s="872"/>
      <c r="H134" s="872"/>
      <c r="I134" s="872"/>
      <c r="J134" s="872"/>
      <c r="K134" s="872"/>
      <c r="L134" s="872"/>
      <c r="M134" s="872"/>
      <c r="N134" s="873"/>
      <c r="O134" s="332">
        <f>SUM(O124:O133)</f>
        <v>101600800</v>
      </c>
    </row>
    <row r="135" spans="2:15" x14ac:dyDescent="0.25">
      <c r="B135" s="1067" t="s">
        <v>790</v>
      </c>
      <c r="C135" s="872"/>
      <c r="D135" s="872"/>
      <c r="E135" s="872"/>
      <c r="F135" s="872"/>
      <c r="G135" s="872"/>
      <c r="H135" s="872"/>
      <c r="I135" s="872"/>
      <c r="J135" s="872"/>
      <c r="K135" s="872"/>
      <c r="L135" s="872"/>
      <c r="M135" s="872"/>
      <c r="N135" s="873"/>
      <c r="O135" s="333">
        <f>O134+O122+O110+O98+O86+O74+O62+O50+O38</f>
        <v>970126550</v>
      </c>
    </row>
    <row r="136" spans="2:15" ht="22.5" x14ac:dyDescent="0.25">
      <c r="B136" s="209" t="s">
        <v>706</v>
      </c>
      <c r="C136" s="209" t="s">
        <v>711</v>
      </c>
      <c r="D136" s="209" t="s">
        <v>750</v>
      </c>
      <c r="E136" s="209" t="s">
        <v>453</v>
      </c>
      <c r="F136" s="209" t="s">
        <v>454</v>
      </c>
      <c r="G136" s="209" t="s">
        <v>455</v>
      </c>
      <c r="H136" s="209" t="s">
        <v>456</v>
      </c>
      <c r="I136" s="209" t="s">
        <v>457</v>
      </c>
      <c r="J136" s="209" t="s">
        <v>458</v>
      </c>
      <c r="K136" s="209" t="s">
        <v>459</v>
      </c>
      <c r="L136" s="209" t="s">
        <v>460</v>
      </c>
      <c r="M136" s="209" t="s">
        <v>461</v>
      </c>
      <c r="N136" s="209" t="s">
        <v>462</v>
      </c>
      <c r="O136" s="209" t="s">
        <v>463</v>
      </c>
    </row>
    <row r="137" spans="2:15" ht="124.5" x14ac:dyDescent="0.25">
      <c r="B137" s="912" t="s">
        <v>791</v>
      </c>
      <c r="C137" s="915" t="s">
        <v>685</v>
      </c>
      <c r="D137" s="1063" t="s">
        <v>751</v>
      </c>
      <c r="E137" s="210" t="s">
        <v>541</v>
      </c>
      <c r="F137" s="211">
        <v>2</v>
      </c>
      <c r="G137" s="211" t="s">
        <v>464</v>
      </c>
      <c r="H137" s="212">
        <v>4200000</v>
      </c>
      <c r="I137" s="211">
        <v>1</v>
      </c>
      <c r="J137" s="211" t="s">
        <v>315</v>
      </c>
      <c r="K137" s="212">
        <f>+H137*19%</f>
        <v>798000</v>
      </c>
      <c r="L137" s="213">
        <v>0.19</v>
      </c>
      <c r="M137" s="212">
        <f t="shared" ref="M137:M147" si="51">+K137+H137</f>
        <v>4998000</v>
      </c>
      <c r="N137" s="212">
        <f t="shared" ref="N137:N147" si="52">+H137*I137*F137</f>
        <v>8400000</v>
      </c>
      <c r="O137" s="214">
        <f t="shared" ref="O137:O147" si="53">+M137*I137*F137</f>
        <v>9996000</v>
      </c>
    </row>
    <row r="138" spans="2:15" ht="22.5" x14ac:dyDescent="0.25">
      <c r="B138" s="913"/>
      <c r="C138" s="913"/>
      <c r="D138" s="913"/>
      <c r="E138" s="215" t="s">
        <v>542</v>
      </c>
      <c r="F138" s="211">
        <v>2</v>
      </c>
      <c r="G138" s="211" t="s">
        <v>464</v>
      </c>
      <c r="H138" s="212">
        <v>2000000</v>
      </c>
      <c r="I138" s="211">
        <v>1</v>
      </c>
      <c r="J138" s="211" t="s">
        <v>315</v>
      </c>
      <c r="K138" s="212">
        <f>+H138*8%</f>
        <v>160000</v>
      </c>
      <c r="L138" s="213">
        <v>0.08</v>
      </c>
      <c r="M138" s="212">
        <f t="shared" si="51"/>
        <v>2160000</v>
      </c>
      <c r="N138" s="212">
        <f t="shared" si="52"/>
        <v>4000000</v>
      </c>
      <c r="O138" s="214">
        <f t="shared" si="53"/>
        <v>4320000</v>
      </c>
    </row>
    <row r="139" spans="2:15" x14ac:dyDescent="0.25">
      <c r="B139" s="913"/>
      <c r="C139" s="913"/>
      <c r="D139" s="913"/>
      <c r="E139" s="210" t="s">
        <v>543</v>
      </c>
      <c r="F139" s="211">
        <v>2</v>
      </c>
      <c r="G139" s="211" t="s">
        <v>464</v>
      </c>
      <c r="H139" s="212">
        <v>200000</v>
      </c>
      <c r="I139" s="211">
        <v>3</v>
      </c>
      <c r="J139" s="211" t="s">
        <v>287</v>
      </c>
      <c r="K139" s="212">
        <f t="shared" ref="K139:K140" si="54">+H139*19%</f>
        <v>38000</v>
      </c>
      <c r="L139" s="213">
        <v>0.19</v>
      </c>
      <c r="M139" s="212">
        <f t="shared" si="51"/>
        <v>238000</v>
      </c>
      <c r="N139" s="212">
        <f t="shared" si="52"/>
        <v>1200000</v>
      </c>
      <c r="O139" s="214">
        <f t="shared" si="53"/>
        <v>1428000</v>
      </c>
    </row>
    <row r="140" spans="2:15" ht="34.5" x14ac:dyDescent="0.25">
      <c r="B140" s="913"/>
      <c r="C140" s="913"/>
      <c r="D140" s="913"/>
      <c r="E140" s="210" t="s">
        <v>544</v>
      </c>
      <c r="F140" s="211">
        <v>2</v>
      </c>
      <c r="G140" s="211" t="s">
        <v>464</v>
      </c>
      <c r="H140" s="212">
        <v>2500000</v>
      </c>
      <c r="I140" s="211">
        <v>1</v>
      </c>
      <c r="J140" s="211" t="s">
        <v>545</v>
      </c>
      <c r="K140" s="212">
        <f t="shared" si="54"/>
        <v>475000</v>
      </c>
      <c r="L140" s="213">
        <v>0.19</v>
      </c>
      <c r="M140" s="212">
        <f t="shared" si="51"/>
        <v>2975000</v>
      </c>
      <c r="N140" s="212">
        <f t="shared" si="52"/>
        <v>5000000</v>
      </c>
      <c r="O140" s="214">
        <f t="shared" si="53"/>
        <v>5950000</v>
      </c>
    </row>
    <row r="141" spans="2:15" ht="45.75" x14ac:dyDescent="0.25">
      <c r="B141" s="913"/>
      <c r="C141" s="913"/>
      <c r="D141" s="913"/>
      <c r="E141" s="210" t="s">
        <v>465</v>
      </c>
      <c r="F141" s="211">
        <v>2</v>
      </c>
      <c r="G141" s="211" t="s">
        <v>464</v>
      </c>
      <c r="H141" s="212">
        <v>30000</v>
      </c>
      <c r="I141" s="211">
        <v>70</v>
      </c>
      <c r="J141" s="211" t="s">
        <v>466</v>
      </c>
      <c r="K141" s="212">
        <f t="shared" ref="K141:K143" si="55">+H141*8%</f>
        <v>2400</v>
      </c>
      <c r="L141" s="213">
        <v>0.08</v>
      </c>
      <c r="M141" s="212">
        <f t="shared" si="51"/>
        <v>32400</v>
      </c>
      <c r="N141" s="212">
        <f t="shared" si="52"/>
        <v>4200000</v>
      </c>
      <c r="O141" s="214">
        <f t="shared" si="53"/>
        <v>4536000</v>
      </c>
    </row>
    <row r="142" spans="2:15" ht="45.75" x14ac:dyDescent="0.25">
      <c r="B142" s="913"/>
      <c r="C142" s="913"/>
      <c r="D142" s="913"/>
      <c r="E142" s="210" t="s">
        <v>467</v>
      </c>
      <c r="F142" s="211">
        <v>2</v>
      </c>
      <c r="G142" s="211" t="s">
        <v>464</v>
      </c>
      <c r="H142" s="212">
        <v>30000</v>
      </c>
      <c r="I142" s="211">
        <v>70</v>
      </c>
      <c r="J142" s="211" t="s">
        <v>466</v>
      </c>
      <c r="K142" s="212">
        <f t="shared" si="55"/>
        <v>2400</v>
      </c>
      <c r="L142" s="213">
        <v>0.08</v>
      </c>
      <c r="M142" s="212">
        <f t="shared" si="51"/>
        <v>32400</v>
      </c>
      <c r="N142" s="212">
        <f t="shared" si="52"/>
        <v>4200000</v>
      </c>
      <c r="O142" s="214">
        <f t="shared" si="53"/>
        <v>4536000</v>
      </c>
    </row>
    <row r="143" spans="2:15" ht="45.75" x14ac:dyDescent="0.25">
      <c r="B143" s="913"/>
      <c r="C143" s="913"/>
      <c r="D143" s="913"/>
      <c r="E143" s="210" t="s">
        <v>468</v>
      </c>
      <c r="F143" s="211">
        <v>2</v>
      </c>
      <c r="G143" s="211" t="s">
        <v>464</v>
      </c>
      <c r="H143" s="212">
        <v>60000</v>
      </c>
      <c r="I143" s="211">
        <v>70</v>
      </c>
      <c r="J143" s="211" t="s">
        <v>315</v>
      </c>
      <c r="K143" s="212">
        <f t="shared" si="55"/>
        <v>4800</v>
      </c>
      <c r="L143" s="213">
        <v>0.08</v>
      </c>
      <c r="M143" s="212">
        <f t="shared" si="51"/>
        <v>64800</v>
      </c>
      <c r="N143" s="212">
        <f t="shared" si="52"/>
        <v>8400000</v>
      </c>
      <c r="O143" s="214">
        <f t="shared" si="53"/>
        <v>9072000</v>
      </c>
    </row>
    <row r="144" spans="2:15" ht="57" x14ac:dyDescent="0.25">
      <c r="B144" s="913"/>
      <c r="C144" s="913"/>
      <c r="D144" s="913"/>
      <c r="E144" s="210" t="s">
        <v>686</v>
      </c>
      <c r="F144" s="211">
        <v>4</v>
      </c>
      <c r="G144" s="211" t="s">
        <v>464</v>
      </c>
      <c r="H144" s="212">
        <v>500000</v>
      </c>
      <c r="I144" s="211">
        <v>50</v>
      </c>
      <c r="J144" s="211" t="s">
        <v>287</v>
      </c>
      <c r="K144" s="212">
        <v>0</v>
      </c>
      <c r="L144" s="213">
        <v>0</v>
      </c>
      <c r="M144" s="212">
        <f t="shared" si="51"/>
        <v>500000</v>
      </c>
      <c r="N144" s="212">
        <f t="shared" si="52"/>
        <v>100000000</v>
      </c>
      <c r="O144" s="214">
        <f t="shared" si="53"/>
        <v>100000000</v>
      </c>
    </row>
    <row r="145" spans="2:16" ht="34.5" x14ac:dyDescent="0.25">
      <c r="B145" s="913"/>
      <c r="C145" s="913"/>
      <c r="D145" s="913"/>
      <c r="E145" s="210" t="s">
        <v>687</v>
      </c>
      <c r="F145" s="211">
        <v>1</v>
      </c>
      <c r="G145" s="211" t="s">
        <v>688</v>
      </c>
      <c r="H145" s="212">
        <v>70050000</v>
      </c>
      <c r="I145" s="211">
        <v>1</v>
      </c>
      <c r="J145" s="211" t="s">
        <v>689</v>
      </c>
      <c r="K145" s="212">
        <v>0</v>
      </c>
      <c r="L145" s="213">
        <v>0</v>
      </c>
      <c r="M145" s="212">
        <f t="shared" si="51"/>
        <v>70050000</v>
      </c>
      <c r="N145" s="212">
        <f t="shared" si="52"/>
        <v>70050000</v>
      </c>
      <c r="O145" s="214">
        <f t="shared" si="53"/>
        <v>70050000</v>
      </c>
      <c r="P145" s="320"/>
    </row>
    <row r="146" spans="2:16" ht="34.5" x14ac:dyDescent="0.25">
      <c r="B146" s="913"/>
      <c r="C146" s="913"/>
      <c r="D146" s="913"/>
      <c r="E146" s="210" t="s">
        <v>690</v>
      </c>
      <c r="F146" s="211">
        <v>1</v>
      </c>
      <c r="G146" s="211" t="s">
        <v>688</v>
      </c>
      <c r="H146" s="212">
        <v>120000000</v>
      </c>
      <c r="I146" s="211">
        <v>1</v>
      </c>
      <c r="J146" s="211" t="s">
        <v>287</v>
      </c>
      <c r="K146" s="212">
        <f t="shared" ref="K146:K147" si="56">+H146*19%</f>
        <v>22800000</v>
      </c>
      <c r="L146" s="213">
        <v>0.19</v>
      </c>
      <c r="M146" s="212">
        <f t="shared" si="51"/>
        <v>142800000</v>
      </c>
      <c r="N146" s="212">
        <f t="shared" si="52"/>
        <v>120000000</v>
      </c>
      <c r="O146" s="214">
        <f t="shared" si="53"/>
        <v>142800000</v>
      </c>
    </row>
    <row r="147" spans="2:16" ht="79.5" x14ac:dyDescent="0.25">
      <c r="B147" s="913"/>
      <c r="C147" s="913"/>
      <c r="D147" s="913"/>
      <c r="E147" s="210" t="s">
        <v>752</v>
      </c>
      <c r="F147" s="211">
        <v>1</v>
      </c>
      <c r="G147" s="211" t="s">
        <v>464</v>
      </c>
      <c r="H147" s="212">
        <v>50000</v>
      </c>
      <c r="I147" s="211">
        <v>60</v>
      </c>
      <c r="J147" s="211" t="s">
        <v>753</v>
      </c>
      <c r="K147" s="212">
        <f t="shared" si="56"/>
        <v>9500</v>
      </c>
      <c r="L147" s="213">
        <v>0.19</v>
      </c>
      <c r="M147" s="212">
        <f t="shared" si="51"/>
        <v>59500</v>
      </c>
      <c r="N147" s="212">
        <f t="shared" si="52"/>
        <v>3000000</v>
      </c>
      <c r="O147" s="214">
        <f t="shared" si="53"/>
        <v>3570000</v>
      </c>
    </row>
    <row r="148" spans="2:16" x14ac:dyDescent="0.25">
      <c r="B148" s="914"/>
      <c r="C148" s="914"/>
      <c r="D148" s="914"/>
      <c r="E148" s="1068" t="s">
        <v>792</v>
      </c>
      <c r="F148" s="872"/>
      <c r="G148" s="872"/>
      <c r="H148" s="872"/>
      <c r="I148" s="872"/>
      <c r="J148" s="872"/>
      <c r="K148" s="872"/>
      <c r="L148" s="872"/>
      <c r="M148" s="872"/>
      <c r="N148" s="873"/>
      <c r="O148" s="334">
        <f>O147+O146+O145+O144+O143+O142+O141+O140+O139+O138+O137</f>
        <v>356258000</v>
      </c>
    </row>
    <row r="149" spans="2:16" ht="23.25" x14ac:dyDescent="0.25">
      <c r="B149" s="324" t="s">
        <v>793</v>
      </c>
      <c r="C149" s="335" t="s">
        <v>794</v>
      </c>
      <c r="D149" s="335" t="s">
        <v>795</v>
      </c>
      <c r="E149" s="324" t="s">
        <v>453</v>
      </c>
      <c r="F149" s="335" t="s">
        <v>454</v>
      </c>
      <c r="G149" s="335" t="s">
        <v>455</v>
      </c>
      <c r="H149" s="335" t="s">
        <v>456</v>
      </c>
      <c r="I149" s="335" t="s">
        <v>457</v>
      </c>
      <c r="J149" s="335" t="s">
        <v>458</v>
      </c>
      <c r="K149" s="335" t="s">
        <v>459</v>
      </c>
      <c r="L149" s="335" t="s">
        <v>460</v>
      </c>
      <c r="M149" s="335" t="s">
        <v>461</v>
      </c>
      <c r="N149" s="335" t="s">
        <v>462</v>
      </c>
      <c r="O149" s="335" t="s">
        <v>463</v>
      </c>
    </row>
    <row r="150" spans="2:16" ht="23.25" x14ac:dyDescent="0.25">
      <c r="B150" s="912" t="s">
        <v>796</v>
      </c>
      <c r="C150" s="1069" t="s">
        <v>797</v>
      </c>
      <c r="D150" s="1069" t="s">
        <v>798</v>
      </c>
      <c r="E150" s="330" t="s">
        <v>799</v>
      </c>
      <c r="F150" s="336">
        <v>4</v>
      </c>
      <c r="G150" s="326" t="s">
        <v>251</v>
      </c>
      <c r="H150" s="327">
        <v>5500000</v>
      </c>
      <c r="I150" s="336">
        <v>2</v>
      </c>
      <c r="J150" s="326" t="s">
        <v>287</v>
      </c>
      <c r="K150" s="327">
        <v>0</v>
      </c>
      <c r="L150" s="329">
        <v>0</v>
      </c>
      <c r="M150" s="327">
        <f t="shared" ref="M150:M154" si="57">+K150+H150</f>
        <v>5500000</v>
      </c>
      <c r="N150" s="327">
        <f t="shared" ref="N150:N154" si="58">+H150*I150*F150</f>
        <v>44000000</v>
      </c>
      <c r="O150" s="331">
        <f t="shared" ref="O150:O154" si="59">I150*F150*M150</f>
        <v>44000000</v>
      </c>
    </row>
    <row r="151" spans="2:16" ht="23.25" x14ac:dyDescent="0.25">
      <c r="B151" s="913"/>
      <c r="C151" s="1070"/>
      <c r="D151" s="1070"/>
      <c r="E151" s="330" t="s">
        <v>800</v>
      </c>
      <c r="F151" s="336">
        <v>4</v>
      </c>
      <c r="G151" s="326" t="s">
        <v>251</v>
      </c>
      <c r="H151" s="327">
        <v>5500000</v>
      </c>
      <c r="I151" s="336">
        <v>1</v>
      </c>
      <c r="J151" s="326" t="s">
        <v>287</v>
      </c>
      <c r="K151" s="327">
        <v>0</v>
      </c>
      <c r="L151" s="329">
        <v>0</v>
      </c>
      <c r="M151" s="327">
        <f t="shared" si="57"/>
        <v>5500000</v>
      </c>
      <c r="N151" s="327">
        <f t="shared" si="58"/>
        <v>22000000</v>
      </c>
      <c r="O151" s="331">
        <f t="shared" si="59"/>
        <v>22000000</v>
      </c>
    </row>
    <row r="152" spans="2:16" x14ac:dyDescent="0.25">
      <c r="B152" s="913"/>
      <c r="C152" s="1070"/>
      <c r="D152" s="1070"/>
      <c r="E152" s="330" t="s">
        <v>801</v>
      </c>
      <c r="F152" s="336">
        <v>4</v>
      </c>
      <c r="G152" s="326" t="s">
        <v>251</v>
      </c>
      <c r="H152" s="327">
        <v>5500000</v>
      </c>
      <c r="I152" s="336">
        <v>1</v>
      </c>
      <c r="J152" s="326" t="s">
        <v>287</v>
      </c>
      <c r="K152" s="327">
        <v>0</v>
      </c>
      <c r="L152" s="329">
        <v>0</v>
      </c>
      <c r="M152" s="327">
        <f t="shared" si="57"/>
        <v>5500000</v>
      </c>
      <c r="N152" s="327">
        <f t="shared" si="58"/>
        <v>22000000</v>
      </c>
      <c r="O152" s="331">
        <f t="shared" si="59"/>
        <v>22000000</v>
      </c>
    </row>
    <row r="153" spans="2:16" ht="57" x14ac:dyDescent="0.25">
      <c r="B153" s="913"/>
      <c r="C153" s="1070"/>
      <c r="D153" s="1070"/>
      <c r="E153" s="325" t="s">
        <v>802</v>
      </c>
      <c r="F153" s="326">
        <v>1</v>
      </c>
      <c r="G153" s="326" t="s">
        <v>688</v>
      </c>
      <c r="H153" s="327">
        <v>18000000</v>
      </c>
      <c r="I153" s="326">
        <v>1</v>
      </c>
      <c r="J153" s="326" t="s">
        <v>287</v>
      </c>
      <c r="K153" s="327">
        <f>+H153*19%</f>
        <v>3420000</v>
      </c>
      <c r="L153" s="329">
        <v>0.19</v>
      </c>
      <c r="M153" s="327">
        <f t="shared" si="57"/>
        <v>21420000</v>
      </c>
      <c r="N153" s="327">
        <f t="shared" si="58"/>
        <v>18000000</v>
      </c>
      <c r="O153" s="331">
        <f t="shared" si="59"/>
        <v>21420000</v>
      </c>
    </row>
    <row r="154" spans="2:16" ht="68.25" x14ac:dyDescent="0.25">
      <c r="B154" s="913"/>
      <c r="C154" s="1070"/>
      <c r="D154" s="1070"/>
      <c r="E154" s="325" t="s">
        <v>803</v>
      </c>
      <c r="F154" s="326">
        <v>1</v>
      </c>
      <c r="G154" s="326" t="s">
        <v>688</v>
      </c>
      <c r="H154" s="327">
        <v>18000000</v>
      </c>
      <c r="I154" s="326">
        <v>1</v>
      </c>
      <c r="J154" s="326" t="s">
        <v>287</v>
      </c>
      <c r="K154" s="327">
        <v>0</v>
      </c>
      <c r="L154" s="329">
        <v>0</v>
      </c>
      <c r="M154" s="327">
        <f t="shared" si="57"/>
        <v>18000000</v>
      </c>
      <c r="N154" s="327">
        <f t="shared" si="58"/>
        <v>18000000</v>
      </c>
      <c r="O154" s="331">
        <f t="shared" si="59"/>
        <v>18000000</v>
      </c>
    </row>
    <row r="155" spans="2:16" x14ac:dyDescent="0.25">
      <c r="B155" s="914"/>
      <c r="C155" s="1071"/>
      <c r="D155" s="1071"/>
      <c r="E155" s="871" t="s">
        <v>804</v>
      </c>
      <c r="F155" s="872"/>
      <c r="G155" s="872"/>
      <c r="H155" s="872"/>
      <c r="I155" s="872"/>
      <c r="J155" s="872"/>
      <c r="K155" s="872"/>
      <c r="L155" s="872"/>
      <c r="M155" s="872"/>
      <c r="N155" s="873"/>
      <c r="O155" s="337">
        <f>O150+O151+O152+O153+O154</f>
        <v>127420000</v>
      </c>
    </row>
    <row r="156" spans="2:16" ht="23.25" x14ac:dyDescent="0.25">
      <c r="B156" s="324" t="s">
        <v>793</v>
      </c>
      <c r="C156" s="335" t="s">
        <v>794</v>
      </c>
      <c r="D156" s="335" t="s">
        <v>795</v>
      </c>
      <c r="E156" s="324" t="s">
        <v>453</v>
      </c>
      <c r="F156" s="335" t="s">
        <v>454</v>
      </c>
      <c r="G156" s="335" t="s">
        <v>455</v>
      </c>
      <c r="H156" s="335" t="s">
        <v>456</v>
      </c>
      <c r="I156" s="335" t="s">
        <v>457</v>
      </c>
      <c r="J156" s="335" t="s">
        <v>458</v>
      </c>
      <c r="K156" s="335" t="s">
        <v>459</v>
      </c>
      <c r="L156" s="335" t="s">
        <v>460</v>
      </c>
      <c r="M156" s="335" t="s">
        <v>461</v>
      </c>
      <c r="N156" s="335" t="s">
        <v>462</v>
      </c>
      <c r="O156" s="335" t="s">
        <v>463</v>
      </c>
    </row>
    <row r="157" spans="2:16" ht="57" x14ac:dyDescent="0.25">
      <c r="B157" s="1024" t="s">
        <v>805</v>
      </c>
      <c r="C157" s="915" t="s">
        <v>806</v>
      </c>
      <c r="D157" s="915" t="s">
        <v>807</v>
      </c>
      <c r="E157" s="325" t="s">
        <v>808</v>
      </c>
      <c r="F157" s="326">
        <v>1</v>
      </c>
      <c r="G157" s="326" t="s">
        <v>688</v>
      </c>
      <c r="H157" s="327">
        <v>28000000</v>
      </c>
      <c r="I157" s="326">
        <v>1</v>
      </c>
      <c r="J157" s="326" t="s">
        <v>287</v>
      </c>
      <c r="K157" s="327">
        <f>+H157*19%</f>
        <v>5320000</v>
      </c>
      <c r="L157" s="329">
        <v>0.19</v>
      </c>
      <c r="M157" s="327">
        <f t="shared" ref="M157:M166" si="60">+K157+H157</f>
        <v>33320000</v>
      </c>
      <c r="N157" s="327">
        <f t="shared" ref="N157:N166" si="61">+H157*I157*F157</f>
        <v>28000000</v>
      </c>
      <c r="O157" s="331">
        <f t="shared" ref="O157:O166" si="62">I157*F157*M157</f>
        <v>33320000</v>
      </c>
    </row>
    <row r="158" spans="2:16" ht="68.25" x14ac:dyDescent="0.25">
      <c r="B158" s="913"/>
      <c r="C158" s="913"/>
      <c r="D158" s="913"/>
      <c r="E158" s="325" t="s">
        <v>809</v>
      </c>
      <c r="F158" s="326">
        <v>1</v>
      </c>
      <c r="G158" s="326" t="s">
        <v>688</v>
      </c>
      <c r="H158" s="327">
        <v>22000000</v>
      </c>
      <c r="I158" s="326">
        <v>1</v>
      </c>
      <c r="J158" s="326" t="s">
        <v>287</v>
      </c>
      <c r="K158" s="327">
        <v>0</v>
      </c>
      <c r="L158" s="329">
        <v>0</v>
      </c>
      <c r="M158" s="327">
        <f t="shared" si="60"/>
        <v>22000000</v>
      </c>
      <c r="N158" s="327">
        <f t="shared" si="61"/>
        <v>22000000</v>
      </c>
      <c r="O158" s="331">
        <f t="shared" si="62"/>
        <v>22000000</v>
      </c>
    </row>
    <row r="159" spans="2:16" ht="23.25" x14ac:dyDescent="0.25">
      <c r="B159" s="913"/>
      <c r="C159" s="913"/>
      <c r="D159" s="913"/>
      <c r="E159" s="325" t="s">
        <v>810</v>
      </c>
      <c r="F159" s="336">
        <v>4</v>
      </c>
      <c r="G159" s="326" t="s">
        <v>251</v>
      </c>
      <c r="H159" s="327">
        <v>6900000</v>
      </c>
      <c r="I159" s="326">
        <v>1</v>
      </c>
      <c r="J159" s="326" t="s">
        <v>287</v>
      </c>
      <c r="K159" s="327">
        <v>0</v>
      </c>
      <c r="L159" s="329">
        <v>0</v>
      </c>
      <c r="M159" s="327">
        <f t="shared" si="60"/>
        <v>6900000</v>
      </c>
      <c r="N159" s="327">
        <f t="shared" si="61"/>
        <v>27600000</v>
      </c>
      <c r="O159" s="331">
        <f t="shared" si="62"/>
        <v>27600000</v>
      </c>
    </row>
    <row r="160" spans="2:16" x14ac:dyDescent="0.25">
      <c r="B160" s="913"/>
      <c r="C160" s="913"/>
      <c r="D160" s="913"/>
      <c r="E160" s="325" t="s">
        <v>811</v>
      </c>
      <c r="F160" s="336">
        <v>4</v>
      </c>
      <c r="G160" s="326" t="s">
        <v>251</v>
      </c>
      <c r="H160" s="327">
        <v>4800000</v>
      </c>
      <c r="I160" s="326">
        <v>1</v>
      </c>
      <c r="J160" s="326" t="s">
        <v>287</v>
      </c>
      <c r="K160" s="327">
        <v>0</v>
      </c>
      <c r="L160" s="329">
        <v>0</v>
      </c>
      <c r="M160" s="327">
        <f t="shared" si="60"/>
        <v>4800000</v>
      </c>
      <c r="N160" s="327">
        <f t="shared" si="61"/>
        <v>19200000</v>
      </c>
      <c r="O160" s="331">
        <f t="shared" si="62"/>
        <v>19200000</v>
      </c>
    </row>
    <row r="161" spans="2:17" x14ac:dyDescent="0.25">
      <c r="B161" s="913"/>
      <c r="C161" s="913"/>
      <c r="D161" s="913"/>
      <c r="E161" s="325" t="s">
        <v>371</v>
      </c>
      <c r="F161" s="336">
        <v>4</v>
      </c>
      <c r="G161" s="326" t="s">
        <v>251</v>
      </c>
      <c r="H161" s="327">
        <v>2500000</v>
      </c>
      <c r="I161" s="326">
        <v>1</v>
      </c>
      <c r="J161" s="326" t="s">
        <v>287</v>
      </c>
      <c r="K161" s="327">
        <v>0</v>
      </c>
      <c r="L161" s="329">
        <v>0</v>
      </c>
      <c r="M161" s="327">
        <f t="shared" si="60"/>
        <v>2500000</v>
      </c>
      <c r="N161" s="327">
        <f t="shared" si="61"/>
        <v>10000000</v>
      </c>
      <c r="O161" s="331">
        <f t="shared" si="62"/>
        <v>10000000</v>
      </c>
    </row>
    <row r="162" spans="2:17" ht="23.25" x14ac:dyDescent="0.25">
      <c r="B162" s="913"/>
      <c r="C162" s="913"/>
      <c r="D162" s="913"/>
      <c r="E162" s="325" t="s">
        <v>812</v>
      </c>
      <c r="F162" s="336">
        <v>4</v>
      </c>
      <c r="G162" s="326" t="s">
        <v>251</v>
      </c>
      <c r="H162" s="327">
        <v>2500000</v>
      </c>
      <c r="I162" s="326">
        <v>5</v>
      </c>
      <c r="J162" s="326" t="s">
        <v>287</v>
      </c>
      <c r="K162" s="327">
        <v>0</v>
      </c>
      <c r="L162" s="329">
        <v>0</v>
      </c>
      <c r="M162" s="327">
        <f t="shared" si="60"/>
        <v>2500000</v>
      </c>
      <c r="N162" s="327">
        <f t="shared" si="61"/>
        <v>50000000</v>
      </c>
      <c r="O162" s="331">
        <f t="shared" si="62"/>
        <v>50000000</v>
      </c>
    </row>
    <row r="163" spans="2:17" ht="23.25" x14ac:dyDescent="0.25">
      <c r="B163" s="913"/>
      <c r="C163" s="913"/>
      <c r="D163" s="913"/>
      <c r="E163" s="325" t="s">
        <v>813</v>
      </c>
      <c r="F163" s="336">
        <v>4</v>
      </c>
      <c r="G163" s="326" t="s">
        <v>251</v>
      </c>
      <c r="H163" s="327">
        <v>2500000</v>
      </c>
      <c r="I163" s="326">
        <v>1</v>
      </c>
      <c r="J163" s="326" t="s">
        <v>814</v>
      </c>
      <c r="K163" s="327">
        <f>+H163*19%</f>
        <v>475000</v>
      </c>
      <c r="L163" s="329">
        <v>0.19</v>
      </c>
      <c r="M163" s="327">
        <f t="shared" si="60"/>
        <v>2975000</v>
      </c>
      <c r="N163" s="327">
        <f t="shared" si="61"/>
        <v>10000000</v>
      </c>
      <c r="O163" s="331">
        <f t="shared" si="62"/>
        <v>11900000</v>
      </c>
    </row>
    <row r="164" spans="2:17" ht="23.25" x14ac:dyDescent="0.25">
      <c r="B164" s="913"/>
      <c r="C164" s="913"/>
      <c r="D164" s="913"/>
      <c r="E164" s="325" t="s">
        <v>815</v>
      </c>
      <c r="F164" s="336">
        <v>4</v>
      </c>
      <c r="G164" s="326" t="s">
        <v>251</v>
      </c>
      <c r="H164" s="327">
        <v>1300000</v>
      </c>
      <c r="I164" s="326">
        <v>1</v>
      </c>
      <c r="J164" s="326" t="s">
        <v>287</v>
      </c>
      <c r="K164" s="327">
        <v>0</v>
      </c>
      <c r="L164" s="329">
        <v>0</v>
      </c>
      <c r="M164" s="327">
        <f t="shared" si="60"/>
        <v>1300000</v>
      </c>
      <c r="N164" s="327">
        <f t="shared" si="61"/>
        <v>5200000</v>
      </c>
      <c r="O164" s="331">
        <f t="shared" si="62"/>
        <v>5200000</v>
      </c>
    </row>
    <row r="165" spans="2:17" ht="45.75" x14ac:dyDescent="0.25">
      <c r="B165" s="913"/>
      <c r="C165" s="913"/>
      <c r="D165" s="913"/>
      <c r="E165" s="325" t="s">
        <v>816</v>
      </c>
      <c r="F165" s="336">
        <v>4</v>
      </c>
      <c r="G165" s="326" t="s">
        <v>251</v>
      </c>
      <c r="H165" s="327">
        <v>400000</v>
      </c>
      <c r="I165" s="326">
        <v>1</v>
      </c>
      <c r="J165" s="326" t="s">
        <v>315</v>
      </c>
      <c r="K165" s="327">
        <v>0</v>
      </c>
      <c r="L165" s="329">
        <v>0</v>
      </c>
      <c r="M165" s="327">
        <f t="shared" si="60"/>
        <v>400000</v>
      </c>
      <c r="N165" s="327">
        <f t="shared" si="61"/>
        <v>1600000</v>
      </c>
      <c r="O165" s="331">
        <f t="shared" si="62"/>
        <v>1600000</v>
      </c>
    </row>
    <row r="166" spans="2:17" x14ac:dyDescent="0.25">
      <c r="B166" s="913"/>
      <c r="C166" s="913"/>
      <c r="D166" s="913"/>
      <c r="E166" s="325" t="s">
        <v>339</v>
      </c>
      <c r="F166" s="338">
        <v>1</v>
      </c>
      <c r="G166" s="326" t="s">
        <v>688</v>
      </c>
      <c r="H166" s="327">
        <v>9397450</v>
      </c>
      <c r="I166" s="338">
        <v>1</v>
      </c>
      <c r="J166" s="326" t="s">
        <v>688</v>
      </c>
      <c r="K166" s="327">
        <v>0</v>
      </c>
      <c r="L166" s="329">
        <v>0</v>
      </c>
      <c r="M166" s="327">
        <f t="shared" si="60"/>
        <v>9397450</v>
      </c>
      <c r="N166" s="327">
        <f t="shared" si="61"/>
        <v>9397450</v>
      </c>
      <c r="O166" s="331">
        <f t="shared" si="62"/>
        <v>9397450</v>
      </c>
    </row>
    <row r="167" spans="2:17" x14ac:dyDescent="0.25">
      <c r="B167" s="914"/>
      <c r="C167" s="914"/>
      <c r="D167" s="914"/>
      <c r="E167" s="1025" t="s">
        <v>817</v>
      </c>
      <c r="F167" s="872"/>
      <c r="G167" s="872"/>
      <c r="H167" s="872"/>
      <c r="I167" s="872"/>
      <c r="J167" s="872"/>
      <c r="K167" s="872"/>
      <c r="L167" s="872"/>
      <c r="M167" s="872"/>
      <c r="N167" s="873"/>
      <c r="O167" s="339">
        <f>O165+O164+O163+O162+O161+O160+O159+O158+O157+O166</f>
        <v>190217450</v>
      </c>
      <c r="P167" s="320">
        <f>SUM(O159:O166)</f>
        <v>134897450</v>
      </c>
      <c r="Q167" s="320">
        <f>SUM(O163:O166)</f>
        <v>28097450</v>
      </c>
    </row>
    <row r="168" spans="2:17" x14ac:dyDescent="0.25">
      <c r="B168" s="319"/>
      <c r="C168" s="319"/>
      <c r="D168" s="319"/>
      <c r="E168" s="319"/>
      <c r="F168" s="319"/>
      <c r="G168" s="319"/>
      <c r="H168" s="319"/>
      <c r="I168" s="319"/>
      <c r="J168" s="340"/>
      <c r="K168" s="319"/>
      <c r="L168" s="319"/>
      <c r="M168" s="319"/>
      <c r="N168" s="319"/>
      <c r="O168" s="319"/>
    </row>
    <row r="169" spans="2:17" x14ac:dyDescent="0.25">
      <c r="B169" s="1017" t="s">
        <v>818</v>
      </c>
      <c r="C169" s="872"/>
      <c r="D169" s="872"/>
      <c r="E169" s="872"/>
      <c r="F169" s="872"/>
      <c r="G169" s="872"/>
      <c r="H169" s="872"/>
      <c r="I169" s="872"/>
      <c r="J169" s="872"/>
      <c r="K169" s="872"/>
      <c r="L169" s="872"/>
      <c r="M169" s="872"/>
      <c r="N169" s="873"/>
      <c r="O169" s="341">
        <f>O167+O148+O135+O26+O155</f>
        <v>2000000000</v>
      </c>
    </row>
    <row r="170" spans="2:17" x14ac:dyDescent="0.25">
      <c r="O170" s="425">
        <f>O167/O169</f>
        <v>9.5108725000000005E-2</v>
      </c>
      <c r="P170" s="425">
        <f>P167/$O$169</f>
        <v>6.7448725000000001E-2</v>
      </c>
      <c r="Q170" s="425">
        <f>Q167/$O$169</f>
        <v>1.4048725E-2</v>
      </c>
    </row>
  </sheetData>
  <mergeCells count="51">
    <mergeCell ref="B135:N135"/>
    <mergeCell ref="B137:B148"/>
    <mergeCell ref="C137:C148"/>
    <mergeCell ref="D137:D148"/>
    <mergeCell ref="B169:N169"/>
    <mergeCell ref="E148:N148"/>
    <mergeCell ref="B157:B167"/>
    <mergeCell ref="C157:C167"/>
    <mergeCell ref="D157:D167"/>
    <mergeCell ref="E167:N167"/>
    <mergeCell ref="B150:B155"/>
    <mergeCell ref="C150:C155"/>
    <mergeCell ref="D150:D155"/>
    <mergeCell ref="E155:N155"/>
    <mergeCell ref="B88:B110"/>
    <mergeCell ref="C88:C98"/>
    <mergeCell ref="D88:D110"/>
    <mergeCell ref="E98:N98"/>
    <mergeCell ref="C99:C110"/>
    <mergeCell ref="E110:N110"/>
    <mergeCell ref="B112:B122"/>
    <mergeCell ref="C112:C122"/>
    <mergeCell ref="D112:D122"/>
    <mergeCell ref="E122:N122"/>
    <mergeCell ref="B124:B134"/>
    <mergeCell ref="C124:C134"/>
    <mergeCell ref="D124:D134"/>
    <mergeCell ref="E134:N134"/>
    <mergeCell ref="B52:B86"/>
    <mergeCell ref="C52:C62"/>
    <mergeCell ref="D52:D86"/>
    <mergeCell ref="E62:N62"/>
    <mergeCell ref="C63:C74"/>
    <mergeCell ref="E74:N74"/>
    <mergeCell ref="C75:C86"/>
    <mergeCell ref="E86:N86"/>
    <mergeCell ref="B28:B50"/>
    <mergeCell ref="C28:C38"/>
    <mergeCell ref="D28:D50"/>
    <mergeCell ref="E38:N38"/>
    <mergeCell ref="C39:C50"/>
    <mergeCell ref="E50:N50"/>
    <mergeCell ref="B15:B26"/>
    <mergeCell ref="C15:C26"/>
    <mergeCell ref="D15:D26"/>
    <mergeCell ref="E26:N26"/>
    <mergeCell ref="B10:C10"/>
    <mergeCell ref="D10:O10"/>
    <mergeCell ref="B11:C11"/>
    <mergeCell ref="D11:O11"/>
    <mergeCell ref="B12:O12"/>
  </mergeCells>
  <hyperlinks>
    <hyperlink ref="C2" r:id="rId1" xr:uid="{793AE883-3BE7-499B-85F5-E221E4738F84}"/>
  </hyperlink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BB081-4E80-465C-A6CF-C981C167F156}">
  <dimension ref="C2:R189"/>
  <sheetViews>
    <sheetView topLeftCell="A180" workbookViewId="0">
      <selection activeCell="K184" sqref="K184"/>
    </sheetView>
  </sheetViews>
  <sheetFormatPr baseColWidth="10" defaultRowHeight="15" x14ac:dyDescent="0.25"/>
  <cols>
    <col min="8" max="8" width="8.7109375" customWidth="1"/>
    <col min="9" max="9" width="0" hidden="1" customWidth="1"/>
    <col min="10" max="10" width="18.7109375" customWidth="1"/>
    <col min="11" max="11" width="23.28515625" customWidth="1"/>
    <col min="12" max="12" width="14.7109375" customWidth="1"/>
    <col min="13" max="13" width="13.42578125" customWidth="1"/>
    <col min="14" max="14" width="11.7109375" customWidth="1"/>
    <col min="15" max="15" width="19.7109375" customWidth="1"/>
    <col min="16" max="16" width="17.85546875" customWidth="1"/>
    <col min="17" max="17" width="14.85546875" bestFit="1" customWidth="1"/>
    <col min="18" max="18" width="15.5703125" bestFit="1" customWidth="1"/>
  </cols>
  <sheetData>
    <row r="2" spans="3:13" x14ac:dyDescent="0.25">
      <c r="C2" t="s">
        <v>819</v>
      </c>
    </row>
    <row r="3" spans="3:13" x14ac:dyDescent="0.25">
      <c r="C3" t="s">
        <v>820</v>
      </c>
    </row>
    <row r="4" spans="3:13" x14ac:dyDescent="0.25">
      <c r="C4" t="s">
        <v>821</v>
      </c>
    </row>
    <row r="5" spans="3:13" x14ac:dyDescent="0.25">
      <c r="C5">
        <v>2023</v>
      </c>
    </row>
    <row r="8" spans="3:13" ht="15.75" thickBot="1" x14ac:dyDescent="0.3"/>
    <row r="9" spans="3:13" ht="39" thickBot="1" x14ac:dyDescent="0.3">
      <c r="J9" s="342" t="s">
        <v>822</v>
      </c>
      <c r="K9" s="343" t="s">
        <v>823</v>
      </c>
      <c r="L9" s="343" t="s">
        <v>824</v>
      </c>
      <c r="M9" s="344" t="s">
        <v>825</v>
      </c>
    </row>
    <row r="10" spans="3:13" ht="40.5" customHeight="1" x14ac:dyDescent="0.25">
      <c r="J10" s="345" t="s">
        <v>826</v>
      </c>
      <c r="K10" s="346" t="s">
        <v>827</v>
      </c>
      <c r="L10" s="347">
        <v>1800000</v>
      </c>
      <c r="M10" s="348">
        <v>300000</v>
      </c>
    </row>
    <row r="11" spans="3:13" ht="51" x14ac:dyDescent="0.25">
      <c r="J11" s="345" t="s">
        <v>828</v>
      </c>
      <c r="K11" s="346" t="s">
        <v>829</v>
      </c>
      <c r="L11" s="347">
        <v>1800000</v>
      </c>
      <c r="M11" s="348">
        <v>300000</v>
      </c>
    </row>
    <row r="12" spans="3:13" ht="38.25" x14ac:dyDescent="0.25">
      <c r="J12" s="345" t="s">
        <v>828</v>
      </c>
      <c r="K12" s="346" t="s">
        <v>830</v>
      </c>
      <c r="L12" s="347">
        <v>900000</v>
      </c>
      <c r="M12" s="348">
        <v>300000</v>
      </c>
    </row>
    <row r="13" spans="3:13" ht="25.5" x14ac:dyDescent="0.25">
      <c r="J13" s="345" t="s">
        <v>831</v>
      </c>
      <c r="K13" s="346" t="s">
        <v>832</v>
      </c>
      <c r="L13" s="347">
        <v>1950000</v>
      </c>
      <c r="M13" s="348">
        <v>300000</v>
      </c>
    </row>
    <row r="14" spans="3:13" ht="25.5" x14ac:dyDescent="0.25">
      <c r="J14" s="345" t="s">
        <v>833</v>
      </c>
      <c r="K14" s="346" t="s">
        <v>834</v>
      </c>
      <c r="L14" s="347">
        <v>500000</v>
      </c>
      <c r="M14" s="348">
        <v>300000</v>
      </c>
    </row>
    <row r="15" spans="3:13" ht="25.5" x14ac:dyDescent="0.25">
      <c r="J15" s="345" t="s">
        <v>835</v>
      </c>
      <c r="K15" s="346" t="s">
        <v>836</v>
      </c>
      <c r="L15" s="347">
        <v>500000</v>
      </c>
      <c r="M15" s="348">
        <v>300000</v>
      </c>
    </row>
    <row r="16" spans="3:13" ht="63.75" x14ac:dyDescent="0.25">
      <c r="J16" s="345" t="s">
        <v>837</v>
      </c>
      <c r="K16" s="346" t="s">
        <v>838</v>
      </c>
      <c r="L16" s="347">
        <v>1500000</v>
      </c>
      <c r="M16" s="348">
        <v>300000</v>
      </c>
    </row>
    <row r="17" spans="10:13" ht="38.25" x14ac:dyDescent="0.25">
      <c r="J17" s="345" t="s">
        <v>839</v>
      </c>
      <c r="K17" s="346" t="s">
        <v>840</v>
      </c>
      <c r="L17" s="347">
        <v>600000</v>
      </c>
      <c r="M17" s="348">
        <v>400000</v>
      </c>
    </row>
    <row r="18" spans="10:13" ht="38.25" x14ac:dyDescent="0.25">
      <c r="J18" s="345" t="s">
        <v>841</v>
      </c>
      <c r="K18" s="346" t="s">
        <v>842</v>
      </c>
      <c r="L18" s="347">
        <v>360000</v>
      </c>
      <c r="M18" s="348">
        <v>400000</v>
      </c>
    </row>
    <row r="19" spans="10:13" ht="64.5" thickBot="1" x14ac:dyDescent="0.3">
      <c r="J19" s="349" t="s">
        <v>837</v>
      </c>
      <c r="K19" s="350" t="s">
        <v>838</v>
      </c>
      <c r="L19" s="351">
        <v>1600000</v>
      </c>
      <c r="M19" s="352">
        <v>400000</v>
      </c>
    </row>
    <row r="21" spans="10:13" hidden="1" x14ac:dyDescent="0.25"/>
    <row r="22" spans="10:13" hidden="1" x14ac:dyDescent="0.25"/>
    <row r="23" spans="10:13" hidden="1" x14ac:dyDescent="0.25"/>
    <row r="24" spans="10:13" hidden="1" x14ac:dyDescent="0.25"/>
    <row r="25" spans="10:13" hidden="1" x14ac:dyDescent="0.25"/>
    <row r="26" spans="10:13" hidden="1" x14ac:dyDescent="0.25"/>
    <row r="27" spans="10:13" hidden="1" x14ac:dyDescent="0.25"/>
    <row r="28" spans="10:13" ht="15.75" thickBot="1" x14ac:dyDescent="0.3"/>
    <row r="29" spans="10:13" ht="39" thickBot="1" x14ac:dyDescent="0.3">
      <c r="J29" s="342" t="s">
        <v>822</v>
      </c>
      <c r="K29" s="343" t="s">
        <v>823</v>
      </c>
      <c r="L29" s="343" t="s">
        <v>824</v>
      </c>
      <c r="M29" s="344" t="s">
        <v>825</v>
      </c>
    </row>
    <row r="30" spans="10:13" ht="25.5" x14ac:dyDescent="0.25">
      <c r="J30" s="345" t="s">
        <v>843</v>
      </c>
      <c r="K30" s="346" t="s">
        <v>844</v>
      </c>
      <c r="L30" s="347">
        <v>1400000</v>
      </c>
      <c r="M30" s="348">
        <v>400000</v>
      </c>
    </row>
    <row r="31" spans="10:13" ht="25.5" x14ac:dyDescent="0.25">
      <c r="J31" s="345" t="s">
        <v>845</v>
      </c>
      <c r="K31" s="346" t="s">
        <v>846</v>
      </c>
      <c r="L31" s="347">
        <v>843000</v>
      </c>
      <c r="M31" s="348">
        <v>400000</v>
      </c>
    </row>
    <row r="44" spans="10:18" ht="15.75" thickBot="1" x14ac:dyDescent="0.3"/>
    <row r="45" spans="10:18" ht="26.25" thickBot="1" x14ac:dyDescent="0.3">
      <c r="J45" s="342" t="s">
        <v>847</v>
      </c>
      <c r="K45" s="343" t="s">
        <v>17</v>
      </c>
      <c r="L45" s="343" t="s">
        <v>848</v>
      </c>
      <c r="M45" s="344" t="s">
        <v>849</v>
      </c>
      <c r="N45" s="342" t="s">
        <v>850</v>
      </c>
      <c r="O45" s="353" t="s">
        <v>851</v>
      </c>
      <c r="P45" s="354" t="s">
        <v>299</v>
      </c>
    </row>
    <row r="46" spans="10:18" ht="25.5" x14ac:dyDescent="0.25">
      <c r="J46" s="345" t="s">
        <v>852</v>
      </c>
      <c r="K46" s="346" t="s">
        <v>853</v>
      </c>
      <c r="L46" s="355">
        <v>12</v>
      </c>
      <c r="M46" s="355">
        <v>2</v>
      </c>
      <c r="N46" s="346" t="s">
        <v>854</v>
      </c>
      <c r="O46" s="348">
        <v>6928500</v>
      </c>
      <c r="P46" s="348">
        <f>O46*M46</f>
        <v>13857000</v>
      </c>
      <c r="Q46" s="356">
        <f>O46/12</f>
        <v>577375</v>
      </c>
      <c r="R46" s="356">
        <f>Q46*L46*M46</f>
        <v>13857000</v>
      </c>
    </row>
    <row r="47" spans="10:18" ht="26.25" thickBot="1" x14ac:dyDescent="0.3">
      <c r="J47" s="349" t="s">
        <v>845</v>
      </c>
      <c r="K47" s="350" t="s">
        <v>846</v>
      </c>
      <c r="L47" s="357">
        <v>12</v>
      </c>
      <c r="M47" s="357">
        <v>2</v>
      </c>
      <c r="N47" s="350" t="s">
        <v>854</v>
      </c>
      <c r="O47" s="352">
        <v>7800000</v>
      </c>
      <c r="P47" s="352">
        <f>O47*M47</f>
        <v>15600000</v>
      </c>
      <c r="Q47" s="356">
        <f>O47/12</f>
        <v>650000</v>
      </c>
    </row>
    <row r="48" spans="10:18" ht="19.5" customHeight="1" thickBot="1" x14ac:dyDescent="0.3">
      <c r="M48" s="1074" t="s">
        <v>855</v>
      </c>
      <c r="N48" s="1075"/>
      <c r="O48" s="1076"/>
      <c r="P48" s="352">
        <f>P46+P47</f>
        <v>29457000</v>
      </c>
    </row>
    <row r="52" spans="10:15" ht="15.75" thickBot="1" x14ac:dyDescent="0.3"/>
    <row r="53" spans="10:15" ht="15.75" thickBot="1" x14ac:dyDescent="0.3">
      <c r="J53" s="342" t="s">
        <v>847</v>
      </c>
      <c r="K53" s="343" t="s">
        <v>17</v>
      </c>
      <c r="L53" s="343" t="s">
        <v>249</v>
      </c>
      <c r="M53" s="344" t="s">
        <v>464</v>
      </c>
      <c r="N53" s="342" t="s">
        <v>205</v>
      </c>
      <c r="O53" s="354" t="s">
        <v>856</v>
      </c>
    </row>
    <row r="54" spans="10:15" ht="51" x14ac:dyDescent="0.25">
      <c r="J54" s="345" t="s">
        <v>852</v>
      </c>
      <c r="K54" s="346" t="s">
        <v>857</v>
      </c>
      <c r="L54" s="355" t="s">
        <v>858</v>
      </c>
      <c r="M54" s="355">
        <v>8</v>
      </c>
      <c r="N54" s="359">
        <v>4100000</v>
      </c>
      <c r="O54" s="348">
        <f>N54*M54</f>
        <v>32800000</v>
      </c>
    </row>
    <row r="55" spans="10:15" ht="89.25" x14ac:dyDescent="0.25">
      <c r="J55" s="360" t="s">
        <v>852</v>
      </c>
      <c r="K55" s="531" t="s">
        <v>859</v>
      </c>
      <c r="L55" s="362">
        <v>1</v>
      </c>
      <c r="M55" s="362">
        <v>4</v>
      </c>
      <c r="N55" s="363">
        <v>1701000</v>
      </c>
      <c r="O55" s="364">
        <f>N55*M55</f>
        <v>6804000</v>
      </c>
    </row>
    <row r="56" spans="10:15" ht="63.75" x14ac:dyDescent="0.25">
      <c r="J56" s="360" t="s">
        <v>852</v>
      </c>
      <c r="K56" s="361" t="s">
        <v>860</v>
      </c>
      <c r="L56" s="362">
        <v>100</v>
      </c>
      <c r="M56" s="362">
        <v>6</v>
      </c>
      <c r="N56" s="363">
        <v>25000</v>
      </c>
      <c r="O56" s="365">
        <f>L56*N56*M56</f>
        <v>15000000</v>
      </c>
    </row>
    <row r="57" spans="10:15" ht="63.75" x14ac:dyDescent="0.25">
      <c r="J57" s="360" t="s">
        <v>852</v>
      </c>
      <c r="K57" s="361" t="s">
        <v>861</v>
      </c>
      <c r="L57" s="362">
        <v>100</v>
      </c>
      <c r="M57" s="362">
        <v>6</v>
      </c>
      <c r="N57" s="363">
        <v>30000</v>
      </c>
      <c r="O57" s="365">
        <f>L57*N57*M57</f>
        <v>18000000</v>
      </c>
    </row>
    <row r="58" spans="10:15" ht="63.75" x14ac:dyDescent="0.25">
      <c r="J58" s="360" t="s">
        <v>852</v>
      </c>
      <c r="K58" s="361" t="s">
        <v>862</v>
      </c>
      <c r="L58" s="362">
        <v>100</v>
      </c>
      <c r="M58" s="362">
        <v>6</v>
      </c>
      <c r="N58" s="363">
        <v>25000</v>
      </c>
      <c r="O58" s="365">
        <f>L58*N58*M58</f>
        <v>15000000</v>
      </c>
    </row>
    <row r="59" spans="10:15" ht="127.5" x14ac:dyDescent="0.25">
      <c r="J59" s="360" t="s">
        <v>852</v>
      </c>
      <c r="K59" s="361" t="s">
        <v>863</v>
      </c>
      <c r="L59" s="362">
        <v>230</v>
      </c>
      <c r="M59" s="362">
        <v>4</v>
      </c>
      <c r="N59" s="363">
        <v>20000</v>
      </c>
      <c r="O59" s="365">
        <f>L59*N59*M59</f>
        <v>18400000</v>
      </c>
    </row>
    <row r="60" spans="10:15" ht="114.75" x14ac:dyDescent="0.25">
      <c r="J60" s="360" t="s">
        <v>852</v>
      </c>
      <c r="K60" s="361" t="s">
        <v>864</v>
      </c>
      <c r="L60" s="362">
        <v>130</v>
      </c>
      <c r="M60" s="362">
        <v>1</v>
      </c>
      <c r="N60" s="363">
        <v>5000</v>
      </c>
      <c r="O60" s="365">
        <f>N60*L60</f>
        <v>650000</v>
      </c>
    </row>
    <row r="61" spans="10:15" ht="114.75" x14ac:dyDescent="0.25">
      <c r="J61" s="360" t="s">
        <v>852</v>
      </c>
      <c r="K61" s="361" t="s">
        <v>865</v>
      </c>
      <c r="L61" s="362">
        <v>130</v>
      </c>
      <c r="M61" s="362">
        <v>1</v>
      </c>
      <c r="N61" s="363">
        <v>2000</v>
      </c>
      <c r="O61" s="365">
        <f>N61*L61</f>
        <v>260000</v>
      </c>
    </row>
    <row r="62" spans="10:15" ht="25.5" x14ac:dyDescent="0.25">
      <c r="J62" s="360" t="s">
        <v>852</v>
      </c>
      <c r="K62" s="361" t="s">
        <v>866</v>
      </c>
      <c r="L62" s="362">
        <v>3</v>
      </c>
      <c r="M62" s="362">
        <v>1</v>
      </c>
      <c r="N62" s="363">
        <v>20000</v>
      </c>
      <c r="O62" s="365">
        <f>N62*L62</f>
        <v>60000</v>
      </c>
    </row>
    <row r="63" spans="10:15" ht="25.5" x14ac:dyDescent="0.25">
      <c r="J63" s="360" t="s">
        <v>852</v>
      </c>
      <c r="K63" s="361" t="s">
        <v>867</v>
      </c>
      <c r="L63" s="362">
        <v>100</v>
      </c>
      <c r="M63" s="362">
        <v>1</v>
      </c>
      <c r="N63" s="363">
        <v>2000</v>
      </c>
      <c r="O63" s="365">
        <f>N63*L63</f>
        <v>200000</v>
      </c>
    </row>
    <row r="64" spans="10:15" ht="25.5" x14ac:dyDescent="0.25">
      <c r="J64" s="360" t="s">
        <v>852</v>
      </c>
      <c r="K64" s="361" t="s">
        <v>868</v>
      </c>
      <c r="L64" s="362">
        <v>100</v>
      </c>
      <c r="M64" s="362">
        <v>4</v>
      </c>
      <c r="N64" s="363">
        <v>250</v>
      </c>
      <c r="O64" s="365">
        <f>N64*L64*M64</f>
        <v>100000</v>
      </c>
    </row>
    <row r="65" spans="10:15" ht="211.5" customHeight="1" x14ac:dyDescent="0.25">
      <c r="J65" s="360" t="s">
        <v>852</v>
      </c>
      <c r="K65" s="361" t="s">
        <v>869</v>
      </c>
      <c r="L65" s="362">
        <v>1</v>
      </c>
      <c r="M65" s="362">
        <v>2</v>
      </c>
      <c r="N65" s="363">
        <v>2000000</v>
      </c>
      <c r="O65" s="365">
        <f>N65*L65*M65</f>
        <v>4000000</v>
      </c>
    </row>
    <row r="66" spans="10:15" ht="25.5" x14ac:dyDescent="0.25">
      <c r="J66" s="360" t="s">
        <v>852</v>
      </c>
      <c r="K66" s="361" t="s">
        <v>870</v>
      </c>
      <c r="L66" s="362">
        <v>50</v>
      </c>
      <c r="M66" s="362">
        <v>5</v>
      </c>
      <c r="N66" s="363">
        <v>250000</v>
      </c>
      <c r="O66" s="365">
        <f>N66*L66*5</f>
        <v>62500000</v>
      </c>
    </row>
    <row r="67" spans="10:15" ht="38.25" x14ac:dyDescent="0.25">
      <c r="J67" s="360" t="s">
        <v>852</v>
      </c>
      <c r="K67" s="361" t="s">
        <v>871</v>
      </c>
      <c r="L67" s="362">
        <v>10</v>
      </c>
      <c r="M67" s="362">
        <v>1</v>
      </c>
      <c r="N67" s="363">
        <v>900000</v>
      </c>
      <c r="O67" s="365">
        <f t="shared" ref="O67:O106" si="0">N67*L67</f>
        <v>9000000</v>
      </c>
    </row>
    <row r="68" spans="10:15" ht="38.25" x14ac:dyDescent="0.25">
      <c r="J68" s="360" t="s">
        <v>852</v>
      </c>
      <c r="K68" s="361" t="s">
        <v>872</v>
      </c>
      <c r="L68" s="362">
        <v>10</v>
      </c>
      <c r="M68" s="362">
        <v>1</v>
      </c>
      <c r="N68" s="363">
        <v>900000</v>
      </c>
      <c r="O68" s="365">
        <f t="shared" si="0"/>
        <v>9000000</v>
      </c>
    </row>
    <row r="69" spans="10:15" ht="38.25" x14ac:dyDescent="0.25">
      <c r="J69" s="360" t="s">
        <v>852</v>
      </c>
      <c r="K69" s="361" t="s">
        <v>873</v>
      </c>
      <c r="L69" s="362">
        <v>5</v>
      </c>
      <c r="M69" s="362">
        <v>1</v>
      </c>
      <c r="N69" s="363">
        <v>500000</v>
      </c>
      <c r="O69" s="365">
        <f t="shared" si="0"/>
        <v>2500000</v>
      </c>
    </row>
    <row r="70" spans="10:15" ht="38.25" x14ac:dyDescent="0.25">
      <c r="J70" s="360" t="s">
        <v>852</v>
      </c>
      <c r="K70" s="361" t="s">
        <v>874</v>
      </c>
      <c r="L70" s="362">
        <v>5</v>
      </c>
      <c r="M70" s="362">
        <v>1</v>
      </c>
      <c r="N70" s="363">
        <v>500000</v>
      </c>
      <c r="O70" s="365">
        <f t="shared" si="0"/>
        <v>2500000</v>
      </c>
    </row>
    <row r="71" spans="10:15" ht="38.25" x14ac:dyDescent="0.25">
      <c r="J71" s="360" t="s">
        <v>852</v>
      </c>
      <c r="K71" s="361" t="s">
        <v>875</v>
      </c>
      <c r="L71" s="362">
        <v>3</v>
      </c>
      <c r="M71" s="362">
        <v>1</v>
      </c>
      <c r="N71" s="363">
        <v>400000</v>
      </c>
      <c r="O71" s="366">
        <f t="shared" si="0"/>
        <v>1200000</v>
      </c>
    </row>
    <row r="72" spans="10:15" ht="38.25" x14ac:dyDescent="0.25">
      <c r="J72" s="360" t="s">
        <v>852</v>
      </c>
      <c r="K72" s="361" t="s">
        <v>876</v>
      </c>
      <c r="L72" s="362">
        <v>8</v>
      </c>
      <c r="M72" s="362">
        <v>1</v>
      </c>
      <c r="N72" s="363">
        <v>300000</v>
      </c>
      <c r="O72" s="366">
        <f t="shared" si="0"/>
        <v>2400000</v>
      </c>
    </row>
    <row r="73" spans="10:15" ht="38.25" x14ac:dyDescent="0.25">
      <c r="J73" s="360" t="s">
        <v>852</v>
      </c>
      <c r="K73" s="361" t="s">
        <v>877</v>
      </c>
      <c r="L73" s="362">
        <v>4</v>
      </c>
      <c r="M73" s="362">
        <v>1</v>
      </c>
      <c r="N73" s="363">
        <v>300000</v>
      </c>
      <c r="O73" s="366">
        <f t="shared" si="0"/>
        <v>1200000</v>
      </c>
    </row>
    <row r="74" spans="10:15" ht="38.25" x14ac:dyDescent="0.25">
      <c r="J74" s="360" t="s">
        <v>852</v>
      </c>
      <c r="K74" s="361" t="s">
        <v>878</v>
      </c>
      <c r="L74" s="362">
        <v>3</v>
      </c>
      <c r="M74" s="362">
        <v>1</v>
      </c>
      <c r="N74" s="363">
        <v>300000</v>
      </c>
      <c r="O74" s="366">
        <f t="shared" si="0"/>
        <v>900000</v>
      </c>
    </row>
    <row r="75" spans="10:15" ht="38.25" x14ac:dyDescent="0.25">
      <c r="J75" s="360" t="s">
        <v>852</v>
      </c>
      <c r="K75" s="361" t="s">
        <v>879</v>
      </c>
      <c r="L75" s="362">
        <v>8</v>
      </c>
      <c r="M75" s="362">
        <v>1</v>
      </c>
      <c r="N75" s="363">
        <v>200000</v>
      </c>
      <c r="O75" s="366">
        <f t="shared" si="0"/>
        <v>1600000</v>
      </c>
    </row>
    <row r="76" spans="10:15" ht="38.25" x14ac:dyDescent="0.25">
      <c r="J76" s="360" t="s">
        <v>852</v>
      </c>
      <c r="K76" s="361" t="s">
        <v>880</v>
      </c>
      <c r="L76" s="362">
        <v>5</v>
      </c>
      <c r="M76" s="362">
        <v>1</v>
      </c>
      <c r="N76" s="363">
        <v>500000</v>
      </c>
      <c r="O76" s="366">
        <f t="shared" si="0"/>
        <v>2500000</v>
      </c>
    </row>
    <row r="77" spans="10:15" ht="25.5" x14ac:dyDescent="0.25">
      <c r="J77" s="360" t="s">
        <v>852</v>
      </c>
      <c r="K77" s="361" t="s">
        <v>881</v>
      </c>
      <c r="L77" s="362">
        <v>5</v>
      </c>
      <c r="M77" s="362">
        <v>1</v>
      </c>
      <c r="N77" s="363">
        <v>400000</v>
      </c>
      <c r="O77" s="366">
        <f t="shared" si="0"/>
        <v>2000000</v>
      </c>
    </row>
    <row r="78" spans="10:15" ht="38.25" x14ac:dyDescent="0.25">
      <c r="J78" s="360" t="s">
        <v>852</v>
      </c>
      <c r="K78" s="361" t="s">
        <v>882</v>
      </c>
      <c r="L78" s="362">
        <v>3</v>
      </c>
      <c r="M78" s="362">
        <v>1</v>
      </c>
      <c r="N78" s="363">
        <v>500000</v>
      </c>
      <c r="O78" s="366">
        <f t="shared" si="0"/>
        <v>1500000</v>
      </c>
    </row>
    <row r="79" spans="10:15" ht="38.25" x14ac:dyDescent="0.25">
      <c r="J79" s="360" t="s">
        <v>852</v>
      </c>
      <c r="K79" s="361" t="s">
        <v>883</v>
      </c>
      <c r="L79" s="362">
        <v>3</v>
      </c>
      <c r="M79" s="362">
        <v>1</v>
      </c>
      <c r="N79" s="363">
        <v>500000</v>
      </c>
      <c r="O79" s="366">
        <f t="shared" si="0"/>
        <v>1500000</v>
      </c>
    </row>
    <row r="80" spans="10:15" ht="38.25" x14ac:dyDescent="0.25">
      <c r="J80" s="360" t="s">
        <v>852</v>
      </c>
      <c r="K80" s="361" t="s">
        <v>884</v>
      </c>
      <c r="L80" s="362">
        <v>5</v>
      </c>
      <c r="M80" s="362">
        <v>1</v>
      </c>
      <c r="N80" s="363">
        <v>300000</v>
      </c>
      <c r="O80" s="366">
        <f t="shared" si="0"/>
        <v>1500000</v>
      </c>
    </row>
    <row r="81" spans="10:15" ht="38.25" x14ac:dyDescent="0.25">
      <c r="J81" s="360" t="s">
        <v>852</v>
      </c>
      <c r="K81" s="361" t="s">
        <v>885</v>
      </c>
      <c r="L81" s="362">
        <v>3</v>
      </c>
      <c r="M81" s="362">
        <v>1</v>
      </c>
      <c r="N81" s="363">
        <v>700000</v>
      </c>
      <c r="O81" s="366">
        <f t="shared" si="0"/>
        <v>2100000</v>
      </c>
    </row>
    <row r="82" spans="10:15" ht="38.25" x14ac:dyDescent="0.25">
      <c r="J82" s="360" t="s">
        <v>852</v>
      </c>
      <c r="K82" s="361" t="s">
        <v>886</v>
      </c>
      <c r="L82" s="362">
        <v>3</v>
      </c>
      <c r="M82" s="362">
        <v>1</v>
      </c>
      <c r="N82" s="367">
        <v>900000</v>
      </c>
      <c r="O82" s="368">
        <f t="shared" si="0"/>
        <v>2700000</v>
      </c>
    </row>
    <row r="83" spans="10:15" ht="38.25" x14ac:dyDescent="0.25">
      <c r="J83" s="360" t="s">
        <v>852</v>
      </c>
      <c r="K83" s="361" t="s">
        <v>887</v>
      </c>
      <c r="L83" s="362">
        <v>3</v>
      </c>
      <c r="M83" s="362">
        <v>1</v>
      </c>
      <c r="N83" s="367">
        <v>900000</v>
      </c>
      <c r="O83" s="368">
        <f t="shared" si="0"/>
        <v>2700000</v>
      </c>
    </row>
    <row r="84" spans="10:15" ht="38.25" x14ac:dyDescent="0.25">
      <c r="J84" s="360" t="s">
        <v>852</v>
      </c>
      <c r="K84" s="361" t="s">
        <v>888</v>
      </c>
      <c r="L84" s="369">
        <v>5</v>
      </c>
      <c r="M84" s="369">
        <v>1</v>
      </c>
      <c r="N84" s="367">
        <v>280000</v>
      </c>
      <c r="O84" s="368">
        <f t="shared" si="0"/>
        <v>1400000</v>
      </c>
    </row>
    <row r="85" spans="10:15" ht="38.25" x14ac:dyDescent="0.25">
      <c r="J85" s="360" t="s">
        <v>852</v>
      </c>
      <c r="K85" s="361" t="s">
        <v>889</v>
      </c>
      <c r="L85" s="369">
        <v>5</v>
      </c>
      <c r="M85" s="369">
        <v>1</v>
      </c>
      <c r="N85" s="367">
        <v>240000</v>
      </c>
      <c r="O85" s="368">
        <f t="shared" si="0"/>
        <v>1200000</v>
      </c>
    </row>
    <row r="86" spans="10:15" ht="25.5" x14ac:dyDescent="0.25">
      <c r="J86" s="360" t="s">
        <v>852</v>
      </c>
      <c r="K86" s="361" t="s">
        <v>890</v>
      </c>
      <c r="L86" s="369">
        <v>4</v>
      </c>
      <c r="M86" s="369">
        <v>1</v>
      </c>
      <c r="N86" s="367">
        <v>400000</v>
      </c>
      <c r="O86" s="368">
        <f t="shared" si="0"/>
        <v>1600000</v>
      </c>
    </row>
    <row r="87" spans="10:15" ht="25.5" x14ac:dyDescent="0.25">
      <c r="J87" s="360" t="s">
        <v>852</v>
      </c>
      <c r="K87" s="370" t="s">
        <v>891</v>
      </c>
      <c r="L87" s="369">
        <v>10</v>
      </c>
      <c r="M87" s="369">
        <v>1</v>
      </c>
      <c r="N87" s="367">
        <v>1300000</v>
      </c>
      <c r="O87" s="368">
        <f t="shared" si="0"/>
        <v>13000000</v>
      </c>
    </row>
    <row r="88" spans="10:15" ht="25.5" x14ac:dyDescent="0.25">
      <c r="J88" s="360" t="s">
        <v>852</v>
      </c>
      <c r="K88" s="370" t="s">
        <v>892</v>
      </c>
      <c r="L88" s="369">
        <v>10</v>
      </c>
      <c r="M88" s="369">
        <v>1</v>
      </c>
      <c r="N88" s="367">
        <v>1300000</v>
      </c>
      <c r="O88" s="368">
        <f t="shared" si="0"/>
        <v>13000000</v>
      </c>
    </row>
    <row r="89" spans="10:15" ht="25.5" x14ac:dyDescent="0.25">
      <c r="J89" s="360" t="s">
        <v>852</v>
      </c>
      <c r="K89" s="370" t="s">
        <v>893</v>
      </c>
      <c r="L89" s="369">
        <v>5</v>
      </c>
      <c r="M89" s="369">
        <v>1</v>
      </c>
      <c r="N89" s="367">
        <v>1300000</v>
      </c>
      <c r="O89" s="368">
        <f t="shared" si="0"/>
        <v>6500000</v>
      </c>
    </row>
    <row r="90" spans="10:15" ht="25.5" x14ac:dyDescent="0.25">
      <c r="J90" s="360" t="s">
        <v>852</v>
      </c>
      <c r="K90" s="370" t="s">
        <v>894</v>
      </c>
      <c r="L90" s="369">
        <v>5</v>
      </c>
      <c r="M90" s="369">
        <v>1</v>
      </c>
      <c r="N90" s="367">
        <v>1300000</v>
      </c>
      <c r="O90" s="368">
        <f t="shared" si="0"/>
        <v>6500000</v>
      </c>
    </row>
    <row r="91" spans="10:15" ht="25.5" x14ac:dyDescent="0.25">
      <c r="J91" s="360" t="s">
        <v>852</v>
      </c>
      <c r="K91" s="370" t="s">
        <v>895</v>
      </c>
      <c r="L91" s="369">
        <v>3</v>
      </c>
      <c r="M91" s="369">
        <v>1</v>
      </c>
      <c r="N91" s="367">
        <v>1300000</v>
      </c>
      <c r="O91" s="368">
        <f t="shared" si="0"/>
        <v>3900000</v>
      </c>
    </row>
    <row r="92" spans="10:15" ht="25.5" x14ac:dyDescent="0.25">
      <c r="J92" s="360" t="s">
        <v>852</v>
      </c>
      <c r="K92" s="370" t="s">
        <v>896</v>
      </c>
      <c r="L92" s="369">
        <v>8</v>
      </c>
      <c r="M92" s="369">
        <v>1</v>
      </c>
      <c r="N92" s="367">
        <v>1300000</v>
      </c>
      <c r="O92" s="368">
        <f t="shared" si="0"/>
        <v>10400000</v>
      </c>
    </row>
    <row r="93" spans="10:15" ht="25.5" x14ac:dyDescent="0.25">
      <c r="J93" s="360" t="s">
        <v>852</v>
      </c>
      <c r="K93" s="370" t="s">
        <v>897</v>
      </c>
      <c r="L93" s="369">
        <v>4</v>
      </c>
      <c r="M93" s="369">
        <v>1</v>
      </c>
      <c r="N93" s="367">
        <v>1300000</v>
      </c>
      <c r="O93" s="368">
        <f t="shared" si="0"/>
        <v>5200000</v>
      </c>
    </row>
    <row r="94" spans="10:15" ht="25.5" x14ac:dyDescent="0.25">
      <c r="J94" s="360" t="s">
        <v>852</v>
      </c>
      <c r="K94" s="370" t="s">
        <v>898</v>
      </c>
      <c r="L94" s="369">
        <v>3</v>
      </c>
      <c r="M94" s="369">
        <v>1</v>
      </c>
      <c r="N94" s="367">
        <v>1300000</v>
      </c>
      <c r="O94" s="368">
        <f t="shared" si="0"/>
        <v>3900000</v>
      </c>
    </row>
    <row r="95" spans="10:15" ht="25.5" x14ac:dyDescent="0.25">
      <c r="J95" s="360" t="s">
        <v>852</v>
      </c>
      <c r="K95" s="370" t="s">
        <v>899</v>
      </c>
      <c r="L95" s="369">
        <v>8</v>
      </c>
      <c r="M95" s="369">
        <v>1</v>
      </c>
      <c r="N95" s="367">
        <v>1300000</v>
      </c>
      <c r="O95" s="368">
        <f t="shared" si="0"/>
        <v>10400000</v>
      </c>
    </row>
    <row r="96" spans="10:15" ht="25.5" x14ac:dyDescent="0.25">
      <c r="J96" s="360" t="s">
        <v>852</v>
      </c>
      <c r="K96" s="370" t="s">
        <v>900</v>
      </c>
      <c r="L96" s="369">
        <v>5</v>
      </c>
      <c r="M96" s="369">
        <v>1</v>
      </c>
      <c r="N96" s="367">
        <v>1300000</v>
      </c>
      <c r="O96" s="368">
        <f t="shared" si="0"/>
        <v>6500000</v>
      </c>
    </row>
    <row r="97" spans="10:15" ht="25.5" x14ac:dyDescent="0.25">
      <c r="J97" s="360" t="s">
        <v>852</v>
      </c>
      <c r="K97" s="370" t="s">
        <v>901</v>
      </c>
      <c r="L97" s="369">
        <v>5</v>
      </c>
      <c r="M97" s="369">
        <v>1</v>
      </c>
      <c r="N97" s="367">
        <v>1300000</v>
      </c>
      <c r="O97" s="368">
        <f t="shared" si="0"/>
        <v>6500000</v>
      </c>
    </row>
    <row r="98" spans="10:15" ht="25.5" x14ac:dyDescent="0.25">
      <c r="J98" s="360" t="s">
        <v>852</v>
      </c>
      <c r="K98" s="370" t="s">
        <v>902</v>
      </c>
      <c r="L98" s="369">
        <v>3</v>
      </c>
      <c r="M98" s="369">
        <v>1</v>
      </c>
      <c r="N98" s="367">
        <v>1300000</v>
      </c>
      <c r="O98" s="368">
        <f t="shared" si="0"/>
        <v>3900000</v>
      </c>
    </row>
    <row r="99" spans="10:15" ht="25.5" x14ac:dyDescent="0.25">
      <c r="J99" s="360" t="s">
        <v>852</v>
      </c>
      <c r="K99" s="370" t="s">
        <v>903</v>
      </c>
      <c r="L99" s="369">
        <v>3</v>
      </c>
      <c r="M99" s="369">
        <v>1</v>
      </c>
      <c r="N99" s="367">
        <v>1300000</v>
      </c>
      <c r="O99" s="368">
        <f t="shared" si="0"/>
        <v>3900000</v>
      </c>
    </row>
    <row r="100" spans="10:15" ht="38.25" x14ac:dyDescent="0.25">
      <c r="J100" s="360" t="s">
        <v>852</v>
      </c>
      <c r="K100" s="370" t="s">
        <v>904</v>
      </c>
      <c r="L100" s="369">
        <v>5</v>
      </c>
      <c r="M100" s="369">
        <v>1</v>
      </c>
      <c r="N100" s="367">
        <v>1300000</v>
      </c>
      <c r="O100" s="368">
        <f t="shared" si="0"/>
        <v>6500000</v>
      </c>
    </row>
    <row r="101" spans="10:15" ht="25.5" x14ac:dyDescent="0.25">
      <c r="J101" s="360" t="s">
        <v>852</v>
      </c>
      <c r="K101" s="370" t="s">
        <v>905</v>
      </c>
      <c r="L101" s="369">
        <v>3</v>
      </c>
      <c r="M101" s="369">
        <v>1</v>
      </c>
      <c r="N101" s="367">
        <v>1300000</v>
      </c>
      <c r="O101" s="368">
        <f t="shared" si="0"/>
        <v>3900000</v>
      </c>
    </row>
    <row r="102" spans="10:15" ht="25.5" x14ac:dyDescent="0.25">
      <c r="J102" s="360" t="s">
        <v>852</v>
      </c>
      <c r="K102" s="370" t="s">
        <v>906</v>
      </c>
      <c r="L102" s="369">
        <v>3</v>
      </c>
      <c r="M102" s="369">
        <v>1</v>
      </c>
      <c r="N102" s="367">
        <v>1300000</v>
      </c>
      <c r="O102" s="368">
        <f t="shared" si="0"/>
        <v>3900000</v>
      </c>
    </row>
    <row r="103" spans="10:15" ht="25.5" x14ac:dyDescent="0.25">
      <c r="J103" s="360" t="s">
        <v>852</v>
      </c>
      <c r="K103" s="370" t="s">
        <v>907</v>
      </c>
      <c r="L103" s="369">
        <v>3</v>
      </c>
      <c r="M103" s="369">
        <v>1</v>
      </c>
      <c r="N103" s="367">
        <v>1300000</v>
      </c>
      <c r="O103" s="368">
        <f t="shared" si="0"/>
        <v>3900000</v>
      </c>
    </row>
    <row r="104" spans="10:15" ht="25.5" x14ac:dyDescent="0.25">
      <c r="J104" s="360" t="s">
        <v>852</v>
      </c>
      <c r="K104" s="370" t="s">
        <v>908</v>
      </c>
      <c r="L104" s="369">
        <v>5</v>
      </c>
      <c r="M104" s="369">
        <v>1</v>
      </c>
      <c r="N104" s="367">
        <v>1300000</v>
      </c>
      <c r="O104" s="368">
        <f t="shared" si="0"/>
        <v>6500000</v>
      </c>
    </row>
    <row r="105" spans="10:15" ht="25.5" x14ac:dyDescent="0.25">
      <c r="J105" s="360" t="s">
        <v>852</v>
      </c>
      <c r="K105" s="370" t="s">
        <v>909</v>
      </c>
      <c r="L105" s="369">
        <v>5</v>
      </c>
      <c r="M105" s="369">
        <v>1</v>
      </c>
      <c r="N105" s="367">
        <v>1300000</v>
      </c>
      <c r="O105" s="368">
        <f t="shared" si="0"/>
        <v>6500000</v>
      </c>
    </row>
    <row r="106" spans="10:15" ht="25.5" x14ac:dyDescent="0.25">
      <c r="J106" s="360" t="s">
        <v>852</v>
      </c>
      <c r="K106" s="370" t="s">
        <v>910</v>
      </c>
      <c r="L106" s="369">
        <v>4</v>
      </c>
      <c r="M106" s="369">
        <v>1</v>
      </c>
      <c r="N106" s="367">
        <v>1300000</v>
      </c>
      <c r="O106" s="368">
        <f t="shared" si="0"/>
        <v>5200000</v>
      </c>
    </row>
    <row r="107" spans="10:15" ht="242.25" customHeight="1" thickBot="1" x14ac:dyDescent="0.3">
      <c r="J107" s="371" t="s">
        <v>852</v>
      </c>
      <c r="K107" s="370" t="s">
        <v>911</v>
      </c>
      <c r="L107" s="369">
        <v>5</v>
      </c>
      <c r="M107" s="369">
        <v>4</v>
      </c>
      <c r="N107" s="367">
        <v>150000</v>
      </c>
      <c r="O107" s="368">
        <f>N107*L107*M107</f>
        <v>3000000</v>
      </c>
    </row>
    <row r="108" spans="10:15" x14ac:dyDescent="0.25">
      <c r="J108" s="1077" t="s">
        <v>912</v>
      </c>
      <c r="K108" s="1078"/>
      <c r="L108" s="1078"/>
      <c r="M108" s="1078"/>
      <c r="N108" s="1078"/>
      <c r="O108" s="372">
        <f>SUM(O54:O107)</f>
        <v>357774000</v>
      </c>
    </row>
    <row r="109" spans="10:15" x14ac:dyDescent="0.25">
      <c r="J109" s="1079" t="s">
        <v>913</v>
      </c>
      <c r="K109" s="1080"/>
      <c r="L109" s="1080"/>
      <c r="M109" s="1080"/>
      <c r="N109" s="1080"/>
      <c r="O109" s="373">
        <v>29453000</v>
      </c>
    </row>
    <row r="110" spans="10:15" ht="15.75" thickBot="1" x14ac:dyDescent="0.3">
      <c r="J110" s="1081" t="s">
        <v>914</v>
      </c>
      <c r="K110" s="1082"/>
      <c r="L110" s="1082"/>
      <c r="M110" s="1082"/>
      <c r="N110" s="1082"/>
      <c r="O110" s="374">
        <f>O108+O109</f>
        <v>387227000</v>
      </c>
    </row>
    <row r="149" spans="10:13" ht="15.75" thickBot="1" x14ac:dyDescent="0.3"/>
    <row r="150" spans="10:13" ht="15.75" thickBot="1" x14ac:dyDescent="0.3">
      <c r="J150" s="342" t="s">
        <v>915</v>
      </c>
      <c r="K150" s="343" t="s">
        <v>916</v>
      </c>
      <c r="L150" s="1072" t="s">
        <v>917</v>
      </c>
      <c r="M150" s="1073"/>
    </row>
    <row r="151" spans="10:13" ht="25.5" x14ac:dyDescent="0.25">
      <c r="J151" s="345" t="s">
        <v>918</v>
      </c>
      <c r="K151" s="346" t="s">
        <v>316</v>
      </c>
      <c r="L151" s="359">
        <v>1118815</v>
      </c>
      <c r="M151" s="375">
        <v>1149407</v>
      </c>
    </row>
    <row r="152" spans="10:13" ht="51" x14ac:dyDescent="0.25">
      <c r="J152" s="345" t="s">
        <v>919</v>
      </c>
      <c r="K152" s="346" t="s">
        <v>316</v>
      </c>
      <c r="L152" s="359">
        <v>240000</v>
      </c>
      <c r="M152" s="375">
        <v>1800000</v>
      </c>
    </row>
    <row r="163" spans="10:13" ht="15.75" thickBot="1" x14ac:dyDescent="0.3"/>
    <row r="164" spans="10:13" ht="15.75" thickBot="1" x14ac:dyDescent="0.3">
      <c r="J164" s="342" t="s">
        <v>915</v>
      </c>
      <c r="K164" s="343" t="s">
        <v>916</v>
      </c>
      <c r="L164" s="1072" t="s">
        <v>917</v>
      </c>
      <c r="M164" s="1073"/>
    </row>
    <row r="165" spans="10:13" ht="25.5" x14ac:dyDescent="0.25">
      <c r="J165" s="345" t="s">
        <v>918</v>
      </c>
      <c r="K165" s="346" t="s">
        <v>920</v>
      </c>
      <c r="L165" s="359">
        <v>500000</v>
      </c>
      <c r="M165" s="375">
        <v>500000</v>
      </c>
    </row>
    <row r="166" spans="10:13" ht="51" x14ac:dyDescent="0.25">
      <c r="J166" s="345" t="s">
        <v>919</v>
      </c>
      <c r="K166" s="346" t="s">
        <v>920</v>
      </c>
      <c r="L166" s="359">
        <v>500000</v>
      </c>
      <c r="M166" s="375">
        <v>400000</v>
      </c>
    </row>
    <row r="177" spans="10:14" ht="15.75" thickBot="1" x14ac:dyDescent="0.3"/>
    <row r="178" spans="10:14" ht="26.25" thickBot="1" x14ac:dyDescent="0.3">
      <c r="J178" s="342" t="s">
        <v>921</v>
      </c>
      <c r="K178" s="343" t="s">
        <v>922</v>
      </c>
      <c r="L178" s="376" t="s">
        <v>923</v>
      </c>
      <c r="M178" s="377" t="s">
        <v>924</v>
      </c>
    </row>
    <row r="179" spans="10:14" ht="25.5" x14ac:dyDescent="0.25">
      <c r="J179" s="345" t="s">
        <v>925</v>
      </c>
      <c r="K179" s="346" t="s">
        <v>926</v>
      </c>
      <c r="L179" s="359">
        <v>250000</v>
      </c>
      <c r="M179" s="378">
        <v>0.6</v>
      </c>
      <c r="N179" s="379"/>
    </row>
    <row r="180" spans="10:14" x14ac:dyDescent="0.25">
      <c r="J180" s="360" t="s">
        <v>719</v>
      </c>
      <c r="K180" s="361" t="s">
        <v>315</v>
      </c>
      <c r="L180" s="363">
        <v>25000</v>
      </c>
      <c r="M180" s="380">
        <v>0.59</v>
      </c>
    </row>
    <row r="181" spans="10:14" x14ac:dyDescent="0.25">
      <c r="J181" s="360" t="s">
        <v>721</v>
      </c>
      <c r="K181" s="361" t="s">
        <v>315</v>
      </c>
      <c r="L181" s="363">
        <v>30000</v>
      </c>
      <c r="M181" s="380">
        <v>0.56000000000000005</v>
      </c>
    </row>
    <row r="182" spans="10:14" x14ac:dyDescent="0.25">
      <c r="J182" s="360" t="s">
        <v>723</v>
      </c>
      <c r="K182" s="361" t="s">
        <v>315</v>
      </c>
      <c r="L182" s="363">
        <v>25000</v>
      </c>
      <c r="M182" s="381">
        <v>0.47</v>
      </c>
    </row>
    <row r="183" spans="10:14" x14ac:dyDescent="0.25">
      <c r="J183" s="360" t="s">
        <v>927</v>
      </c>
      <c r="K183" s="361" t="s">
        <v>315</v>
      </c>
      <c r="L183" s="382">
        <v>20000</v>
      </c>
      <c r="M183" s="381">
        <v>0.67</v>
      </c>
    </row>
    <row r="184" spans="10:14" ht="25.5" x14ac:dyDescent="0.25">
      <c r="J184" s="360" t="s">
        <v>928</v>
      </c>
      <c r="K184" s="531" t="s">
        <v>315</v>
      </c>
      <c r="L184" s="382">
        <v>1701000</v>
      </c>
      <c r="M184" s="381">
        <v>0.27</v>
      </c>
    </row>
    <row r="185" spans="10:14" x14ac:dyDescent="0.25">
      <c r="J185" s="360" t="s">
        <v>929</v>
      </c>
      <c r="K185" s="361" t="s">
        <v>315</v>
      </c>
      <c r="L185" s="382">
        <v>5000</v>
      </c>
      <c r="M185" s="381">
        <v>0.97</v>
      </c>
    </row>
    <row r="186" spans="10:14" ht="25.5" x14ac:dyDescent="0.25">
      <c r="J186" s="360" t="s">
        <v>930</v>
      </c>
      <c r="K186" s="361" t="s">
        <v>931</v>
      </c>
      <c r="L186" s="382">
        <v>24000</v>
      </c>
      <c r="M186" s="381">
        <v>0.18</v>
      </c>
    </row>
    <row r="187" spans="10:14" ht="25.5" x14ac:dyDescent="0.25">
      <c r="J187" s="360" t="s">
        <v>932</v>
      </c>
      <c r="K187" s="361" t="s">
        <v>933</v>
      </c>
      <c r="L187" s="382">
        <v>24000</v>
      </c>
      <c r="M187" s="381">
        <v>0.96</v>
      </c>
    </row>
    <row r="188" spans="10:14" ht="38.25" x14ac:dyDescent="0.25">
      <c r="J188" s="360" t="s">
        <v>934</v>
      </c>
      <c r="K188" s="361" t="s">
        <v>315</v>
      </c>
      <c r="L188" s="382">
        <v>250</v>
      </c>
      <c r="M188" s="381">
        <v>0.51</v>
      </c>
    </row>
    <row r="189" spans="10:14" ht="39" thickBot="1" x14ac:dyDescent="0.3">
      <c r="J189" s="383" t="s">
        <v>935</v>
      </c>
      <c r="K189" s="384" t="s">
        <v>315</v>
      </c>
      <c r="L189" s="385">
        <v>20000</v>
      </c>
      <c r="M189" s="386">
        <v>0.52</v>
      </c>
    </row>
  </sheetData>
  <mergeCells count="6">
    <mergeCell ref="L164:M164"/>
    <mergeCell ref="M48:O48"/>
    <mergeCell ref="J108:N108"/>
    <mergeCell ref="J109:N109"/>
    <mergeCell ref="J110:N110"/>
    <mergeCell ref="L150:M150"/>
  </mergeCells>
  <pageMargins left="0.7" right="0.7" top="0.75" bottom="0.75" header="0.3" footer="0.3"/>
  <pageSetup paperSize="9"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84C5-29A7-49EC-B26E-A1E8C9A74977}">
  <dimension ref="C2:M87"/>
  <sheetViews>
    <sheetView topLeftCell="A75" workbookViewId="0">
      <selection activeCell="I89" sqref="I89"/>
    </sheetView>
  </sheetViews>
  <sheetFormatPr baseColWidth="10" defaultRowHeight="15" x14ac:dyDescent="0.25"/>
  <cols>
    <col min="3" max="3" width="13.85546875" customWidth="1"/>
    <col min="4" max="4" width="12.5703125" customWidth="1"/>
    <col min="6" max="6" width="17.7109375" customWidth="1"/>
    <col min="10" max="10" width="14.42578125" customWidth="1"/>
    <col min="11" max="11" width="11.85546875" customWidth="1"/>
    <col min="12" max="12" width="16.7109375" customWidth="1"/>
    <col min="13" max="13" width="16.28515625" customWidth="1"/>
  </cols>
  <sheetData>
    <row r="2" spans="3:13" x14ac:dyDescent="0.25">
      <c r="C2" s="318" t="s">
        <v>936</v>
      </c>
    </row>
    <row r="3" spans="3:13" x14ac:dyDescent="0.25">
      <c r="C3">
        <v>2023</v>
      </c>
    </row>
    <row r="4" spans="3:13" x14ac:dyDescent="0.25">
      <c r="C4" t="s">
        <v>937</v>
      </c>
    </row>
    <row r="6" spans="3:13" x14ac:dyDescent="0.25">
      <c r="C6" t="s">
        <v>938</v>
      </c>
    </row>
    <row r="8" spans="3:13" ht="15.75" thickBot="1" x14ac:dyDescent="0.3">
      <c r="C8" s="387" t="s">
        <v>939</v>
      </c>
      <c r="D8" s="387"/>
      <c r="E8" s="387"/>
    </row>
    <row r="9" spans="3:13" ht="15.75" thickBot="1" x14ac:dyDescent="0.3">
      <c r="J9" s="342" t="s">
        <v>940</v>
      </c>
      <c r="K9" s="343" t="s">
        <v>941</v>
      </c>
      <c r="L9" s="376" t="s">
        <v>942</v>
      </c>
      <c r="M9" s="377" t="s">
        <v>943</v>
      </c>
    </row>
    <row r="10" spans="3:13" ht="57.75" customHeight="1" x14ac:dyDescent="0.25">
      <c r="J10" s="946" t="s">
        <v>944</v>
      </c>
      <c r="K10" s="346" t="s">
        <v>945</v>
      </c>
      <c r="L10" s="359">
        <v>88200000</v>
      </c>
      <c r="M10" s="949">
        <v>500000000</v>
      </c>
    </row>
    <row r="11" spans="3:13" ht="63.75" x14ac:dyDescent="0.25">
      <c r="J11" s="947"/>
      <c r="K11" s="361" t="s">
        <v>946</v>
      </c>
      <c r="L11" s="363">
        <v>88000000</v>
      </c>
      <c r="M11" s="950"/>
    </row>
    <row r="12" spans="3:13" ht="76.5" x14ac:dyDescent="0.25">
      <c r="J12" s="947"/>
      <c r="K12" s="361" t="s">
        <v>947</v>
      </c>
      <c r="L12" s="363">
        <v>68000000</v>
      </c>
      <c r="M12" s="950"/>
    </row>
    <row r="13" spans="3:13" x14ac:dyDescent="0.25">
      <c r="J13" s="947"/>
      <c r="K13" s="361" t="s">
        <v>948</v>
      </c>
      <c r="L13" s="382">
        <v>37490000</v>
      </c>
      <c r="M13" s="950"/>
    </row>
    <row r="14" spans="3:13" x14ac:dyDescent="0.25">
      <c r="J14" s="947"/>
      <c r="K14" s="361" t="s">
        <v>543</v>
      </c>
      <c r="L14" s="382">
        <v>3000000</v>
      </c>
      <c r="M14" s="950"/>
    </row>
    <row r="15" spans="3:13" ht="63.75" x14ac:dyDescent="0.25">
      <c r="J15" s="947"/>
      <c r="K15" s="361" t="s">
        <v>949</v>
      </c>
      <c r="L15" s="382">
        <v>98000000</v>
      </c>
      <c r="M15" s="950"/>
    </row>
    <row r="16" spans="3:13" ht="25.5" x14ac:dyDescent="0.25">
      <c r="J16" s="947"/>
      <c r="K16" s="361" t="s">
        <v>950</v>
      </c>
      <c r="L16" s="382">
        <v>66310000</v>
      </c>
      <c r="M16" s="950"/>
    </row>
    <row r="17" spans="10:13" x14ac:dyDescent="0.25">
      <c r="J17" s="947"/>
      <c r="K17" s="361" t="s">
        <v>951</v>
      </c>
      <c r="L17" s="382">
        <v>15000000</v>
      </c>
      <c r="M17" s="950"/>
    </row>
    <row r="18" spans="10:13" ht="25.5" x14ac:dyDescent="0.25">
      <c r="J18" s="947"/>
      <c r="K18" s="361" t="s">
        <v>952</v>
      </c>
      <c r="L18" s="382">
        <v>5000000</v>
      </c>
      <c r="M18" s="950"/>
    </row>
    <row r="19" spans="10:13" x14ac:dyDescent="0.25">
      <c r="J19" s="947"/>
      <c r="K19" s="361" t="s">
        <v>953</v>
      </c>
      <c r="L19" s="382">
        <v>8000000</v>
      </c>
      <c r="M19" s="950"/>
    </row>
    <row r="20" spans="10:13" x14ac:dyDescent="0.25">
      <c r="J20" s="947"/>
      <c r="K20" s="361" t="s">
        <v>954</v>
      </c>
      <c r="L20" s="382">
        <v>7000000</v>
      </c>
      <c r="M20" s="950"/>
    </row>
    <row r="21" spans="10:13" ht="38.25" x14ac:dyDescent="0.25">
      <c r="J21" s="947"/>
      <c r="K21" s="361" t="s">
        <v>955</v>
      </c>
      <c r="L21" s="382">
        <v>6000000</v>
      </c>
      <c r="M21" s="950"/>
    </row>
    <row r="22" spans="10:13" x14ac:dyDescent="0.25">
      <c r="J22" s="947"/>
      <c r="K22" s="361" t="s">
        <v>956</v>
      </c>
      <c r="L22" s="382">
        <v>4000000</v>
      </c>
      <c r="M22" s="950"/>
    </row>
    <row r="23" spans="10:13" ht="26.25" thickBot="1" x14ac:dyDescent="0.3">
      <c r="J23" s="948"/>
      <c r="K23" s="384" t="s">
        <v>957</v>
      </c>
      <c r="L23" s="385">
        <v>6000000</v>
      </c>
      <c r="M23" s="951"/>
    </row>
    <row r="24" spans="10:13" ht="15" customHeight="1" x14ac:dyDescent="0.25">
      <c r="J24" s="1083" t="s">
        <v>958</v>
      </c>
      <c r="K24" s="388" t="s">
        <v>959</v>
      </c>
      <c r="L24" s="389">
        <v>80000000</v>
      </c>
      <c r="M24" s="1089">
        <f>SUM(L24:L57)</f>
        <v>3700000000</v>
      </c>
    </row>
    <row r="25" spans="10:13" x14ac:dyDescent="0.25">
      <c r="J25" s="1084"/>
      <c r="K25" s="370" t="s">
        <v>960</v>
      </c>
      <c r="L25" s="367">
        <v>100000000</v>
      </c>
      <c r="M25" s="1090"/>
    </row>
    <row r="26" spans="10:13" x14ac:dyDescent="0.25">
      <c r="J26" s="1084"/>
      <c r="K26" s="370" t="s">
        <v>961</v>
      </c>
      <c r="L26" s="367">
        <v>50000000</v>
      </c>
      <c r="M26" s="1090"/>
    </row>
    <row r="27" spans="10:13" x14ac:dyDescent="0.25">
      <c r="J27" s="1084"/>
      <c r="K27" s="370" t="s">
        <v>962</v>
      </c>
      <c r="L27" s="367">
        <v>100000000</v>
      </c>
      <c r="M27" s="1090"/>
    </row>
    <row r="28" spans="10:13" x14ac:dyDescent="0.25">
      <c r="J28" s="1084"/>
      <c r="K28" s="370" t="s">
        <v>963</v>
      </c>
      <c r="L28" s="367">
        <v>100000000</v>
      </c>
      <c r="M28" s="1090"/>
    </row>
    <row r="29" spans="10:13" x14ac:dyDescent="0.25">
      <c r="J29" s="1084"/>
      <c r="K29" s="370" t="s">
        <v>964</v>
      </c>
      <c r="L29" s="367">
        <v>100000000</v>
      </c>
      <c r="M29" s="1090"/>
    </row>
    <row r="30" spans="10:13" x14ac:dyDescent="0.25">
      <c r="J30" s="1084"/>
      <c r="K30" s="370" t="s">
        <v>965</v>
      </c>
      <c r="L30" s="367">
        <v>40000000</v>
      </c>
      <c r="M30" s="1090"/>
    </row>
    <row r="31" spans="10:13" x14ac:dyDescent="0.25">
      <c r="J31" s="1084"/>
      <c r="K31" s="370" t="s">
        <v>966</v>
      </c>
      <c r="L31" s="367">
        <v>40000000</v>
      </c>
      <c r="M31" s="1090"/>
    </row>
    <row r="32" spans="10:13" x14ac:dyDescent="0.25">
      <c r="J32" s="1084"/>
      <c r="K32" s="370" t="s">
        <v>967</v>
      </c>
      <c r="L32" s="367">
        <v>50000000</v>
      </c>
      <c r="M32" s="1090"/>
    </row>
    <row r="33" spans="10:13" x14ac:dyDescent="0.25">
      <c r="J33" s="1084"/>
      <c r="K33" s="370" t="s">
        <v>968</v>
      </c>
      <c r="L33" s="367">
        <v>60000000</v>
      </c>
      <c r="M33" s="1090"/>
    </row>
    <row r="34" spans="10:13" x14ac:dyDescent="0.25">
      <c r="J34" s="1084"/>
      <c r="K34" s="370" t="s">
        <v>969</v>
      </c>
      <c r="L34" s="367">
        <v>350000000</v>
      </c>
      <c r="M34" s="1090"/>
    </row>
    <row r="35" spans="10:13" x14ac:dyDescent="0.25">
      <c r="J35" s="1084"/>
      <c r="K35" s="370" t="s">
        <v>970</v>
      </c>
      <c r="L35" s="367">
        <v>60000000</v>
      </c>
      <c r="M35" s="1090"/>
    </row>
    <row r="36" spans="10:13" x14ac:dyDescent="0.25">
      <c r="J36" s="1084"/>
      <c r="K36" s="370" t="s">
        <v>971</v>
      </c>
      <c r="L36" s="367">
        <v>350000000</v>
      </c>
      <c r="M36" s="1090"/>
    </row>
    <row r="37" spans="10:13" x14ac:dyDescent="0.25">
      <c r="J37" s="1084"/>
      <c r="K37" s="370" t="s">
        <v>972</v>
      </c>
      <c r="L37" s="367">
        <v>80000000</v>
      </c>
      <c r="M37" s="1090"/>
    </row>
    <row r="38" spans="10:13" x14ac:dyDescent="0.25">
      <c r="J38" s="1084"/>
      <c r="K38" s="370" t="s">
        <v>973</v>
      </c>
      <c r="L38" s="367">
        <v>80000000</v>
      </c>
      <c r="M38" s="1090"/>
    </row>
    <row r="39" spans="10:13" x14ac:dyDescent="0.25">
      <c r="J39" s="1084"/>
      <c r="K39" s="370" t="s">
        <v>974</v>
      </c>
      <c r="L39" s="367">
        <v>60000000</v>
      </c>
      <c r="M39" s="1090"/>
    </row>
    <row r="40" spans="10:13" x14ac:dyDescent="0.25">
      <c r="J40" s="1084"/>
      <c r="K40" s="370" t="s">
        <v>975</v>
      </c>
      <c r="L40" s="367">
        <v>50000000</v>
      </c>
      <c r="M40" s="1090"/>
    </row>
    <row r="41" spans="10:13" x14ac:dyDescent="0.25">
      <c r="J41" s="1084"/>
      <c r="K41" s="370" t="s">
        <v>976</v>
      </c>
      <c r="L41" s="367">
        <v>70000000</v>
      </c>
      <c r="M41" s="1090"/>
    </row>
    <row r="42" spans="10:13" x14ac:dyDescent="0.25">
      <c r="J42" s="1084"/>
      <c r="K42" s="370" t="s">
        <v>977</v>
      </c>
      <c r="L42" s="367">
        <v>80000000</v>
      </c>
      <c r="M42" s="1090"/>
    </row>
    <row r="43" spans="10:13" x14ac:dyDescent="0.25">
      <c r="J43" s="1084"/>
      <c r="K43" s="370" t="s">
        <v>978</v>
      </c>
      <c r="L43" s="367">
        <v>40000000</v>
      </c>
      <c r="M43" s="1090"/>
    </row>
    <row r="44" spans="10:13" x14ac:dyDescent="0.25">
      <c r="J44" s="1084"/>
      <c r="K44" s="370" t="s">
        <v>979</v>
      </c>
      <c r="L44" s="367">
        <v>80000000</v>
      </c>
      <c r="M44" s="1090"/>
    </row>
    <row r="45" spans="10:13" x14ac:dyDescent="0.25">
      <c r="J45" s="1084"/>
      <c r="K45" s="370" t="s">
        <v>980</v>
      </c>
      <c r="L45" s="367">
        <v>350000000</v>
      </c>
      <c r="M45" s="1090"/>
    </row>
    <row r="46" spans="10:13" ht="25.5" x14ac:dyDescent="0.25">
      <c r="J46" s="1084"/>
      <c r="K46" s="370" t="s">
        <v>981</v>
      </c>
      <c r="L46" s="367">
        <v>340000000</v>
      </c>
      <c r="M46" s="1090"/>
    </row>
    <row r="47" spans="10:13" x14ac:dyDescent="0.25">
      <c r="J47" s="1084"/>
      <c r="K47" s="370" t="s">
        <v>982</v>
      </c>
      <c r="L47" s="367">
        <v>50000000</v>
      </c>
      <c r="M47" s="1090"/>
    </row>
    <row r="48" spans="10:13" x14ac:dyDescent="0.25">
      <c r="J48" s="1084"/>
      <c r="K48" s="370" t="s">
        <v>983</v>
      </c>
      <c r="L48" s="367">
        <v>70000000</v>
      </c>
      <c r="M48" s="1090"/>
    </row>
    <row r="49" spans="10:13" x14ac:dyDescent="0.25">
      <c r="J49" s="1084"/>
      <c r="K49" s="370" t="s">
        <v>984</v>
      </c>
      <c r="L49" s="367">
        <v>80000000</v>
      </c>
      <c r="M49" s="1090"/>
    </row>
    <row r="50" spans="10:13" ht="25.5" x14ac:dyDescent="0.25">
      <c r="J50" s="1084"/>
      <c r="K50" s="370" t="s">
        <v>985</v>
      </c>
      <c r="L50" s="367">
        <v>50000000</v>
      </c>
      <c r="M50" s="1090"/>
    </row>
    <row r="51" spans="10:13" x14ac:dyDescent="0.25">
      <c r="J51" s="1084"/>
      <c r="K51" s="370" t="s">
        <v>986</v>
      </c>
      <c r="L51" s="367">
        <v>60000000</v>
      </c>
      <c r="M51" s="1090"/>
    </row>
    <row r="52" spans="10:13" x14ac:dyDescent="0.25">
      <c r="J52" s="1084"/>
      <c r="K52" s="370" t="s">
        <v>987</v>
      </c>
      <c r="L52" s="367">
        <v>50000000</v>
      </c>
      <c r="M52" s="1090"/>
    </row>
    <row r="53" spans="10:13" x14ac:dyDescent="0.25">
      <c r="J53" s="1084"/>
      <c r="K53" s="370" t="s">
        <v>988</v>
      </c>
      <c r="L53" s="367">
        <v>40000000</v>
      </c>
      <c r="M53" s="1090"/>
    </row>
    <row r="54" spans="10:13" x14ac:dyDescent="0.25">
      <c r="J54" s="1084"/>
      <c r="K54" s="370" t="s">
        <v>989</v>
      </c>
      <c r="L54" s="367">
        <v>350000000</v>
      </c>
      <c r="M54" s="1090"/>
    </row>
    <row r="55" spans="10:13" x14ac:dyDescent="0.25">
      <c r="J55" s="1084"/>
      <c r="K55" s="370" t="s">
        <v>990</v>
      </c>
      <c r="L55" s="367">
        <v>80000000</v>
      </c>
      <c r="M55" s="1090"/>
    </row>
    <row r="56" spans="10:13" x14ac:dyDescent="0.25">
      <c r="J56" s="1084"/>
      <c r="K56" s="370" t="s">
        <v>991</v>
      </c>
      <c r="L56" s="367">
        <v>80000000</v>
      </c>
      <c r="M56" s="1090"/>
    </row>
    <row r="57" spans="10:13" ht="26.25" thickBot="1" x14ac:dyDescent="0.3">
      <c r="J57" s="1084"/>
      <c r="K57" s="370" t="s">
        <v>992</v>
      </c>
      <c r="L57" s="367">
        <v>80000000</v>
      </c>
      <c r="M57" s="1090"/>
    </row>
    <row r="58" spans="10:13" ht="57.75" customHeight="1" x14ac:dyDescent="0.25">
      <c r="J58" s="1091" t="s">
        <v>993</v>
      </c>
      <c r="K58" s="390" t="s">
        <v>945</v>
      </c>
      <c r="L58" s="391">
        <v>60000000</v>
      </c>
      <c r="M58" s="1093">
        <f>SUM(L58:L71)</f>
        <v>600000000</v>
      </c>
    </row>
    <row r="59" spans="10:13" ht="63.75" x14ac:dyDescent="0.25">
      <c r="J59" s="947"/>
      <c r="K59" s="361" t="s">
        <v>946</v>
      </c>
      <c r="L59" s="382">
        <v>48000000</v>
      </c>
      <c r="M59" s="1094"/>
    </row>
    <row r="60" spans="10:13" ht="76.5" x14ac:dyDescent="0.25">
      <c r="J60" s="947"/>
      <c r="K60" s="361" t="s">
        <v>947</v>
      </c>
      <c r="L60" s="382">
        <v>136000000</v>
      </c>
      <c r="M60" s="1094"/>
    </row>
    <row r="61" spans="10:13" x14ac:dyDescent="0.25">
      <c r="J61" s="947"/>
      <c r="K61" s="361" t="s">
        <v>948</v>
      </c>
      <c r="L61" s="382">
        <v>36000000</v>
      </c>
      <c r="M61" s="1094"/>
    </row>
    <row r="62" spans="10:13" x14ac:dyDescent="0.25">
      <c r="J62" s="947"/>
      <c r="K62" s="361" t="s">
        <v>543</v>
      </c>
      <c r="L62" s="382">
        <v>3000000</v>
      </c>
      <c r="M62" s="1094"/>
    </row>
    <row r="63" spans="10:13" ht="63.75" x14ac:dyDescent="0.25">
      <c r="J63" s="947"/>
      <c r="K63" s="361" t="s">
        <v>949</v>
      </c>
      <c r="L63" s="382">
        <v>196000000</v>
      </c>
      <c r="M63" s="1094"/>
    </row>
    <row r="64" spans="10:13" ht="25.5" x14ac:dyDescent="0.25">
      <c r="J64" s="947"/>
      <c r="K64" s="361" t="s">
        <v>950</v>
      </c>
      <c r="L64" s="382">
        <v>66310000</v>
      </c>
      <c r="M64" s="1094"/>
    </row>
    <row r="65" spans="10:13" x14ac:dyDescent="0.25">
      <c r="J65" s="947"/>
      <c r="K65" s="361" t="s">
        <v>951</v>
      </c>
      <c r="L65" s="382">
        <v>17690000</v>
      </c>
      <c r="M65" s="1094"/>
    </row>
    <row r="66" spans="10:13" ht="25.5" x14ac:dyDescent="0.25">
      <c r="J66" s="947"/>
      <c r="K66" s="361" t="s">
        <v>952</v>
      </c>
      <c r="L66" s="382">
        <v>6000000</v>
      </c>
      <c r="M66" s="1094"/>
    </row>
    <row r="67" spans="10:13" x14ac:dyDescent="0.25">
      <c r="J67" s="947"/>
      <c r="K67" s="361" t="s">
        <v>953</v>
      </c>
      <c r="L67" s="382">
        <v>8000000</v>
      </c>
      <c r="M67" s="1094"/>
    </row>
    <row r="68" spans="10:13" x14ac:dyDescent="0.25">
      <c r="J68" s="947"/>
      <c r="K68" s="361" t="s">
        <v>954</v>
      </c>
      <c r="L68" s="382">
        <v>7000000</v>
      </c>
      <c r="M68" s="1094"/>
    </row>
    <row r="69" spans="10:13" ht="38.25" x14ac:dyDescent="0.25">
      <c r="J69" s="947"/>
      <c r="K69" s="361" t="s">
        <v>955</v>
      </c>
      <c r="L69" s="382">
        <v>6000000</v>
      </c>
      <c r="M69" s="1094"/>
    </row>
    <row r="70" spans="10:13" x14ac:dyDescent="0.25">
      <c r="J70" s="947"/>
      <c r="K70" s="361" t="s">
        <v>956</v>
      </c>
      <c r="L70" s="382">
        <v>4000000</v>
      </c>
      <c r="M70" s="1094"/>
    </row>
    <row r="71" spans="10:13" ht="26.25" thickBot="1" x14ac:dyDescent="0.3">
      <c r="J71" s="1092"/>
      <c r="K71" s="392" t="s">
        <v>957</v>
      </c>
      <c r="L71" s="393">
        <v>6000000</v>
      </c>
      <c r="M71" s="1095"/>
    </row>
    <row r="72" spans="10:13" ht="120" customHeight="1" x14ac:dyDescent="0.25">
      <c r="J72" s="1083" t="s">
        <v>994</v>
      </c>
      <c r="K72" s="394" t="s">
        <v>946</v>
      </c>
      <c r="L72" s="391">
        <v>60000000</v>
      </c>
      <c r="M72" s="1085">
        <f>SUM(L72:L84)</f>
        <v>1050000000</v>
      </c>
    </row>
    <row r="73" spans="10:13" ht="76.5" x14ac:dyDescent="0.25">
      <c r="J73" s="1084"/>
      <c r="K73" s="361" t="s">
        <v>947</v>
      </c>
      <c r="L73" s="382">
        <v>68000000</v>
      </c>
      <c r="M73" s="1086"/>
    </row>
    <row r="74" spans="10:13" x14ac:dyDescent="0.25">
      <c r="J74" s="1084"/>
      <c r="K74" s="361" t="s">
        <v>948</v>
      </c>
      <c r="L74" s="382">
        <v>58840000</v>
      </c>
      <c r="M74" s="1086"/>
    </row>
    <row r="75" spans="10:13" x14ac:dyDescent="0.25">
      <c r="J75" s="1084"/>
      <c r="K75" s="361" t="s">
        <v>543</v>
      </c>
      <c r="L75" s="382">
        <v>6000000</v>
      </c>
      <c r="M75" s="1086"/>
    </row>
    <row r="76" spans="10:13" ht="63.75" x14ac:dyDescent="0.25">
      <c r="J76" s="1084"/>
      <c r="K76" s="361" t="s">
        <v>995</v>
      </c>
      <c r="L76" s="382">
        <v>474000000</v>
      </c>
      <c r="M76" s="1086"/>
    </row>
    <row r="77" spans="10:13" ht="25.5" x14ac:dyDescent="0.25">
      <c r="J77" s="1084"/>
      <c r="K77" s="361" t="s">
        <v>950</v>
      </c>
      <c r="L77" s="382">
        <v>327160000</v>
      </c>
      <c r="M77" s="1086"/>
    </row>
    <row r="78" spans="10:13" x14ac:dyDescent="0.25">
      <c r="J78" s="1084"/>
      <c r="K78" s="361" t="s">
        <v>951</v>
      </c>
      <c r="L78" s="382">
        <v>18000000</v>
      </c>
      <c r="M78" s="1086"/>
    </row>
    <row r="79" spans="10:13" ht="25.5" x14ac:dyDescent="0.25">
      <c r="J79" s="1084"/>
      <c r="K79" s="361" t="s">
        <v>952</v>
      </c>
      <c r="L79" s="382">
        <v>6000000</v>
      </c>
      <c r="M79" s="1086"/>
    </row>
    <row r="80" spans="10:13" x14ac:dyDescent="0.25">
      <c r="J80" s="1084"/>
      <c r="K80" s="361" t="s">
        <v>953</v>
      </c>
      <c r="L80" s="382">
        <v>9000000</v>
      </c>
      <c r="M80" s="1086"/>
    </row>
    <row r="81" spans="10:13" x14ac:dyDescent="0.25">
      <c r="J81" s="1084"/>
      <c r="K81" s="361" t="s">
        <v>954</v>
      </c>
      <c r="L81" s="382">
        <v>7000000</v>
      </c>
      <c r="M81" s="1086"/>
    </row>
    <row r="82" spans="10:13" ht="38.25" x14ac:dyDescent="0.25">
      <c r="J82" s="1084"/>
      <c r="K82" s="361" t="s">
        <v>955</v>
      </c>
      <c r="L82" s="382">
        <v>6000000</v>
      </c>
      <c r="M82" s="1086"/>
    </row>
    <row r="83" spans="10:13" x14ac:dyDescent="0.25">
      <c r="J83" s="1084"/>
      <c r="K83" s="361" t="s">
        <v>956</v>
      </c>
      <c r="L83" s="382">
        <v>4000000</v>
      </c>
      <c r="M83" s="1086"/>
    </row>
    <row r="84" spans="10:13" ht="26.25" thickBot="1" x14ac:dyDescent="0.3">
      <c r="J84" s="1084"/>
      <c r="K84" s="532" t="s">
        <v>957</v>
      </c>
      <c r="L84" s="393">
        <v>6000000</v>
      </c>
      <c r="M84" s="1086"/>
    </row>
    <row r="85" spans="10:13" ht="51.75" customHeight="1" x14ac:dyDescent="0.25">
      <c r="J85" s="1087" t="s">
        <v>996</v>
      </c>
      <c r="K85" s="394" t="s">
        <v>997</v>
      </c>
      <c r="L85" s="391">
        <v>9500000</v>
      </c>
      <c r="M85" s="395">
        <f>L85*10</f>
        <v>95000000</v>
      </c>
    </row>
    <row r="86" spans="10:13" ht="55.5" customHeight="1" thickBot="1" x14ac:dyDescent="0.3">
      <c r="J86" s="1088"/>
      <c r="K86" s="384" t="s">
        <v>998</v>
      </c>
      <c r="L86" s="385">
        <v>7000000</v>
      </c>
      <c r="M86" s="396">
        <f>L86*4</f>
        <v>28000000</v>
      </c>
    </row>
    <row r="87" spans="10:13" ht="51.75" thickBot="1" x14ac:dyDescent="0.3">
      <c r="J87" s="358" t="s">
        <v>999</v>
      </c>
      <c r="K87" s="397" t="s">
        <v>945</v>
      </c>
      <c r="L87" s="398">
        <v>230000000</v>
      </c>
      <c r="M87" s="399">
        <v>1280000000</v>
      </c>
    </row>
  </sheetData>
  <mergeCells count="9">
    <mergeCell ref="J72:J84"/>
    <mergeCell ref="M72:M84"/>
    <mergeCell ref="J85:J86"/>
    <mergeCell ref="J10:J23"/>
    <mergeCell ref="M10:M23"/>
    <mergeCell ref="J24:J57"/>
    <mergeCell ref="M24:M57"/>
    <mergeCell ref="J58:J71"/>
    <mergeCell ref="M58:M71"/>
  </mergeCells>
  <hyperlinks>
    <hyperlink ref="C2" r:id="rId1" xr:uid="{96911402-924B-4E28-BD32-986A1DD1FC9B}"/>
  </hyperlinks>
  <pageMargins left="0.7" right="0.7" top="0.75" bottom="0.75" header="0.3" footer="0.3"/>
  <pageSetup paperSize="9" orientation="portrait" r:id="rId2"/>
  <drawing r:id="rId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589B7-DA8B-4135-97F6-1CC8331D85B7}">
  <sheetPr>
    <tabColor rgb="FF0070C0"/>
  </sheetPr>
  <dimension ref="A1"/>
  <sheetViews>
    <sheetView workbookViewId="0"/>
  </sheetViews>
  <sheetFormatPr baseColWidth="10" defaultRowHeight="15" x14ac:dyDescent="0.25"/>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BDECF9-0BD7-4CF8-BCB0-D7685FD58F24}">
  <dimension ref="B1:J2"/>
  <sheetViews>
    <sheetView topLeftCell="A10" workbookViewId="0"/>
  </sheetViews>
  <sheetFormatPr baseColWidth="10" defaultRowHeight="15" x14ac:dyDescent="0.25"/>
  <sheetData>
    <row r="1" spans="2:10" x14ac:dyDescent="0.25">
      <c r="B1" t="s">
        <v>1035</v>
      </c>
      <c r="C1">
        <v>2024</v>
      </c>
      <c r="D1" t="s">
        <v>1036</v>
      </c>
      <c r="J1" t="s">
        <v>1037</v>
      </c>
    </row>
    <row r="2" spans="2:10" x14ac:dyDescent="0.25">
      <c r="B2" s="318" t="s">
        <v>1034</v>
      </c>
    </row>
  </sheetData>
  <hyperlinks>
    <hyperlink ref="B2" r:id="rId1" xr:uid="{32700C55-49EB-4E9B-9501-97BEF0A23989}"/>
  </hyperlinks>
  <pageMargins left="0.7" right="0.7" top="0.75" bottom="0.75" header="0.3" footer="0.3"/>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82BA7-B57B-4574-8A17-6EA86DCBCD8A}">
  <dimension ref="B1:N11"/>
  <sheetViews>
    <sheetView workbookViewId="0"/>
  </sheetViews>
  <sheetFormatPr baseColWidth="10" defaultColWidth="11.42578125" defaultRowHeight="13.5" x14ac:dyDescent="0.25"/>
  <cols>
    <col min="1" max="1" width="11.42578125" style="22"/>
    <col min="2" max="7" width="17.42578125" style="22" customWidth="1"/>
    <col min="8" max="16384" width="11.42578125" style="22"/>
  </cols>
  <sheetData>
    <row r="1" spans="2:14" ht="15" customHeight="1" x14ac:dyDescent="0.25">
      <c r="B1" s="855" t="s">
        <v>144</v>
      </c>
      <c r="C1" s="855"/>
      <c r="D1" s="855"/>
      <c r="E1" s="855"/>
      <c r="F1" s="855"/>
      <c r="G1" s="855"/>
      <c r="H1" s="855"/>
      <c r="I1" s="855"/>
      <c r="J1" s="855"/>
      <c r="K1" s="855"/>
      <c r="L1" s="855"/>
      <c r="M1" s="855"/>
      <c r="N1" s="855"/>
    </row>
    <row r="2" spans="2:14" x14ac:dyDescent="0.25">
      <c r="C2" s="43"/>
    </row>
    <row r="3" spans="2:14" ht="28.5" customHeight="1" x14ac:dyDescent="0.25">
      <c r="B3" s="34" t="s">
        <v>146</v>
      </c>
      <c r="C3" s="34" t="s">
        <v>5</v>
      </c>
      <c r="D3" s="25" t="s">
        <v>6</v>
      </c>
      <c r="E3" s="25" t="s">
        <v>145</v>
      </c>
      <c r="F3" s="25" t="s">
        <v>3</v>
      </c>
      <c r="G3" s="34" t="s">
        <v>7</v>
      </c>
      <c r="H3" s="853" t="s">
        <v>8</v>
      </c>
      <c r="I3" s="853"/>
      <c r="J3" s="853"/>
      <c r="K3" s="853"/>
      <c r="L3" s="853"/>
      <c r="M3" s="853"/>
      <c r="N3" s="853"/>
    </row>
    <row r="4" spans="2:14" ht="34.5" customHeight="1" x14ac:dyDescent="0.25">
      <c r="B4" s="35">
        <v>1</v>
      </c>
      <c r="C4" s="36" t="s">
        <v>158</v>
      </c>
      <c r="D4" s="37" t="s">
        <v>199</v>
      </c>
      <c r="E4" s="36" t="s">
        <v>200</v>
      </c>
      <c r="F4" s="37">
        <v>2023</v>
      </c>
      <c r="G4" s="37" t="s">
        <v>2</v>
      </c>
      <c r="H4" s="848" t="s">
        <v>198</v>
      </c>
      <c r="I4" s="848"/>
      <c r="J4" s="848"/>
      <c r="K4" s="848"/>
      <c r="L4" s="848"/>
      <c r="M4" s="848"/>
      <c r="N4" s="848"/>
    </row>
    <row r="6" spans="2:14" ht="27" x14ac:dyDescent="0.25">
      <c r="G6" s="38" t="s">
        <v>149</v>
      </c>
      <c r="I6" s="907" t="s">
        <v>150</v>
      </c>
      <c r="J6" s="908"/>
      <c r="K6" s="907" t="s">
        <v>150</v>
      </c>
      <c r="L6" s="908"/>
    </row>
    <row r="7" spans="2:14" ht="27" customHeight="1" x14ac:dyDescent="0.25">
      <c r="B7" s="65" t="s">
        <v>207</v>
      </c>
      <c r="C7" s="1098" t="s">
        <v>206</v>
      </c>
      <c r="D7" s="1098"/>
      <c r="E7" s="1098"/>
      <c r="F7" s="1098"/>
      <c r="G7" s="1098"/>
      <c r="I7" s="39" t="s">
        <v>154</v>
      </c>
      <c r="J7" s="40">
        <f>VARIABLES!$C$5</f>
        <v>9.2799999999999994E-2</v>
      </c>
      <c r="K7" s="39" t="s">
        <v>151</v>
      </c>
      <c r="L7" s="40">
        <f>VARIABLES!$C$4</f>
        <v>5.1999999999999998E-2</v>
      </c>
    </row>
    <row r="8" spans="2:14" ht="27.75" customHeight="1" x14ac:dyDescent="0.25">
      <c r="B8" s="55" t="s">
        <v>204</v>
      </c>
      <c r="C8" s="1096" t="s">
        <v>209</v>
      </c>
      <c r="D8" s="1096"/>
      <c r="E8" s="1096"/>
      <c r="F8" s="1096"/>
      <c r="G8" s="1096"/>
    </row>
    <row r="9" spans="2:14" ht="27" x14ac:dyDescent="0.25">
      <c r="B9" s="1097" t="s">
        <v>202</v>
      </c>
      <c r="C9" s="1097"/>
      <c r="D9" s="1097"/>
      <c r="E9" s="1097"/>
      <c r="F9" s="1097"/>
      <c r="G9" s="38" t="s">
        <v>149</v>
      </c>
    </row>
    <row r="10" spans="2:14" ht="27" x14ac:dyDescent="0.25">
      <c r="B10" s="61"/>
      <c r="C10" s="48" t="s">
        <v>196</v>
      </c>
      <c r="D10" s="48" t="s">
        <v>203</v>
      </c>
      <c r="E10" s="48" t="s">
        <v>197</v>
      </c>
      <c r="F10" s="46" t="s">
        <v>195</v>
      </c>
      <c r="G10" s="47" t="s">
        <v>155</v>
      </c>
    </row>
    <row r="11" spans="2:14" ht="27" x14ac:dyDescent="0.25">
      <c r="B11" s="50" t="s">
        <v>208</v>
      </c>
      <c r="C11" s="41">
        <v>60</v>
      </c>
      <c r="D11" s="41">
        <v>1</v>
      </c>
      <c r="E11" s="56">
        <v>1000000</v>
      </c>
      <c r="F11" s="49">
        <f>C11*D11*E11</f>
        <v>60000000</v>
      </c>
      <c r="G11" s="49">
        <f>ROUND(E11*(1+$J$7)*(1+$L$7),0)</f>
        <v>1149626</v>
      </c>
    </row>
  </sheetData>
  <mergeCells count="8">
    <mergeCell ref="C8:G8"/>
    <mergeCell ref="B9:F9"/>
    <mergeCell ref="I6:J6"/>
    <mergeCell ref="B1:N1"/>
    <mergeCell ref="H3:N3"/>
    <mergeCell ref="H4:N4"/>
    <mergeCell ref="K6:L6"/>
    <mergeCell ref="C7:G7"/>
  </mergeCells>
  <hyperlinks>
    <hyperlink ref="H4" r:id="rId1" xr:uid="{FC37EE09-50E7-4E47-B84D-D91C21581CA4}"/>
  </hyperlink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07BF0-8013-46D9-9F15-4B82DAA184AA}">
  <sheetPr>
    <tabColor rgb="FFFF0000"/>
  </sheetPr>
  <dimension ref="B1:N21"/>
  <sheetViews>
    <sheetView workbookViewId="0"/>
  </sheetViews>
  <sheetFormatPr baseColWidth="10" defaultRowHeight="15" x14ac:dyDescent="0.25"/>
  <sheetData>
    <row r="1" spans="2:14" s="22" customFormat="1" ht="27.75" customHeight="1" x14ac:dyDescent="0.25">
      <c r="B1" s="58"/>
      <c r="C1" s="58"/>
      <c r="D1" s="44"/>
      <c r="E1" s="44"/>
      <c r="F1" s="44"/>
      <c r="G1" s="58"/>
      <c r="H1" s="1099"/>
      <c r="I1" s="1099"/>
      <c r="J1" s="1099"/>
      <c r="K1" s="1099"/>
      <c r="L1" s="1099"/>
      <c r="M1" s="1099"/>
      <c r="N1" s="1099"/>
    </row>
    <row r="2" spans="2:14" s="22" customFormat="1" ht="23.25" customHeight="1" x14ac:dyDescent="0.25">
      <c r="B2" s="44"/>
      <c r="C2" s="42"/>
      <c r="D2" s="26"/>
      <c r="E2" s="42"/>
      <c r="F2" s="26"/>
      <c r="G2" s="26"/>
      <c r="H2" s="1100"/>
      <c r="I2" s="1100"/>
      <c r="J2" s="1100"/>
      <c r="K2" s="1100"/>
      <c r="L2" s="1100"/>
      <c r="M2" s="1100"/>
      <c r="N2" s="1100"/>
    </row>
    <row r="20" spans="2:14" s="22" customFormat="1" ht="13.5" x14ac:dyDescent="0.25">
      <c r="B20" s="58"/>
      <c r="C20" s="58"/>
      <c r="D20" s="44"/>
      <c r="E20" s="44"/>
      <c r="F20" s="44"/>
      <c r="G20" s="44"/>
      <c r="H20" s="1099"/>
      <c r="I20" s="1099"/>
      <c r="J20" s="1099"/>
      <c r="K20" s="1099"/>
      <c r="L20" s="1099"/>
      <c r="M20" s="1099"/>
      <c r="N20" s="1099"/>
    </row>
    <row r="21" spans="2:14" s="22" customFormat="1" ht="22.5" customHeight="1" x14ac:dyDescent="0.25">
      <c r="B21" s="44"/>
      <c r="C21" s="42"/>
      <c r="D21" s="26"/>
      <c r="E21" s="42"/>
      <c r="F21" s="26"/>
      <c r="G21" s="26"/>
      <c r="H21" s="1100"/>
      <c r="I21" s="1100"/>
      <c r="J21" s="1100"/>
      <c r="K21" s="1100"/>
      <c r="L21" s="1100"/>
      <c r="M21" s="1100"/>
      <c r="N21" s="1100"/>
    </row>
  </sheetData>
  <mergeCells count="4">
    <mergeCell ref="H1:N1"/>
    <mergeCell ref="H2:N2"/>
    <mergeCell ref="H20:N20"/>
    <mergeCell ref="H21:N2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32a80878-03fa-4896-a4e9-478740856d7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5B5609AE13F504B94227813C94333BC" ma:contentTypeVersion="15" ma:contentTypeDescription="Crear nuevo documento." ma:contentTypeScope="" ma:versionID="e501c23b91bbf1fc16edd6cfc163c67a">
  <xsd:schema xmlns:xsd="http://www.w3.org/2001/XMLSchema" xmlns:xs="http://www.w3.org/2001/XMLSchema" xmlns:p="http://schemas.microsoft.com/office/2006/metadata/properties" xmlns:ns3="32a80878-03fa-4896-a4e9-478740856d7e" xmlns:ns4="a7b2d42c-b9b1-4d82-9e05-4703e94bb160" targetNamespace="http://schemas.microsoft.com/office/2006/metadata/properties" ma:root="true" ma:fieldsID="9f25880665b3ab95a538209592707ca1" ns3:_="" ns4:_="">
    <xsd:import namespace="32a80878-03fa-4896-a4e9-478740856d7e"/>
    <xsd:import namespace="a7b2d42c-b9b1-4d82-9e05-4703e94bb160"/>
    <xsd:element name="properties">
      <xsd:complexType>
        <xsd:sequence>
          <xsd:element name="documentManagement">
            <xsd:complexType>
              <xsd:all>
                <xsd:element ref="ns3:MediaServiceMetadata" minOccurs="0"/>
                <xsd:element ref="ns3:MediaServiceFastMetadata" minOccurs="0"/>
                <xsd:element ref="ns3:_activity" minOccurs="0"/>
                <xsd:element ref="ns4:SharedWithUsers" minOccurs="0"/>
                <xsd:element ref="ns4:SharedWithDetails" minOccurs="0"/>
                <xsd:element ref="ns4:SharingHintHash" minOccurs="0"/>
                <xsd:element ref="ns3:MediaServiceObjectDetectorVersions" minOccurs="0"/>
                <xsd:element ref="ns3:MediaServiceAutoTags" minOccurs="0"/>
                <xsd:element ref="ns3:MediaLengthInSeconds" minOccurs="0"/>
                <xsd:element ref="ns3:MediaServiceDateTaken" minOccurs="0"/>
                <xsd:element ref="ns3:MediaServiceOCR" minOccurs="0"/>
                <xsd:element ref="ns3:MediaServiceGenerationTime" minOccurs="0"/>
                <xsd:element ref="ns3:MediaServiceEventHashCode"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a80878-03fa-4896-a4e9-478740856d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7b2d42c-b9b1-4d82-9e05-4703e94bb160"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SharingHintHash" ma:index="13"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58D823C-D927-4B3B-BAEE-F75D4E36CD58}">
  <ds:schemaRefs>
    <ds:schemaRef ds:uri="http://schemas.microsoft.com/sharepoint/v3/contenttype/forms"/>
  </ds:schemaRefs>
</ds:datastoreItem>
</file>

<file path=customXml/itemProps2.xml><?xml version="1.0" encoding="utf-8"?>
<ds:datastoreItem xmlns:ds="http://schemas.openxmlformats.org/officeDocument/2006/customXml" ds:itemID="{94AE7744-5C0C-4E34-B7CF-BA86CDFA9399}">
  <ds:schemaRefs>
    <ds:schemaRef ds:uri="http://www.w3.org/XML/1998/namespace"/>
    <ds:schemaRef ds:uri="http://schemas.openxmlformats.org/package/2006/metadata/core-properties"/>
    <ds:schemaRef ds:uri="http://schemas.microsoft.com/office/infopath/2007/PartnerControls"/>
    <ds:schemaRef ds:uri="http://purl.org/dc/terms/"/>
    <ds:schemaRef ds:uri="32a80878-03fa-4896-a4e9-478740856d7e"/>
    <ds:schemaRef ds:uri="http://schemas.microsoft.com/office/2006/metadata/properties"/>
    <ds:schemaRef ds:uri="http://schemas.microsoft.com/office/2006/documentManagement/types"/>
    <ds:schemaRef ds:uri="a7b2d42c-b9b1-4d82-9e05-4703e94bb160"/>
    <ds:schemaRef ds:uri="http://purl.org/dc/dcmitype/"/>
    <ds:schemaRef ds:uri="http://purl.org/dc/elements/1.1/"/>
  </ds:schemaRefs>
</ds:datastoreItem>
</file>

<file path=customXml/itemProps3.xml><?xml version="1.0" encoding="utf-8"?>
<ds:datastoreItem xmlns:ds="http://schemas.openxmlformats.org/officeDocument/2006/customXml" ds:itemID="{1FF20058-8041-49AB-98A6-5EFF23F7A8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a80878-03fa-4896-a4e9-478740856d7e"/>
    <ds:schemaRef ds:uri="a7b2d42c-b9b1-4d82-9e05-4703e94bb1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49</vt:i4>
      </vt:variant>
      <vt:variant>
        <vt:lpstr>Rangos con nombre</vt:lpstr>
      </vt:variant>
      <vt:variant>
        <vt:i4>2</vt:i4>
      </vt:variant>
    </vt:vector>
  </HeadingPairs>
  <TitlesOfParts>
    <vt:vector size="51" baseType="lpstr">
      <vt:lpstr>VARIABLES</vt:lpstr>
      <vt:lpstr>Hoja2</vt:lpstr>
      <vt:lpstr>Presupuesto General </vt:lpstr>
      <vt:lpstr>PPTO Detallado PCA AJUSTADO</vt:lpstr>
      <vt:lpstr>1. PERSONAL --&gt;</vt:lpstr>
      <vt:lpstr>1.1 Comparativo_Personal</vt:lpstr>
      <vt:lpstr>1.2 Resolucion 2157 DE 2024</vt:lpstr>
      <vt:lpstr>1.3 Fuentes_Personal</vt:lpstr>
      <vt:lpstr>2. ALIMENTACIÓN--&gt;</vt:lpstr>
      <vt:lpstr>2.1 Comparativo_Alimentación</vt:lpstr>
      <vt:lpstr>2.2 Fuentes_Alimentación</vt:lpstr>
      <vt:lpstr>3. LOGISTICA--&gt;</vt:lpstr>
      <vt:lpstr>3.1 Comparativo_Logística</vt:lpstr>
      <vt:lpstr>3.2 Fuentes_Logística</vt:lpstr>
      <vt:lpstr>4. TRANSPORTE --&gt;</vt:lpstr>
      <vt:lpstr>4.1 Comparativo_Transporte</vt:lpstr>
      <vt:lpstr>4.2 Fuentes_Transporte</vt:lpstr>
      <vt:lpstr>5. VIÁTICOS --&gt;</vt:lpstr>
      <vt:lpstr>HOSPEDAJE---&gt;</vt:lpstr>
      <vt:lpstr>COMPARATIV_HOSP</vt:lpstr>
      <vt:lpstr>OTRAS_REF_HOSPED</vt:lpstr>
      <vt:lpstr>5.1 Comparativo_Viáticos</vt:lpstr>
      <vt:lpstr>5.2 Fuentes_Viáticos</vt:lpstr>
      <vt:lpstr>6. GRUPO FOLCLORICO_ARMONIZ --&gt;</vt:lpstr>
      <vt:lpstr>6.1 Comparativo_Grupo_Armoniz</vt:lpstr>
      <vt:lpstr>6.2 Fuentes_Grupo_Folclor</vt:lpstr>
      <vt:lpstr>7. KIT_HERRAMIENTAS</vt:lpstr>
      <vt:lpstr>7.1 Comparativo_Kit_Herrami</vt:lpstr>
      <vt:lpstr>7.2 Fuentes_Kit_</vt:lpstr>
      <vt:lpstr>8. TALLERISTA---&gt; </vt:lpstr>
      <vt:lpstr>8.1 Comparativo_Tallerista</vt:lpstr>
      <vt:lpstr>8.1 Fuentes_Tallerista</vt:lpstr>
      <vt:lpstr>9. SABEDOR---&gt;</vt:lpstr>
      <vt:lpstr>9.1 Comparativo_Sabedor</vt:lpstr>
      <vt:lpstr>9.2 Fuentes_Sabedor</vt:lpstr>
      <vt:lpstr>10. GASTOS_ADMON---&gt;</vt:lpstr>
      <vt:lpstr>10.1 Comparativo_Gastos Admon</vt:lpstr>
      <vt:lpstr>10.2 Fuentes_Gastos_Admin</vt:lpstr>
      <vt:lpstr>Hoja18</vt:lpstr>
      <vt:lpstr>OF_ECO_OP_LOGISTICO_2025_CENTUR</vt:lpstr>
      <vt:lpstr>PCA --&gt;</vt:lpstr>
      <vt:lpstr>MINJUSTICIA_2024</vt:lpstr>
      <vt:lpstr>MINMINAS</vt:lpstr>
      <vt:lpstr>UARIV_2023</vt:lpstr>
      <vt:lpstr>MINAGRICULTURA</vt:lpstr>
      <vt:lpstr>OTROS PROCESOS</vt:lpstr>
      <vt:lpstr>OTROS PROCESOS_</vt:lpstr>
      <vt:lpstr>TIQUETES AEREOS</vt:lpstr>
      <vt:lpstr>OTROS</vt:lpstr>
      <vt:lpstr>OF_ECO_OP_LOGISTICO_2025_CENTUR!Área_de_impresión</vt:lpstr>
      <vt:lpstr>OF_ECO_OP_LOGISTICO_2025_CENTUR!Títulos_a_imprimir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FRANCY JOHANNA FLOREZ RAMIREZ</dc:creator>
  <cp:lastModifiedBy>FRANCY JOHANNA FLOREZ RAMIREZ</cp:lastModifiedBy>
  <dcterms:created xsi:type="dcterms:W3CDTF">2025-02-16T04:08:15Z</dcterms:created>
  <dcterms:modified xsi:type="dcterms:W3CDTF">2025-08-01T21:13:54Z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0x01010005B5609AE13F504B94227813C94333BC</vt:lpwstr>
  </property>
</Properties>
</file>