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transmilenio-my.sharepoint.com/personal/katherine_triana_transmilenio_gov_co/Documents/2025/TMSA-LP-04-2025/9. EVALUACIÓN DEFINITIVA/"/>
    </mc:Choice>
  </mc:AlternateContent>
  <xr:revisionPtr revIDLastSave="0" documentId="8_{0924F3E2-ADA3-4A22-A3B4-431C5C5E73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valuación" sheetId="5" r:id="rId1"/>
  </sheets>
  <definedNames>
    <definedName name="_xlnm.Print_Area" localSheetId="0">Evaluación!$A$1:$K$65</definedName>
    <definedName name="_xlnm.Print_Titles" localSheetId="0">Evaluación!$1:$2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7" i="5" l="1"/>
  <c r="B74" i="5"/>
  <c r="I62" i="5"/>
  <c r="H62" i="5"/>
  <c r="G62" i="5"/>
  <c r="F62" i="5"/>
  <c r="E62" i="5"/>
  <c r="I61" i="5"/>
  <c r="F61" i="5"/>
  <c r="E61" i="5"/>
  <c r="D61" i="5"/>
  <c r="B61" i="5"/>
  <c r="G61" i="5"/>
  <c r="D62" i="5"/>
  <c r="B62" i="5"/>
  <c r="B88" i="5" s="1"/>
  <c r="J41" i="5"/>
  <c r="B60" i="5"/>
  <c r="B73" i="5" s="1"/>
  <c r="D60" i="5"/>
  <c r="E60" i="5"/>
  <c r="F60" i="5"/>
  <c r="G60" i="5"/>
  <c r="I60" i="5"/>
  <c r="I59" i="5"/>
  <c r="F59" i="5"/>
  <c r="E59" i="5"/>
  <c r="D59" i="5"/>
  <c r="I58" i="5"/>
  <c r="F58" i="5"/>
  <c r="E58" i="5"/>
  <c r="D58" i="5"/>
  <c r="B56" i="5"/>
  <c r="B69" i="5" s="1"/>
  <c r="D56" i="5"/>
  <c r="E56" i="5"/>
  <c r="F56" i="5"/>
  <c r="G56" i="5"/>
  <c r="I56" i="5"/>
  <c r="B57" i="5"/>
  <c r="B70" i="5" s="1"/>
  <c r="D57" i="5"/>
  <c r="E57" i="5"/>
  <c r="F57" i="5"/>
  <c r="G57" i="5"/>
  <c r="I57" i="5"/>
  <c r="B34" i="5"/>
  <c r="J34" i="5"/>
  <c r="H56" i="5" s="1"/>
  <c r="B35" i="5"/>
  <c r="J35" i="5"/>
  <c r="H57" i="5" s="1"/>
  <c r="B55" i="5"/>
  <c r="B68" i="5" s="1"/>
  <c r="D55" i="5"/>
  <c r="E55" i="5"/>
  <c r="F55" i="5"/>
  <c r="G55" i="5"/>
  <c r="I55" i="5"/>
  <c r="B33" i="5"/>
  <c r="J33" i="5"/>
  <c r="H55" i="5" s="1"/>
  <c r="B54" i="5"/>
  <c r="B67" i="5" s="1"/>
  <c r="D54" i="5"/>
  <c r="E54" i="5"/>
  <c r="F54" i="5"/>
  <c r="G54" i="5"/>
  <c r="I54" i="5"/>
  <c r="B32" i="5"/>
  <c r="J32" i="5"/>
  <c r="H54" i="5" s="1"/>
  <c r="I53" i="5"/>
  <c r="F53" i="5"/>
  <c r="E53" i="5"/>
  <c r="D53" i="5"/>
  <c r="D48" i="5"/>
  <c r="J45" i="5"/>
  <c r="J44" i="5"/>
  <c r="B44" i="5"/>
  <c r="B40" i="5"/>
  <c r="J40" i="5"/>
  <c r="B59" i="5"/>
  <c r="B85" i="5" s="1"/>
  <c r="G59" i="5"/>
  <c r="B38" i="5"/>
  <c r="J38" i="5"/>
  <c r="J39" i="5"/>
  <c r="B58" i="5"/>
  <c r="B71" i="5" s="1"/>
  <c r="G58" i="5"/>
  <c r="B36" i="5"/>
  <c r="J36" i="5"/>
  <c r="H58" i="5" s="1"/>
  <c r="J37" i="5"/>
  <c r="B53" i="5"/>
  <c r="B75" i="5" l="1"/>
  <c r="B86" i="5"/>
  <c r="H60" i="5"/>
  <c r="H59" i="5"/>
  <c r="B82" i="5"/>
  <c r="B83" i="5"/>
  <c r="B81" i="5"/>
  <c r="B80" i="5"/>
  <c r="B72" i="5"/>
  <c r="B84" i="5"/>
  <c r="G53" i="5" l="1"/>
  <c r="B30" i="5"/>
  <c r="J43" i="5" l="1"/>
  <c r="J31" i="5" l="1"/>
  <c r="J30" i="5"/>
  <c r="H53" i="5" s="1"/>
  <c r="B42" i="5" l="1"/>
  <c r="J42" i="5"/>
  <c r="H61" i="5" s="1"/>
  <c r="B79" i="5" l="1"/>
  <c r="B66" i="5" l="1"/>
</calcChain>
</file>

<file path=xl/sharedStrings.xml><?xml version="1.0" encoding="utf-8"?>
<sst xmlns="http://schemas.openxmlformats.org/spreadsheetml/2006/main" count="187" uniqueCount="65">
  <si>
    <t>PROPONENTE</t>
  </si>
  <si>
    <t>INFORMACIÓN REQUERIDA</t>
  </si>
  <si>
    <t>INDICADOR</t>
  </si>
  <si>
    <t>ACTIVO TOTAL</t>
  </si>
  <si>
    <t>PASIVO TOTAL</t>
  </si>
  <si>
    <t>ACTIVO CORRIENTE</t>
  </si>
  <si>
    <t>PASIVO CORRIENTE</t>
  </si>
  <si>
    <t>CUMPLIMIENTO DE INDICADORES FINANCIEROS</t>
  </si>
  <si>
    <t>PERSONAS JURÍDICAS</t>
  </si>
  <si>
    <t>CUMPLE S/N</t>
  </si>
  <si>
    <t>RESULTADO FINAL</t>
  </si>
  <si>
    <t>(CUMPLE S/N)</t>
  </si>
  <si>
    <t xml:space="preserve">INFORMACIÓN        </t>
  </si>
  <si>
    <t>RUP</t>
  </si>
  <si>
    <t>UTILIDAD OPERACIONAL</t>
  </si>
  <si>
    <t>GASTOS DE INTERESES</t>
  </si>
  <si>
    <t>PATRIMONIO</t>
  </si>
  <si>
    <t>RUT</t>
  </si>
  <si>
    <t>REPRESENTANTE 
LEGAL</t>
  </si>
  <si>
    <t>Cédula representante legal</t>
  </si>
  <si>
    <t>OBSERVACIONES</t>
  </si>
  <si>
    <t>EL PROPONENTE:</t>
  </si>
  <si>
    <t xml:space="preserve"> DEBE REMITIR:</t>
  </si>
  <si>
    <t>OBSERVACION</t>
  </si>
  <si>
    <t>SI</t>
  </si>
  <si>
    <t>N/A</t>
  </si>
  <si>
    <t>CONTRATISTA DIRECCIÓN CORPORATIVA</t>
  </si>
  <si>
    <t>MIGUEL DARIO DUQUE VARGAS</t>
  </si>
  <si>
    <t>S</t>
  </si>
  <si>
    <t xml:space="preserve">CUMPLE CON LOS REQUISITOS FINANCIEROS Y ORGANIZACIONALES HABILITANTES </t>
  </si>
  <si>
    <t>VALOR PRESUPUESTO OFICIAL PROCESO</t>
  </si>
  <si>
    <t>CAPITAL DE TRABAJO TOTAL</t>
  </si>
  <si>
    <t>VERIFICACIÓN POLITICA SARLAFT
CUMPLE (S/N)</t>
  </si>
  <si>
    <t>Rentabilidad del Activo (&gt;= 2%)</t>
  </si>
  <si>
    <t>CUMPLE (S/N)</t>
  </si>
  <si>
    <t>EPYPSA SAS</t>
  </si>
  <si>
    <t>NELSON EVELIO LOPEZ GIL</t>
  </si>
  <si>
    <t>LOCITACIÓN PUBLICA No. TMSA-LP-04-2025</t>
  </si>
  <si>
    <t>Contratar el desarrollo de actividades de inspección general del estado de la infraestructura troncal
del Sistema TransMilenio bajo coordinación permanente de TRANSMILENIO S.A.</t>
  </si>
  <si>
    <t>indice de Liquidez
(&gt;= 1,62)</t>
  </si>
  <si>
    <t>Nivel de Endeudamiento (&lt;= 63,94%)</t>
  </si>
  <si>
    <t>Cobertura de Intereses (&gt;=1 O INDETERMINADO)</t>
  </si>
  <si>
    <t>Capital de Trabajo &gt;= $ 1.200.000.000</t>
  </si>
  <si>
    <t>Rentabilidad del Patrimonio
 (&gt;= 4%)</t>
  </si>
  <si>
    <t>CONSULTA POLITICA SARLAFT, FORMATO 6 Y FORMATO 8</t>
  </si>
  <si>
    <t>PAOLA MARÍA CRISTANCHO CHARRY</t>
  </si>
  <si>
    <t>CONSORCIO TRANSMILENIO V&amp;B
VELNEC S.A.   80%
VELNEC INGENIERIA S.A.S. BIC.  20%</t>
  </si>
  <si>
    <t>TPD INGENIERÍA S.A.S.</t>
  </si>
  <si>
    <t>ALFREDO ARDILA ARIZA</t>
  </si>
  <si>
    <t>OSCAR ANDRES RICO GÓMEZ</t>
  </si>
  <si>
    <t>ARDANUY INGENIERIA SA</t>
  </si>
  <si>
    <t>TF AUDITORES Y ASESORES S.A.S BIC</t>
  </si>
  <si>
    <t>MANUEL ANTONIO TIBAQUIRA</t>
  </si>
  <si>
    <t xml:space="preserve"> JESUS DAVID JUNCO RIVEIRA</t>
  </si>
  <si>
    <t>CONSORCIO FUERZA OPERATIVA INFRA-2025
SERVICIOS &amp; SOLUCIONES SEGURAS S.A.S    90%
INVERSIONES JUNCO MUTIS S.A.S.  10%</t>
  </si>
  <si>
    <t>ANTONIO ESTEBAN SÁNHEZ TORRES</t>
  </si>
  <si>
    <t>CONSORCIO VIGÍA TRONCAL 2025
HACE INGENIEROS S.A.S.    50%
TEA CONSULTORÍAS S.A.S.  50%</t>
  </si>
  <si>
    <t>MONICA LUCIA TORRES MATIZ</t>
  </si>
  <si>
    <t>CONSORCIO INSPECCION C&amp;C
C&amp;M CONSULTORES S.A.S.   50%
CONSULTORA CENTRAL S.A.S. - BIC.   50%</t>
  </si>
  <si>
    <t>Carlos Orlando Rodríguez Lesmes</t>
  </si>
  <si>
    <t>CONSORCIO NOVA TM
O &amp; P INGENIERIA S A S  60%
CYGNUS GESTIÓN Y PROYECTOS S.A.S   40%</t>
  </si>
  <si>
    <t>CONSORCIO TRANSMIPLAN
INGEPLAN.CO INFRAESTRUCTURA S.A.S. BIC  10%
INGEPLAN.CO S.A.S. BIC   90%</t>
  </si>
  <si>
    <t>JUAN PABLO MUÑOZ ANDRADE</t>
  </si>
  <si>
    <t xml:space="preserve">UNA VEZ REALIZADA  LA CONSULTA AMPLIADA ES POSIBLE ADVERTIR QUE QUE EL REPRESENTANTE LGAL NO TIENE INCAPACIDAD O INHABILIDAD LEGAL PARA CONTRATAR Y POR LO CONSIGUIENTE SE HABILITA AL CONSORCIO PARA CONTINUAR EN EL PROCESO  </t>
  </si>
  <si>
    <t xml:space="preserve">                         EVALUACIÓN DEFINITIVA DE REQUISITOS FINANCIEROS Y ORGANIZACIONALES HABILITANTES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</si>
</sst>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\ _p_t_a_-;\-* #,##0\ _p_t_a_-;_-* &quot;-&quot;\ _p_t_a_-;_-@_-"/>
    <numFmt numFmtId="166" formatCode="_-* #,##0.00\ &quot;pta&quot;_-;\-* #,##0.00\ &quot;pta&quot;_-;_-* &quot;-&quot;??\ &quot;pta&quot;_-;_-@_-"/>
    <numFmt numFmtId="167" formatCode="#,##0_ ;\-#,##0\ "/>
    <numFmt numFmtId="168" formatCode="_-* #,##0.00\ [$€-1]_-;\-* #,##0.00\ [$€-1]_-;_-* &quot;-&quot;??\ [$€-1]_-"/>
    <numFmt numFmtId="169" formatCode="[$$-240A]\ #,##0;[$$-240A]\ \-#,##0"/>
    <numFmt numFmtId="170" formatCode="_-* #,##0.0000\ _p_t_a_-;\-* #,##0.0000\ _p_t_a_-;_-* &quot;-&quot;????\ _p_t_a_-;_-@_-"/>
    <numFmt numFmtId="171" formatCode="[$$-240A]\ #,##0"/>
    <numFmt numFmtId="172" formatCode="_(* #,##0_);_(* \(#,##0\);_(* &quot;-&quot;??_);_(@_)"/>
  </numFmts>
  <fonts count="2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sz val="13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9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4"/>
      <name val="Arial"/>
      <family val="2"/>
    </font>
    <font>
      <b/>
      <sz val="11"/>
      <color indexed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b/>
      <sz val="14"/>
      <color rgb="FFFF0000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8" fontId="1" fillId="0" borderId="0" applyFont="0" applyFill="0" applyBorder="0" applyAlignment="0" applyProtection="0"/>
    <xf numFmtId="168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17" fillId="0" borderId="0" applyFont="0" applyFill="0" applyBorder="0" applyAlignment="0" applyProtection="0"/>
    <xf numFmtId="42" fontId="20" fillId="0" borderId="0" applyFont="0" applyFill="0" applyBorder="0" applyAlignment="0" applyProtection="0"/>
  </cellStyleXfs>
  <cellXfs count="146">
    <xf numFmtId="0" fontId="0" fillId="0" borderId="0" xfId="0"/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7" fontId="15" fillId="2" borderId="0" xfId="3" applyNumberFormat="1" applyFont="1" applyFill="1" applyBorder="1" applyAlignment="1">
      <alignment vertical="center"/>
    </xf>
    <xf numFmtId="0" fontId="1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165" fontId="7" fillId="2" borderId="0" xfId="3" applyFont="1" applyFill="1" applyBorder="1" applyAlignment="1">
      <alignment horizontal="right" vertical="center" wrapText="1"/>
    </xf>
    <xf numFmtId="0" fontId="8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justify" vertical="center"/>
    </xf>
    <xf numFmtId="0" fontId="19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72" fontId="18" fillId="2" borderId="0" xfId="8" applyNumberFormat="1" applyFont="1" applyFill="1" applyAlignment="1">
      <alignment vertical="center"/>
    </xf>
    <xf numFmtId="0" fontId="9" fillId="2" borderId="0" xfId="0" applyFont="1" applyFill="1" applyAlignment="1">
      <alignment vertical="center"/>
    </xf>
    <xf numFmtId="167" fontId="3" fillId="2" borderId="0" xfId="3" applyNumberFormat="1" applyFont="1" applyFill="1" applyBorder="1" applyAlignment="1">
      <alignment vertical="center"/>
    </xf>
    <xf numFmtId="165" fontId="4" fillId="2" borderId="0" xfId="3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165" fontId="3" fillId="2" borderId="0" xfId="3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 wrapText="1"/>
    </xf>
    <xf numFmtId="171" fontId="11" fillId="2" borderId="0" xfId="0" applyNumberFormat="1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170" fontId="12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4" fontId="9" fillId="2" borderId="0" xfId="3" applyNumberFormat="1" applyFont="1" applyFill="1" applyBorder="1" applyAlignment="1">
      <alignment horizontal="center" vertical="center"/>
    </xf>
    <xf numFmtId="10" fontId="9" fillId="2" borderId="0" xfId="6" applyNumberFormat="1" applyFont="1" applyFill="1" applyBorder="1" applyAlignment="1">
      <alignment horizontal="center" vertical="center"/>
    </xf>
    <xf numFmtId="10" fontId="4" fillId="2" borderId="0" xfId="6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vertical="center"/>
    </xf>
    <xf numFmtId="169" fontId="6" fillId="2" borderId="1" xfId="3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0" fillId="2" borderId="0" xfId="0" applyFill="1"/>
    <xf numFmtId="165" fontId="14" fillId="2" borderId="0" xfId="4" applyFont="1" applyFill="1" applyAlignment="1">
      <alignment horizontal="center" vertical="center"/>
    </xf>
    <xf numFmtId="0" fontId="18" fillId="2" borderId="0" xfId="0" applyFont="1" applyFill="1" applyAlignment="1">
      <alignment vertical="center" wrapText="1"/>
    </xf>
    <xf numFmtId="167" fontId="9" fillId="2" borderId="9" xfId="3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left" vertical="center"/>
    </xf>
    <xf numFmtId="0" fontId="14" fillId="0" borderId="11" xfId="0" applyFont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2" fontId="4" fillId="2" borderId="0" xfId="9" applyFont="1" applyFill="1" applyAlignment="1">
      <alignment vertical="center"/>
    </xf>
    <xf numFmtId="10" fontId="14" fillId="2" borderId="0" xfId="6" applyNumberFormat="1" applyFont="1" applyFill="1" applyBorder="1" applyAlignment="1">
      <alignment horizontal="center" vertical="center"/>
    </xf>
    <xf numFmtId="10" fontId="9" fillId="2" borderId="0" xfId="6" applyNumberFormat="1" applyFont="1" applyFill="1" applyBorder="1" applyAlignment="1">
      <alignment horizontal="left" vertical="center"/>
    </xf>
    <xf numFmtId="10" fontId="9" fillId="0" borderId="0" xfId="6" applyNumberFormat="1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167" fontId="9" fillId="2" borderId="10" xfId="3" applyNumberFormat="1" applyFont="1" applyFill="1" applyBorder="1" applyAlignment="1">
      <alignment horizontal="right" vertical="center" wrapText="1"/>
    </xf>
    <xf numFmtId="0" fontId="14" fillId="0" borderId="10" xfId="0" applyFont="1" applyBorder="1" applyAlignment="1">
      <alignment horizontal="center" vertical="center"/>
    </xf>
    <xf numFmtId="4" fontId="14" fillId="2" borderId="8" xfId="3" applyNumberFormat="1" applyFont="1" applyFill="1" applyBorder="1" applyAlignment="1">
      <alignment horizontal="center" vertical="center" wrapText="1"/>
    </xf>
    <xf numFmtId="10" fontId="9" fillId="2" borderId="9" xfId="6" applyNumberFormat="1" applyFont="1" applyFill="1" applyBorder="1" applyAlignment="1">
      <alignment horizontal="center" vertical="center"/>
    </xf>
    <xf numFmtId="2" fontId="9" fillId="2" borderId="9" xfId="0" applyNumberFormat="1" applyFont="1" applyFill="1" applyBorder="1" applyAlignment="1">
      <alignment horizontal="center" vertical="center"/>
    </xf>
    <xf numFmtId="167" fontId="9" fillId="2" borderId="9" xfId="3" applyNumberFormat="1" applyFont="1" applyFill="1" applyBorder="1" applyAlignment="1">
      <alignment horizontal="center" vertical="center"/>
    </xf>
    <xf numFmtId="169" fontId="14" fillId="2" borderId="9" xfId="3" applyNumberFormat="1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7" fontId="9" fillId="2" borderId="0" xfId="3" applyNumberFormat="1" applyFont="1" applyFill="1" applyBorder="1" applyAlignment="1">
      <alignment horizontal="right" vertical="center" wrapText="1"/>
    </xf>
    <xf numFmtId="0" fontId="14" fillId="0" borderId="22" xfId="0" applyFont="1" applyBorder="1" applyAlignment="1">
      <alignment horizontal="center" vertical="center"/>
    </xf>
    <xf numFmtId="169" fontId="14" fillId="2" borderId="1" xfId="3" applyNumberFormat="1" applyFont="1" applyFill="1" applyBorder="1" applyAlignment="1">
      <alignment horizontal="center" vertical="center" wrapText="1"/>
    </xf>
    <xf numFmtId="2" fontId="22" fillId="2" borderId="9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169" fontId="14" fillId="2" borderId="0" xfId="3" applyNumberFormat="1" applyFont="1" applyFill="1" applyBorder="1" applyAlignment="1">
      <alignment horizontal="center" vertical="center" wrapText="1"/>
    </xf>
    <xf numFmtId="169" fontId="14" fillId="2" borderId="24" xfId="3" applyNumberFormat="1" applyFont="1" applyFill="1" applyBorder="1" applyAlignment="1">
      <alignment horizontal="center" vertical="center" wrapText="1"/>
    </xf>
    <xf numFmtId="172" fontId="18" fillId="2" borderId="0" xfId="8" applyNumberFormat="1" applyFont="1" applyFill="1" applyBorder="1" applyAlignment="1">
      <alignment vertical="center"/>
    </xf>
    <xf numFmtId="167" fontId="9" fillId="2" borderId="16" xfId="3" applyNumberFormat="1" applyFont="1" applyFill="1" applyBorder="1" applyAlignment="1">
      <alignment horizontal="right" vertical="center" wrapText="1"/>
    </xf>
    <xf numFmtId="167" fontId="9" fillId="2" borderId="31" xfId="3" applyNumberFormat="1" applyFont="1" applyFill="1" applyBorder="1" applyAlignment="1">
      <alignment horizontal="right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49" fontId="9" fillId="2" borderId="9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10" fontId="9" fillId="2" borderId="9" xfId="6" applyNumberFormat="1" applyFont="1" applyFill="1" applyBorder="1" applyAlignment="1">
      <alignment horizontal="left" vertical="center" wrapText="1"/>
    </xf>
    <xf numFmtId="10" fontId="9" fillId="2" borderId="9" xfId="6" applyNumberFormat="1" applyFont="1" applyFill="1" applyBorder="1" applyAlignment="1">
      <alignment horizontal="left" vertical="center"/>
    </xf>
    <xf numFmtId="10" fontId="9" fillId="2" borderId="10" xfId="6" applyNumberFormat="1" applyFont="1" applyFill="1" applyBorder="1" applyAlignment="1">
      <alignment horizontal="left" vertical="center"/>
    </xf>
    <xf numFmtId="10" fontId="14" fillId="2" borderId="8" xfId="6" applyNumberFormat="1" applyFont="1" applyFill="1" applyBorder="1" applyAlignment="1">
      <alignment horizontal="center" vertical="center"/>
    </xf>
    <xf numFmtId="10" fontId="14" fillId="2" borderId="4" xfId="6" applyNumberFormat="1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left" vertical="center" wrapText="1"/>
    </xf>
    <xf numFmtId="0" fontId="14" fillId="2" borderId="22" xfId="0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horizontal="center" vertical="center"/>
    </xf>
    <xf numFmtId="169" fontId="14" fillId="2" borderId="9" xfId="3" applyNumberFormat="1" applyFont="1" applyFill="1" applyBorder="1" applyAlignment="1">
      <alignment horizontal="center" vertical="center" wrapText="1"/>
    </xf>
    <xf numFmtId="169" fontId="14" fillId="2" borderId="12" xfId="3" applyNumberFormat="1" applyFont="1" applyFill="1" applyBorder="1" applyAlignment="1">
      <alignment horizontal="center" vertical="center" wrapText="1"/>
    </xf>
    <xf numFmtId="169" fontId="14" fillId="2" borderId="17" xfId="3" applyNumberFormat="1" applyFont="1" applyFill="1" applyBorder="1" applyAlignment="1">
      <alignment horizontal="center" vertical="center" wrapText="1"/>
    </xf>
    <xf numFmtId="169" fontId="14" fillId="2" borderId="13" xfId="3" applyNumberFormat="1" applyFont="1" applyFill="1" applyBorder="1" applyAlignment="1">
      <alignment horizontal="center" vertical="center" wrapText="1"/>
    </xf>
    <xf numFmtId="169" fontId="14" fillId="2" borderId="18" xfId="3" applyNumberFormat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 wrapText="1"/>
    </xf>
    <xf numFmtId="169" fontId="14" fillId="2" borderId="15" xfId="3" applyNumberFormat="1" applyFont="1" applyFill="1" applyBorder="1" applyAlignment="1">
      <alignment horizontal="center" vertical="center" wrapText="1"/>
    </xf>
    <xf numFmtId="169" fontId="14" fillId="2" borderId="16" xfId="3" applyNumberFormat="1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3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9" fillId="2" borderId="0" xfId="0" quotePrefix="1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6" fillId="2" borderId="7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169" fontId="14" fillId="2" borderId="25" xfId="3" applyNumberFormat="1" applyFont="1" applyFill="1" applyBorder="1" applyAlignment="1">
      <alignment horizontal="center" vertical="center" wrapText="1"/>
    </xf>
    <xf numFmtId="169" fontId="14" fillId="2" borderId="26" xfId="3" applyNumberFormat="1" applyFont="1" applyFill="1" applyBorder="1" applyAlignment="1">
      <alignment horizontal="center" vertical="center" wrapText="1"/>
    </xf>
    <xf numFmtId="0" fontId="14" fillId="0" borderId="25" xfId="0" applyFont="1" applyBorder="1" applyAlignment="1">
      <alignment horizontal="left" vertical="center" wrapText="1"/>
    </xf>
    <xf numFmtId="0" fontId="14" fillId="0" borderId="22" xfId="0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14" fillId="2" borderId="4" xfId="0" applyFont="1" applyFill="1" applyBorder="1" applyAlignment="1">
      <alignment horizontal="center" vertical="center"/>
    </xf>
    <xf numFmtId="169" fontId="14" fillId="2" borderId="24" xfId="3" applyNumberFormat="1" applyFont="1" applyFill="1" applyBorder="1" applyAlignment="1">
      <alignment horizontal="center" vertical="center" wrapText="1"/>
    </xf>
  </cellXfs>
  <cellStyles count="10">
    <cellStyle name="Euro" xfId="1" xr:uid="{00000000-0005-0000-0000-000000000000}"/>
    <cellStyle name="Euro 2" xfId="2" xr:uid="{00000000-0005-0000-0000-000001000000}"/>
    <cellStyle name="Millares" xfId="8" builtinId="3"/>
    <cellStyle name="Millares [0]" xfId="3" builtinId="6"/>
    <cellStyle name="Millares [0] 2" xfId="4" xr:uid="{00000000-0005-0000-0000-000004000000}"/>
    <cellStyle name="Moneda [0]" xfId="9" builtinId="7"/>
    <cellStyle name="Moneda 2" xfId="5" xr:uid="{00000000-0005-0000-0000-000005000000}"/>
    <cellStyle name="Normal" xfId="0" builtinId="0"/>
    <cellStyle name="Porcentaje" xfId="6" builtinId="5"/>
    <cellStyle name="Porcentaje 2" xfId="7" xr:uid="{00000000-0005-0000-0000-000008000000}"/>
  </cellStyles>
  <dxfs count="0"/>
  <tableStyles count="1" defaultTableStyle="TableStyleMedium9" defaultPivotStyle="PivotStyleLight16">
    <tableStyle name="Invisible" pivot="0" table="0" count="0" xr9:uid="{07A231A4-DAB6-441B-B1FA-39F45508D21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272143</xdr:colOff>
      <xdr:row>0</xdr:row>
      <xdr:rowOff>372960</xdr:rowOff>
    </xdr:from>
    <xdr:to>
      <xdr:col>1</xdr:col>
      <xdr:colOff>1476375</xdr:colOff>
      <xdr:row>1</xdr:row>
      <xdr:rowOff>1254125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143" y="372960"/>
          <a:ext cx="1966232" cy="1516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L131"/>
  <sheetViews>
    <sheetView tabSelected="1" topLeftCell="A10" zoomScale="70" zoomScaleNormal="70" zoomScaleSheetLayoutView="70" workbookViewId="0">
      <selection activeCell="F5" sqref="F5"/>
    </sheetView>
  </sheetViews>
  <sheetFormatPr baseColWidth="10" defaultColWidth="11.42578125" defaultRowHeight="20.25" x14ac:dyDescent="0.2"/>
  <cols>
    <col min="1" max="1" width="11.42578125" style="16"/>
    <col min="2" max="2" width="24.85546875" style="16" customWidth="1"/>
    <col min="3" max="3" width="41.140625" style="16" customWidth="1"/>
    <col min="4" max="4" width="35.7109375" style="16" customWidth="1"/>
    <col min="5" max="5" width="29.42578125" style="16" customWidth="1"/>
    <col min="6" max="6" width="30.42578125" style="16" customWidth="1"/>
    <col min="7" max="7" width="29.85546875" style="16" customWidth="1"/>
    <col min="8" max="8" width="25.28515625" style="16" customWidth="1"/>
    <col min="9" max="10" width="26.140625" style="16" customWidth="1"/>
    <col min="11" max="11" width="25.140625" style="16" customWidth="1"/>
    <col min="12" max="12" width="25.140625" style="17" customWidth="1"/>
    <col min="13" max="16384" width="11.42578125" style="16"/>
  </cols>
  <sheetData>
    <row r="1" spans="1:12" ht="49.5" customHeight="1" x14ac:dyDescent="0.2">
      <c r="A1" s="112" t="s">
        <v>37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</row>
    <row r="2" spans="1:12" ht="116.1" customHeight="1" x14ac:dyDescent="0.2">
      <c r="A2" s="44"/>
      <c r="B2" s="44"/>
      <c r="C2" s="117" t="s">
        <v>38</v>
      </c>
      <c r="D2" s="117"/>
      <c r="E2" s="117"/>
      <c r="F2" s="117"/>
      <c r="G2" s="117"/>
      <c r="H2" s="117"/>
      <c r="I2" s="117"/>
      <c r="J2" s="117"/>
      <c r="K2" s="117"/>
    </row>
    <row r="3" spans="1:12" ht="39" customHeight="1" thickBot="1" x14ac:dyDescent="0.25">
      <c r="B3" s="116" t="s">
        <v>64</v>
      </c>
      <c r="C3" s="116"/>
      <c r="D3" s="116"/>
      <c r="E3" s="116"/>
      <c r="F3" s="116"/>
      <c r="G3" s="116"/>
      <c r="H3" s="116"/>
      <c r="I3" s="116"/>
      <c r="J3" s="116"/>
      <c r="K3" s="116"/>
    </row>
    <row r="4" spans="1:12" ht="33" customHeight="1" thickBot="1" x14ac:dyDescent="0.25">
      <c r="B4" s="118" t="s">
        <v>30</v>
      </c>
      <c r="C4" s="119"/>
      <c r="D4" s="39">
        <v>4000000000</v>
      </c>
      <c r="E4" s="14"/>
      <c r="F4" s="14"/>
      <c r="G4" s="14"/>
      <c r="H4" s="14"/>
      <c r="I4" s="14"/>
      <c r="J4" s="14"/>
      <c r="K4" s="1"/>
    </row>
    <row r="5" spans="1:12" ht="18" customHeight="1" x14ac:dyDescent="0.2">
      <c r="B5" s="22"/>
      <c r="C5" s="22"/>
      <c r="D5" s="23"/>
      <c r="E5" s="19"/>
      <c r="F5" s="21"/>
      <c r="G5" s="20"/>
      <c r="H5" s="20"/>
      <c r="I5" s="20"/>
      <c r="J5" s="20"/>
      <c r="K5" s="21"/>
    </row>
    <row r="6" spans="1:12" ht="18" customHeight="1" x14ac:dyDescent="0.2">
      <c r="B6" s="15" t="s">
        <v>1</v>
      </c>
      <c r="C6" s="21"/>
      <c r="D6" s="21"/>
      <c r="E6" s="49"/>
      <c r="F6" s="21"/>
      <c r="G6" s="21"/>
      <c r="H6" s="21"/>
      <c r="I6" s="21"/>
      <c r="J6" s="21"/>
      <c r="K6" s="21"/>
    </row>
    <row r="7" spans="1:12" ht="19.5" customHeight="1" thickBot="1" x14ac:dyDescent="0.25">
      <c r="B7" s="21"/>
      <c r="C7" s="24"/>
      <c r="D7" s="21"/>
      <c r="E7" s="21"/>
      <c r="F7" s="21"/>
      <c r="G7" s="21"/>
      <c r="H7" s="21"/>
      <c r="I7" s="21"/>
      <c r="J7" s="21"/>
      <c r="K7" s="21"/>
    </row>
    <row r="8" spans="1:12" ht="30" customHeight="1" x14ac:dyDescent="0.2">
      <c r="A8" s="84" t="s">
        <v>0</v>
      </c>
      <c r="B8" s="85"/>
      <c r="C8" s="85"/>
      <c r="D8" s="85" t="s">
        <v>18</v>
      </c>
      <c r="E8" s="115" t="s">
        <v>12</v>
      </c>
      <c r="F8" s="115"/>
      <c r="G8" s="115"/>
      <c r="H8" s="115"/>
      <c r="I8" s="85" t="s">
        <v>11</v>
      </c>
      <c r="J8" s="86"/>
      <c r="L8" s="16"/>
    </row>
    <row r="9" spans="1:12" ht="72" x14ac:dyDescent="0.2">
      <c r="A9" s="113"/>
      <c r="B9" s="114"/>
      <c r="C9" s="114"/>
      <c r="D9" s="114"/>
      <c r="E9" s="54" t="s">
        <v>44</v>
      </c>
      <c r="F9" s="56" t="s">
        <v>13</v>
      </c>
      <c r="G9" s="54" t="s">
        <v>17</v>
      </c>
      <c r="H9" s="54" t="s">
        <v>19</v>
      </c>
      <c r="I9" s="114"/>
      <c r="J9" s="120"/>
      <c r="L9" s="16"/>
    </row>
    <row r="10" spans="1:12" ht="60.75" customHeight="1" x14ac:dyDescent="0.2">
      <c r="A10" s="94">
        <v>1</v>
      </c>
      <c r="B10" s="81" t="s">
        <v>46</v>
      </c>
      <c r="C10" s="81"/>
      <c r="D10" s="95" t="s">
        <v>45</v>
      </c>
      <c r="E10" s="64" t="s">
        <v>24</v>
      </c>
      <c r="F10" s="64" t="s">
        <v>24</v>
      </c>
      <c r="G10" s="64" t="s">
        <v>24</v>
      </c>
      <c r="H10" s="64" t="s">
        <v>24</v>
      </c>
      <c r="I10" s="96" t="s">
        <v>28</v>
      </c>
      <c r="J10" s="97"/>
      <c r="L10" s="16"/>
    </row>
    <row r="11" spans="1:12" ht="60.75" customHeight="1" x14ac:dyDescent="0.2">
      <c r="A11" s="94"/>
      <c r="B11" s="81"/>
      <c r="C11" s="81"/>
      <c r="D11" s="95"/>
      <c r="E11" s="64" t="s">
        <v>24</v>
      </c>
      <c r="F11" s="64" t="s">
        <v>24</v>
      </c>
      <c r="G11" s="64" t="s">
        <v>24</v>
      </c>
      <c r="H11" s="64" t="s">
        <v>24</v>
      </c>
      <c r="I11" s="98"/>
      <c r="J11" s="99"/>
      <c r="L11" s="16"/>
    </row>
    <row r="12" spans="1:12" ht="60.75" customHeight="1" x14ac:dyDescent="0.2">
      <c r="A12" s="48">
        <v>2</v>
      </c>
      <c r="B12" s="92" t="s">
        <v>47</v>
      </c>
      <c r="C12" s="93"/>
      <c r="D12" s="64" t="s">
        <v>48</v>
      </c>
      <c r="E12" s="64" t="s">
        <v>24</v>
      </c>
      <c r="F12" s="64" t="s">
        <v>24</v>
      </c>
      <c r="G12" s="64" t="s">
        <v>24</v>
      </c>
      <c r="H12" s="64" t="s">
        <v>24</v>
      </c>
      <c r="I12" s="137" t="s">
        <v>28</v>
      </c>
      <c r="J12" s="138"/>
      <c r="L12" s="16"/>
    </row>
    <row r="13" spans="1:12" ht="60.75" customHeight="1" x14ac:dyDescent="0.2">
      <c r="A13" s="48">
        <v>3</v>
      </c>
      <c r="B13" s="92" t="s">
        <v>35</v>
      </c>
      <c r="C13" s="93"/>
      <c r="D13" s="74" t="s">
        <v>36</v>
      </c>
      <c r="E13" s="64" t="s">
        <v>24</v>
      </c>
      <c r="F13" s="64" t="s">
        <v>24</v>
      </c>
      <c r="G13" s="64" t="s">
        <v>24</v>
      </c>
      <c r="H13" s="64" t="s">
        <v>24</v>
      </c>
      <c r="I13" s="137" t="s">
        <v>28</v>
      </c>
      <c r="J13" s="138"/>
      <c r="L13" s="16"/>
    </row>
    <row r="14" spans="1:12" ht="60.75" customHeight="1" x14ac:dyDescent="0.2">
      <c r="A14" s="48">
        <v>4</v>
      </c>
      <c r="B14" s="92" t="s">
        <v>50</v>
      </c>
      <c r="C14" s="93"/>
      <c r="D14" s="64" t="s">
        <v>49</v>
      </c>
      <c r="E14" s="64" t="s">
        <v>24</v>
      </c>
      <c r="F14" s="64" t="s">
        <v>24</v>
      </c>
      <c r="G14" s="64" t="s">
        <v>24</v>
      </c>
      <c r="H14" s="64" t="s">
        <v>24</v>
      </c>
      <c r="I14" s="137" t="s">
        <v>28</v>
      </c>
      <c r="J14" s="138"/>
      <c r="L14" s="16"/>
    </row>
    <row r="15" spans="1:12" ht="60.75" customHeight="1" x14ac:dyDescent="0.2">
      <c r="A15" s="48">
        <v>5</v>
      </c>
      <c r="B15" s="92" t="s">
        <v>51</v>
      </c>
      <c r="C15" s="93"/>
      <c r="D15" s="74" t="s">
        <v>52</v>
      </c>
      <c r="E15" s="64" t="s">
        <v>24</v>
      </c>
      <c r="F15" s="64" t="s">
        <v>24</v>
      </c>
      <c r="G15" s="64" t="s">
        <v>24</v>
      </c>
      <c r="H15" s="64" t="s">
        <v>24</v>
      </c>
      <c r="I15" s="137" t="s">
        <v>28</v>
      </c>
      <c r="J15" s="138"/>
      <c r="L15" s="16"/>
    </row>
    <row r="16" spans="1:12" ht="60.75" customHeight="1" x14ac:dyDescent="0.2">
      <c r="A16" s="94">
        <v>6</v>
      </c>
      <c r="B16" s="81" t="s">
        <v>54</v>
      </c>
      <c r="C16" s="81"/>
      <c r="D16" s="95" t="s">
        <v>53</v>
      </c>
      <c r="E16" s="64" t="s">
        <v>24</v>
      </c>
      <c r="F16" s="64" t="s">
        <v>24</v>
      </c>
      <c r="G16" s="64" t="s">
        <v>24</v>
      </c>
      <c r="H16" s="64" t="s">
        <v>24</v>
      </c>
      <c r="I16" s="96" t="s">
        <v>28</v>
      </c>
      <c r="J16" s="97"/>
      <c r="L16" s="16"/>
    </row>
    <row r="17" spans="1:12" ht="60.75" customHeight="1" x14ac:dyDescent="0.2">
      <c r="A17" s="94"/>
      <c r="B17" s="81"/>
      <c r="C17" s="81"/>
      <c r="D17" s="95"/>
      <c r="E17" s="64" t="s">
        <v>24</v>
      </c>
      <c r="F17" s="64" t="s">
        <v>24</v>
      </c>
      <c r="G17" s="64" t="s">
        <v>24</v>
      </c>
      <c r="H17" s="64" t="s">
        <v>24</v>
      </c>
      <c r="I17" s="98"/>
      <c r="J17" s="99"/>
      <c r="L17" s="16"/>
    </row>
    <row r="18" spans="1:12" ht="60.75" customHeight="1" x14ac:dyDescent="0.2">
      <c r="A18" s="94">
        <v>7</v>
      </c>
      <c r="B18" s="81" t="s">
        <v>56</v>
      </c>
      <c r="C18" s="81"/>
      <c r="D18" s="95" t="s">
        <v>55</v>
      </c>
      <c r="E18" s="64" t="s">
        <v>24</v>
      </c>
      <c r="F18" s="64" t="s">
        <v>24</v>
      </c>
      <c r="G18" s="64" t="s">
        <v>24</v>
      </c>
      <c r="H18" s="64" t="s">
        <v>24</v>
      </c>
      <c r="I18" s="96" t="s">
        <v>28</v>
      </c>
      <c r="J18" s="97"/>
      <c r="L18" s="16"/>
    </row>
    <row r="19" spans="1:12" ht="60.75" customHeight="1" x14ac:dyDescent="0.2">
      <c r="A19" s="94"/>
      <c r="B19" s="81"/>
      <c r="C19" s="81"/>
      <c r="D19" s="95"/>
      <c r="E19" s="64" t="s">
        <v>24</v>
      </c>
      <c r="F19" s="64" t="s">
        <v>24</v>
      </c>
      <c r="G19" s="64" t="s">
        <v>24</v>
      </c>
      <c r="H19" s="64" t="s">
        <v>24</v>
      </c>
      <c r="I19" s="98"/>
      <c r="J19" s="99"/>
      <c r="L19" s="16"/>
    </row>
    <row r="20" spans="1:12" ht="60.75" customHeight="1" x14ac:dyDescent="0.2">
      <c r="A20" s="94">
        <v>8</v>
      </c>
      <c r="B20" s="81" t="s">
        <v>58</v>
      </c>
      <c r="C20" s="81"/>
      <c r="D20" s="105" t="s">
        <v>57</v>
      </c>
      <c r="E20" s="64" t="s">
        <v>24</v>
      </c>
      <c r="F20" s="64" t="s">
        <v>24</v>
      </c>
      <c r="G20" s="64" t="s">
        <v>24</v>
      </c>
      <c r="H20" s="64" t="s">
        <v>24</v>
      </c>
      <c r="I20" s="96" t="s">
        <v>28</v>
      </c>
      <c r="J20" s="97"/>
      <c r="L20" s="16"/>
    </row>
    <row r="21" spans="1:12" ht="60.75" customHeight="1" x14ac:dyDescent="0.2">
      <c r="A21" s="94"/>
      <c r="B21" s="81"/>
      <c r="C21" s="81"/>
      <c r="D21" s="106"/>
      <c r="E21" s="64" t="s">
        <v>24</v>
      </c>
      <c r="F21" s="64" t="s">
        <v>24</v>
      </c>
      <c r="G21" s="64" t="s">
        <v>24</v>
      </c>
      <c r="H21" s="64" t="s">
        <v>24</v>
      </c>
      <c r="I21" s="98"/>
      <c r="J21" s="99"/>
      <c r="L21" s="16"/>
    </row>
    <row r="22" spans="1:12" ht="60.75" customHeight="1" x14ac:dyDescent="0.2">
      <c r="A22" s="94">
        <v>9</v>
      </c>
      <c r="B22" s="81" t="s">
        <v>60</v>
      </c>
      <c r="C22" s="81"/>
      <c r="D22" s="105" t="s">
        <v>59</v>
      </c>
      <c r="E22" s="64" t="s">
        <v>24</v>
      </c>
      <c r="F22" s="64" t="s">
        <v>24</v>
      </c>
      <c r="G22" s="64" t="s">
        <v>24</v>
      </c>
      <c r="H22" s="64" t="s">
        <v>24</v>
      </c>
      <c r="I22" s="96" t="s">
        <v>28</v>
      </c>
      <c r="J22" s="97"/>
      <c r="L22" s="16"/>
    </row>
    <row r="23" spans="1:12" ht="60.75" customHeight="1" x14ac:dyDescent="0.2">
      <c r="A23" s="94"/>
      <c r="B23" s="81"/>
      <c r="C23" s="81"/>
      <c r="D23" s="145"/>
      <c r="E23" s="64" t="s">
        <v>24</v>
      </c>
      <c r="F23" s="64" t="s">
        <v>24</v>
      </c>
      <c r="G23" s="64" t="s">
        <v>24</v>
      </c>
      <c r="H23" s="64" t="s">
        <v>24</v>
      </c>
      <c r="I23" s="98"/>
      <c r="J23" s="99"/>
      <c r="L23" s="16"/>
    </row>
    <row r="24" spans="1:12" ht="60.75" customHeight="1" x14ac:dyDescent="0.2">
      <c r="A24" s="94">
        <v>10</v>
      </c>
      <c r="B24" s="81" t="s">
        <v>61</v>
      </c>
      <c r="C24" s="81"/>
      <c r="D24" s="105" t="s">
        <v>62</v>
      </c>
      <c r="E24" s="64" t="s">
        <v>24</v>
      </c>
      <c r="F24" s="64" t="s">
        <v>24</v>
      </c>
      <c r="G24" s="64" t="s">
        <v>24</v>
      </c>
      <c r="H24" s="64" t="s">
        <v>24</v>
      </c>
      <c r="I24" s="96" t="s">
        <v>28</v>
      </c>
      <c r="J24" s="97"/>
      <c r="L24" s="16"/>
    </row>
    <row r="25" spans="1:12" ht="60.75" customHeight="1" x14ac:dyDescent="0.2">
      <c r="A25" s="94"/>
      <c r="B25" s="81"/>
      <c r="C25" s="81"/>
      <c r="D25" s="106"/>
      <c r="E25" s="64" t="s">
        <v>24</v>
      </c>
      <c r="F25" s="64" t="s">
        <v>24</v>
      </c>
      <c r="G25" s="64" t="s">
        <v>24</v>
      </c>
      <c r="H25" s="64" t="s">
        <v>24</v>
      </c>
      <c r="I25" s="98"/>
      <c r="J25" s="99"/>
      <c r="L25" s="16"/>
    </row>
    <row r="27" spans="1:12" s="28" customFormat="1" ht="32.25" customHeight="1" x14ac:dyDescent="0.2">
      <c r="A27" s="16"/>
      <c r="B27" s="26"/>
      <c r="C27" s="27"/>
      <c r="D27" s="4"/>
      <c r="E27" s="5"/>
      <c r="F27" s="5"/>
      <c r="G27" s="3"/>
      <c r="H27" s="3"/>
      <c r="I27" s="3"/>
      <c r="J27" s="3"/>
      <c r="K27" s="2"/>
      <c r="L27" s="17"/>
    </row>
    <row r="28" spans="1:12" s="28" customFormat="1" ht="3" customHeight="1" thickBot="1" x14ac:dyDescent="0.25">
      <c r="B28" s="1"/>
      <c r="C28" s="1"/>
      <c r="D28" s="1"/>
      <c r="E28" s="7"/>
      <c r="F28" s="7"/>
      <c r="G28" s="7"/>
      <c r="H28" s="7"/>
      <c r="I28" s="7"/>
      <c r="J28" s="7"/>
      <c r="L28" s="17"/>
    </row>
    <row r="29" spans="1:12" s="28" customFormat="1" ht="67.5" customHeight="1" x14ac:dyDescent="0.2">
      <c r="A29" s="84" t="s">
        <v>0</v>
      </c>
      <c r="B29" s="85"/>
      <c r="C29" s="85"/>
      <c r="D29" s="53" t="s">
        <v>3</v>
      </c>
      <c r="E29" s="53" t="s">
        <v>4</v>
      </c>
      <c r="F29" s="53" t="s">
        <v>5</v>
      </c>
      <c r="G29" s="53" t="s">
        <v>6</v>
      </c>
      <c r="H29" s="53" t="s">
        <v>14</v>
      </c>
      <c r="I29" s="53" t="s">
        <v>15</v>
      </c>
      <c r="J29" s="57" t="s">
        <v>16</v>
      </c>
      <c r="L29" s="17"/>
    </row>
    <row r="30" spans="1:12" s="28" customFormat="1" ht="61.5" customHeight="1" x14ac:dyDescent="0.2">
      <c r="A30" s="100">
        <v>1</v>
      </c>
      <c r="B30" s="101" t="str">
        <f>B10</f>
        <v>CONSORCIO TRANSMILENIO V&amp;B
VELNEC S.A.   80%
VELNEC INGENIERIA S.A.S. BIC.  20%</v>
      </c>
      <c r="C30" s="102"/>
      <c r="D30" s="45">
        <v>12912030475</v>
      </c>
      <c r="E30" s="45">
        <v>6555227238</v>
      </c>
      <c r="F30" s="45">
        <v>8525638381</v>
      </c>
      <c r="G30" s="45">
        <v>4428896977</v>
      </c>
      <c r="H30" s="45">
        <v>956086279</v>
      </c>
      <c r="I30" s="45">
        <v>47043341</v>
      </c>
      <c r="J30" s="58">
        <f t="shared" ref="J30:J31" si="0">D30-E30</f>
        <v>6356803237</v>
      </c>
      <c r="L30" s="17"/>
    </row>
    <row r="31" spans="1:12" s="28" customFormat="1" ht="61.5" customHeight="1" x14ac:dyDescent="0.2">
      <c r="A31" s="100"/>
      <c r="B31" s="103"/>
      <c r="C31" s="104"/>
      <c r="D31" s="45">
        <v>790210984</v>
      </c>
      <c r="E31" s="45">
        <v>172790459</v>
      </c>
      <c r="F31" s="45">
        <v>581910984</v>
      </c>
      <c r="G31" s="45">
        <v>172790459</v>
      </c>
      <c r="H31" s="45">
        <v>71066525</v>
      </c>
      <c r="I31" s="45">
        <v>315431</v>
      </c>
      <c r="J31" s="58">
        <f t="shared" si="0"/>
        <v>617420525</v>
      </c>
      <c r="L31" s="17"/>
    </row>
    <row r="32" spans="1:12" s="28" customFormat="1" ht="61.5" customHeight="1" x14ac:dyDescent="0.2">
      <c r="A32" s="47">
        <v>2</v>
      </c>
      <c r="B32" s="139" t="str">
        <f>B12</f>
        <v>TPD INGENIERÍA S.A.S.</v>
      </c>
      <c r="C32" s="140"/>
      <c r="D32" s="45">
        <v>6839603771</v>
      </c>
      <c r="E32" s="45">
        <v>2410938351</v>
      </c>
      <c r="F32" s="45">
        <v>2405824595</v>
      </c>
      <c r="G32" s="45">
        <v>767809974</v>
      </c>
      <c r="H32" s="45">
        <v>1471362236</v>
      </c>
      <c r="I32" s="45">
        <v>46063138</v>
      </c>
      <c r="J32" s="58">
        <f t="shared" ref="J32" si="1">D32-E32</f>
        <v>4428665420</v>
      </c>
      <c r="L32" s="17"/>
    </row>
    <row r="33" spans="1:12" s="28" customFormat="1" ht="61.5" customHeight="1" x14ac:dyDescent="0.2">
      <c r="A33" s="47">
        <v>3</v>
      </c>
      <c r="B33" s="139" t="str">
        <f>B13</f>
        <v>EPYPSA SAS</v>
      </c>
      <c r="C33" s="140"/>
      <c r="D33" s="45">
        <v>2274133520</v>
      </c>
      <c r="E33" s="45">
        <v>1361198051</v>
      </c>
      <c r="F33" s="45">
        <v>2274133520</v>
      </c>
      <c r="G33" s="45">
        <v>915557894</v>
      </c>
      <c r="H33" s="45">
        <v>525979423</v>
      </c>
      <c r="I33" s="45">
        <v>7520710</v>
      </c>
      <c r="J33" s="58">
        <f t="shared" ref="J33" si="2">D33-E33</f>
        <v>912935469</v>
      </c>
      <c r="L33" s="17"/>
    </row>
    <row r="34" spans="1:12" s="28" customFormat="1" ht="61.5" customHeight="1" x14ac:dyDescent="0.2">
      <c r="A34" s="47">
        <v>4</v>
      </c>
      <c r="B34" s="139" t="str">
        <f>B14</f>
        <v>ARDANUY INGENIERIA SA</v>
      </c>
      <c r="C34" s="140"/>
      <c r="D34" s="45">
        <v>88150775070.360001</v>
      </c>
      <c r="E34" s="45">
        <v>22999312064.400002</v>
      </c>
      <c r="F34" s="45">
        <v>80666256454.520004</v>
      </c>
      <c r="G34" s="45">
        <v>22999312064.400002</v>
      </c>
      <c r="H34" s="45">
        <v>24699426482.610001</v>
      </c>
      <c r="I34" s="45">
        <v>39648.93</v>
      </c>
      <c r="J34" s="58">
        <f t="shared" ref="J34:J35" si="3">D34-E34</f>
        <v>65151463005.959999</v>
      </c>
      <c r="L34" s="17"/>
    </row>
    <row r="35" spans="1:12" s="28" customFormat="1" ht="61.5" customHeight="1" x14ac:dyDescent="0.2">
      <c r="A35" s="47">
        <v>5</v>
      </c>
      <c r="B35" s="139" t="str">
        <f>B15</f>
        <v>TF AUDITORES Y ASESORES S.A.S BIC</v>
      </c>
      <c r="C35" s="140"/>
      <c r="D35" s="45">
        <v>7450139982</v>
      </c>
      <c r="E35" s="45">
        <v>3447331323</v>
      </c>
      <c r="F35" s="45">
        <v>7186892884</v>
      </c>
      <c r="G35" s="45">
        <v>2234519467</v>
      </c>
      <c r="H35" s="45">
        <v>1335407356</v>
      </c>
      <c r="I35" s="45">
        <v>126599099</v>
      </c>
      <c r="J35" s="58">
        <f t="shared" si="3"/>
        <v>4002808659</v>
      </c>
      <c r="L35" s="17"/>
    </row>
    <row r="36" spans="1:12" s="28" customFormat="1" ht="61.5" customHeight="1" x14ac:dyDescent="0.2">
      <c r="A36" s="100">
        <v>6</v>
      </c>
      <c r="B36" s="101" t="str">
        <f>B16</f>
        <v>CONSORCIO FUERZA OPERATIVA INFRA-2025
SERVICIOS &amp; SOLUCIONES SEGURAS S.A.S    90%
INVERSIONES JUNCO MUTIS S.A.S.  10%</v>
      </c>
      <c r="C36" s="102"/>
      <c r="D36" s="45">
        <v>14585083441</v>
      </c>
      <c r="E36" s="45">
        <v>4001475632</v>
      </c>
      <c r="F36" s="45">
        <v>10175325422</v>
      </c>
      <c r="G36" s="45">
        <v>797688632</v>
      </c>
      <c r="H36" s="45">
        <v>20570002712</v>
      </c>
      <c r="I36" s="45">
        <v>61914594</v>
      </c>
      <c r="J36" s="58">
        <f t="shared" ref="J36:J37" si="4">D36-E36</f>
        <v>10583607809</v>
      </c>
      <c r="L36" s="17"/>
    </row>
    <row r="37" spans="1:12" s="28" customFormat="1" ht="61.5" customHeight="1" x14ac:dyDescent="0.2">
      <c r="A37" s="100"/>
      <c r="B37" s="103"/>
      <c r="C37" s="104"/>
      <c r="D37" s="45">
        <v>3360432682</v>
      </c>
      <c r="E37" s="45">
        <v>2408077651</v>
      </c>
      <c r="F37" s="45">
        <v>2290721755</v>
      </c>
      <c r="G37" s="45">
        <v>89260815</v>
      </c>
      <c r="H37" s="45">
        <v>840106452</v>
      </c>
      <c r="I37" s="45">
        <v>9053268</v>
      </c>
      <c r="J37" s="58">
        <f t="shared" si="4"/>
        <v>952355031</v>
      </c>
      <c r="L37" s="17"/>
    </row>
    <row r="38" spans="1:12" s="28" customFormat="1" ht="61.5" customHeight="1" x14ac:dyDescent="0.2">
      <c r="A38" s="100">
        <v>7</v>
      </c>
      <c r="B38" s="101" t="str">
        <f>B18</f>
        <v>CONSORCIO VIGÍA TRONCAL 2025
HACE INGENIEROS S.A.S.    50%
TEA CONSULTORÍAS S.A.S.  50%</v>
      </c>
      <c r="C38" s="102"/>
      <c r="D38" s="45">
        <v>5678207357</v>
      </c>
      <c r="E38" s="45">
        <v>2537493604</v>
      </c>
      <c r="F38" s="45">
        <v>5556309628</v>
      </c>
      <c r="G38" s="45">
        <v>499356048</v>
      </c>
      <c r="H38" s="45">
        <v>607416868</v>
      </c>
      <c r="I38" s="45">
        <v>17373</v>
      </c>
      <c r="J38" s="58">
        <f t="shared" ref="J38:J39" si="5">D38-E38</f>
        <v>3140713753</v>
      </c>
      <c r="L38" s="17"/>
    </row>
    <row r="39" spans="1:12" s="28" customFormat="1" ht="61.5" customHeight="1" x14ac:dyDescent="0.2">
      <c r="A39" s="100"/>
      <c r="B39" s="103"/>
      <c r="C39" s="104"/>
      <c r="D39" s="45">
        <v>1493446679</v>
      </c>
      <c r="E39" s="45">
        <v>851093741</v>
      </c>
      <c r="F39" s="45">
        <v>1319914905</v>
      </c>
      <c r="G39" s="45">
        <v>501253689</v>
      </c>
      <c r="H39" s="45">
        <v>169635716</v>
      </c>
      <c r="I39" s="45">
        <v>104759615</v>
      </c>
      <c r="J39" s="58">
        <f t="shared" si="5"/>
        <v>642352938</v>
      </c>
      <c r="L39" s="17"/>
    </row>
    <row r="40" spans="1:12" s="28" customFormat="1" ht="61.5" customHeight="1" x14ac:dyDescent="0.2">
      <c r="A40" s="111">
        <v>8</v>
      </c>
      <c r="B40" s="101" t="str">
        <f>B20</f>
        <v>CONSORCIO INSPECCION C&amp;C
C&amp;M CONSULTORES S.A.S.   50%
CONSULTORA CENTRAL S.A.S. - BIC.   50%</v>
      </c>
      <c r="C40" s="102"/>
      <c r="D40" s="76">
        <v>32703019746</v>
      </c>
      <c r="E40" s="76">
        <v>6533053871</v>
      </c>
      <c r="F40" s="76">
        <v>21442671491</v>
      </c>
      <c r="G40" s="76">
        <v>6489808610</v>
      </c>
      <c r="H40" s="76">
        <v>1538405349</v>
      </c>
      <c r="I40" s="76">
        <v>7581081.6200000001</v>
      </c>
      <c r="J40" s="77">
        <f t="shared" ref="J40" si="6">D40-E40</f>
        <v>26169965875</v>
      </c>
      <c r="L40" s="17"/>
    </row>
    <row r="41" spans="1:12" s="28" customFormat="1" ht="61.5" customHeight="1" x14ac:dyDescent="0.2">
      <c r="A41" s="111"/>
      <c r="B41" s="109"/>
      <c r="C41" s="110"/>
      <c r="D41" s="45">
        <v>4205401013</v>
      </c>
      <c r="E41" s="45">
        <v>2964541071</v>
      </c>
      <c r="F41" s="45">
        <v>4205401013</v>
      </c>
      <c r="G41" s="45">
        <v>2964541071</v>
      </c>
      <c r="H41" s="45">
        <v>562638767</v>
      </c>
      <c r="I41" s="45">
        <v>0.89</v>
      </c>
      <c r="J41" s="58">
        <f>D41-E41</f>
        <v>1240859942</v>
      </c>
      <c r="L41" s="17"/>
    </row>
    <row r="42" spans="1:12" s="28" customFormat="1" ht="61.5" customHeight="1" x14ac:dyDescent="0.2">
      <c r="A42" s="121">
        <v>9</v>
      </c>
      <c r="B42" s="122" t="str">
        <f>B22</f>
        <v>CONSORCIO NOVA TM
O &amp; P INGENIERIA S A S  60%
CYGNUS GESTIÓN Y PROYECTOS S.A.S   40%</v>
      </c>
      <c r="C42" s="122"/>
      <c r="D42" s="45">
        <v>17358737500</v>
      </c>
      <c r="E42" s="45">
        <v>9397165948</v>
      </c>
      <c r="F42" s="45">
        <v>7909230554</v>
      </c>
      <c r="G42" s="45">
        <v>2131405492</v>
      </c>
      <c r="H42" s="45">
        <v>535567856</v>
      </c>
      <c r="I42" s="45">
        <v>450000000</v>
      </c>
      <c r="J42" s="58">
        <f t="shared" ref="J42:J45" si="7">D42-E42</f>
        <v>7961571552</v>
      </c>
      <c r="L42" s="17"/>
    </row>
    <row r="43" spans="1:12" s="28" customFormat="1" ht="61.5" customHeight="1" x14ac:dyDescent="0.2">
      <c r="A43" s="121"/>
      <c r="B43" s="122"/>
      <c r="C43" s="122"/>
      <c r="D43" s="45">
        <v>323274858</v>
      </c>
      <c r="E43" s="45">
        <v>6801028</v>
      </c>
      <c r="F43" s="45">
        <v>176344546</v>
      </c>
      <c r="G43" s="45">
        <v>5880567</v>
      </c>
      <c r="H43" s="45">
        <v>99661817</v>
      </c>
      <c r="I43" s="45">
        <v>0</v>
      </c>
      <c r="J43" s="58">
        <f t="shared" ref="J43" si="8">D43-E43</f>
        <v>316473830</v>
      </c>
      <c r="L43" s="17"/>
    </row>
    <row r="44" spans="1:12" s="28" customFormat="1" ht="61.5" customHeight="1" x14ac:dyDescent="0.2">
      <c r="A44" s="107">
        <v>10</v>
      </c>
      <c r="B44" s="101" t="str">
        <f>B24</f>
        <v>CONSORCIO TRANSMIPLAN
INGEPLAN.CO INFRAESTRUCTURA S.A.S. BIC  10%
INGEPLAN.CO S.A.S. BIC   90%</v>
      </c>
      <c r="C44" s="102"/>
      <c r="D44" s="45">
        <v>778709321</v>
      </c>
      <c r="E44" s="45">
        <v>185843472</v>
      </c>
      <c r="F44" s="45">
        <v>688709321</v>
      </c>
      <c r="G44" s="45">
        <v>150494634</v>
      </c>
      <c r="H44" s="45">
        <v>792835095</v>
      </c>
      <c r="I44" s="45">
        <v>0</v>
      </c>
      <c r="J44" s="45">
        <f t="shared" si="7"/>
        <v>592865849</v>
      </c>
      <c r="L44" s="17"/>
    </row>
    <row r="45" spans="1:12" s="28" customFormat="1" ht="61.5" customHeight="1" x14ac:dyDescent="0.2">
      <c r="A45" s="108"/>
      <c r="B45" s="109"/>
      <c r="C45" s="110"/>
      <c r="D45" s="45">
        <v>9944663819</v>
      </c>
      <c r="E45" s="45">
        <v>4972331881</v>
      </c>
      <c r="F45" s="45">
        <v>9859108911</v>
      </c>
      <c r="G45" s="45">
        <v>1611761851</v>
      </c>
      <c r="H45" s="45">
        <v>3113043560</v>
      </c>
      <c r="I45" s="45">
        <v>221961072</v>
      </c>
      <c r="J45" s="45">
        <f t="shared" si="7"/>
        <v>4972331938</v>
      </c>
      <c r="L45" s="17"/>
    </row>
    <row r="46" spans="1:12" s="28" customFormat="1" ht="24" customHeight="1" x14ac:dyDescent="0.2">
      <c r="A46" s="66"/>
      <c r="B46" s="67"/>
      <c r="C46" s="67"/>
      <c r="D46" s="68"/>
      <c r="E46" s="68"/>
      <c r="F46" s="68"/>
      <c r="G46" s="68"/>
      <c r="H46" s="68"/>
      <c r="I46" s="68"/>
      <c r="J46" s="68"/>
      <c r="L46" s="17"/>
    </row>
    <row r="47" spans="1:12" s="9" customFormat="1" ht="20.100000000000001" customHeight="1" thickBot="1" x14ac:dyDescent="0.25">
      <c r="A47" s="16"/>
      <c r="B47" s="46" t="s">
        <v>7</v>
      </c>
      <c r="C47" s="29"/>
      <c r="D47" s="30"/>
      <c r="E47" s="16"/>
      <c r="F47" s="31"/>
      <c r="G47" s="8"/>
      <c r="H47" s="8"/>
      <c r="I47" s="8"/>
      <c r="J47" s="8"/>
      <c r="K47" s="16"/>
      <c r="L47" s="11"/>
    </row>
    <row r="48" spans="1:12" s="9" customFormat="1" ht="45.75" customHeight="1" thickBot="1" x14ac:dyDescent="0.25">
      <c r="A48" s="16"/>
      <c r="B48" s="141" t="s">
        <v>31</v>
      </c>
      <c r="C48" s="142"/>
      <c r="D48" s="70">
        <f>D4*30%</f>
        <v>1200000000</v>
      </c>
      <c r="E48" s="8"/>
      <c r="F48" s="8"/>
      <c r="G48" s="8"/>
      <c r="H48" s="8"/>
      <c r="I48" s="8"/>
      <c r="J48" s="8"/>
      <c r="K48" s="16"/>
      <c r="L48" s="11"/>
    </row>
    <row r="49" spans="1:12" s="9" customFormat="1" ht="25.5" customHeight="1" x14ac:dyDescent="0.2">
      <c r="A49" s="16"/>
      <c r="B49" s="72"/>
      <c r="C49" s="72"/>
      <c r="D49" s="73"/>
      <c r="E49" s="8"/>
      <c r="F49" s="8"/>
      <c r="G49" s="8"/>
      <c r="H49" s="8"/>
      <c r="I49" s="8"/>
      <c r="J49" s="8"/>
      <c r="K49" s="16"/>
      <c r="L49" s="11"/>
    </row>
    <row r="50" spans="1:12" s="9" customFormat="1" ht="21" thickBot="1" x14ac:dyDescent="0.25">
      <c r="A50" s="28"/>
      <c r="B50" s="143" t="s">
        <v>8</v>
      </c>
      <c r="C50" s="143"/>
      <c r="D50" s="143"/>
      <c r="E50" s="7"/>
      <c r="F50" s="7"/>
      <c r="G50" s="7"/>
      <c r="H50" s="7"/>
      <c r="I50" s="7"/>
      <c r="J50" s="7"/>
      <c r="K50" s="28"/>
      <c r="L50" s="17"/>
    </row>
    <row r="51" spans="1:12" s="9" customFormat="1" ht="32.25" customHeight="1" x14ac:dyDescent="0.2">
      <c r="A51" s="131" t="s">
        <v>0</v>
      </c>
      <c r="B51" s="132"/>
      <c r="C51" s="133"/>
      <c r="D51" s="115" t="s">
        <v>2</v>
      </c>
      <c r="E51" s="115"/>
      <c r="F51" s="115"/>
      <c r="G51" s="115"/>
      <c r="H51" s="115"/>
      <c r="I51" s="115"/>
      <c r="J51" s="115"/>
      <c r="K51" s="144"/>
      <c r="L51" s="17"/>
    </row>
    <row r="52" spans="1:12" s="9" customFormat="1" ht="102" customHeight="1" x14ac:dyDescent="0.2">
      <c r="A52" s="134"/>
      <c r="B52" s="135"/>
      <c r="C52" s="136"/>
      <c r="D52" s="80" t="s">
        <v>40</v>
      </c>
      <c r="E52" s="56" t="s">
        <v>39</v>
      </c>
      <c r="F52" s="80" t="s">
        <v>41</v>
      </c>
      <c r="G52" s="80" t="s">
        <v>42</v>
      </c>
      <c r="H52" s="56" t="s">
        <v>43</v>
      </c>
      <c r="I52" s="56" t="s">
        <v>33</v>
      </c>
      <c r="J52" s="78" t="s">
        <v>32</v>
      </c>
      <c r="K52" s="79" t="s">
        <v>34</v>
      </c>
      <c r="L52" s="17"/>
    </row>
    <row r="53" spans="1:12" s="9" customFormat="1" ht="70.5" customHeight="1" x14ac:dyDescent="0.2">
      <c r="A53" s="47">
        <v>1</v>
      </c>
      <c r="B53" s="81" t="str">
        <f>B10</f>
        <v>CONSORCIO TRANSMILENIO V&amp;B
VELNEC S.A.   80%
VELNEC INGENIERIA S.A.S. BIC.  20%</v>
      </c>
      <c r="C53" s="81"/>
      <c r="D53" s="61">
        <f>(((E30*0.8)+(E31*0.2))/((D30*0.8)+(D31*0.2)))</f>
        <v>0.50332834702022455</v>
      </c>
      <c r="E53" s="62">
        <f>((F30*0.8)+(F31*0.2))/((G30*0.8)+(G31*0.2))</f>
        <v>1.9389384435195627</v>
      </c>
      <c r="F53" s="62">
        <f>(((H30*0.8)+(H31*0.2))/((I30*0.8)+(I31*0.2)))</f>
        <v>20.666542226024628</v>
      </c>
      <c r="G53" s="63">
        <f>(F31-G31)+(F30-G30)</f>
        <v>4505861929</v>
      </c>
      <c r="H53" s="61">
        <f>(((H30*0.8)+(H31*0.2))/((J30*0.8)+(J360*0.2)))</f>
        <v>0.15319852981788934</v>
      </c>
      <c r="I53" s="61">
        <f>((H30*0.8)+(H31*0.2))/((D30*0.8)+(D31*0.2))</f>
        <v>7.4285573677888031E-2</v>
      </c>
      <c r="J53" s="65" t="s">
        <v>28</v>
      </c>
      <c r="K53" s="59" t="s">
        <v>28</v>
      </c>
      <c r="L53" s="17"/>
    </row>
    <row r="54" spans="1:12" s="9" customFormat="1" ht="70.5" customHeight="1" x14ac:dyDescent="0.2">
      <c r="A54" s="47">
        <v>2</v>
      </c>
      <c r="B54" s="81" t="str">
        <f>B12</f>
        <v>TPD INGENIERÍA S.A.S.</v>
      </c>
      <c r="C54" s="81"/>
      <c r="D54" s="61">
        <f>(((E32))/((D32)))</f>
        <v>0.35249678661538947</v>
      </c>
      <c r="E54" s="62">
        <f>((F32))/((G32))</f>
        <v>3.1333593942086511</v>
      </c>
      <c r="F54" s="71">
        <f>(((H32))/((I32)))</f>
        <v>31.942292685313795</v>
      </c>
      <c r="G54" s="63">
        <f>((F32-G32))</f>
        <v>1638014621</v>
      </c>
      <c r="H54" s="61">
        <f>(((H32))/((J32)))</f>
        <v>0.3322360342136661</v>
      </c>
      <c r="I54" s="61">
        <f>((H32))/((D32))</f>
        <v>0.21512389975550822</v>
      </c>
      <c r="J54" s="65" t="s">
        <v>28</v>
      </c>
      <c r="K54" s="59" t="s">
        <v>28</v>
      </c>
      <c r="L54" s="17"/>
    </row>
    <row r="55" spans="1:12" s="9" customFormat="1" ht="70.5" customHeight="1" x14ac:dyDescent="0.2">
      <c r="A55" s="47">
        <v>3</v>
      </c>
      <c r="B55" s="81" t="str">
        <f>B13</f>
        <v>EPYPSA SAS</v>
      </c>
      <c r="C55" s="81"/>
      <c r="D55" s="61">
        <f>(((E33))/((D33)))</f>
        <v>0.59855678614683983</v>
      </c>
      <c r="E55" s="62">
        <f>((F33))/((G33))</f>
        <v>2.4838773548928628</v>
      </c>
      <c r="F55" s="71">
        <f>(((H33))/((I33)))</f>
        <v>69.937469068744832</v>
      </c>
      <c r="G55" s="63">
        <f>((F33-G33))</f>
        <v>1358575626</v>
      </c>
      <c r="H55" s="61">
        <f>(((H33))/((J33)))</f>
        <v>0.57614085645740198</v>
      </c>
      <c r="I55" s="61">
        <f>((H33))/((D33))</f>
        <v>0.23128783704837172</v>
      </c>
      <c r="J55" s="65" t="s">
        <v>28</v>
      </c>
      <c r="K55" s="59" t="s">
        <v>28</v>
      </c>
      <c r="L55" s="17"/>
    </row>
    <row r="56" spans="1:12" s="9" customFormat="1" ht="70.5" customHeight="1" x14ac:dyDescent="0.2">
      <c r="A56" s="47">
        <v>4</v>
      </c>
      <c r="B56" s="81" t="str">
        <f>B14</f>
        <v>ARDANUY INGENIERIA SA</v>
      </c>
      <c r="C56" s="81"/>
      <c r="D56" s="61">
        <f>(((E34))/((D34)))</f>
        <v>0.26090879003664413</v>
      </c>
      <c r="E56" s="62">
        <f>((F34))/((G34))</f>
        <v>3.5073334466982198</v>
      </c>
      <c r="F56" s="71">
        <f>(((H34))/((I34)))</f>
        <v>622953.1662672864</v>
      </c>
      <c r="G56" s="63">
        <f>((F34-G34))</f>
        <v>57666944390.120003</v>
      </c>
      <c r="H56" s="61">
        <f>(((H34))/((J34)))</f>
        <v>0.37910777967258413</v>
      </c>
      <c r="I56" s="61">
        <f>((H34))/((D34))</f>
        <v>0.28019522758473153</v>
      </c>
      <c r="J56" s="65" t="s">
        <v>28</v>
      </c>
      <c r="K56" s="59" t="s">
        <v>28</v>
      </c>
      <c r="L56" s="17"/>
    </row>
    <row r="57" spans="1:12" s="9" customFormat="1" ht="70.5" customHeight="1" x14ac:dyDescent="0.2">
      <c r="A57" s="47">
        <v>5</v>
      </c>
      <c r="B57" s="81" t="str">
        <f>B15</f>
        <v>TF AUDITORES Y ASESORES S.A.S BIC</v>
      </c>
      <c r="C57" s="81"/>
      <c r="D57" s="61">
        <f>(((E35))/((D35)))</f>
        <v>0.46272034234644799</v>
      </c>
      <c r="E57" s="62">
        <f>((F35))/((G35))</f>
        <v>3.2163035454101059</v>
      </c>
      <c r="F57" s="71">
        <f>(((H35))/((I35)))</f>
        <v>10.548316429961321</v>
      </c>
      <c r="G57" s="63">
        <f>((F35-G35))</f>
        <v>4952373417</v>
      </c>
      <c r="H57" s="61">
        <f>(((H35))/((J35)))</f>
        <v>0.33361758449218942</v>
      </c>
      <c r="I57" s="61">
        <f>((H35))/((D35))</f>
        <v>0.17924594158316851</v>
      </c>
      <c r="J57" s="65" t="s">
        <v>28</v>
      </c>
      <c r="K57" s="59" t="s">
        <v>28</v>
      </c>
      <c r="L57" s="17"/>
    </row>
    <row r="58" spans="1:12" s="9" customFormat="1" ht="70.5" customHeight="1" x14ac:dyDescent="0.2">
      <c r="A58" s="47">
        <v>6</v>
      </c>
      <c r="B58" s="81" t="str">
        <f>B16</f>
        <v>CONSORCIO FUERZA OPERATIVA INFRA-2025
SERVICIOS &amp; SOLUCIONES SEGURAS S.A.S    90%
INVERSIONES JUNCO MUTIS S.A.S.  10%</v>
      </c>
      <c r="C58" s="81"/>
      <c r="D58" s="61">
        <f>(((E36*0.9)+(E37*0.1))/((D36*0.9)+(D37*0.1)))</f>
        <v>0.285392910183075</v>
      </c>
      <c r="E58" s="62">
        <f>((F36*0.9)+(F37*0.1))/((G36*0.9)+(G37*0.1))</f>
        <v>12.914519703766135</v>
      </c>
      <c r="F58" s="62">
        <f>(((H36*0.9)+(H37*0.1))/((I36*0.9)+(I37*0.1)))</f>
        <v>328.40399732280207</v>
      </c>
      <c r="G58" s="63">
        <f>(F37-G37)+(F36-G36)</f>
        <v>11579097730</v>
      </c>
      <c r="H58" s="61">
        <f>(((H36*0.9)+(H37*0.1))/((J36*0.9)+(H38*0.1)))</f>
        <v>1.9400203400087148</v>
      </c>
      <c r="I58" s="61">
        <f>((H36*0.9)+(H37*0.1))/((D36*0.9)+(D37*0.1))</f>
        <v>1.3813815842993973</v>
      </c>
      <c r="J58" s="65" t="s">
        <v>28</v>
      </c>
      <c r="K58" s="59" t="s">
        <v>28</v>
      </c>
      <c r="L58" s="17"/>
    </row>
    <row r="59" spans="1:12" s="9" customFormat="1" ht="70.5" customHeight="1" x14ac:dyDescent="0.2">
      <c r="A59" s="47">
        <v>7</v>
      </c>
      <c r="B59" s="81" t="str">
        <f>B18</f>
        <v>CONSORCIO VIGÍA TRONCAL 2025
HACE INGENIEROS S.A.S.    50%
TEA CONSULTORÍAS S.A.S.  50%</v>
      </c>
      <c r="C59" s="81"/>
      <c r="D59" s="61">
        <f>(((E38*0.5)+(E39*0.5))/((D38*0.5)+(D39*0.5)))</f>
        <v>0.47249732460463045</v>
      </c>
      <c r="E59" s="62">
        <f>((F38*0.5)+(F39*0.5))/((G38*0.5)+(G39*0.5))</f>
        <v>6.8720343993614366</v>
      </c>
      <c r="F59" s="62">
        <f>(((H38*0.5)+(H39*0.5))/((I38*0.5)+(I39*0.5)))</f>
        <v>7.4162523549541239</v>
      </c>
      <c r="G59" s="63">
        <f>(F39-G39)+(F38-G38)</f>
        <v>5875614796</v>
      </c>
      <c r="H59" s="61">
        <f>(((H38*0.5)+(H39*0.5))/((J38*0.5)+(J39*0.5)))</f>
        <v>0.20540282460487028</v>
      </c>
      <c r="I59" s="61">
        <f>((H38*0.5)+(H39*0.5))/((D38*0.5)+(D39*0.5))</f>
        <v>0.10835053951283492</v>
      </c>
      <c r="J59" s="65" t="s">
        <v>28</v>
      </c>
      <c r="K59" s="59" t="s">
        <v>28</v>
      </c>
      <c r="L59" s="17"/>
    </row>
    <row r="60" spans="1:12" s="9" customFormat="1" ht="84.75" customHeight="1" x14ac:dyDescent="0.2">
      <c r="A60" s="69">
        <v>8</v>
      </c>
      <c r="B60" s="81" t="str">
        <f>B20</f>
        <v>CONSORCIO INSPECCION C&amp;C
C&amp;M CONSULTORES S.A.S.   50%
CONSULTORA CENTRAL S.A.S. - BIC.   50%</v>
      </c>
      <c r="C60" s="81"/>
      <c r="D60" s="61">
        <f>(((E40*0.5)+(E41*0.5))/((D40*0.5)+(D41*0.5)))</f>
        <v>0.25732867315066688</v>
      </c>
      <c r="E60" s="62">
        <f>((F40*0.5)+(F41*0.5))/((G40*0.5)+(G41*0.5))</f>
        <v>2.7128330736003798</v>
      </c>
      <c r="F60" s="62">
        <f>(((H40*0.5)+(H41*0.5))/((I40*0.5)+(I41*0.5)))</f>
        <v>277.14302188751668</v>
      </c>
      <c r="G60" s="63">
        <f>(F41-G41)+(F40-G40)</f>
        <v>16193722823</v>
      </c>
      <c r="H60" s="61">
        <f>(((H40*0.5)+(H41*0.5))/((J40*0.5)+(J41*0.5)))</f>
        <v>7.6650157497150165E-2</v>
      </c>
      <c r="I60" s="61">
        <f>((H40*0.5)+(H41*0.5))/((D40*0.5)+(D41*0.5))</f>
        <v>5.6925874171618873E-2</v>
      </c>
      <c r="J60" s="65" t="s">
        <v>28</v>
      </c>
      <c r="K60" s="59" t="s">
        <v>28</v>
      </c>
      <c r="L60" s="17"/>
    </row>
    <row r="61" spans="1:12" s="9" customFormat="1" ht="84.75" customHeight="1" x14ac:dyDescent="0.2">
      <c r="A61" s="69">
        <v>9</v>
      </c>
      <c r="B61" s="81" t="str">
        <f>B22</f>
        <v>CONSORCIO NOVA TM
O &amp; P INGENIERIA S A S  60%
CYGNUS GESTIÓN Y PROYECTOS S.A.S   40%</v>
      </c>
      <c r="C61" s="81"/>
      <c r="D61" s="61">
        <f>(((E42*0.6)+(E43*0.4))/((D42*0.6)+(D43*0.4)))</f>
        <v>0.53497007202404268</v>
      </c>
      <c r="E61" s="62">
        <f>((F42*0.6)+(F43*0.4))/((G42*0.6)+(G43*0.4))</f>
        <v>3.7590485356067296</v>
      </c>
      <c r="F61" s="62">
        <f>(((H42*0.6)+(H43*0.4))/((I42*0.6)+(I43*0.4)))</f>
        <v>1.3377979274074072</v>
      </c>
      <c r="G61" s="63">
        <f>(F43-G43)+(F42-G42)</f>
        <v>5948289041</v>
      </c>
      <c r="H61" s="61">
        <f>(((H42*0.6)+(H43*0.4))/((J42*0.6)+(J43*0.4)))</f>
        <v>7.3662292053896322E-2</v>
      </c>
      <c r="I61" s="61">
        <f>((H42*0.6)+(H43*0.4))/((D42*0.6)+(D43*0.4))</f>
        <v>3.4255170368367331E-2</v>
      </c>
      <c r="J61" s="65" t="s">
        <v>28</v>
      </c>
      <c r="K61" s="59" t="s">
        <v>28</v>
      </c>
      <c r="L61" s="17"/>
    </row>
    <row r="62" spans="1:12" s="9" customFormat="1" ht="84.75" customHeight="1" x14ac:dyDescent="0.2">
      <c r="A62" s="69">
        <v>10</v>
      </c>
      <c r="B62" s="92" t="str">
        <f>B24</f>
        <v>CONSORCIO TRANSMIPLAN
INGEPLAN.CO INFRAESTRUCTURA S.A.S. BIC  10%
INGEPLAN.CO S.A.S. BIC   90%</v>
      </c>
      <c r="C62" s="93"/>
      <c r="D62" s="61">
        <f>(((E44*0.1)+(E45*0.9))/((D44*0.1)+(D45*0.9)))</f>
        <v>0.49774579193823681</v>
      </c>
      <c r="E62" s="62">
        <f>((F44*0.1)+(F45*0.9))/((G44*0.1)+(G45*0.9))</f>
        <v>6.1011562654552423</v>
      </c>
      <c r="F62" s="71">
        <f>(((H44*0.1)+(H45*0.9))/((I44*0.1)+(I45*0.9)))</f>
        <v>14.4220620286666</v>
      </c>
      <c r="G62" s="63">
        <f>((F45-G45)+(F44-G44))</f>
        <v>8785561747</v>
      </c>
      <c r="H62" s="61">
        <f>(((H44*0.1)+(H45*0.9))/((J44*0.1)+(J45*0.9)))</f>
        <v>0.63537227306437039</v>
      </c>
      <c r="I62" s="61">
        <f>((H44*0.1)+(H45*0.9))/((D44*0.1)+(D45*0.9))</f>
        <v>0.31911839783234763</v>
      </c>
      <c r="J62" s="65" t="s">
        <v>28</v>
      </c>
      <c r="K62" s="59" t="s">
        <v>28</v>
      </c>
      <c r="L62" s="17"/>
    </row>
    <row r="63" spans="1:12" s="9" customFormat="1" ht="42.75" customHeight="1" x14ac:dyDescent="0.2">
      <c r="B63" s="13" t="s">
        <v>10</v>
      </c>
      <c r="C63" s="12"/>
      <c r="D63" s="34"/>
      <c r="E63" s="35"/>
      <c r="F63" s="18"/>
      <c r="G63" s="18"/>
      <c r="H63" s="18"/>
      <c r="I63" s="18"/>
      <c r="J63" s="18"/>
      <c r="K63" s="18"/>
      <c r="L63" s="17"/>
    </row>
    <row r="64" spans="1:12" s="9" customFormat="1" ht="42.75" customHeight="1" thickBot="1" x14ac:dyDescent="0.25">
      <c r="B64" s="12"/>
      <c r="C64" s="12"/>
      <c r="D64" s="34"/>
      <c r="E64" s="35"/>
      <c r="F64" s="18"/>
      <c r="G64" s="33"/>
      <c r="H64" s="33"/>
      <c r="I64" s="33"/>
      <c r="J64" s="33"/>
      <c r="K64" s="18"/>
      <c r="L64" s="17"/>
    </row>
    <row r="65" spans="1:12" s="9" customFormat="1" ht="42.75" customHeight="1" x14ac:dyDescent="0.2">
      <c r="A65" s="84" t="s">
        <v>0</v>
      </c>
      <c r="B65" s="85"/>
      <c r="C65" s="85"/>
      <c r="D65" s="60" t="s">
        <v>9</v>
      </c>
      <c r="E65" s="90" t="s">
        <v>23</v>
      </c>
      <c r="F65" s="90"/>
      <c r="G65" s="90"/>
      <c r="H65" s="90"/>
      <c r="I65" s="91"/>
      <c r="J65" s="50"/>
      <c r="K65" s="18"/>
      <c r="L65" s="17"/>
    </row>
    <row r="66" spans="1:12" s="9" customFormat="1" ht="72.75" customHeight="1" x14ac:dyDescent="0.2">
      <c r="A66" s="48">
        <v>1</v>
      </c>
      <c r="B66" s="81" t="str">
        <f t="shared" ref="B66:B74" si="9">B53</f>
        <v>CONSORCIO TRANSMILENIO V&amp;B
VELNEC S.A.   80%
VELNEC INGENIERIA S.A.S. BIC.  20%</v>
      </c>
      <c r="C66" s="81"/>
      <c r="D66" s="55" t="s">
        <v>28</v>
      </c>
      <c r="E66" s="87" t="s">
        <v>29</v>
      </c>
      <c r="F66" s="88"/>
      <c r="G66" s="88"/>
      <c r="H66" s="88"/>
      <c r="I66" s="89"/>
      <c r="J66" s="51"/>
      <c r="K66" s="18"/>
      <c r="L66" s="17"/>
    </row>
    <row r="67" spans="1:12" s="9" customFormat="1" ht="72.75" customHeight="1" x14ac:dyDescent="0.2">
      <c r="A67" s="48">
        <v>2</v>
      </c>
      <c r="B67" s="81" t="str">
        <f t="shared" si="9"/>
        <v>TPD INGENIERÍA S.A.S.</v>
      </c>
      <c r="C67" s="81"/>
      <c r="D67" s="55" t="s">
        <v>28</v>
      </c>
      <c r="E67" s="87" t="s">
        <v>29</v>
      </c>
      <c r="F67" s="88"/>
      <c r="G67" s="88"/>
      <c r="H67" s="88"/>
      <c r="I67" s="89"/>
      <c r="J67" s="51"/>
      <c r="K67" s="18"/>
      <c r="L67" s="17"/>
    </row>
    <row r="68" spans="1:12" s="9" customFormat="1" ht="72.75" customHeight="1" x14ac:dyDescent="0.2">
      <c r="A68" s="48">
        <v>3</v>
      </c>
      <c r="B68" s="81" t="str">
        <f t="shared" si="9"/>
        <v>EPYPSA SAS</v>
      </c>
      <c r="C68" s="81"/>
      <c r="D68" s="55" t="s">
        <v>28</v>
      </c>
      <c r="E68" s="87" t="s">
        <v>29</v>
      </c>
      <c r="F68" s="88"/>
      <c r="G68" s="88"/>
      <c r="H68" s="88"/>
      <c r="I68" s="89"/>
      <c r="J68" s="51"/>
      <c r="K68" s="18"/>
      <c r="L68" s="17"/>
    </row>
    <row r="69" spans="1:12" s="9" customFormat="1" ht="72.75" customHeight="1" x14ac:dyDescent="0.2">
      <c r="A69" s="48">
        <v>4</v>
      </c>
      <c r="B69" s="81" t="str">
        <f t="shared" si="9"/>
        <v>ARDANUY INGENIERIA SA</v>
      </c>
      <c r="C69" s="81"/>
      <c r="D69" s="55" t="s">
        <v>28</v>
      </c>
      <c r="E69" s="87" t="s">
        <v>29</v>
      </c>
      <c r="F69" s="88"/>
      <c r="G69" s="88"/>
      <c r="H69" s="88"/>
      <c r="I69" s="89"/>
      <c r="J69" s="51"/>
      <c r="K69" s="18"/>
      <c r="L69" s="17"/>
    </row>
    <row r="70" spans="1:12" s="9" customFormat="1" ht="72.75" customHeight="1" x14ac:dyDescent="0.2">
      <c r="A70" s="48">
        <v>5</v>
      </c>
      <c r="B70" s="81" t="str">
        <f t="shared" si="9"/>
        <v>TF AUDITORES Y ASESORES S.A.S BIC</v>
      </c>
      <c r="C70" s="81"/>
      <c r="D70" s="55" t="s">
        <v>28</v>
      </c>
      <c r="E70" s="87" t="s">
        <v>29</v>
      </c>
      <c r="F70" s="88"/>
      <c r="G70" s="88"/>
      <c r="H70" s="88"/>
      <c r="I70" s="89"/>
      <c r="J70" s="51"/>
      <c r="K70" s="18"/>
      <c r="L70" s="17"/>
    </row>
    <row r="71" spans="1:12" s="9" customFormat="1" ht="72.75" customHeight="1" x14ac:dyDescent="0.2">
      <c r="A71" s="48">
        <v>6</v>
      </c>
      <c r="B71" s="81" t="str">
        <f t="shared" si="9"/>
        <v>CONSORCIO FUERZA OPERATIVA INFRA-2025
SERVICIOS &amp; SOLUCIONES SEGURAS S.A.S    90%
INVERSIONES JUNCO MUTIS S.A.S.  10%</v>
      </c>
      <c r="C71" s="81"/>
      <c r="D71" s="55" t="s">
        <v>28</v>
      </c>
      <c r="E71" s="87" t="s">
        <v>29</v>
      </c>
      <c r="F71" s="88"/>
      <c r="G71" s="88"/>
      <c r="H71" s="88"/>
      <c r="I71" s="89"/>
      <c r="J71" s="51"/>
      <c r="K71" s="18"/>
      <c r="L71" s="17"/>
    </row>
    <row r="72" spans="1:12" s="9" customFormat="1" ht="72.75" customHeight="1" x14ac:dyDescent="0.2">
      <c r="A72" s="48">
        <v>7</v>
      </c>
      <c r="B72" s="81" t="str">
        <f t="shared" si="9"/>
        <v>CONSORCIO VIGÍA TRONCAL 2025
HACE INGENIEROS S.A.S.    50%
TEA CONSULTORÍAS S.A.S.  50%</v>
      </c>
      <c r="C72" s="81"/>
      <c r="D72" s="55" t="s">
        <v>28</v>
      </c>
      <c r="E72" s="87" t="s">
        <v>29</v>
      </c>
      <c r="F72" s="88"/>
      <c r="G72" s="88"/>
      <c r="H72" s="88"/>
      <c r="I72" s="89"/>
      <c r="J72" s="51"/>
      <c r="K72" s="18"/>
      <c r="L72" s="17"/>
    </row>
    <row r="73" spans="1:12" s="9" customFormat="1" ht="84" customHeight="1" x14ac:dyDescent="0.2">
      <c r="A73" s="48">
        <v>8</v>
      </c>
      <c r="B73" s="81" t="str">
        <f t="shared" si="9"/>
        <v>CONSORCIO INSPECCION C&amp;C
C&amp;M CONSULTORES S.A.S.   50%
CONSULTORA CENTRAL S.A.S. - BIC.   50%</v>
      </c>
      <c r="C73" s="81"/>
      <c r="D73" s="55" t="s">
        <v>28</v>
      </c>
      <c r="E73" s="87" t="s">
        <v>29</v>
      </c>
      <c r="F73" s="88"/>
      <c r="G73" s="88"/>
      <c r="H73" s="88"/>
      <c r="I73" s="89"/>
      <c r="J73" s="52"/>
      <c r="K73" s="18"/>
      <c r="L73" s="17"/>
    </row>
    <row r="74" spans="1:12" s="9" customFormat="1" ht="84" customHeight="1" x14ac:dyDescent="0.2">
      <c r="A74" s="48">
        <v>9</v>
      </c>
      <c r="B74" s="81" t="str">
        <f t="shared" si="9"/>
        <v>CONSORCIO NOVA TM
O &amp; P INGENIERIA S A S  60%
CYGNUS GESTIÓN Y PROYECTOS S.A.S   40%</v>
      </c>
      <c r="C74" s="81"/>
      <c r="D74" s="55" t="s">
        <v>28</v>
      </c>
      <c r="E74" s="87" t="s">
        <v>29</v>
      </c>
      <c r="F74" s="88"/>
      <c r="G74" s="88"/>
      <c r="H74" s="88"/>
      <c r="I74" s="89"/>
      <c r="J74" s="51"/>
      <c r="K74" s="18"/>
      <c r="L74" s="17"/>
    </row>
    <row r="75" spans="1:12" s="9" customFormat="1" ht="84" customHeight="1" x14ac:dyDescent="0.2">
      <c r="A75" s="48">
        <v>10</v>
      </c>
      <c r="B75" s="81" t="str">
        <f t="shared" ref="B75" si="10">B62</f>
        <v>CONSORCIO TRANSMIPLAN
INGEPLAN.CO INFRAESTRUCTURA S.A.S. BIC  10%
INGEPLAN.CO S.A.S. BIC   90%</v>
      </c>
      <c r="C75" s="81"/>
      <c r="D75" s="55" t="s">
        <v>28</v>
      </c>
      <c r="E75" s="87" t="s">
        <v>29</v>
      </c>
      <c r="F75" s="88"/>
      <c r="G75" s="88"/>
      <c r="H75" s="88"/>
      <c r="I75" s="89"/>
      <c r="J75" s="51"/>
      <c r="K75" s="18"/>
      <c r="L75" s="17"/>
    </row>
    <row r="76" spans="1:12" ht="27" customHeight="1" thickBot="1" x14ac:dyDescent="0.25">
      <c r="A76" s="9"/>
      <c r="B76" s="10"/>
      <c r="C76" s="10"/>
      <c r="D76" s="11"/>
      <c r="E76" s="36"/>
      <c r="F76" s="37"/>
      <c r="G76" s="32"/>
      <c r="H76" s="32"/>
      <c r="I76" s="32"/>
      <c r="J76" s="32"/>
      <c r="K76" s="9"/>
    </row>
    <row r="77" spans="1:12" ht="25.5" customHeight="1" x14ac:dyDescent="0.2">
      <c r="A77" s="84" t="s">
        <v>20</v>
      </c>
      <c r="B77" s="85"/>
      <c r="C77" s="85"/>
      <c r="D77" s="85"/>
      <c r="E77" s="85"/>
      <c r="F77" s="85"/>
      <c r="G77" s="85"/>
      <c r="H77" s="86"/>
      <c r="I77" s="32"/>
      <c r="J77" s="32"/>
      <c r="K77" s="9"/>
    </row>
    <row r="78" spans="1:12" ht="24.75" customHeight="1" x14ac:dyDescent="0.2">
      <c r="A78" s="113" t="s">
        <v>21</v>
      </c>
      <c r="B78" s="114"/>
      <c r="C78" s="114"/>
      <c r="D78" s="124" t="s">
        <v>22</v>
      </c>
      <c r="E78" s="124"/>
      <c r="F78" s="124"/>
      <c r="G78" s="124"/>
      <c r="H78" s="125"/>
      <c r="I78" s="32"/>
      <c r="J78" s="32"/>
      <c r="K78" s="9"/>
    </row>
    <row r="79" spans="1:12" ht="64.5" customHeight="1" x14ac:dyDescent="0.2">
      <c r="A79" s="48">
        <v>1</v>
      </c>
      <c r="B79" s="81" t="str">
        <f t="shared" ref="B79:B87" si="11">+B53</f>
        <v>CONSORCIO TRANSMILENIO V&amp;B
VELNEC S.A.   80%
VELNEC INGENIERIA S.A.S. BIC.  20%</v>
      </c>
      <c r="C79" s="81"/>
      <c r="D79" s="82" t="s">
        <v>25</v>
      </c>
      <c r="E79" s="82"/>
      <c r="F79" s="82"/>
      <c r="G79" s="82"/>
      <c r="H79" s="83"/>
      <c r="I79" s="32"/>
      <c r="J79" s="32"/>
      <c r="K79" s="9"/>
    </row>
    <row r="80" spans="1:12" ht="64.5" customHeight="1" x14ac:dyDescent="0.2">
      <c r="A80" s="48">
        <v>2</v>
      </c>
      <c r="B80" s="81" t="str">
        <f t="shared" si="11"/>
        <v>TPD INGENIERÍA S.A.S.</v>
      </c>
      <c r="C80" s="81"/>
      <c r="D80" s="82" t="s">
        <v>25</v>
      </c>
      <c r="E80" s="82"/>
      <c r="F80" s="82"/>
      <c r="G80" s="82"/>
      <c r="H80" s="83"/>
      <c r="I80" s="32"/>
      <c r="J80" s="32"/>
      <c r="K80" s="9"/>
    </row>
    <row r="81" spans="1:12" ht="64.5" customHeight="1" x14ac:dyDescent="0.2">
      <c r="A81" s="48">
        <v>3</v>
      </c>
      <c r="B81" s="81" t="str">
        <f t="shared" si="11"/>
        <v>EPYPSA SAS</v>
      </c>
      <c r="C81" s="81"/>
      <c r="D81" s="82" t="s">
        <v>25</v>
      </c>
      <c r="E81" s="82"/>
      <c r="F81" s="82"/>
      <c r="G81" s="82"/>
      <c r="H81" s="83"/>
      <c r="I81" s="32"/>
      <c r="J81" s="32"/>
      <c r="K81" s="9"/>
    </row>
    <row r="82" spans="1:12" ht="64.5" customHeight="1" x14ac:dyDescent="0.2">
      <c r="A82" s="48">
        <v>4</v>
      </c>
      <c r="B82" s="81" t="str">
        <f t="shared" si="11"/>
        <v>ARDANUY INGENIERIA SA</v>
      </c>
      <c r="C82" s="81"/>
      <c r="D82" s="82" t="s">
        <v>25</v>
      </c>
      <c r="E82" s="82"/>
      <c r="F82" s="82"/>
      <c r="G82" s="82"/>
      <c r="H82" s="83"/>
      <c r="I82" s="32"/>
      <c r="J82" s="32"/>
      <c r="K82" s="9"/>
    </row>
    <row r="83" spans="1:12" ht="64.5" customHeight="1" x14ac:dyDescent="0.2">
      <c r="A83" s="48">
        <v>5</v>
      </c>
      <c r="B83" s="81" t="str">
        <f t="shared" si="11"/>
        <v>TF AUDITORES Y ASESORES S.A.S BIC</v>
      </c>
      <c r="C83" s="81"/>
      <c r="D83" s="82" t="s">
        <v>25</v>
      </c>
      <c r="E83" s="82"/>
      <c r="F83" s="82"/>
      <c r="G83" s="82"/>
      <c r="H83" s="83"/>
      <c r="I83" s="32"/>
      <c r="J83" s="32"/>
      <c r="K83" s="9"/>
    </row>
    <row r="84" spans="1:12" ht="68.25" customHeight="1" x14ac:dyDescent="0.2">
      <c r="A84" s="48">
        <v>6</v>
      </c>
      <c r="B84" s="81" t="str">
        <f t="shared" si="11"/>
        <v>CONSORCIO FUERZA OPERATIVA INFRA-2025
SERVICIOS &amp; SOLUCIONES SEGURAS S.A.S    90%
INVERSIONES JUNCO MUTIS S.A.S.  10%</v>
      </c>
      <c r="C84" s="81"/>
      <c r="D84" s="82" t="s">
        <v>25</v>
      </c>
      <c r="E84" s="82"/>
      <c r="F84" s="82"/>
      <c r="G84" s="82"/>
      <c r="H84" s="83"/>
      <c r="I84" s="32"/>
      <c r="J84" s="32"/>
      <c r="K84" s="9"/>
    </row>
    <row r="85" spans="1:12" ht="79.5" customHeight="1" x14ac:dyDescent="0.2">
      <c r="A85" s="48">
        <v>7</v>
      </c>
      <c r="B85" s="81" t="str">
        <f t="shared" si="11"/>
        <v>CONSORCIO VIGÍA TRONCAL 2025
HACE INGENIEROS S.A.S.    50%
TEA CONSULTORÍAS S.A.S.  50%</v>
      </c>
      <c r="C85" s="81"/>
      <c r="D85" s="82" t="s">
        <v>25</v>
      </c>
      <c r="E85" s="82"/>
      <c r="F85" s="82"/>
      <c r="G85" s="82"/>
      <c r="H85" s="83"/>
      <c r="I85" s="32"/>
      <c r="J85" s="32"/>
      <c r="K85" s="9"/>
    </row>
    <row r="86" spans="1:12" ht="66" customHeight="1" x14ac:dyDescent="0.2">
      <c r="A86" s="48">
        <v>6</v>
      </c>
      <c r="B86" s="81" t="str">
        <f t="shared" si="11"/>
        <v>CONSORCIO INSPECCION C&amp;C
C&amp;M CONSULTORES S.A.S.   50%
CONSULTORA CENTRAL S.A.S. - BIC.   50%</v>
      </c>
      <c r="C86" s="81"/>
      <c r="D86" s="82" t="s">
        <v>25</v>
      </c>
      <c r="E86" s="82"/>
      <c r="F86" s="82"/>
      <c r="G86" s="82"/>
      <c r="H86" s="83"/>
      <c r="I86" s="32"/>
      <c r="J86" s="32"/>
      <c r="K86" s="9"/>
      <c r="L86" s="75"/>
    </row>
    <row r="87" spans="1:12" ht="91.5" customHeight="1" x14ac:dyDescent="0.2">
      <c r="A87" s="48">
        <v>9</v>
      </c>
      <c r="B87" s="81" t="str">
        <f t="shared" si="11"/>
        <v>CONSORCIO NOVA TM
O &amp; P INGENIERIA S A S  60%
CYGNUS GESTIÓN Y PROYECTOS S.A.S   40%</v>
      </c>
      <c r="C87" s="81"/>
      <c r="D87" s="82" t="s">
        <v>63</v>
      </c>
      <c r="E87" s="82"/>
      <c r="F87" s="82"/>
      <c r="G87" s="82"/>
      <c r="H87" s="83"/>
      <c r="I87" s="32"/>
      <c r="J87" s="32"/>
      <c r="K87" s="9"/>
      <c r="L87" s="75"/>
    </row>
    <row r="88" spans="1:12" ht="75.75" customHeight="1" x14ac:dyDescent="0.2">
      <c r="A88" s="48">
        <v>10</v>
      </c>
      <c r="B88" s="81" t="str">
        <f t="shared" ref="B88" si="12">+B62</f>
        <v>CONSORCIO TRANSMIPLAN
INGEPLAN.CO INFRAESTRUCTURA S.A.S. BIC  10%
INGEPLAN.CO S.A.S. BIC   90%</v>
      </c>
      <c r="C88" s="81"/>
      <c r="D88" s="82" t="s">
        <v>25</v>
      </c>
      <c r="E88" s="82"/>
      <c r="F88" s="82"/>
      <c r="G88" s="82"/>
      <c r="H88" s="83"/>
      <c r="I88" s="32"/>
      <c r="J88" s="32"/>
      <c r="K88" s="9"/>
      <c r="L88" s="75"/>
    </row>
    <row r="89" spans="1:12" x14ac:dyDescent="0.2">
      <c r="A89" s="9"/>
      <c r="B89" s="10"/>
      <c r="C89" s="10"/>
      <c r="D89" s="11"/>
      <c r="E89" s="36"/>
      <c r="F89" s="37"/>
      <c r="G89" s="32"/>
      <c r="H89" s="32"/>
      <c r="I89" s="32"/>
      <c r="J89" s="32"/>
      <c r="K89" s="9"/>
    </row>
    <row r="90" spans="1:12" x14ac:dyDescent="0.2">
      <c r="A90" s="9"/>
      <c r="B90" s="10"/>
      <c r="C90" s="10"/>
      <c r="D90" s="11"/>
      <c r="E90" s="36"/>
      <c r="F90" s="37"/>
      <c r="G90" s="32"/>
      <c r="H90" s="32"/>
      <c r="I90" s="32"/>
      <c r="J90" s="32"/>
      <c r="K90" s="9"/>
    </row>
    <row r="91" spans="1:12" ht="21" thickBot="1" x14ac:dyDescent="0.25">
      <c r="A91" s="9"/>
      <c r="B91" s="126"/>
      <c r="C91" s="127"/>
      <c r="D91" s="127"/>
      <c r="E91" s="127"/>
      <c r="F91" s="127"/>
      <c r="G91" s="127"/>
      <c r="H91" s="128"/>
      <c r="I91" s="32"/>
      <c r="J91" s="32"/>
      <c r="K91" s="9"/>
    </row>
    <row r="92" spans="1:12" x14ac:dyDescent="0.2">
      <c r="A92" s="9"/>
      <c r="B92" s="42"/>
      <c r="C92" s="41"/>
      <c r="D92" s="129" t="s">
        <v>27</v>
      </c>
      <c r="E92" s="129"/>
      <c r="F92" s="129"/>
      <c r="G92" s="41"/>
      <c r="H92" s="41"/>
      <c r="I92" s="32"/>
      <c r="J92" s="32"/>
      <c r="K92" s="9"/>
    </row>
    <row r="93" spans="1:12" ht="28.5" customHeight="1" x14ac:dyDescent="0.2">
      <c r="A93" s="9"/>
      <c r="B93" s="42"/>
      <c r="C93" s="41"/>
      <c r="D93" s="130" t="s">
        <v>26</v>
      </c>
      <c r="E93" s="130"/>
      <c r="F93" s="130"/>
      <c r="G93" s="41"/>
      <c r="H93" s="41"/>
      <c r="I93" s="32"/>
      <c r="J93" s="32"/>
      <c r="K93" s="9"/>
    </row>
    <row r="94" spans="1:12" ht="61.5" customHeight="1" x14ac:dyDescent="0.2">
      <c r="A94" s="9"/>
      <c r="B94" s="42"/>
      <c r="C94" s="25"/>
      <c r="D94" s="40"/>
      <c r="E94" s="40"/>
      <c r="F94" s="40"/>
      <c r="G94" s="41"/>
      <c r="H94" s="41"/>
      <c r="I94" s="32"/>
      <c r="J94" s="32"/>
      <c r="K94" s="9"/>
    </row>
    <row r="95" spans="1:12" x14ac:dyDescent="0.2">
      <c r="A95" s="9"/>
      <c r="B95" s="10"/>
      <c r="C95" s="10"/>
      <c r="D95" s="123"/>
      <c r="E95" s="123"/>
      <c r="F95" s="123"/>
      <c r="G95" s="32"/>
      <c r="H95" s="32"/>
      <c r="I95" s="32"/>
      <c r="J95" s="32"/>
      <c r="K95" s="9"/>
    </row>
    <row r="96" spans="1:12" x14ac:dyDescent="0.2">
      <c r="A96" s="9"/>
      <c r="B96" s="10"/>
      <c r="C96" s="10"/>
      <c r="D96" s="11"/>
      <c r="E96" s="36"/>
      <c r="F96" s="37"/>
      <c r="G96" s="32"/>
      <c r="H96" s="32"/>
      <c r="I96" s="32"/>
      <c r="J96" s="32"/>
      <c r="K96" s="11"/>
    </row>
    <row r="97" spans="1:11" x14ac:dyDescent="0.2">
      <c r="A97" s="9"/>
      <c r="B97" s="10"/>
      <c r="C97" s="10"/>
      <c r="D97" s="11"/>
      <c r="E97" s="36"/>
      <c r="F97" s="37"/>
      <c r="G97" s="32"/>
      <c r="H97" s="32"/>
      <c r="I97" s="32"/>
      <c r="J97" s="32"/>
    </row>
    <row r="98" spans="1:11" x14ac:dyDescent="0.2">
      <c r="A98" s="9"/>
      <c r="B98" s="10"/>
      <c r="C98" s="10"/>
      <c r="D98" s="11"/>
      <c r="E98" s="36"/>
      <c r="F98" s="37"/>
      <c r="G98" s="32"/>
      <c r="H98" s="32"/>
      <c r="I98" s="32"/>
      <c r="J98" s="32"/>
    </row>
    <row r="99" spans="1:11" x14ac:dyDescent="0.2">
      <c r="A99" s="9"/>
      <c r="B99" s="10"/>
      <c r="C99" s="10"/>
      <c r="D99" s="11"/>
      <c r="E99" s="36"/>
      <c r="F99" s="37"/>
      <c r="G99" s="32"/>
      <c r="H99" s="32"/>
      <c r="I99" s="32"/>
      <c r="J99" s="32"/>
    </row>
    <row r="100" spans="1:11" x14ac:dyDescent="0.2">
      <c r="A100" s="9"/>
      <c r="B100" s="10"/>
      <c r="C100" s="10"/>
      <c r="D100" s="11"/>
      <c r="E100" s="36"/>
      <c r="F100" s="37"/>
      <c r="G100" s="32"/>
      <c r="H100" s="32"/>
      <c r="I100" s="32"/>
      <c r="J100" s="32"/>
      <c r="K100" s="11"/>
    </row>
    <row r="101" spans="1:11" x14ac:dyDescent="0.2">
      <c r="A101" s="9"/>
      <c r="B101" s="10"/>
      <c r="C101" s="10"/>
      <c r="D101" s="11"/>
      <c r="E101" s="36"/>
      <c r="F101" s="37"/>
      <c r="G101" s="32"/>
      <c r="H101" s="32"/>
      <c r="I101" s="32"/>
      <c r="J101" s="32"/>
    </row>
    <row r="102" spans="1:11" x14ac:dyDescent="0.2">
      <c r="A102" s="9"/>
      <c r="B102" s="10"/>
      <c r="C102" s="10"/>
      <c r="D102" s="11"/>
      <c r="E102" s="36"/>
      <c r="F102" s="37"/>
      <c r="G102" s="32"/>
      <c r="H102" s="32"/>
      <c r="I102" s="32"/>
      <c r="J102" s="32"/>
      <c r="K102" s="11"/>
    </row>
    <row r="103" spans="1:11" x14ac:dyDescent="0.2">
      <c r="A103" s="9"/>
      <c r="B103" s="10"/>
      <c r="C103" s="10"/>
      <c r="D103" s="11"/>
      <c r="E103" s="36"/>
      <c r="F103" s="37"/>
      <c r="G103" s="32"/>
      <c r="H103" s="32"/>
      <c r="I103" s="32"/>
      <c r="J103" s="32"/>
      <c r="K103" s="11"/>
    </row>
    <row r="104" spans="1:11" x14ac:dyDescent="0.2">
      <c r="A104" s="9"/>
      <c r="B104" s="10"/>
      <c r="C104" s="10"/>
      <c r="D104" s="11"/>
      <c r="E104" s="36"/>
      <c r="F104" s="37"/>
      <c r="G104" s="32"/>
      <c r="H104" s="32"/>
      <c r="I104" s="32"/>
      <c r="J104" s="32"/>
      <c r="K104" s="11"/>
    </row>
    <row r="105" spans="1:11" x14ac:dyDescent="0.2">
      <c r="A105" s="9"/>
      <c r="B105" s="10"/>
      <c r="C105" s="10"/>
      <c r="D105" s="11"/>
      <c r="E105" s="36"/>
      <c r="F105" s="37"/>
      <c r="G105" s="32"/>
      <c r="H105" s="32"/>
      <c r="I105" s="32"/>
      <c r="J105" s="32"/>
      <c r="K105" s="11"/>
    </row>
    <row r="106" spans="1:11" x14ac:dyDescent="0.2">
      <c r="A106" s="9"/>
      <c r="B106" s="10"/>
      <c r="C106" s="10"/>
      <c r="D106" s="11"/>
      <c r="E106" s="36"/>
      <c r="F106" s="37"/>
      <c r="G106" s="32"/>
      <c r="H106" s="32"/>
      <c r="I106" s="32"/>
      <c r="J106" s="32"/>
      <c r="K106" s="11"/>
    </row>
    <row r="107" spans="1:11" x14ac:dyDescent="0.2">
      <c r="A107" s="9"/>
      <c r="B107" s="10"/>
      <c r="C107" s="10"/>
      <c r="D107" s="11"/>
      <c r="E107" s="36"/>
      <c r="F107" s="37"/>
      <c r="G107" s="32"/>
      <c r="H107" s="32"/>
      <c r="I107" s="32"/>
      <c r="J107" s="32"/>
      <c r="K107" s="33"/>
    </row>
    <row r="108" spans="1:11" x14ac:dyDescent="0.2">
      <c r="A108" s="9"/>
      <c r="B108" s="10"/>
      <c r="C108" s="10"/>
      <c r="D108" s="11"/>
      <c r="E108" s="36"/>
      <c r="F108" s="37"/>
      <c r="G108" s="32"/>
      <c r="H108" s="32"/>
      <c r="I108" s="32"/>
      <c r="J108" s="32"/>
      <c r="K108" s="33"/>
    </row>
    <row r="109" spans="1:11" x14ac:dyDescent="0.2">
      <c r="A109" s="9"/>
      <c r="B109" s="10"/>
      <c r="C109" s="10"/>
      <c r="D109" s="11"/>
      <c r="E109" s="36"/>
      <c r="F109" s="37"/>
      <c r="G109" s="32"/>
      <c r="H109" s="32"/>
      <c r="I109" s="11"/>
      <c r="J109" s="11"/>
      <c r="K109" s="33"/>
    </row>
    <row r="110" spans="1:11" x14ac:dyDescent="0.2">
      <c r="A110" s="9"/>
      <c r="B110" s="10"/>
      <c r="C110" s="10"/>
      <c r="D110" s="11"/>
      <c r="E110" s="36"/>
      <c r="F110" s="37"/>
      <c r="G110" s="32"/>
      <c r="H110" s="32"/>
      <c r="K110" s="33"/>
    </row>
    <row r="111" spans="1:11" x14ac:dyDescent="0.2">
      <c r="A111" s="9"/>
      <c r="B111" s="10"/>
      <c r="C111" s="10"/>
      <c r="D111" s="11"/>
      <c r="E111" s="36"/>
      <c r="F111" s="37"/>
      <c r="G111" s="32"/>
      <c r="H111" s="32"/>
      <c r="K111" s="43"/>
    </row>
    <row r="112" spans="1:11" x14ac:dyDescent="0.2">
      <c r="A112" s="9"/>
      <c r="B112" s="10"/>
      <c r="C112" s="10"/>
      <c r="D112" s="11"/>
      <c r="E112" s="36"/>
      <c r="F112" s="37"/>
      <c r="G112" s="32"/>
      <c r="H112" s="32"/>
    </row>
    <row r="113" spans="1:10" x14ac:dyDescent="0.2">
      <c r="A113" s="9"/>
      <c r="B113" s="10"/>
      <c r="C113" s="10"/>
      <c r="D113" s="11"/>
      <c r="E113" s="36"/>
      <c r="F113" s="37"/>
      <c r="G113" s="32"/>
      <c r="H113" s="32"/>
    </row>
    <row r="114" spans="1:10" x14ac:dyDescent="0.2">
      <c r="A114" s="9"/>
      <c r="B114" s="10"/>
      <c r="C114" s="10"/>
      <c r="D114" s="11"/>
      <c r="E114" s="36"/>
      <c r="F114" s="37"/>
      <c r="G114" s="32"/>
      <c r="H114" s="32"/>
    </row>
    <row r="115" spans="1:10" x14ac:dyDescent="0.2">
      <c r="A115" s="9"/>
      <c r="B115" s="10"/>
      <c r="C115" s="10"/>
      <c r="D115" s="11"/>
      <c r="E115" s="36"/>
      <c r="F115" s="37"/>
      <c r="G115" s="32"/>
      <c r="H115" s="32"/>
    </row>
    <row r="116" spans="1:10" x14ac:dyDescent="0.2">
      <c r="A116" s="9"/>
      <c r="B116" s="10"/>
      <c r="C116" s="10"/>
      <c r="D116" s="11"/>
      <c r="E116" s="36"/>
      <c r="F116" s="37"/>
      <c r="G116" s="32"/>
      <c r="H116" s="32"/>
    </row>
    <row r="117" spans="1:10" x14ac:dyDescent="0.2">
      <c r="A117" s="9"/>
      <c r="B117" s="10"/>
      <c r="C117" s="10"/>
      <c r="D117" s="11"/>
      <c r="E117" s="36"/>
      <c r="F117" s="37"/>
      <c r="G117" s="32"/>
      <c r="H117" s="32"/>
    </row>
    <row r="118" spans="1:10" x14ac:dyDescent="0.2">
      <c r="A118" s="9"/>
      <c r="B118" s="6"/>
      <c r="C118" s="6"/>
      <c r="D118" s="2"/>
      <c r="E118" s="36"/>
      <c r="F118" s="37"/>
      <c r="G118" s="32"/>
      <c r="H118" s="32"/>
      <c r="I118" s="10"/>
      <c r="J118" s="10"/>
    </row>
    <row r="127" spans="1:10" x14ac:dyDescent="0.2">
      <c r="D127" s="38"/>
    </row>
    <row r="128" spans="1:10" x14ac:dyDescent="0.2">
      <c r="D128" s="38"/>
    </row>
    <row r="129" spans="4:4" x14ac:dyDescent="0.2">
      <c r="D129" s="38"/>
    </row>
    <row r="130" spans="4:4" x14ac:dyDescent="0.2">
      <c r="D130" s="38"/>
    </row>
    <row r="131" spans="4:4" x14ac:dyDescent="0.2">
      <c r="D131" s="38"/>
    </row>
  </sheetData>
  <mergeCells count="120">
    <mergeCell ref="B58:C58"/>
    <mergeCell ref="B71:C71"/>
    <mergeCell ref="B12:C12"/>
    <mergeCell ref="I12:J12"/>
    <mergeCell ref="B32:C32"/>
    <mergeCell ref="E67:I67"/>
    <mergeCell ref="D80:H80"/>
    <mergeCell ref="B13:C13"/>
    <mergeCell ref="I13:J13"/>
    <mergeCell ref="B33:C33"/>
    <mergeCell ref="B55:C55"/>
    <mergeCell ref="E68:I68"/>
    <mergeCell ref="B14:C14"/>
    <mergeCell ref="I14:J14"/>
    <mergeCell ref="B15:C15"/>
    <mergeCell ref="I15:J15"/>
    <mergeCell ref="B34:C34"/>
    <mergeCell ref="B35:C35"/>
    <mergeCell ref="B56:C56"/>
    <mergeCell ref="B61:C61"/>
    <mergeCell ref="D20:D21"/>
    <mergeCell ref="B48:C48"/>
    <mergeCell ref="B50:D50"/>
    <mergeCell ref="D51:K51"/>
    <mergeCell ref="A16:A17"/>
    <mergeCell ref="B16:C17"/>
    <mergeCell ref="D16:D17"/>
    <mergeCell ref="I16:J17"/>
    <mergeCell ref="A42:A43"/>
    <mergeCell ref="B42:C43"/>
    <mergeCell ref="A30:A31"/>
    <mergeCell ref="I20:J21"/>
    <mergeCell ref="D95:F95"/>
    <mergeCell ref="D78:H78"/>
    <mergeCell ref="B91:H91"/>
    <mergeCell ref="D92:F92"/>
    <mergeCell ref="A78:C78"/>
    <mergeCell ref="D93:F93"/>
    <mergeCell ref="B86:C86"/>
    <mergeCell ref="B79:C79"/>
    <mergeCell ref="D79:H79"/>
    <mergeCell ref="B83:C83"/>
    <mergeCell ref="D83:H83"/>
    <mergeCell ref="B73:C73"/>
    <mergeCell ref="E73:I73"/>
    <mergeCell ref="A51:C52"/>
    <mergeCell ref="B74:C74"/>
    <mergeCell ref="B70:C70"/>
    <mergeCell ref="A44:A45"/>
    <mergeCell ref="B44:C45"/>
    <mergeCell ref="B30:C31"/>
    <mergeCell ref="B40:C41"/>
    <mergeCell ref="B53:C53"/>
    <mergeCell ref="A40:A41"/>
    <mergeCell ref="B57:C57"/>
    <mergeCell ref="A1:K1"/>
    <mergeCell ref="A8:C9"/>
    <mergeCell ref="A29:C29"/>
    <mergeCell ref="E8:H8"/>
    <mergeCell ref="B3:K3"/>
    <mergeCell ref="D8:D9"/>
    <mergeCell ref="C2:K2"/>
    <mergeCell ref="B4:C4"/>
    <mergeCell ref="I8:J9"/>
    <mergeCell ref="A22:A23"/>
    <mergeCell ref="A10:A11"/>
    <mergeCell ref="B10:C11"/>
    <mergeCell ref="B22:C23"/>
    <mergeCell ref="D10:D11"/>
    <mergeCell ref="I10:J11"/>
    <mergeCell ref="A20:A21"/>
    <mergeCell ref="B20:C21"/>
    <mergeCell ref="A18:A19"/>
    <mergeCell ref="B18:C19"/>
    <mergeCell ref="D18:D19"/>
    <mergeCell ref="I18:J19"/>
    <mergeCell ref="A38:A39"/>
    <mergeCell ref="B38:C39"/>
    <mergeCell ref="A24:A25"/>
    <mergeCell ref="B24:C25"/>
    <mergeCell ref="D24:D25"/>
    <mergeCell ref="I24:J25"/>
    <mergeCell ref="A36:A37"/>
    <mergeCell ref="B36:C37"/>
    <mergeCell ref="D22:D23"/>
    <mergeCell ref="I22:J23"/>
    <mergeCell ref="B75:C75"/>
    <mergeCell ref="E75:I75"/>
    <mergeCell ref="B59:C59"/>
    <mergeCell ref="B72:C72"/>
    <mergeCell ref="E72:I72"/>
    <mergeCell ref="B60:C60"/>
    <mergeCell ref="B62:C62"/>
    <mergeCell ref="B69:C69"/>
    <mergeCell ref="E69:I69"/>
    <mergeCell ref="E71:I71"/>
    <mergeCell ref="B88:C88"/>
    <mergeCell ref="B81:C81"/>
    <mergeCell ref="D81:H81"/>
    <mergeCell ref="B82:C82"/>
    <mergeCell ref="B54:C54"/>
    <mergeCell ref="D82:H82"/>
    <mergeCell ref="D88:H88"/>
    <mergeCell ref="D85:H85"/>
    <mergeCell ref="D86:H86"/>
    <mergeCell ref="A77:H77"/>
    <mergeCell ref="B84:C84"/>
    <mergeCell ref="D84:H84"/>
    <mergeCell ref="B85:C85"/>
    <mergeCell ref="B87:C87"/>
    <mergeCell ref="D87:H87"/>
    <mergeCell ref="E74:I74"/>
    <mergeCell ref="B66:C66"/>
    <mergeCell ref="E66:I66"/>
    <mergeCell ref="A65:C65"/>
    <mergeCell ref="E70:I70"/>
    <mergeCell ref="B67:C67"/>
    <mergeCell ref="B68:C68"/>
    <mergeCell ref="E65:I65"/>
    <mergeCell ref="B80:C80"/>
  </mergeCells>
  <phoneticPr fontId="0" type="noConversion"/>
  <printOptions verticalCentered="1"/>
  <pageMargins left="0.98425196850393704" right="0.11811023622047245" top="0.35433070866141736" bottom="0.35433070866141736" header="0.19685039370078741" footer="0.59055118110236227"/>
  <pageSetup scale="32" fitToHeight="0" orientation="portrait" r:id="rId1"/>
  <headerFooter scaleWithDoc="0">
    <oddFooter>&amp;RPágina &amp;P de &amp;N</oddFooter>
  </headerFooter>
  <drawing r:id="rId2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Evaluación</vt:lpstr>
      <vt:lpstr>Evaluación!Área_de_impresión</vt:lpstr>
      <vt:lpstr>Evaluación!Títulos_a_imprimir</vt:lpstr>
    </vt:vector>
  </TitlesOfParts>
  <Company>Transmilenio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Mónica-Parra</dc:creator>
  <cp:lastModifiedBy>Katherine Triana Guerrero</cp:lastModifiedBy>
  <cp:lastPrinted>2020-08-17T23:23:29Z</cp:lastPrinted>
  <dcterms:created xsi:type="dcterms:W3CDTF">2003-04-04T16:35:40Z</dcterms:created>
  <dcterms:modified xsi:type="dcterms:W3CDTF">2025-07-30T21:08:29Z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2023-06-13T16:38:49Z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d411b833-6550-4327-a00f-ecb9afa8f40f</vt:lpwstr>
  </property>
  <property fmtid="{D5CDD505-2E9C-101B-9397-08002B2CF9AE}" pid="8" name="MSIP_Label_6d4a1d0b-1085-4621-a04c-793d50865184_ContentBits">
    <vt:lpwstr>0</vt:lpwstr>
  </property>
</Properties>
</file>