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cultura-my.sharepoint.com/personal/cguerrero_mincultura_gov_co/Documents/CZGS/SUPERVISIONES/MINIMAS IGLESIA CONCEPCION_ANTIOQUIA/OBRA/24072025_ENVIADO A CONTRATOS_OBRA/"/>
    </mc:Choice>
  </mc:AlternateContent>
  <xr:revisionPtr revIDLastSave="610" documentId="8_{2B3B934B-C09D-4616-919C-B8B73C1414FA}" xr6:coauthVersionLast="47" xr6:coauthVersionMax="47" xr10:uidLastSave="{87CA725E-8ECC-4D5B-8F05-1CF98040E769}"/>
  <bookViews>
    <workbookView xWindow="-120" yWindow="-120" windowWidth="20730" windowHeight="11040" firstSheet="4" activeTab="4" xr2:uid="{00000000-000D-0000-FFFF-FFFF00000000}"/>
  </bookViews>
  <sheets>
    <sheet name="PRESUPUESTO" sheetId="5" r:id="rId1"/>
    <sheet name="AIU" sheetId="11" r:id="rId2"/>
    <sheet name="APUS" sheetId="8" r:id="rId3"/>
    <sheet name="PROGRAMACION" sheetId="10" r:id="rId4"/>
    <sheet name="ANTICIPO" sheetId="12" r:id="rId5"/>
    <sheet name="Hoja1" sheetId="3" state="hidden" r:id="rId6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12" l="1"/>
  <c r="B3" i="12"/>
  <c r="B4" i="12" s="1"/>
  <c r="D10" i="12"/>
  <c r="C8" i="12" l="1"/>
  <c r="C7" i="12"/>
  <c r="C6" i="12"/>
  <c r="G121" i="8" l="1"/>
  <c r="G118" i="8"/>
  <c r="B118" i="8"/>
  <c r="A118" i="8"/>
  <c r="G120" i="8"/>
  <c r="G119" i="8"/>
  <c r="G110" i="8"/>
  <c r="B110" i="8"/>
  <c r="A110" i="8"/>
  <c r="G114" i="8"/>
  <c r="G113" i="8"/>
  <c r="G112" i="8"/>
  <c r="G111" i="8"/>
  <c r="G103" i="8"/>
  <c r="B103" i="8"/>
  <c r="A103" i="8"/>
  <c r="G106" i="8"/>
  <c r="G105" i="8"/>
  <c r="G104" i="8"/>
  <c r="G96" i="8"/>
  <c r="B96" i="8"/>
  <c r="A96" i="8"/>
  <c r="G99" i="8"/>
  <c r="G98" i="8"/>
  <c r="G97" i="8"/>
  <c r="G89" i="8"/>
  <c r="B89" i="8"/>
  <c r="A89" i="8"/>
  <c r="G92" i="8"/>
  <c r="G91" i="8"/>
  <c r="G90" i="8"/>
  <c r="G67" i="8"/>
  <c r="G66" i="8"/>
  <c r="G65" i="8"/>
  <c r="G64" i="8"/>
  <c r="G63" i="8"/>
  <c r="G62" i="8"/>
  <c r="G61" i="8"/>
  <c r="B61" i="8"/>
  <c r="A61" i="8"/>
  <c r="G57" i="8"/>
  <c r="G53" i="8"/>
  <c r="G52" i="8"/>
  <c r="G51" i="8"/>
  <c r="B51" i="8"/>
  <c r="A51" i="8"/>
  <c r="G56" i="8"/>
  <c r="G55" i="8"/>
  <c r="G54" i="8"/>
  <c r="G42" i="8"/>
  <c r="G43" i="8"/>
  <c r="G47" i="8"/>
  <c r="G44" i="8"/>
  <c r="G41" i="8"/>
  <c r="B41" i="8"/>
  <c r="A41" i="8"/>
  <c r="G46" i="8"/>
  <c r="G45" i="8"/>
  <c r="G27" i="8"/>
  <c r="B27" i="8"/>
  <c r="A27" i="8"/>
  <c r="G30" i="8"/>
  <c r="G29" i="8"/>
  <c r="G28" i="8"/>
  <c r="G122" i="8" l="1"/>
  <c r="G115" i="8"/>
  <c r="G107" i="8"/>
  <c r="G100" i="8"/>
  <c r="G93" i="8"/>
  <c r="G68" i="8"/>
  <c r="G58" i="8"/>
  <c r="G48" i="8"/>
  <c r="G31" i="8"/>
  <c r="G84" i="8"/>
  <c r="G83" i="8"/>
  <c r="G82" i="8"/>
  <c r="G85" i="8"/>
  <c r="G81" i="8" s="1"/>
  <c r="G80" i="8"/>
  <c r="G74" i="8"/>
  <c r="G73" i="8"/>
  <c r="G37" i="8"/>
  <c r="G36" i="8"/>
  <c r="G35" i="8"/>
  <c r="G76" i="8"/>
  <c r="G23" i="8"/>
  <c r="G22" i="8"/>
  <c r="G21" i="8"/>
  <c r="G20" i="8"/>
  <c r="G19" i="8"/>
  <c r="G12" i="8"/>
  <c r="G11" i="8"/>
  <c r="G10" i="8"/>
  <c r="G9" i="8"/>
  <c r="G8" i="8"/>
  <c r="G7" i="8"/>
  <c r="G6" i="8"/>
  <c r="G5" i="8"/>
  <c r="G13" i="8"/>
  <c r="H30" i="11"/>
  <c r="G26" i="11"/>
  <c r="G25" i="11"/>
  <c r="G23" i="11"/>
  <c r="G22" i="11"/>
  <c r="G21" i="11"/>
  <c r="G20" i="11"/>
  <c r="G19" i="11"/>
  <c r="G17" i="11"/>
  <c r="G30" i="11"/>
  <c r="G15" i="11"/>
  <c r="G14" i="11"/>
  <c r="G13" i="11" s="1"/>
  <c r="G12" i="11"/>
  <c r="G11" i="11"/>
  <c r="G10" i="11"/>
  <c r="G8" i="11"/>
  <c r="G7" i="11"/>
  <c r="G6" i="11"/>
  <c r="G71" i="8"/>
  <c r="G17" i="8"/>
  <c r="G4" i="8"/>
  <c r="B71" i="8"/>
  <c r="A71" i="8"/>
  <c r="G75" i="8"/>
  <c r="B80" i="8"/>
  <c r="A80" i="8"/>
  <c r="B34" i="8"/>
  <c r="A34" i="8"/>
  <c r="G18" i="8"/>
  <c r="A17" i="8"/>
  <c r="A4" i="8"/>
  <c r="B17" i="8"/>
  <c r="B4" i="8"/>
  <c r="G72" i="8" l="1"/>
  <c r="G77" i="8" s="1"/>
  <c r="G38" i="8"/>
  <c r="G9" i="11"/>
  <c r="H9" i="11" s="1"/>
  <c r="H13" i="11"/>
  <c r="H6" i="11"/>
  <c r="H7" i="11"/>
  <c r="H10" i="11"/>
  <c r="H11" i="11"/>
  <c r="H12" i="11"/>
  <c r="H14" i="11"/>
  <c r="H15" i="11"/>
  <c r="H8" i="11"/>
  <c r="G5" i="11"/>
  <c r="H5" i="11" s="1"/>
  <c r="G24" i="8"/>
  <c r="G14" i="8"/>
  <c r="G86" i="8"/>
  <c r="A6" i="10" l="1"/>
  <c r="A7" i="10" s="1"/>
  <c r="A8" i="10" s="1"/>
  <c r="A9" i="10" s="1"/>
  <c r="A10" i="10" s="1"/>
  <c r="A11" i="10" s="1"/>
  <c r="A12" i="10" s="1"/>
  <c r="A13" i="10" s="1"/>
  <c r="A14" i="10" s="1"/>
  <c r="A15" i="10" s="1"/>
  <c r="A16" i="10" s="1"/>
  <c r="A17" i="10" s="1"/>
  <c r="A18" i="10" s="1"/>
  <c r="H21" i="5"/>
  <c r="H20" i="5"/>
  <c r="H19" i="5"/>
  <c r="H18" i="5"/>
  <c r="H17" i="5"/>
  <c r="H16" i="5"/>
  <c r="H15" i="5"/>
  <c r="H14" i="5"/>
  <c r="H13" i="5"/>
  <c r="H12" i="5"/>
  <c r="H11" i="5"/>
  <c r="H10" i="5"/>
  <c r="H9" i="5"/>
  <c r="B9" i="5"/>
  <c r="B10" i="5" s="1"/>
  <c r="B11" i="5" s="1"/>
  <c r="B12" i="5" s="1"/>
  <c r="B13" i="5" s="1"/>
  <c r="B14" i="5" s="1"/>
  <c r="B15" i="5" s="1"/>
  <c r="B16" i="5" s="1"/>
  <c r="B17" i="5" s="1"/>
  <c r="B18" i="5" s="1"/>
  <c r="B19" i="5" s="1"/>
  <c r="B20" i="5" s="1"/>
  <c r="B21" i="5" s="1"/>
  <c r="H8" i="5"/>
  <c r="H22" i="5" l="1"/>
  <c r="H25" i="5" l="1"/>
  <c r="H26" i="5" s="1"/>
  <c r="H24" i="5"/>
  <c r="H23" i="5"/>
  <c r="H27" i="5" l="1"/>
  <c r="H28" i="5" s="1"/>
  <c r="I4" i="3" l="1"/>
  <c r="J4" i="3" s="1"/>
  <c r="I5" i="3"/>
  <c r="J5" i="3" s="1"/>
  <c r="I6" i="3"/>
  <c r="J6" i="3" s="1"/>
  <c r="I3" i="3"/>
  <c r="J3" i="3" s="1"/>
  <c r="E4" i="3"/>
  <c r="F4" i="3" s="1"/>
  <c r="E5" i="3"/>
  <c r="F5" i="3" s="1"/>
  <c r="E6" i="3"/>
  <c r="F6" i="3" s="1"/>
  <c r="E3" i="3"/>
  <c r="F3" i="3" l="1"/>
  <c r="L3" i="3"/>
  <c r="F7" i="3"/>
  <c r="J7" i="3"/>
  <c r="H10" i="3" l="1"/>
  <c r="H17" i="11" l="1"/>
  <c r="H21" i="11"/>
  <c r="H20" i="11"/>
  <c r="H22" i="11"/>
  <c r="H23" i="11"/>
  <c r="G18" i="11"/>
  <c r="G16" i="11" l="1"/>
  <c r="H16" i="11" s="1"/>
  <c r="H19" i="11"/>
  <c r="H18" i="11"/>
  <c r="G24" i="11"/>
  <c r="E24" i="11" l="1"/>
  <c r="G29" i="11"/>
  <c r="H24" i="11"/>
  <c r="H26" i="11"/>
  <c r="H25" i="11"/>
  <c r="H29" i="11" l="1"/>
  <c r="C10" i="12"/>
</calcChain>
</file>

<file path=xl/sharedStrings.xml><?xml version="1.0" encoding="utf-8"?>
<sst xmlns="http://schemas.openxmlformats.org/spreadsheetml/2006/main" count="262" uniqueCount="135">
  <si>
    <t>PRESUPUESTO OFICIAL</t>
  </si>
  <si>
    <t>REALIZAR LAS OBRAS PARA LA PROTECCIÓN DE LA IGLESIA INMACULADA CONCEPCIÓN DEL MUNICIPIO DE CONCEPCIÓN - ANTIOQUIA, UBICADA EN EL CENTRO HISTÓRICO DECLARADO BIEN DE INTERÉS CULTURAL DEL ÁMBITO NACIONAL.</t>
  </si>
  <si>
    <t>ITEM</t>
  </si>
  <si>
    <t>DESCRIPCIÓN</t>
  </si>
  <si>
    <t xml:space="preserve">UNIDAD </t>
  </si>
  <si>
    <t>CANTIDAD</t>
  </si>
  <si>
    <t>VR. UNITARIO
(IVA INCLUIDO)</t>
  </si>
  <si>
    <t xml:space="preserve">VALOR UNITARIO  $
</t>
  </si>
  <si>
    <t xml:space="preserve">TOTAL PARCIAL
 ($)
</t>
  </si>
  <si>
    <t>Campamento 9 M2</t>
  </si>
  <si>
    <t>un</t>
  </si>
  <si>
    <t xml:space="preserve">Cerramiento de protección tela polipropileno verde H= 2.00 MTS,incluye estructura en madera </t>
  </si>
  <si>
    <t>ml</t>
  </si>
  <si>
    <t>Plataformas de trabajo COMPLETA con andamio certificado de  4.4 X 12 H=30m.</t>
  </si>
  <si>
    <t>kg/dia</t>
  </si>
  <si>
    <t xml:space="preserve">Desmonte de enchape en granito (incluye retiro de escombros) </t>
  </si>
  <si>
    <t>m2</t>
  </si>
  <si>
    <t>Reparación y/o remplazo de molduras afectadas o faltantes</t>
  </si>
  <si>
    <t>Reparación arcos de medio punto en ladrillo</t>
  </si>
  <si>
    <t>Reparación y/o consolidación de fisuras y  grietas en muros</t>
  </si>
  <si>
    <t>Pañete 1:3 a base de cal y arena y fibra vegetal. No incluye pintura</t>
  </si>
  <si>
    <t>Pintura muro tres manos, con cal + mineral (blanco)</t>
  </si>
  <si>
    <t>Mantenimiento de carpintería en metalica (incluye remplazo de piezas faltantes, masilla, lijada, una mano de anticorrosivo y dos manos de esmalte de acabado final)</t>
  </si>
  <si>
    <t>Mantenimiento de carpintería en madera(incluye remplazo de piezas faltantes, masilla, lijada, una mano de inmunizante y dos manos de barniz de acabado final)</t>
  </si>
  <si>
    <t>Suministro e instalacion de proteccion  vanos campanarios  (rejas en marco metalico (con 1 mano de antocorrosivo y 2 manos de acabado en esmalte) y malla para control de aves (color transparente, material nylon, calibre 0,8mm rombo 4,4cm, resistencia 180k*m2, durabilidad de 4 a 6 años. Caracteristicas: proteccion uv y antihongos, no absorbe humedad, no conduce electricidad, no es escalable, no deshilacha, nudo reforzado)</t>
  </si>
  <si>
    <t>lavado y protección con sello hidrofugo de cúpulas con acabado en granito</t>
  </si>
  <si>
    <t>Aseo general para entrega</t>
  </si>
  <si>
    <t>TOTAL COSTO DIRECTO</t>
  </si>
  <si>
    <t>ADMINISTRACIÓN</t>
  </si>
  <si>
    <t>IMPREVISTOS</t>
  </si>
  <si>
    <t>UTILIDAD</t>
  </si>
  <si>
    <t>IVA SOBRE UTILIDAD</t>
  </si>
  <si>
    <t>TOTAL COSTO INDIRECTO</t>
  </si>
  <si>
    <t>TOTAL</t>
  </si>
  <si>
    <t>No.</t>
  </si>
  <si>
    <t>Descripción</t>
  </si>
  <si>
    <t>VALOR</t>
  </si>
  <si>
    <t>DEDICACION</t>
  </si>
  <si>
    <t>PLAZO</t>
  </si>
  <si>
    <t>VALOR TOTAL</t>
  </si>
  <si>
    <t>%</t>
  </si>
  <si>
    <t>PERSONAL</t>
  </si>
  <si>
    <t>Director de OBRA</t>
  </si>
  <si>
    <t>Residente de OBRA</t>
  </si>
  <si>
    <t>Profesional Seguridad Industrial y Salud Ocupacional / Social</t>
  </si>
  <si>
    <t>INSTALACIONES PROVISIONALES</t>
  </si>
  <si>
    <t>Elementos de señalizacion y proteccion de zonas de trabajo</t>
  </si>
  <si>
    <t>Servicios pùblicos (agua y luz)</t>
  </si>
  <si>
    <t>Valla</t>
  </si>
  <si>
    <t>PAPELERIA Y EQUIPOS OFICINA CAMPO</t>
  </si>
  <si>
    <t>Papelería, fotocopias, informes, mensajeria</t>
  </si>
  <si>
    <t>Fax e internet y comunicaciones</t>
  </si>
  <si>
    <t>GARANTIAS</t>
  </si>
  <si>
    <t>Polizas</t>
  </si>
  <si>
    <t>IMPUESTOS</t>
  </si>
  <si>
    <t>Impuesto 4/1000</t>
  </si>
  <si>
    <t>Reteica</t>
  </si>
  <si>
    <t>Retefuente 1%</t>
  </si>
  <si>
    <t>estampillas / pro universidades</t>
  </si>
  <si>
    <t>Contribución de contratos de Obra Pública</t>
  </si>
  <si>
    <t>ADMINISTRACION</t>
  </si>
  <si>
    <t>COSTO AIU</t>
  </si>
  <si>
    <t>COSTO  DIRECTO DE OBRA</t>
  </si>
  <si>
    <t>COMPONENTES</t>
  </si>
  <si>
    <t>UNIDAD</t>
  </si>
  <si>
    <t>DESP</t>
  </si>
  <si>
    <t>VR UNIT</t>
  </si>
  <si>
    <t>VR TOTAL</t>
  </si>
  <si>
    <t xml:space="preserve">﻿BISAGRA COBRIZADA 3" </t>
  </si>
  <si>
    <t>UN</t>
  </si>
  <si>
    <t xml:space="preserve">CONCRETO 2000 PSI (140N) </t>
  </si>
  <si>
    <t>M3</t>
  </si>
  <si>
    <t xml:space="preserve">GANCHO PLACA Ond.150mm ETERNIT </t>
  </si>
  <si>
    <t xml:space="preserve">PORTACANDADO NEGRO No. 4 </t>
  </si>
  <si>
    <t xml:space="preserve">PUNTILLA 2" CON CABEZA </t>
  </si>
  <si>
    <t>LB</t>
  </si>
  <si>
    <t xml:space="preserve">TABLA CHAPA .30x.025x3 ORDINAR </t>
  </si>
  <si>
    <t>ML</t>
  </si>
  <si>
    <t xml:space="preserve">TEJA ETERNIT No 8 </t>
  </si>
  <si>
    <t xml:space="preserve">VARA DE CLAVO 6 METROS. </t>
  </si>
  <si>
    <t xml:space="preserve">MdeO CUADRILLA (OFICIAL + 8 AYUDANTES) </t>
  </si>
  <si>
    <t>JR</t>
  </si>
  <si>
    <t>HERRAMIENTA MENOR</t>
  </si>
  <si>
    <t>%M</t>
  </si>
  <si>
    <t>MADERA ROLLIZA D=0,15M</t>
  </si>
  <si>
    <t>VARA DE CLAVO</t>
  </si>
  <si>
    <t>TELA CERRAMIENTO OBRA VERDE</t>
  </si>
  <si>
    <t>PUNTILLA CON Y SIN CABEZA</t>
  </si>
  <si>
    <t xml:space="preserve">MdeO AYUDANTE +PREST. </t>
  </si>
  <si>
    <t xml:space="preserve"> JR</t>
  </si>
  <si>
    <t xml:space="preserve">﻿HERRAMIENTA MENOR % </t>
  </si>
  <si>
    <t>kg</t>
  </si>
  <si>
    <t>M2</t>
  </si>
  <si>
    <t xml:space="preserve">VOLQUETA (VIAJE 6M3 Max.3O KM) </t>
  </si>
  <si>
    <t>VJ</t>
  </si>
  <si>
    <t>CAL HIDRATADA</t>
  </si>
  <si>
    <t>KG</t>
  </si>
  <si>
    <t>ARENA DE PEÑA</t>
  </si>
  <si>
    <t>MOLDURAS FABRICADAS EN SITO</t>
  </si>
  <si>
    <t>SIKA 1</t>
  </si>
  <si>
    <t xml:space="preserve">MdeO CUADRILLA (OFICIAL + 1 AYUDANTES) </t>
  </si>
  <si>
    <t>LADRILLO</t>
  </si>
  <si>
    <t xml:space="preserve">MdeO CUADRILLA (OFICIAL + 2 AYUDANTES) </t>
  </si>
  <si>
    <t>CAL HIDRATADA (TIPO NARE)</t>
  </si>
  <si>
    <t>BT</t>
  </si>
  <si>
    <t>P.V.A.</t>
  </si>
  <si>
    <t>GL</t>
  </si>
  <si>
    <t xml:space="preserve">VINILO </t>
  </si>
  <si>
    <t>Suministro de proteccion  vanos campanarios  (rejas en marco metalico (con 1 mano de antocorrosivo y 2 manos de acabado en esmalte) y malla para control de aves (color transparente, material nylon, calibre 0,8mm rombo 4,4cm, resistencia 180k*m2, durabilidad de 4 a 6 años. Caracteristicas: proteccion uv y antihongos, no absorbe humedad, no conduce electricidad, no es escalable, no deshilacha, nudo reforzado)</t>
  </si>
  <si>
    <t>LAVADO (INCLUYE EQUIPO Y MATERIALES DE LIMPIEZA)</t>
  </si>
  <si>
    <t>SELLO HIDROFUGO</t>
  </si>
  <si>
    <t>LAVADO (INCLUYE MATERIALES DE LIMPIEZA)</t>
  </si>
  <si>
    <t>MES 1</t>
  </si>
  <si>
    <t>MES 2</t>
  </si>
  <si>
    <t>MES 3</t>
  </si>
  <si>
    <t>DETALLE DEL PLAN DE INVERSIÓN DE ANTICIPO</t>
  </si>
  <si>
    <t>PRESUPUESTO:</t>
  </si>
  <si>
    <t>ANTICIPO 20%</t>
  </si>
  <si>
    <t>ITEM No.</t>
  </si>
  <si>
    <t>DESCRIPCIÓN DEL ITEM</t>
  </si>
  <si>
    <t>VR. MES 1</t>
  </si>
  <si>
    <t>COMPRA DE MATERIALES</t>
  </si>
  <si>
    <t>TRANSPORTE DE MATERIALES Y EQUIPOS</t>
  </si>
  <si>
    <t>ALQUILER MAQUINARIA Y EQUIPOS</t>
  </si>
  <si>
    <t xml:space="preserve">MANO DE OBRA CALIFICADA Y NO CALIOFICADA </t>
  </si>
  <si>
    <t>ARQ</t>
  </si>
  <si>
    <t>AVI HI TECH SAS</t>
  </si>
  <si>
    <t xml:space="preserve">unitario </t>
  </si>
  <si>
    <t xml:space="preserve">mas iva </t>
  </si>
  <si>
    <t xml:space="preserve">total </t>
  </si>
  <si>
    <t xml:space="preserve">SISTEMA DE UPS (PROTECCIÓN Y ENERGÍA ININTERRUMPIDA) PARA PROYECTOR BARCO. </t>
  </si>
  <si>
    <t>PACK DE BATERIAS MARCA APC MODELO SMART UPS RT 2200</t>
  </si>
  <si>
    <t>ALTAVOZ ACTIVO (AUTO POTENCIADO) DE 10 PULGADAS.</t>
  </si>
  <si>
    <t>LAMPARA DE REPUESTO PARA PROYECTOR EPSON POWERLITE 1960</t>
  </si>
  <si>
    <t xml:space="preserve">promedio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</si>
</sst>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2" formatCode="_-* #,##0\ &quot;€&quot;_-;\-* #,##0\ &quot;€&quot;_-;_-* &quot;-&quot;\ &quot;€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-* #,##0.00\ _€_-;\-* #,##0.00\ _€_-;_-* &quot;-&quot;??\ _€_-;_-@_-"/>
    <numFmt numFmtId="167" formatCode="_-[$$-240A]\ * #,##0.00_-;\-[$$-240A]\ * #,##0.00_-;_-[$$-240A]\ * &quot;-&quot;??_-;_-@_-"/>
    <numFmt numFmtId="168" formatCode="&quot;$&quot;\ #,##0"/>
    <numFmt numFmtId="169" formatCode="&quot;$&quot;\ #,##0.00"/>
    <numFmt numFmtId="170" formatCode="_-&quot;$&quot;\ * #,##0_-;\-&quot;$&quot;\ * #,##0_-;_-&quot;$&quot;\ * &quot;-&quot;??_-;_-@_-"/>
    <numFmt numFmtId="171" formatCode="_-* #,##0_-;\-* #,##0_-;_-* &quot;-&quot;??_-;_-@_-"/>
    <numFmt numFmtId="172" formatCode="_-&quot;$&quot;* #,##0_-;\-&quot;$&quot;* #,##0_-;_-&quot;$&quot;* &quot;-&quot;??_-;_-@_-"/>
    <numFmt numFmtId="173" formatCode="_(&quot;$&quot;\ * #,##0.00_);_(&quot;$&quot;\ * \(#,##0.00\);_(&quot;$&quot;\ * &quot;-&quot;??_);_(@_)"/>
    <numFmt numFmtId="174" formatCode="_-* #,##0.00\ _P_t_s_-;\-* #,##0.00\ _P_t_s_-;_-* &quot;-&quot;??\ _P_t_s_-;_-@_-"/>
    <numFmt numFmtId="175" formatCode="[$$-240A]\ #,##0"/>
    <numFmt numFmtId="176" formatCode="0.0"/>
  </numFmts>
  <fonts count="13">
    <font>
      <sz val="10"/>
      <name val="Arial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8"/>
      <name val="Arial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206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0">
    <xf numFmtId="0" fontId="0" fillId="0" borderId="0"/>
    <xf numFmtId="166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164" fontId="4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" fillId="0" borderId="0"/>
    <xf numFmtId="173" fontId="1" fillId="0" borderId="0" applyFont="0" applyFill="0" applyBorder="0" applyAlignment="0" applyProtection="0"/>
  </cellStyleXfs>
  <cellXfs count="168">
    <xf numFmtId="0" fontId="0" fillId="0" borderId="0" xfId="0"/>
    <xf numFmtId="168" fontId="1" fillId="0" borderId="0" xfId="0" applyNumberFormat="1" applyFont="1"/>
    <xf numFmtId="168" fontId="0" fillId="0" borderId="0" xfId="0" applyNumberFormat="1"/>
    <xf numFmtId="168" fontId="1" fillId="0" borderId="1" xfId="0" applyNumberFormat="1" applyFont="1" applyBorder="1"/>
    <xf numFmtId="0" fontId="0" fillId="0" borderId="1" xfId="0" applyBorder="1"/>
    <xf numFmtId="168" fontId="0" fillId="0" borderId="1" xfId="0" applyNumberFormat="1" applyBorder="1"/>
    <xf numFmtId="169" fontId="0" fillId="0" borderId="1" xfId="0" applyNumberFormat="1" applyBorder="1"/>
    <xf numFmtId="0" fontId="0" fillId="0" borderId="2" xfId="0" applyBorder="1"/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8" fontId="6" fillId="0" borderId="1" xfId="0" applyNumberFormat="1" applyFont="1" applyBorder="1" applyAlignment="1">
      <alignment horizontal="center" vertical="center" wrapText="1"/>
    </xf>
    <xf numFmtId="43" fontId="6" fillId="0" borderId="1" xfId="6" applyFont="1" applyBorder="1" applyAlignment="1">
      <alignment horizontal="center" vertical="center" wrapText="1"/>
    </xf>
    <xf numFmtId="168" fontId="6" fillId="0" borderId="1" xfId="5" applyNumberFormat="1" applyFont="1" applyBorder="1" applyAlignment="1">
      <alignment horizontal="center" vertical="center" wrapText="1"/>
    </xf>
    <xf numFmtId="168" fontId="7" fillId="0" borderId="1" xfId="0" applyNumberFormat="1" applyFont="1" applyBorder="1" applyAlignment="1">
      <alignment horizontal="left" vertical="center" wrapText="1"/>
    </xf>
    <xf numFmtId="171" fontId="6" fillId="0" borderId="1" xfId="6" applyNumberFormat="1" applyFont="1" applyBorder="1" applyAlignment="1">
      <alignment horizontal="center" vertical="center" wrapText="1"/>
    </xf>
    <xf numFmtId="171" fontId="7" fillId="0" borderId="1" xfId="6" applyNumberFormat="1" applyFont="1" applyBorder="1" applyAlignment="1">
      <alignment horizontal="left" vertical="center" wrapText="1"/>
    </xf>
    <xf numFmtId="165" fontId="6" fillId="0" borderId="1" xfId="5" applyFont="1" applyBorder="1" applyAlignment="1">
      <alignment horizontal="center" vertical="center" wrapText="1"/>
    </xf>
    <xf numFmtId="165" fontId="7" fillId="0" borderId="1" xfId="5" applyFont="1" applyBorder="1" applyAlignment="1">
      <alignment horizontal="right" vertical="center" wrapText="1"/>
    </xf>
    <xf numFmtId="165" fontId="6" fillId="3" borderId="1" xfId="5" applyFont="1" applyFill="1" applyBorder="1" applyAlignment="1">
      <alignment horizontal="right" vertical="center" wrapText="1"/>
    </xf>
    <xf numFmtId="165" fontId="6" fillId="2" borderId="1" xfId="5" applyFont="1" applyFill="1" applyBorder="1" applyAlignment="1">
      <alignment horizontal="right" vertical="center" wrapText="1"/>
    </xf>
    <xf numFmtId="0" fontId="2" fillId="0" borderId="3" xfId="0" applyFont="1" applyBorder="1" applyAlignment="1">
      <alignment horizontal="center" vertical="center" wrapText="1"/>
    </xf>
    <xf numFmtId="171" fontId="2" fillId="0" borderId="0" xfId="6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3" fontId="2" fillId="0" borderId="0" xfId="6" applyFont="1" applyAlignment="1">
      <alignment horizontal="center" vertical="center" wrapText="1"/>
    </xf>
    <xf numFmtId="170" fontId="2" fillId="0" borderId="0" xfId="5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7" fontId="2" fillId="0" borderId="1" xfId="4" applyNumberFormat="1" applyFont="1" applyBorder="1" applyAlignment="1">
      <alignment horizontal="center" vertical="center" wrapText="1"/>
    </xf>
    <xf numFmtId="170" fontId="2" fillId="3" borderId="1" xfId="5" applyNumberFormat="1" applyFont="1" applyFill="1" applyBorder="1" applyAlignment="1">
      <alignment horizontal="center" vertical="center" wrapText="1"/>
    </xf>
    <xf numFmtId="170" fontId="2" fillId="2" borderId="1" xfId="5" applyNumberFormat="1" applyFont="1" applyFill="1" applyBorder="1" applyAlignment="1">
      <alignment horizontal="center" vertical="center" wrapText="1"/>
    </xf>
    <xf numFmtId="170" fontId="2" fillId="0" borderId="0" xfId="5" applyNumberFormat="1" applyFont="1" applyAlignment="1">
      <alignment horizontal="center" vertical="center" wrapText="1"/>
    </xf>
    <xf numFmtId="10" fontId="2" fillId="0" borderId="1" xfId="7" applyNumberFormat="1" applyFont="1" applyBorder="1" applyAlignment="1">
      <alignment horizontal="right" vertical="center" wrapText="1"/>
    </xf>
    <xf numFmtId="10" fontId="7" fillId="0" borderId="1" xfId="7" applyNumberFormat="1" applyFont="1" applyBorder="1" applyAlignment="1">
      <alignment horizontal="right" vertical="center" wrapText="1"/>
    </xf>
    <xf numFmtId="0" fontId="9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0" fontId="0" fillId="4" borderId="1" xfId="0" applyFill="1" applyBorder="1"/>
    <xf numFmtId="165" fontId="11" fillId="0" borderId="0" xfId="5" applyFont="1" applyFill="1" applyAlignment="1">
      <alignment horizontal="center"/>
    </xf>
    <xf numFmtId="0" fontId="11" fillId="5" borderId="0" xfId="0" applyFont="1" applyFill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/>
    <xf numFmtId="2" fontId="10" fillId="0" borderId="0" xfId="0" applyNumberFormat="1" applyFont="1" applyAlignment="1">
      <alignment horizontal="center"/>
    </xf>
    <xf numFmtId="165" fontId="10" fillId="0" borderId="0" xfId="5" applyFont="1" applyFill="1" applyAlignment="1">
      <alignment horizontal="center"/>
    </xf>
    <xf numFmtId="165" fontId="10" fillId="0" borderId="0" xfId="5" applyFont="1" applyFill="1"/>
    <xf numFmtId="10" fontId="10" fillId="0" borderId="0" xfId="7" applyNumberFormat="1" applyFont="1" applyFill="1" applyAlignment="1">
      <alignment horizontal="center"/>
    </xf>
    <xf numFmtId="173" fontId="11" fillId="0" borderId="0" xfId="0" applyNumberFormat="1" applyFont="1"/>
    <xf numFmtId="0" fontId="9" fillId="5" borderId="0" xfId="0" applyFont="1" applyFill="1" applyAlignment="1">
      <alignment horizontal="center"/>
    </xf>
    <xf numFmtId="173" fontId="9" fillId="5" borderId="0" xfId="0" applyNumberFormat="1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2" fontId="1" fillId="0" borderId="0" xfId="0" applyNumberFormat="1" applyFont="1" applyAlignment="1">
      <alignment horizontal="center"/>
    </xf>
    <xf numFmtId="165" fontId="1" fillId="0" borderId="0" xfId="5" applyFont="1" applyFill="1" applyAlignment="1">
      <alignment horizontal="left"/>
    </xf>
    <xf numFmtId="173" fontId="9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173" fontId="11" fillId="0" borderId="0" xfId="0" applyNumberFormat="1" applyFont="1" applyAlignment="1">
      <alignment horizontal="center"/>
    </xf>
    <xf numFmtId="165" fontId="1" fillId="0" borderId="0" xfId="5" applyFont="1" applyFill="1" applyAlignment="1">
      <alignment horizontal="center"/>
    </xf>
    <xf numFmtId="165" fontId="9" fillId="0" borderId="0" xfId="5" applyFont="1" applyFill="1" applyAlignment="1">
      <alignment horizontal="center"/>
    </xf>
    <xf numFmtId="10" fontId="1" fillId="0" borderId="0" xfId="7" applyNumberFormat="1" applyFont="1" applyFill="1" applyAlignment="1">
      <alignment horizontal="center"/>
    </xf>
    <xf numFmtId="0" fontId="1" fillId="0" borderId="0" xfId="0" applyFont="1"/>
    <xf numFmtId="9" fontId="11" fillId="5" borderId="0" xfId="5" applyNumberFormat="1" applyFont="1" applyFill="1" applyAlignment="1">
      <alignment horizontal="center"/>
    </xf>
    <xf numFmtId="9" fontId="9" fillId="5" borderId="0" xfId="0" applyNumberFormat="1" applyFont="1" applyFill="1" applyAlignment="1">
      <alignment horizontal="center"/>
    </xf>
    <xf numFmtId="165" fontId="0" fillId="0" borderId="0" xfId="5" applyFont="1"/>
    <xf numFmtId="165" fontId="10" fillId="0" borderId="0" xfId="5" applyFont="1"/>
    <xf numFmtId="165" fontId="1" fillId="0" borderId="0" xfId="5" applyFont="1"/>
    <xf numFmtId="165" fontId="0" fillId="0" borderId="0" xfId="0" applyNumberFormat="1"/>
    <xf numFmtId="165" fontId="10" fillId="0" borderId="0" xfId="0" applyNumberFormat="1" applyFont="1"/>
    <xf numFmtId="0" fontId="6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174" fontId="3" fillId="6" borderId="1" xfId="6" applyNumberFormat="1" applyFont="1" applyFill="1" applyBorder="1" applyAlignment="1">
      <alignment horizontal="center" vertical="center"/>
    </xf>
    <xf numFmtId="175" fontId="3" fillId="6" borderId="1" xfId="5" applyNumberFormat="1" applyFont="1" applyFill="1" applyBorder="1" applyAlignment="1">
      <alignment horizontal="center" vertical="center"/>
    </xf>
    <xf numFmtId="10" fontId="3" fillId="6" borderId="1" xfId="7" applyNumberFormat="1" applyFont="1" applyFill="1" applyBorder="1" applyAlignment="1">
      <alignment horizontal="center" vertical="center" wrapText="1"/>
    </xf>
    <xf numFmtId="174" fontId="3" fillId="6" borderId="1" xfId="6" applyNumberFormat="1" applyFont="1" applyFill="1" applyBorder="1" applyAlignment="1">
      <alignment horizontal="center" vertical="center" wrapText="1"/>
    </xf>
    <xf numFmtId="172" fontId="3" fillId="6" borderId="1" xfId="5" applyNumberFormat="1" applyFont="1" applyFill="1" applyBorder="1" applyAlignment="1">
      <alignment horizontal="center" vertical="center"/>
    </xf>
    <xf numFmtId="10" fontId="3" fillId="6" borderId="1" xfId="7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wrapText="1"/>
    </xf>
    <xf numFmtId="174" fontId="3" fillId="7" borderId="6" xfId="6" applyNumberFormat="1" applyFont="1" applyFill="1" applyBorder="1"/>
    <xf numFmtId="175" fontId="3" fillId="7" borderId="6" xfId="5" applyNumberFormat="1" applyFont="1" applyFill="1" applyBorder="1" applyAlignment="1">
      <alignment horizontal="center"/>
    </xf>
    <xf numFmtId="10" fontId="3" fillId="7" borderId="6" xfId="7" applyNumberFormat="1" applyFont="1" applyFill="1" applyBorder="1" applyAlignment="1">
      <alignment horizontal="center" vertical="center"/>
    </xf>
    <xf numFmtId="174" fontId="3" fillId="7" borderId="7" xfId="6" applyNumberFormat="1" applyFont="1" applyFill="1" applyBorder="1" applyAlignment="1">
      <alignment horizontal="center"/>
    </xf>
    <xf numFmtId="172" fontId="3" fillId="7" borderId="1" xfId="5" applyNumberFormat="1" applyFont="1" applyFill="1" applyBorder="1"/>
    <xf numFmtId="10" fontId="3" fillId="7" borderId="1" xfId="7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wrapText="1"/>
    </xf>
    <xf numFmtId="174" fontId="7" fillId="0" borderId="1" xfId="6" applyNumberFormat="1" applyFont="1" applyFill="1" applyBorder="1"/>
    <xf numFmtId="175" fontId="2" fillId="0" borderId="1" xfId="5" applyNumberFormat="1" applyFont="1" applyFill="1" applyBorder="1" applyAlignment="1">
      <alignment horizontal="center"/>
    </xf>
    <xf numFmtId="10" fontId="7" fillId="0" borderId="1" xfId="7" applyNumberFormat="1" applyFont="1" applyFill="1" applyBorder="1" applyAlignment="1">
      <alignment horizontal="center" vertical="center"/>
    </xf>
    <xf numFmtId="174" fontId="7" fillId="0" borderId="1" xfId="6" applyNumberFormat="1" applyFont="1" applyFill="1" applyBorder="1" applyAlignment="1">
      <alignment horizontal="center"/>
    </xf>
    <xf numFmtId="172" fontId="7" fillId="0" borderId="1" xfId="5" applyNumberFormat="1" applyFont="1" applyFill="1" applyBorder="1"/>
    <xf numFmtId="10" fontId="2" fillId="0" borderId="1" xfId="7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174" fontId="2" fillId="0" borderId="1" xfId="6" applyNumberFormat="1" applyFont="1" applyFill="1" applyBorder="1"/>
    <xf numFmtId="0" fontId="2" fillId="0" borderId="1" xfId="0" applyFont="1" applyBorder="1" applyAlignment="1">
      <alignment horizontal="justify" vertical="top" wrapText="1"/>
    </xf>
    <xf numFmtId="175" fontId="2" fillId="0" borderId="1" xfId="5" applyNumberFormat="1" applyFont="1" applyFill="1" applyBorder="1"/>
    <xf numFmtId="174" fontId="2" fillId="0" borderId="1" xfId="6" applyNumberFormat="1" applyFont="1" applyFill="1" applyBorder="1" applyAlignment="1">
      <alignment horizontal="center"/>
    </xf>
    <xf numFmtId="172" fontId="2" fillId="0" borderId="1" xfId="5" applyNumberFormat="1" applyFont="1" applyFill="1" applyBorder="1"/>
    <xf numFmtId="176" fontId="7" fillId="0" borderId="1" xfId="0" applyNumberFormat="1" applyFont="1" applyBorder="1" applyAlignment="1">
      <alignment horizontal="center"/>
    </xf>
    <xf numFmtId="10" fontId="3" fillId="7" borderId="7" xfId="7" applyNumberFormat="1" applyFont="1" applyFill="1" applyBorder="1" applyAlignment="1">
      <alignment horizontal="center"/>
    </xf>
    <xf numFmtId="10" fontId="2" fillId="0" borderId="1" xfId="7" applyNumberFormat="1" applyFont="1" applyFill="1" applyBorder="1" applyAlignment="1">
      <alignment horizontal="center"/>
    </xf>
    <xf numFmtId="0" fontId="6" fillId="6" borderId="2" xfId="0" applyFont="1" applyFill="1" applyBorder="1" applyAlignment="1">
      <alignment horizontal="center"/>
    </xf>
    <xf numFmtId="0" fontId="3" fillId="6" borderId="6" xfId="0" applyFont="1" applyFill="1" applyBorder="1" applyAlignment="1">
      <alignment wrapText="1"/>
    </xf>
    <xf numFmtId="174" fontId="3" fillId="6" borderId="6" xfId="6" applyNumberFormat="1" applyFont="1" applyFill="1" applyBorder="1"/>
    <xf numFmtId="175" fontId="2" fillId="6" borderId="7" xfId="5" applyNumberFormat="1" applyFont="1" applyFill="1" applyBorder="1" applyAlignment="1">
      <alignment horizontal="center"/>
    </xf>
    <xf numFmtId="10" fontId="3" fillId="6" borderId="1" xfId="7" applyNumberFormat="1" applyFont="1" applyFill="1" applyBorder="1" applyAlignment="1">
      <alignment horizontal="center"/>
    </xf>
    <xf numFmtId="172" fontId="3" fillId="6" borderId="1" xfId="5" applyNumberFormat="1" applyFont="1" applyFill="1" applyBorder="1"/>
    <xf numFmtId="0" fontId="6" fillId="6" borderId="2" xfId="0" applyFont="1" applyFill="1" applyBorder="1"/>
    <xf numFmtId="175" fontId="3" fillId="6" borderId="7" xfId="5" applyNumberFormat="1" applyFont="1" applyFill="1" applyBorder="1"/>
    <xf numFmtId="174" fontId="3" fillId="6" borderId="1" xfId="6" applyNumberFormat="1" applyFont="1" applyFill="1" applyBorder="1"/>
    <xf numFmtId="0" fontId="6" fillId="0" borderId="8" xfId="0" applyFont="1" applyBorder="1" applyAlignment="1">
      <alignment horizontal="center"/>
    </xf>
    <xf numFmtId="0" fontId="3" fillId="0" borderId="8" xfId="0" applyFont="1" applyBorder="1" applyAlignment="1">
      <alignment wrapText="1"/>
    </xf>
    <xf numFmtId="174" fontId="3" fillId="0" borderId="8" xfId="6" applyNumberFormat="1" applyFont="1" applyFill="1" applyBorder="1"/>
    <xf numFmtId="175" fontId="2" fillId="0" borderId="8" xfId="5" applyNumberFormat="1" applyFont="1" applyFill="1" applyBorder="1" applyAlignment="1">
      <alignment horizontal="center"/>
    </xf>
    <xf numFmtId="10" fontId="3" fillId="0" borderId="8" xfId="7" applyNumberFormat="1" applyFont="1" applyFill="1" applyBorder="1" applyAlignment="1">
      <alignment horizontal="center" vertical="center"/>
    </xf>
    <xf numFmtId="10" fontId="3" fillId="0" borderId="8" xfId="7" applyNumberFormat="1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0" fontId="6" fillId="5" borderId="6" xfId="0" applyFont="1" applyFill="1" applyBorder="1" applyAlignment="1">
      <alignment wrapText="1"/>
    </xf>
    <xf numFmtId="174" fontId="6" fillId="5" borderId="6" xfId="6" applyNumberFormat="1" applyFont="1" applyFill="1" applyBorder="1"/>
    <xf numFmtId="10" fontId="6" fillId="5" borderId="6" xfId="7" applyNumberFormat="1" applyFont="1" applyFill="1" applyBorder="1" applyAlignment="1">
      <alignment horizontal="center" vertical="center"/>
    </xf>
    <xf numFmtId="10" fontId="6" fillId="5" borderId="7" xfId="7" applyNumberFormat="1" applyFont="1" applyFill="1" applyBorder="1" applyAlignment="1">
      <alignment horizontal="center"/>
    </xf>
    <xf numFmtId="175" fontId="6" fillId="5" borderId="6" xfId="5" applyNumberFormat="1" applyFont="1" applyFill="1" applyBorder="1" applyAlignment="1">
      <alignment horizontal="center"/>
    </xf>
    <xf numFmtId="172" fontId="9" fillId="5" borderId="1" xfId="0" applyNumberFormat="1" applyFont="1" applyFill="1" applyBorder="1"/>
    <xf numFmtId="10" fontId="9" fillId="5" borderId="1" xfId="0" applyNumberFormat="1" applyFont="1" applyFill="1" applyBorder="1"/>
    <xf numFmtId="0" fontId="9" fillId="0" borderId="0" xfId="0" applyFont="1"/>
    <xf numFmtId="165" fontId="9" fillId="5" borderId="1" xfId="0" applyNumberFormat="1" applyFont="1" applyFill="1" applyBorder="1"/>
    <xf numFmtId="9" fontId="9" fillId="5" borderId="1" xfId="7" applyFont="1" applyFill="1" applyBorder="1"/>
    <xf numFmtId="165" fontId="9" fillId="0" borderId="0" xfId="0" applyNumberFormat="1" applyFont="1"/>
    <xf numFmtId="172" fontId="9" fillId="0" borderId="0" xfId="0" applyNumberFormat="1" applyFont="1"/>
    <xf numFmtId="165" fontId="1" fillId="0" borderId="0" xfId="0" applyNumberFormat="1" applyFont="1"/>
    <xf numFmtId="0" fontId="0" fillId="0" borderId="0" xfId="0" applyAlignment="1">
      <alignment horizontal="center"/>
    </xf>
    <xf numFmtId="171" fontId="7" fillId="0" borderId="1" xfId="6" applyNumberFormat="1" applyFont="1" applyFill="1" applyBorder="1" applyAlignment="1">
      <alignment horizontal="left" vertical="center" wrapText="1"/>
    </xf>
    <xf numFmtId="9" fontId="7" fillId="0" borderId="1" xfId="7" applyFont="1" applyFill="1" applyBorder="1" applyAlignment="1">
      <alignment horizontal="center" vertical="center" wrapText="1"/>
    </xf>
    <xf numFmtId="43" fontId="7" fillId="0" borderId="1" xfId="6" applyFont="1" applyFill="1" applyBorder="1" applyAlignment="1">
      <alignment horizontal="right" vertical="center" wrapText="1"/>
    </xf>
    <xf numFmtId="167" fontId="2" fillId="0" borderId="1" xfId="4" applyNumberFormat="1" applyFont="1" applyFill="1" applyBorder="1" applyAlignment="1">
      <alignment horizontal="center" vertical="center" wrapText="1"/>
    </xf>
    <xf numFmtId="170" fontId="2" fillId="0" borderId="1" xfId="5" applyNumberFormat="1" applyFont="1" applyFill="1" applyBorder="1" applyAlignment="1">
      <alignment horizontal="center" vertical="center" wrapText="1"/>
    </xf>
    <xf numFmtId="172" fontId="2" fillId="0" borderId="1" xfId="5" applyNumberFormat="1" applyFont="1" applyFill="1" applyBorder="1" applyAlignment="1" applyProtection="1">
      <alignment vertical="center" wrapText="1"/>
    </xf>
    <xf numFmtId="9" fontId="11" fillId="5" borderId="0" xfId="0" applyNumberFormat="1" applyFont="1" applyFill="1" applyAlignment="1">
      <alignment horizontal="center"/>
    </xf>
    <xf numFmtId="165" fontId="11" fillId="0" borderId="0" xfId="5" applyFont="1" applyFill="1" applyAlignment="1">
      <alignment horizontal="center" wrapText="1"/>
    </xf>
    <xf numFmtId="0" fontId="10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11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9" fillId="0" borderId="12" xfId="8" applyFont="1" applyBorder="1" applyAlignment="1">
      <alignment horizontal="justify" vertical="center" wrapText="1"/>
    </xf>
    <xf numFmtId="165" fontId="1" fillId="0" borderId="0" xfId="5" applyFont="1" applyBorder="1" applyAlignment="1">
      <alignment horizontal="justify" vertical="center" wrapText="1"/>
    </xf>
    <xf numFmtId="0" fontId="1" fillId="0" borderId="0" xfId="8" applyAlignment="1">
      <alignment horizontal="justify" vertical="center" wrapText="1"/>
    </xf>
    <xf numFmtId="0" fontId="1" fillId="0" borderId="13" xfId="8" applyBorder="1" applyAlignment="1">
      <alignment horizontal="justify" vertical="center" wrapText="1"/>
    </xf>
    <xf numFmtId="0" fontId="9" fillId="0" borderId="12" xfId="8" applyFont="1" applyBorder="1"/>
    <xf numFmtId="165" fontId="9" fillId="0" borderId="0" xfId="8" applyNumberFormat="1" applyFont="1"/>
    <xf numFmtId="0" fontId="1" fillId="0" borderId="0" xfId="8"/>
    <xf numFmtId="0" fontId="1" fillId="0" borderId="13" xfId="8" applyBorder="1"/>
    <xf numFmtId="0" fontId="9" fillId="7" borderId="4" xfId="8" applyFont="1" applyFill="1" applyBorder="1" applyAlignment="1">
      <alignment horizontal="center" vertical="center"/>
    </xf>
    <xf numFmtId="0" fontId="9" fillId="7" borderId="1" xfId="8" applyFont="1" applyFill="1" applyBorder="1" applyAlignment="1">
      <alignment horizontal="center" vertical="center"/>
    </xf>
    <xf numFmtId="0" fontId="9" fillId="7" borderId="5" xfId="8" applyFont="1" applyFill="1" applyBorder="1" applyAlignment="1">
      <alignment horizontal="center" vertical="center"/>
    </xf>
    <xf numFmtId="0" fontId="1" fillId="0" borderId="4" xfId="8" applyBorder="1" applyAlignment="1">
      <alignment horizontal="center" vertical="center"/>
    </xf>
    <xf numFmtId="0" fontId="1" fillId="0" borderId="1" xfId="8" applyBorder="1" applyAlignment="1">
      <alignment horizontal="left" vertical="center"/>
    </xf>
    <xf numFmtId="165" fontId="1" fillId="0" borderId="1" xfId="8" applyNumberFormat="1" applyBorder="1"/>
    <xf numFmtId="9" fontId="1" fillId="0" borderId="5" xfId="8" applyNumberFormat="1" applyBorder="1" applyAlignment="1">
      <alignment horizontal="center"/>
    </xf>
    <xf numFmtId="0" fontId="9" fillId="7" borderId="1" xfId="8" applyFont="1" applyFill="1" applyBorder="1" applyAlignment="1">
      <alignment horizontal="center"/>
    </xf>
    <xf numFmtId="165" fontId="9" fillId="7" borderId="1" xfId="8" applyNumberFormat="1" applyFont="1" applyFill="1" applyBorder="1" applyAlignment="1">
      <alignment vertical="center"/>
    </xf>
    <xf numFmtId="9" fontId="9" fillId="7" borderId="5" xfId="8" applyNumberFormat="1" applyFont="1" applyFill="1" applyBorder="1" applyAlignment="1">
      <alignment horizontal="center"/>
    </xf>
    <xf numFmtId="171" fontId="3" fillId="0" borderId="0" xfId="6" applyNumberFormat="1" applyFont="1" applyAlignment="1">
      <alignment horizontal="center" vertical="center" wrapText="1"/>
    </xf>
    <xf numFmtId="168" fontId="7" fillId="0" borderId="1" xfId="0" applyNumberFormat="1" applyFont="1" applyBorder="1" applyAlignment="1">
      <alignment horizontal="left" vertical="center" wrapText="1"/>
    </xf>
    <xf numFmtId="168" fontId="6" fillId="3" borderId="1" xfId="0" applyNumberFormat="1" applyFont="1" applyFill="1" applyBorder="1" applyAlignment="1">
      <alignment horizontal="left" vertical="center" wrapText="1"/>
    </xf>
    <xf numFmtId="168" fontId="6" fillId="2" borderId="1" xfId="0" applyNumberFormat="1" applyFont="1" applyFill="1" applyBorder="1" applyAlignment="1">
      <alignment horizontal="left" vertical="center" wrapText="1"/>
    </xf>
    <xf numFmtId="0" fontId="11" fillId="5" borderId="0" xfId="0" applyFont="1" applyFill="1" applyAlignment="1">
      <alignment horizontal="left"/>
    </xf>
    <xf numFmtId="0" fontId="9" fillId="5" borderId="0" xfId="0" applyFont="1" applyFill="1" applyAlignment="1">
      <alignment horizontal="left"/>
    </xf>
    <xf numFmtId="0" fontId="12" fillId="8" borderId="9" xfId="8" applyFont="1" applyFill="1" applyBorder="1" applyAlignment="1">
      <alignment horizontal="center" vertical="center"/>
    </xf>
    <xf numFmtId="0" fontId="12" fillId="8" borderId="10" xfId="8" applyFont="1" applyFill="1" applyBorder="1" applyAlignment="1">
      <alignment horizontal="center" vertical="center"/>
    </xf>
    <xf numFmtId="0" fontId="12" fillId="8" borderId="11" xfId="8" applyFont="1" applyFill="1" applyBorder="1" applyAlignment="1">
      <alignment horizontal="center" vertical="center"/>
    </xf>
    <xf numFmtId="168" fontId="1" fillId="0" borderId="1" xfId="0" applyNumberFormat="1" applyFont="1" applyBorder="1" applyAlignment="1">
      <alignment horizontal="center"/>
    </xf>
  </cellXfs>
  <cellStyles count="10">
    <cellStyle name="Millares" xfId="6" builtinId="3"/>
    <cellStyle name="Millares 2" xfId="1" xr:uid="{00000000-0005-0000-0000-000001000000}"/>
    <cellStyle name="Moneda" xfId="5" builtinId="4"/>
    <cellStyle name="Moneda [0]" xfId="4" builtinId="7"/>
    <cellStyle name="Moneda [0] 2" xfId="2" xr:uid="{00000000-0005-0000-0000-000004000000}"/>
    <cellStyle name="Moneda 14" xfId="9" xr:uid="{7F4A9C98-07D0-420B-8CC2-443312EBFBDC}"/>
    <cellStyle name="Normal" xfId="0" builtinId="0"/>
    <cellStyle name="Normal 2" xfId="3" xr:uid="{00000000-0005-0000-0000-000006000000}"/>
    <cellStyle name="Normal 6" xfId="8" xr:uid="{F523AA40-1375-4C70-A7A7-9E2373C2FB3B}"/>
    <cellStyle name="Porcentaje" xfId="7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994C6-14A2-4CD8-8A78-4207A3F70D41}">
  <dimension ref="A1:H28"/>
  <sheetViews>
    <sheetView topLeftCell="B15" zoomScale="80" zoomScaleNormal="80" workbookViewId="0">
      <selection activeCell="H25" sqref="H25"/>
    </sheetView>
  </sheetViews>
  <sheetFormatPr defaultColWidth="17.5703125" defaultRowHeight="12"/>
  <cols>
    <col min="1" max="1" width="17.5703125" style="22" hidden="1" customWidth="1"/>
    <col min="2" max="2" width="7.7109375" style="21" bestFit="1" customWidth="1"/>
    <col min="3" max="3" width="50.7109375" style="22" customWidth="1"/>
    <col min="4" max="4" width="9.7109375" style="22" bestFit="1" customWidth="1"/>
    <col min="5" max="5" width="13" style="23" bestFit="1" customWidth="1"/>
    <col min="6" max="6" width="17.5703125" style="22" hidden="1" customWidth="1"/>
    <col min="7" max="8" width="20.7109375" style="29" customWidth="1"/>
    <col min="9" max="16384" width="17.5703125" style="22"/>
  </cols>
  <sheetData>
    <row r="1" spans="1:8">
      <c r="A1" s="20"/>
      <c r="G1" s="24"/>
      <c r="H1" s="24"/>
    </row>
    <row r="2" spans="1:8">
      <c r="A2" s="20"/>
      <c r="G2" s="24"/>
      <c r="H2" s="24"/>
    </row>
    <row r="3" spans="1:8" s="8" customFormat="1">
      <c r="A3" s="25"/>
      <c r="B3" s="158" t="s">
        <v>0</v>
      </c>
      <c r="C3" s="158"/>
      <c r="D3" s="158"/>
      <c r="E3" s="158"/>
      <c r="F3" s="158"/>
      <c r="G3" s="158"/>
      <c r="H3" s="158"/>
    </row>
    <row r="4" spans="1:8" s="8" customFormat="1" ht="25.5" customHeight="1">
      <c r="A4" s="25"/>
      <c r="B4" s="158" t="s">
        <v>1</v>
      </c>
      <c r="C4" s="158"/>
      <c r="D4" s="158"/>
      <c r="E4" s="158"/>
      <c r="F4" s="158"/>
      <c r="G4" s="158"/>
      <c r="H4" s="158"/>
    </row>
    <row r="5" spans="1:8">
      <c r="A5" s="20"/>
      <c r="G5" s="24"/>
      <c r="H5" s="24"/>
    </row>
    <row r="6" spans="1:8">
      <c r="A6" s="20"/>
      <c r="G6" s="24"/>
      <c r="H6" s="24"/>
    </row>
    <row r="7" spans="1:8" ht="36">
      <c r="A7" s="20"/>
      <c r="B7" s="14" t="s">
        <v>2</v>
      </c>
      <c r="C7" s="10" t="s">
        <v>3</v>
      </c>
      <c r="D7" s="10" t="s">
        <v>4</v>
      </c>
      <c r="E7" s="11" t="s">
        <v>5</v>
      </c>
      <c r="F7" s="9" t="s">
        <v>6</v>
      </c>
      <c r="G7" s="16" t="s">
        <v>7</v>
      </c>
      <c r="H7" s="12" t="s">
        <v>8</v>
      </c>
    </row>
    <row r="8" spans="1:8">
      <c r="A8" s="20"/>
      <c r="B8" s="127">
        <v>1</v>
      </c>
      <c r="C8" s="13" t="s">
        <v>9</v>
      </c>
      <c r="D8" s="128" t="s">
        <v>10</v>
      </c>
      <c r="E8" s="129">
        <v>1</v>
      </c>
      <c r="F8" s="130"/>
      <c r="G8" s="131">
        <v>3200000</v>
      </c>
      <c r="H8" s="132">
        <f t="shared" ref="H8:H21" si="0">+ROUND((E8*G8),0)</f>
        <v>3200000</v>
      </c>
    </row>
    <row r="9" spans="1:8" ht="24">
      <c r="A9" s="20"/>
      <c r="B9" s="127">
        <f>+B8+1</f>
        <v>2</v>
      </c>
      <c r="C9" s="13" t="s">
        <v>11</v>
      </c>
      <c r="D9" s="128" t="s">
        <v>12</v>
      </c>
      <c r="E9" s="129">
        <v>100</v>
      </c>
      <c r="F9" s="130"/>
      <c r="G9" s="131">
        <v>51600</v>
      </c>
      <c r="H9" s="132">
        <f t="shared" si="0"/>
        <v>5160000</v>
      </c>
    </row>
    <row r="10" spans="1:8" ht="24">
      <c r="A10" s="20"/>
      <c r="B10" s="127">
        <f t="shared" ref="B10:B21" si="1">+B9+1</f>
        <v>3</v>
      </c>
      <c r="C10" s="13" t="s">
        <v>13</v>
      </c>
      <c r="D10" s="128" t="s">
        <v>14</v>
      </c>
      <c r="E10" s="129">
        <v>30000</v>
      </c>
      <c r="F10" s="130"/>
      <c r="G10" s="131">
        <v>5033</v>
      </c>
      <c r="H10" s="132">
        <f t="shared" si="0"/>
        <v>150990000</v>
      </c>
    </row>
    <row r="11" spans="1:8" ht="24">
      <c r="A11" s="20"/>
      <c r="B11" s="127">
        <f t="shared" si="1"/>
        <v>4</v>
      </c>
      <c r="C11" s="13" t="s">
        <v>15</v>
      </c>
      <c r="D11" s="128" t="s">
        <v>16</v>
      </c>
      <c r="E11" s="129">
        <v>50</v>
      </c>
      <c r="F11" s="130"/>
      <c r="G11" s="131">
        <v>81633</v>
      </c>
      <c r="H11" s="132">
        <f t="shared" si="0"/>
        <v>4081650</v>
      </c>
    </row>
    <row r="12" spans="1:8">
      <c r="A12" s="20"/>
      <c r="B12" s="127">
        <f t="shared" si="1"/>
        <v>5</v>
      </c>
      <c r="C12" s="13" t="s">
        <v>17</v>
      </c>
      <c r="D12" s="128" t="s">
        <v>12</v>
      </c>
      <c r="E12" s="129">
        <v>30</v>
      </c>
      <c r="F12" s="130"/>
      <c r="G12" s="131">
        <v>593333</v>
      </c>
      <c r="H12" s="132">
        <f t="shared" si="0"/>
        <v>17799990</v>
      </c>
    </row>
    <row r="13" spans="1:8">
      <c r="A13" s="20"/>
      <c r="B13" s="127">
        <f t="shared" si="1"/>
        <v>6</v>
      </c>
      <c r="C13" s="13" t="s">
        <v>18</v>
      </c>
      <c r="D13" s="128" t="s">
        <v>10</v>
      </c>
      <c r="E13" s="129">
        <v>3</v>
      </c>
      <c r="F13" s="130"/>
      <c r="G13" s="131">
        <v>3403333</v>
      </c>
      <c r="H13" s="132">
        <f t="shared" si="0"/>
        <v>10209999</v>
      </c>
    </row>
    <row r="14" spans="1:8">
      <c r="A14" s="20"/>
      <c r="B14" s="127">
        <f t="shared" si="1"/>
        <v>7</v>
      </c>
      <c r="C14" s="13" t="s">
        <v>19</v>
      </c>
      <c r="D14" s="128" t="s">
        <v>12</v>
      </c>
      <c r="E14" s="129">
        <v>30</v>
      </c>
      <c r="F14" s="130"/>
      <c r="G14" s="131">
        <v>363630</v>
      </c>
      <c r="H14" s="132">
        <f t="shared" si="0"/>
        <v>10908900</v>
      </c>
    </row>
    <row r="15" spans="1:8" ht="24">
      <c r="A15" s="20"/>
      <c r="B15" s="127">
        <f t="shared" si="1"/>
        <v>8</v>
      </c>
      <c r="C15" s="13" t="s">
        <v>20</v>
      </c>
      <c r="D15" s="128" t="s">
        <v>16</v>
      </c>
      <c r="E15" s="129">
        <v>750</v>
      </c>
      <c r="F15" s="130"/>
      <c r="G15" s="131">
        <v>88767</v>
      </c>
      <c r="H15" s="132">
        <f t="shared" si="0"/>
        <v>66575250</v>
      </c>
    </row>
    <row r="16" spans="1:8">
      <c r="A16" s="20"/>
      <c r="B16" s="127">
        <f t="shared" si="1"/>
        <v>9</v>
      </c>
      <c r="C16" s="13" t="s">
        <v>21</v>
      </c>
      <c r="D16" s="128" t="s">
        <v>16</v>
      </c>
      <c r="E16" s="129">
        <v>750</v>
      </c>
      <c r="F16" s="130"/>
      <c r="G16" s="131">
        <v>33433</v>
      </c>
      <c r="H16" s="132">
        <f t="shared" si="0"/>
        <v>25074750</v>
      </c>
    </row>
    <row r="17" spans="1:8" ht="36">
      <c r="A17" s="20"/>
      <c r="B17" s="127">
        <f t="shared" si="1"/>
        <v>10</v>
      </c>
      <c r="C17" s="13" t="s">
        <v>22</v>
      </c>
      <c r="D17" s="128" t="s">
        <v>16</v>
      </c>
      <c r="E17" s="129">
        <v>20</v>
      </c>
      <c r="F17" s="130"/>
      <c r="G17" s="131">
        <v>616667</v>
      </c>
      <c r="H17" s="132">
        <f t="shared" si="0"/>
        <v>12333340</v>
      </c>
    </row>
    <row r="18" spans="1:8" ht="36">
      <c r="A18" s="20"/>
      <c r="B18" s="127">
        <f t="shared" si="1"/>
        <v>11</v>
      </c>
      <c r="C18" s="13" t="s">
        <v>23</v>
      </c>
      <c r="D18" s="128" t="s">
        <v>16</v>
      </c>
      <c r="E18" s="129">
        <v>50</v>
      </c>
      <c r="F18" s="130"/>
      <c r="G18" s="131">
        <v>826000</v>
      </c>
      <c r="H18" s="132">
        <f t="shared" si="0"/>
        <v>41300000</v>
      </c>
    </row>
    <row r="19" spans="1:8" ht="96">
      <c r="A19" s="20"/>
      <c r="B19" s="127">
        <f t="shared" si="1"/>
        <v>12</v>
      </c>
      <c r="C19" s="13" t="s">
        <v>24</v>
      </c>
      <c r="D19" s="128" t="s">
        <v>16</v>
      </c>
      <c r="E19" s="129">
        <v>30</v>
      </c>
      <c r="F19" s="130"/>
      <c r="G19" s="131">
        <v>690000</v>
      </c>
      <c r="H19" s="132">
        <f t="shared" si="0"/>
        <v>20700000</v>
      </c>
    </row>
    <row r="20" spans="1:8" ht="24">
      <c r="A20" s="20"/>
      <c r="B20" s="127">
        <f t="shared" si="1"/>
        <v>13</v>
      </c>
      <c r="C20" s="13" t="s">
        <v>25</v>
      </c>
      <c r="D20" s="128" t="s">
        <v>16</v>
      </c>
      <c r="E20" s="129">
        <v>50</v>
      </c>
      <c r="F20" s="130"/>
      <c r="G20" s="131">
        <v>174333</v>
      </c>
      <c r="H20" s="132">
        <f t="shared" si="0"/>
        <v>8716650</v>
      </c>
    </row>
    <row r="21" spans="1:8">
      <c r="A21" s="20"/>
      <c r="B21" s="127">
        <f t="shared" si="1"/>
        <v>14</v>
      </c>
      <c r="C21" s="13" t="s">
        <v>26</v>
      </c>
      <c r="D21" s="128" t="s">
        <v>16</v>
      </c>
      <c r="E21" s="129">
        <v>300</v>
      </c>
      <c r="F21" s="130"/>
      <c r="G21" s="131">
        <v>11700</v>
      </c>
      <c r="H21" s="132">
        <f t="shared" si="0"/>
        <v>3510000</v>
      </c>
    </row>
    <row r="22" spans="1:8">
      <c r="A22" s="20"/>
      <c r="B22" s="160" t="s">
        <v>27</v>
      </c>
      <c r="C22" s="160"/>
      <c r="D22" s="160"/>
      <c r="E22" s="160"/>
      <c r="F22" s="26"/>
      <c r="G22" s="27"/>
      <c r="H22" s="18">
        <f>SUM(H8:H21)</f>
        <v>380560529</v>
      </c>
    </row>
    <row r="23" spans="1:8">
      <c r="A23" s="20"/>
      <c r="B23" s="159" t="s">
        <v>28</v>
      </c>
      <c r="C23" s="159"/>
      <c r="D23" s="159"/>
      <c r="E23" s="159"/>
      <c r="F23" s="26"/>
      <c r="G23" s="30">
        <v>0.2833</v>
      </c>
      <c r="H23" s="17">
        <f>+ROUND(H22*G23,0)</f>
        <v>107812798</v>
      </c>
    </row>
    <row r="24" spans="1:8">
      <c r="A24" s="20"/>
      <c r="B24" s="159" t="s">
        <v>29</v>
      </c>
      <c r="C24" s="159"/>
      <c r="D24" s="159"/>
      <c r="E24" s="159"/>
      <c r="F24" s="26"/>
      <c r="G24" s="30">
        <v>0.03</v>
      </c>
      <c r="H24" s="17">
        <f>+ROUND(H22*G24,0)</f>
        <v>11416816</v>
      </c>
    </row>
    <row r="25" spans="1:8">
      <c r="A25" s="20"/>
      <c r="B25" s="159" t="s">
        <v>30</v>
      </c>
      <c r="C25" s="159"/>
      <c r="D25" s="159"/>
      <c r="E25" s="159"/>
      <c r="F25" s="26"/>
      <c r="G25" s="30">
        <v>5.000000000000001E-2</v>
      </c>
      <c r="H25" s="17">
        <f>+ROUND(H22*G25,0)</f>
        <v>19028026</v>
      </c>
    </row>
    <row r="26" spans="1:8">
      <c r="A26" s="20"/>
      <c r="B26" s="159" t="s">
        <v>31</v>
      </c>
      <c r="C26" s="159"/>
      <c r="D26" s="159"/>
      <c r="E26" s="159"/>
      <c r="F26" s="26"/>
      <c r="G26" s="31">
        <v>0.19</v>
      </c>
      <c r="H26" s="17">
        <f>+ROUND(H25*G26,0)</f>
        <v>3615325</v>
      </c>
    </row>
    <row r="27" spans="1:8">
      <c r="A27" s="20"/>
      <c r="B27" s="160" t="s">
        <v>32</v>
      </c>
      <c r="C27" s="160"/>
      <c r="D27" s="160"/>
      <c r="E27" s="160"/>
      <c r="F27" s="26"/>
      <c r="G27" s="27"/>
      <c r="H27" s="18">
        <f>SUM(H23:H26)</f>
        <v>141872965</v>
      </c>
    </row>
    <row r="28" spans="1:8">
      <c r="A28" s="20"/>
      <c r="B28" s="161" t="s">
        <v>33</v>
      </c>
      <c r="C28" s="161"/>
      <c r="D28" s="161"/>
      <c r="E28" s="161"/>
      <c r="F28" s="26"/>
      <c r="G28" s="28"/>
      <c r="H28" s="19">
        <f>+H22+H27</f>
        <v>522433494</v>
      </c>
    </row>
  </sheetData>
  <mergeCells count="9">
    <mergeCell ref="B3:H3"/>
    <mergeCell ref="B4:H4"/>
    <mergeCell ref="B26:E26"/>
    <mergeCell ref="B27:E27"/>
    <mergeCell ref="B28:E28"/>
    <mergeCell ref="B22:E22"/>
    <mergeCell ref="B23:E23"/>
    <mergeCell ref="B24:E24"/>
    <mergeCell ref="B25:E2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5F8E2-05D7-4967-AE74-9C31EC017DE3}">
  <dimension ref="A4:J30"/>
  <sheetViews>
    <sheetView topLeftCell="B18" workbookViewId="0">
      <selection activeCell="C36" sqref="C36"/>
    </sheetView>
  </sheetViews>
  <sheetFormatPr defaultColWidth="11.42578125" defaultRowHeight="12.75"/>
  <cols>
    <col min="1" max="1" width="10.7109375" customWidth="1"/>
    <col min="2" max="2" width="30.7109375" customWidth="1"/>
    <col min="3" max="8" width="20.7109375" customWidth="1"/>
    <col min="9" max="9" width="16.5703125" bestFit="1" customWidth="1"/>
  </cols>
  <sheetData>
    <row r="4" spans="1:8">
      <c r="A4" s="64" t="s">
        <v>34</v>
      </c>
      <c r="B4" s="65" t="s">
        <v>35</v>
      </c>
      <c r="C4" s="66" t="s">
        <v>5</v>
      </c>
      <c r="D4" s="67" t="s">
        <v>36</v>
      </c>
      <c r="E4" s="68" t="s">
        <v>37</v>
      </c>
      <c r="F4" s="69" t="s">
        <v>38</v>
      </c>
      <c r="G4" s="70" t="s">
        <v>39</v>
      </c>
      <c r="H4" s="71" t="s">
        <v>40</v>
      </c>
    </row>
    <row r="5" spans="1:8">
      <c r="A5" s="72">
        <v>1</v>
      </c>
      <c r="B5" s="73" t="s">
        <v>41</v>
      </c>
      <c r="C5" s="74"/>
      <c r="D5" s="75"/>
      <c r="E5" s="76"/>
      <c r="F5" s="77"/>
      <c r="G5" s="78">
        <f>SUM(G6:G8)</f>
        <v>34200000</v>
      </c>
      <c r="H5" s="79">
        <f t="shared" ref="H5:H26" si="0">+G5/$G$30</f>
        <v>8.9867438669657726E-2</v>
      </c>
    </row>
    <row r="6" spans="1:8">
      <c r="A6" s="80">
        <v>1.1000000000000001</v>
      </c>
      <c r="B6" s="81" t="s">
        <v>42</v>
      </c>
      <c r="C6" s="82">
        <v>1</v>
      </c>
      <c r="D6" s="83">
        <v>7200000</v>
      </c>
      <c r="E6" s="84">
        <v>0.5</v>
      </c>
      <c r="F6" s="85">
        <v>3</v>
      </c>
      <c r="G6" s="86">
        <f>+D6*E6*F6*C6</f>
        <v>10800000</v>
      </c>
      <c r="H6" s="87">
        <f t="shared" si="0"/>
        <v>2.837919115883928E-2</v>
      </c>
    </row>
    <row r="7" spans="1:8">
      <c r="A7" s="80">
        <v>1.2</v>
      </c>
      <c r="B7" s="81" t="s">
        <v>43</v>
      </c>
      <c r="C7" s="82">
        <v>1</v>
      </c>
      <c r="D7" s="83">
        <v>6400000</v>
      </c>
      <c r="E7" s="84">
        <v>1</v>
      </c>
      <c r="F7" s="85">
        <v>3</v>
      </c>
      <c r="G7" s="86">
        <f>+D7*E7*F7*C7</f>
        <v>19200000</v>
      </c>
      <c r="H7" s="87">
        <f t="shared" si="0"/>
        <v>5.0451895393492055E-2</v>
      </c>
    </row>
    <row r="8" spans="1:8" ht="24">
      <c r="A8" s="80">
        <v>1.3</v>
      </c>
      <c r="B8" s="81" t="s">
        <v>44</v>
      </c>
      <c r="C8" s="82">
        <v>1</v>
      </c>
      <c r="D8" s="83">
        <v>2800000</v>
      </c>
      <c r="E8" s="84">
        <v>0.5</v>
      </c>
      <c r="F8" s="85">
        <v>3</v>
      </c>
      <c r="G8" s="86">
        <f>+D8*E8*F8*C8</f>
        <v>4200000</v>
      </c>
      <c r="H8" s="87">
        <f t="shared" si="0"/>
        <v>1.1036352117326387E-2</v>
      </c>
    </row>
    <row r="9" spans="1:8">
      <c r="A9" s="72">
        <v>3</v>
      </c>
      <c r="B9" s="73" t="s">
        <v>45</v>
      </c>
      <c r="C9" s="74"/>
      <c r="D9" s="75"/>
      <c r="E9" s="76"/>
      <c r="F9" s="77"/>
      <c r="G9" s="78">
        <f>SUM(G10:G12)</f>
        <v>3692463.3090000004</v>
      </c>
      <c r="H9" s="79">
        <f t="shared" si="0"/>
        <v>9.7026964901028925E-3</v>
      </c>
    </row>
    <row r="10" spans="1:8" ht="24">
      <c r="A10" s="80">
        <v>3.5</v>
      </c>
      <c r="B10" s="90" t="s">
        <v>46</v>
      </c>
      <c r="C10" s="89">
        <v>1</v>
      </c>
      <c r="D10" s="91">
        <v>2392463.3090000004</v>
      </c>
      <c r="E10" s="87"/>
      <c r="F10" s="92"/>
      <c r="G10" s="93">
        <f>+C10*D10</f>
        <v>2392463.3090000004</v>
      </c>
      <c r="H10" s="87">
        <f t="shared" si="0"/>
        <v>6.2866827395018686E-3</v>
      </c>
    </row>
    <row r="11" spans="1:8">
      <c r="A11" s="80">
        <v>3.8</v>
      </c>
      <c r="B11" s="90" t="s">
        <v>47</v>
      </c>
      <c r="C11" s="89"/>
      <c r="D11" s="91">
        <v>400000</v>
      </c>
      <c r="E11" s="87"/>
      <c r="F11" s="85">
        <v>3</v>
      </c>
      <c r="G11" s="93">
        <f>+D11*F11</f>
        <v>1200000</v>
      </c>
      <c r="H11" s="87">
        <f t="shared" si="0"/>
        <v>3.1532434620932534E-3</v>
      </c>
    </row>
    <row r="12" spans="1:8">
      <c r="A12" s="94">
        <v>3.9</v>
      </c>
      <c r="B12" s="88" t="s">
        <v>48</v>
      </c>
      <c r="C12" s="89">
        <v>1</v>
      </c>
      <c r="D12" s="91">
        <v>100000</v>
      </c>
      <c r="E12" s="87"/>
      <c r="F12" s="92"/>
      <c r="G12" s="93">
        <f>+C12*D12</f>
        <v>100000</v>
      </c>
      <c r="H12" s="87">
        <f t="shared" si="0"/>
        <v>2.6277028850777112E-4</v>
      </c>
    </row>
    <row r="13" spans="1:8" ht="24">
      <c r="A13" s="72">
        <v>4</v>
      </c>
      <c r="B13" s="73" t="s">
        <v>49</v>
      </c>
      <c r="C13" s="74"/>
      <c r="D13" s="75"/>
      <c r="E13" s="76"/>
      <c r="F13" s="77"/>
      <c r="G13" s="78">
        <f>SUM(G14:G15)</f>
        <v>1800000</v>
      </c>
      <c r="H13" s="79">
        <f t="shared" si="0"/>
        <v>4.7298651931398806E-3</v>
      </c>
    </row>
    <row r="14" spans="1:8" ht="24">
      <c r="A14" s="80">
        <v>4.2</v>
      </c>
      <c r="B14" s="88" t="s">
        <v>50</v>
      </c>
      <c r="C14" s="89"/>
      <c r="D14" s="91">
        <v>400000</v>
      </c>
      <c r="E14" s="87"/>
      <c r="F14" s="85">
        <v>3</v>
      </c>
      <c r="G14" s="93">
        <f>+D14*F14</f>
        <v>1200000</v>
      </c>
      <c r="H14" s="87">
        <f t="shared" si="0"/>
        <v>3.1532434620932534E-3</v>
      </c>
    </row>
    <row r="15" spans="1:8">
      <c r="A15" s="80">
        <v>4.4000000000000004</v>
      </c>
      <c r="B15" s="88" t="s">
        <v>51</v>
      </c>
      <c r="C15" s="89"/>
      <c r="D15" s="91">
        <v>200000</v>
      </c>
      <c r="E15" s="87"/>
      <c r="F15" s="85">
        <v>3</v>
      </c>
      <c r="G15" s="93">
        <f>+D15*F15</f>
        <v>600000</v>
      </c>
      <c r="H15" s="87">
        <f t="shared" si="0"/>
        <v>1.5766217310466267E-3</v>
      </c>
    </row>
    <row r="16" spans="1:8">
      <c r="A16" s="72">
        <v>7</v>
      </c>
      <c r="B16" s="73" t="s">
        <v>52</v>
      </c>
      <c r="C16" s="74"/>
      <c r="D16" s="75"/>
      <c r="E16" s="76"/>
      <c r="F16" s="77"/>
      <c r="G16" s="78">
        <f>SUM(G17)</f>
        <v>7611210.5800000001</v>
      </c>
      <c r="H16" s="79">
        <f t="shared" si="0"/>
        <v>0.02</v>
      </c>
    </row>
    <row r="17" spans="1:10">
      <c r="A17" s="80">
        <v>7.1</v>
      </c>
      <c r="B17" s="88" t="s">
        <v>53</v>
      </c>
      <c r="C17" s="89"/>
      <c r="D17" s="83"/>
      <c r="E17" s="87">
        <v>0.02</v>
      </c>
      <c r="F17" s="92"/>
      <c r="G17" s="93">
        <f>+G30*E17</f>
        <v>7611210.5800000001</v>
      </c>
      <c r="H17" s="87">
        <f t="shared" si="0"/>
        <v>0.02</v>
      </c>
    </row>
    <row r="18" spans="1:10">
      <c r="A18" s="72">
        <v>8</v>
      </c>
      <c r="B18" s="73" t="s">
        <v>54</v>
      </c>
      <c r="C18" s="74"/>
      <c r="D18" s="75"/>
      <c r="E18" s="76"/>
      <c r="F18" s="95"/>
      <c r="G18" s="78">
        <f>SUM(G19:G23)</f>
        <v>30064281.790999997</v>
      </c>
      <c r="H18" s="79">
        <f t="shared" si="0"/>
        <v>7.8999999999999987E-2</v>
      </c>
    </row>
    <row r="19" spans="1:10">
      <c r="A19" s="80">
        <v>8.1</v>
      </c>
      <c r="B19" s="88" t="s">
        <v>55</v>
      </c>
      <c r="C19" s="89"/>
      <c r="D19" s="83"/>
      <c r="E19" s="87">
        <v>4.0000000000000001E-3</v>
      </c>
      <c r="F19" s="96"/>
      <c r="G19" s="93">
        <f>+G30*E19</f>
        <v>1522242.1159999999</v>
      </c>
      <c r="H19" s="87">
        <f t="shared" si="0"/>
        <v>4.0000000000000001E-3</v>
      </c>
    </row>
    <row r="20" spans="1:10">
      <c r="A20" s="80">
        <v>8.3000000000000007</v>
      </c>
      <c r="B20" s="88" t="s">
        <v>56</v>
      </c>
      <c r="C20" s="89"/>
      <c r="D20" s="83"/>
      <c r="E20" s="87">
        <v>0.01</v>
      </c>
      <c r="F20" s="96"/>
      <c r="G20" s="93">
        <f>+G30*E20</f>
        <v>3805605.29</v>
      </c>
      <c r="H20" s="87">
        <f t="shared" si="0"/>
        <v>0.01</v>
      </c>
    </row>
    <row r="21" spans="1:10">
      <c r="A21" s="80">
        <v>8.4</v>
      </c>
      <c r="B21" s="88" t="s">
        <v>57</v>
      </c>
      <c r="C21" s="89"/>
      <c r="D21" s="83"/>
      <c r="E21" s="87">
        <v>0.01</v>
      </c>
      <c r="F21" s="96"/>
      <c r="G21" s="93">
        <f>+G30*E21</f>
        <v>3805605.29</v>
      </c>
      <c r="H21" s="87">
        <f t="shared" si="0"/>
        <v>0.01</v>
      </c>
    </row>
    <row r="22" spans="1:10">
      <c r="A22" s="80">
        <v>8.5</v>
      </c>
      <c r="B22" s="88" t="s">
        <v>58</v>
      </c>
      <c r="C22" s="89"/>
      <c r="D22" s="83"/>
      <c r="E22" s="87">
        <v>5.0000000000000001E-3</v>
      </c>
      <c r="F22" s="96"/>
      <c r="G22" s="93">
        <f>+G30*E22</f>
        <v>1902802.645</v>
      </c>
      <c r="H22" s="87">
        <f t="shared" si="0"/>
        <v>5.0000000000000001E-3</v>
      </c>
    </row>
    <row r="23" spans="1:10" ht="24">
      <c r="A23" s="80">
        <v>8.6</v>
      </c>
      <c r="B23" s="88" t="s">
        <v>59</v>
      </c>
      <c r="C23" s="89"/>
      <c r="D23" s="83"/>
      <c r="E23" s="87">
        <v>0.05</v>
      </c>
      <c r="F23" s="96"/>
      <c r="G23" s="93">
        <f>+G30*E23</f>
        <v>19028026.449999999</v>
      </c>
      <c r="H23" s="87">
        <f t="shared" si="0"/>
        <v>4.9999999999999996E-2</v>
      </c>
    </row>
    <row r="24" spans="1:10">
      <c r="A24" s="97"/>
      <c r="B24" s="98" t="s">
        <v>60</v>
      </c>
      <c r="C24" s="99"/>
      <c r="D24" s="100"/>
      <c r="E24" s="71">
        <f>+G24/G30</f>
        <v>0.20330000035290052</v>
      </c>
      <c r="F24" s="101"/>
      <c r="G24" s="102">
        <f>+G18+G16+G13+G9+G5</f>
        <v>77367955.680000007</v>
      </c>
      <c r="H24" s="71">
        <f t="shared" si="0"/>
        <v>0.20330000035290052</v>
      </c>
    </row>
    <row r="25" spans="1:10">
      <c r="A25" s="103"/>
      <c r="B25" s="98" t="s">
        <v>29</v>
      </c>
      <c r="C25" s="99"/>
      <c r="D25" s="104"/>
      <c r="E25" s="71">
        <v>0.03</v>
      </c>
      <c r="F25" s="105"/>
      <c r="G25" s="102">
        <f>+G30*E25</f>
        <v>11416815.869999999</v>
      </c>
      <c r="H25" s="71">
        <f t="shared" si="0"/>
        <v>0.03</v>
      </c>
    </row>
    <row r="26" spans="1:10">
      <c r="A26" s="103"/>
      <c r="B26" s="98" t="s">
        <v>30</v>
      </c>
      <c r="C26" s="99"/>
      <c r="D26" s="104"/>
      <c r="E26" s="71">
        <v>0.05</v>
      </c>
      <c r="F26" s="105"/>
      <c r="G26" s="102">
        <f>+G30*E26</f>
        <v>19028026.449999999</v>
      </c>
      <c r="H26" s="71">
        <f t="shared" si="0"/>
        <v>4.9999999999999996E-2</v>
      </c>
    </row>
    <row r="28" spans="1:10">
      <c r="A28" s="106"/>
      <c r="B28" s="107"/>
      <c r="C28" s="108"/>
      <c r="D28" s="109"/>
      <c r="E28" s="110"/>
      <c r="F28" s="111"/>
    </row>
    <row r="29" spans="1:10" s="120" customFormat="1">
      <c r="A29" s="112"/>
      <c r="B29" s="113" t="s">
        <v>61</v>
      </c>
      <c r="C29" s="114"/>
      <c r="D29" s="117"/>
      <c r="E29" s="115"/>
      <c r="F29" s="116"/>
      <c r="G29" s="118">
        <f>SUM(G24:G26)</f>
        <v>107812798.00000001</v>
      </c>
      <c r="H29" s="119">
        <f>+G29/G30</f>
        <v>0.28330000035290054</v>
      </c>
      <c r="I29" s="123"/>
      <c r="J29" s="124"/>
    </row>
    <row r="30" spans="1:10" s="120" customFormat="1">
      <c r="A30" s="112"/>
      <c r="B30" s="113" t="s">
        <v>62</v>
      </c>
      <c r="C30" s="114"/>
      <c r="D30" s="117"/>
      <c r="E30" s="115"/>
      <c r="F30" s="116"/>
      <c r="G30" s="121">
        <f>+PRESUPUESTO!H22</f>
        <v>380560529</v>
      </c>
      <c r="H30" s="122">
        <f>+G30/G30</f>
        <v>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F07F3-0266-4DE8-9EB5-375023347055}">
  <dimension ref="A3:L122"/>
  <sheetViews>
    <sheetView topLeftCell="A116" zoomScaleNormal="100" workbookViewId="0">
      <selection activeCell="D133" sqref="D133"/>
    </sheetView>
  </sheetViews>
  <sheetFormatPr defaultColWidth="11.42578125" defaultRowHeight="12.75"/>
  <cols>
    <col min="2" max="2" width="42" style="139" bestFit="1" customWidth="1"/>
    <col min="5" max="5" width="11.42578125" style="126"/>
    <col min="6" max="6" width="14.5703125" bestFit="1" customWidth="1"/>
    <col min="7" max="7" width="19" bestFit="1" customWidth="1"/>
    <col min="8" max="8" width="14.42578125" style="59" bestFit="1" customWidth="1"/>
    <col min="9" max="9" width="14.42578125" bestFit="1" customWidth="1"/>
    <col min="12" max="12" width="11.85546875" bestFit="1" customWidth="1"/>
  </cols>
  <sheetData>
    <row r="3" spans="1:10">
      <c r="A3" s="35" t="s">
        <v>2</v>
      </c>
      <c r="B3" s="134" t="s">
        <v>63</v>
      </c>
      <c r="C3" s="35" t="s">
        <v>5</v>
      </c>
      <c r="D3" s="35" t="s">
        <v>64</v>
      </c>
      <c r="E3" s="35" t="s">
        <v>65</v>
      </c>
      <c r="F3" s="35" t="s">
        <v>66</v>
      </c>
      <c r="G3" s="35" t="s">
        <v>67</v>
      </c>
    </row>
    <row r="4" spans="1:10">
      <c r="A4" s="36">
        <f>+PRESUPUESTO!B8</f>
        <v>1</v>
      </c>
      <c r="B4" s="162" t="str">
        <f>+PRESUPUESTO!C8</f>
        <v>Campamento 9 M2</v>
      </c>
      <c r="C4" s="162"/>
      <c r="D4" s="162"/>
      <c r="E4" s="162"/>
      <c r="F4" s="162"/>
      <c r="G4" s="57" t="str">
        <f>+PRESUPUESTO!D8</f>
        <v>un</v>
      </c>
    </row>
    <row r="5" spans="1:10">
      <c r="A5" s="37"/>
      <c r="B5" s="135" t="s">
        <v>68</v>
      </c>
      <c r="C5" s="39">
        <v>4.5</v>
      </c>
      <c r="D5" s="37" t="s">
        <v>69</v>
      </c>
      <c r="E5" s="42">
        <v>0</v>
      </c>
      <c r="F5" s="40">
        <v>4500</v>
      </c>
      <c r="G5" s="41">
        <f>(C5+E5)*F5</f>
        <v>20250</v>
      </c>
    </row>
    <row r="6" spans="1:10">
      <c r="A6" s="37"/>
      <c r="B6" s="135" t="s">
        <v>70</v>
      </c>
      <c r="C6" s="39">
        <v>1.2</v>
      </c>
      <c r="D6" s="37" t="s">
        <v>71</v>
      </c>
      <c r="E6" s="42">
        <v>0.1</v>
      </c>
      <c r="F6" s="40">
        <v>438789</v>
      </c>
      <c r="G6" s="41">
        <f t="shared" ref="G6:G13" si="0">(C6+E6)*F6</f>
        <v>570425.70000000007</v>
      </c>
    </row>
    <row r="7" spans="1:10">
      <c r="A7" s="37"/>
      <c r="B7" s="135" t="s">
        <v>72</v>
      </c>
      <c r="C7" s="39">
        <v>11</v>
      </c>
      <c r="D7" s="37" t="s">
        <v>69</v>
      </c>
      <c r="E7" s="42">
        <v>0.1</v>
      </c>
      <c r="F7" s="40">
        <v>606.5435958741765</v>
      </c>
      <c r="G7" s="41">
        <f t="shared" si="0"/>
        <v>6732.6339142033594</v>
      </c>
    </row>
    <row r="8" spans="1:10">
      <c r="A8" s="37"/>
      <c r="B8" s="135" t="s">
        <v>73</v>
      </c>
      <c r="C8" s="39">
        <v>1.5</v>
      </c>
      <c r="D8" s="37" t="s">
        <v>69</v>
      </c>
      <c r="E8" s="42">
        <v>0</v>
      </c>
      <c r="F8" s="40">
        <v>1839.6756647013319</v>
      </c>
      <c r="G8" s="41">
        <f t="shared" si="0"/>
        <v>2759.513497051998</v>
      </c>
    </row>
    <row r="9" spans="1:10">
      <c r="A9" s="37"/>
      <c r="B9" s="135" t="s">
        <v>74</v>
      </c>
      <c r="C9" s="39">
        <v>3.6</v>
      </c>
      <c r="D9" s="37" t="s">
        <v>75</v>
      </c>
      <c r="E9" s="42">
        <v>0.05</v>
      </c>
      <c r="F9" s="40">
        <v>3900</v>
      </c>
      <c r="G9" s="41">
        <f t="shared" si="0"/>
        <v>14235</v>
      </c>
    </row>
    <row r="10" spans="1:10">
      <c r="A10" s="37"/>
      <c r="B10" s="135" t="s">
        <v>76</v>
      </c>
      <c r="C10" s="39">
        <v>65</v>
      </c>
      <c r="D10" s="37" t="s">
        <v>77</v>
      </c>
      <c r="E10" s="42">
        <v>0</v>
      </c>
      <c r="F10" s="40">
        <v>15267</v>
      </c>
      <c r="G10" s="41">
        <f t="shared" si="0"/>
        <v>992355</v>
      </c>
    </row>
    <row r="11" spans="1:10">
      <c r="A11" s="37"/>
      <c r="B11" s="135" t="s">
        <v>78</v>
      </c>
      <c r="C11" s="39">
        <v>12</v>
      </c>
      <c r="D11" s="37" t="s">
        <v>69</v>
      </c>
      <c r="E11" s="42">
        <v>0.05</v>
      </c>
      <c r="F11" s="40">
        <v>30500</v>
      </c>
      <c r="G11" s="41">
        <f t="shared" si="0"/>
        <v>367525</v>
      </c>
    </row>
    <row r="12" spans="1:10">
      <c r="A12" s="37"/>
      <c r="B12" s="135" t="s">
        <v>79</v>
      </c>
      <c r="C12" s="39">
        <v>17.5</v>
      </c>
      <c r="D12" s="37" t="s">
        <v>77</v>
      </c>
      <c r="E12" s="42">
        <v>0.02</v>
      </c>
      <c r="F12" s="40">
        <v>35632</v>
      </c>
      <c r="G12" s="41">
        <f t="shared" si="0"/>
        <v>624272.64000000001</v>
      </c>
    </row>
    <row r="13" spans="1:10">
      <c r="A13" s="37"/>
      <c r="B13" s="135" t="s">
        <v>80</v>
      </c>
      <c r="C13" s="39">
        <v>0.60962198185332506</v>
      </c>
      <c r="D13" s="37" t="s">
        <v>81</v>
      </c>
      <c r="E13" s="42">
        <v>0</v>
      </c>
      <c r="F13" s="40">
        <v>986586</v>
      </c>
      <c r="G13" s="41">
        <f t="shared" si="0"/>
        <v>601444.51258874452</v>
      </c>
    </row>
    <row r="14" spans="1:10">
      <c r="A14" s="37"/>
      <c r="B14" s="135"/>
      <c r="C14" s="39"/>
      <c r="D14" s="38"/>
      <c r="E14" s="42"/>
      <c r="F14" s="41"/>
      <c r="G14" s="43">
        <f>SUM(G5:G13)</f>
        <v>3200000</v>
      </c>
      <c r="I14" s="62"/>
      <c r="J14" s="62"/>
    </row>
    <row r="17" spans="1:12" s="38" customFormat="1">
      <c r="A17" s="44">
        <f>+PRESUPUESTO!B9</f>
        <v>2</v>
      </c>
      <c r="B17" s="163" t="str">
        <f>+PRESUPUESTO!C9</f>
        <v xml:space="preserve">Cerramiento de protección tela polipropileno verde H= 2.00 MTS,incluye estructura en madera </v>
      </c>
      <c r="C17" s="163"/>
      <c r="D17" s="163"/>
      <c r="E17" s="163"/>
      <c r="F17" s="163"/>
      <c r="G17" s="45" t="str">
        <f>+PRESUPUESTO!D9</f>
        <v>ml</v>
      </c>
      <c r="H17" s="60"/>
    </row>
    <row r="18" spans="1:12" s="38" customFormat="1">
      <c r="A18" s="46"/>
      <c r="B18" s="136" t="s">
        <v>82</v>
      </c>
      <c r="C18" s="48">
        <v>10</v>
      </c>
      <c r="D18" s="46" t="s">
        <v>83</v>
      </c>
      <c r="E18" s="55">
        <v>0</v>
      </c>
      <c r="F18" s="49">
        <v>1306.8500000000001</v>
      </c>
      <c r="G18" s="41">
        <f t="shared" ref="G18:G23" si="1">(C18+E18)*F18</f>
        <v>13068.500000000002</v>
      </c>
      <c r="H18" s="60"/>
    </row>
    <row r="19" spans="1:12" s="38" customFormat="1">
      <c r="A19" s="46"/>
      <c r="B19" s="136" t="s">
        <v>84</v>
      </c>
      <c r="C19" s="48">
        <v>1.6</v>
      </c>
      <c r="D19" s="46" t="s">
        <v>69</v>
      </c>
      <c r="E19" s="55">
        <v>0.04</v>
      </c>
      <c r="F19" s="49">
        <v>13233.62</v>
      </c>
      <c r="G19" s="41">
        <f t="shared" si="1"/>
        <v>21703.136800000004</v>
      </c>
      <c r="H19" s="60"/>
    </row>
    <row r="20" spans="1:12" s="38" customFormat="1">
      <c r="A20" s="46"/>
      <c r="B20" s="136" t="s">
        <v>85</v>
      </c>
      <c r="C20" s="48">
        <v>0.3</v>
      </c>
      <c r="D20" s="46" t="s">
        <v>77</v>
      </c>
      <c r="E20" s="55">
        <v>0.02</v>
      </c>
      <c r="F20" s="49">
        <v>2397.33</v>
      </c>
      <c r="G20" s="41">
        <f t="shared" si="1"/>
        <v>767.14559999999994</v>
      </c>
      <c r="H20" s="60"/>
    </row>
    <row r="21" spans="1:12" s="38" customFormat="1">
      <c r="A21" s="46"/>
      <c r="B21" s="136" t="s">
        <v>86</v>
      </c>
      <c r="C21" s="48">
        <v>1</v>
      </c>
      <c r="D21" s="46" t="s">
        <v>77</v>
      </c>
      <c r="E21" s="55">
        <v>0.04</v>
      </c>
      <c r="F21" s="49">
        <v>1856</v>
      </c>
      <c r="G21" s="41">
        <f t="shared" si="1"/>
        <v>1930.24</v>
      </c>
      <c r="H21" s="60"/>
    </row>
    <row r="22" spans="1:12" s="38" customFormat="1">
      <c r="A22" s="46"/>
      <c r="B22" s="136" t="s">
        <v>87</v>
      </c>
      <c r="C22" s="48">
        <v>0.03</v>
      </c>
      <c r="D22" s="46" t="s">
        <v>75</v>
      </c>
      <c r="E22" s="55">
        <v>0</v>
      </c>
      <c r="F22" s="49">
        <v>2325.87</v>
      </c>
      <c r="G22" s="41">
        <f t="shared" si="1"/>
        <v>69.7761</v>
      </c>
      <c r="H22" s="60"/>
    </row>
    <row r="23" spans="1:12" s="38" customFormat="1">
      <c r="A23" s="46"/>
      <c r="B23" s="136" t="s">
        <v>88</v>
      </c>
      <c r="C23" s="46">
        <v>0.13449517446531725</v>
      </c>
      <c r="D23" s="46" t="s">
        <v>89</v>
      </c>
      <c r="E23" s="55">
        <v>0</v>
      </c>
      <c r="F23" s="49">
        <v>104548</v>
      </c>
      <c r="G23" s="41">
        <f t="shared" si="1"/>
        <v>14061.201499999988</v>
      </c>
      <c r="H23" s="60"/>
    </row>
    <row r="24" spans="1:12" s="38" customFormat="1">
      <c r="A24" s="46"/>
      <c r="B24" s="136"/>
      <c r="C24" s="47"/>
      <c r="D24" s="47"/>
      <c r="E24" s="46"/>
      <c r="F24" s="47"/>
      <c r="G24" s="50">
        <f>SUM(G18:G23)</f>
        <v>51600</v>
      </c>
      <c r="H24" s="60"/>
      <c r="I24" s="62"/>
      <c r="J24" s="63"/>
      <c r="L24" s="63"/>
    </row>
    <row r="27" spans="1:12" s="38" customFormat="1">
      <c r="A27" s="36">
        <f>+PRESUPUESTO!B10</f>
        <v>3</v>
      </c>
      <c r="B27" s="162" t="str">
        <f>+PRESUPUESTO!C10</f>
        <v>Plataformas de trabajo COMPLETA con andamio certificado de  4.4 X 12 H=30m.</v>
      </c>
      <c r="C27" s="162"/>
      <c r="D27" s="162"/>
      <c r="E27" s="162"/>
      <c r="F27" s="162"/>
      <c r="G27" s="133" t="str">
        <f>+PRESUPUESTO!D10</f>
        <v>kg/dia</v>
      </c>
      <c r="H27" s="60"/>
    </row>
    <row r="28" spans="1:12" s="38" customFormat="1">
      <c r="A28" s="51"/>
      <c r="B28" s="135" t="s">
        <v>90</v>
      </c>
      <c r="C28" s="37">
        <v>1</v>
      </c>
      <c r="D28" s="37" t="s">
        <v>83</v>
      </c>
      <c r="E28" s="42">
        <v>0</v>
      </c>
      <c r="F28" s="41">
        <v>575.01400000000001</v>
      </c>
      <c r="G28" s="41">
        <f t="shared" ref="G28:G30" si="2">(C28+E28)*F28</f>
        <v>575.01400000000001</v>
      </c>
      <c r="H28" s="60"/>
    </row>
    <row r="29" spans="1:12" s="38" customFormat="1" ht="25.5">
      <c r="A29" s="51"/>
      <c r="B29" s="135" t="s">
        <v>13</v>
      </c>
      <c r="C29" s="39">
        <v>1</v>
      </c>
      <c r="D29" s="37" t="s">
        <v>91</v>
      </c>
      <c r="E29" s="42">
        <v>0</v>
      </c>
      <c r="F29" s="41">
        <v>3412.5059999999999</v>
      </c>
      <c r="G29" s="41">
        <f t="shared" si="2"/>
        <v>3412.5059999999999</v>
      </c>
      <c r="H29" s="60"/>
    </row>
    <row r="30" spans="1:12" s="38" customFormat="1">
      <c r="A30" s="51"/>
      <c r="B30" s="135" t="s">
        <v>88</v>
      </c>
      <c r="C30" s="37">
        <v>0.01</v>
      </c>
      <c r="D30" s="37" t="s">
        <v>81</v>
      </c>
      <c r="E30" s="42">
        <v>0</v>
      </c>
      <c r="F30" s="49">
        <v>104548</v>
      </c>
      <c r="G30" s="41">
        <f t="shared" si="2"/>
        <v>1045.48</v>
      </c>
      <c r="H30" s="60"/>
    </row>
    <row r="31" spans="1:12" s="38" customFormat="1">
      <c r="A31" s="51"/>
      <c r="B31" s="137"/>
      <c r="E31" s="37"/>
      <c r="G31" s="52">
        <f>SUM(G28:G30)</f>
        <v>5033</v>
      </c>
      <c r="H31" s="60"/>
      <c r="I31" s="62"/>
      <c r="J31" s="63"/>
    </row>
    <row r="34" spans="1:10" s="38" customFormat="1">
      <c r="A34" s="36">
        <f>+PRESUPUESTO!B11</f>
        <v>4</v>
      </c>
      <c r="B34" s="162" t="str">
        <f>+PRESUPUESTO!C11</f>
        <v xml:space="preserve">Desmonte de enchape en granito (incluye retiro de escombros) </v>
      </c>
      <c r="C34" s="162"/>
      <c r="D34" s="162"/>
      <c r="E34" s="162"/>
      <c r="F34" s="162"/>
      <c r="G34" s="36" t="s">
        <v>92</v>
      </c>
      <c r="H34" s="60"/>
    </row>
    <row r="35" spans="1:10" s="38" customFormat="1">
      <c r="A35" s="51"/>
      <c r="B35" s="135" t="s">
        <v>90</v>
      </c>
      <c r="C35" s="37">
        <v>5.5</v>
      </c>
      <c r="D35" s="37" t="s">
        <v>83</v>
      </c>
      <c r="E35" s="42">
        <v>0</v>
      </c>
      <c r="F35" s="41">
        <v>575.01400000000001</v>
      </c>
      <c r="G35" s="41">
        <f t="shared" ref="G35:G37" si="3">(C35+E35)*F35</f>
        <v>3162.5770000000002</v>
      </c>
      <c r="H35" s="60"/>
    </row>
    <row r="36" spans="1:10" s="38" customFormat="1">
      <c r="A36" s="51"/>
      <c r="B36" s="135" t="s">
        <v>93</v>
      </c>
      <c r="C36" s="39">
        <v>0.15</v>
      </c>
      <c r="D36" s="37" t="s">
        <v>94</v>
      </c>
      <c r="E36" s="42">
        <v>0</v>
      </c>
      <c r="F36" s="41">
        <v>450000</v>
      </c>
      <c r="G36" s="41">
        <f t="shared" si="3"/>
        <v>67500</v>
      </c>
      <c r="H36" s="60"/>
    </row>
    <row r="37" spans="1:10" s="38" customFormat="1">
      <c r="A37" s="51"/>
      <c r="B37" s="135" t="s">
        <v>88</v>
      </c>
      <c r="C37" s="37">
        <v>0.10493192600527983</v>
      </c>
      <c r="D37" s="37" t="s">
        <v>81</v>
      </c>
      <c r="E37" s="42">
        <v>0</v>
      </c>
      <c r="F37" s="49">
        <v>104548</v>
      </c>
      <c r="G37" s="41">
        <f t="shared" si="3"/>
        <v>10970.422999999995</v>
      </c>
      <c r="H37" s="60"/>
    </row>
    <row r="38" spans="1:10" s="38" customFormat="1">
      <c r="A38" s="51"/>
      <c r="B38" s="137"/>
      <c r="E38" s="37"/>
      <c r="G38" s="52">
        <f>SUM(G35:G37)</f>
        <v>81633</v>
      </c>
      <c r="H38" s="60"/>
      <c r="I38" s="62"/>
      <c r="J38" s="63"/>
    </row>
    <row r="41" spans="1:10" s="38" customFormat="1">
      <c r="A41" s="44">
        <f>+PRESUPUESTO!B12</f>
        <v>5</v>
      </c>
      <c r="B41" s="163" t="str">
        <f>+PRESUPUESTO!C12</f>
        <v>Reparación y/o remplazo de molduras afectadas o faltantes</v>
      </c>
      <c r="C41" s="163"/>
      <c r="D41" s="163"/>
      <c r="E41" s="163"/>
      <c r="F41" s="163"/>
      <c r="G41" s="58" t="str">
        <f>+PRESUPUESTO!D12</f>
        <v>ml</v>
      </c>
      <c r="H41" s="60"/>
    </row>
    <row r="42" spans="1:10" s="56" customFormat="1">
      <c r="A42" s="46"/>
      <c r="B42" s="136" t="s">
        <v>95</v>
      </c>
      <c r="C42" s="46">
        <v>5.76</v>
      </c>
      <c r="D42" s="46" t="s">
        <v>96</v>
      </c>
      <c r="E42" s="55">
        <v>0</v>
      </c>
      <c r="F42" s="49">
        <v>12648</v>
      </c>
      <c r="G42" s="41">
        <f t="shared" ref="G42:G47" si="4">(C42+E42)*F42</f>
        <v>72852.479999999996</v>
      </c>
      <c r="H42" s="61"/>
    </row>
    <row r="43" spans="1:10" s="56" customFormat="1">
      <c r="A43" s="46"/>
      <c r="B43" s="136" t="s">
        <v>97</v>
      </c>
      <c r="C43" s="46">
        <v>0.6</v>
      </c>
      <c r="D43" s="46" t="s">
        <v>71</v>
      </c>
      <c r="E43" s="55">
        <v>0</v>
      </c>
      <c r="F43" s="49">
        <v>96690</v>
      </c>
      <c r="G43" s="41">
        <f t="shared" si="4"/>
        <v>58014</v>
      </c>
      <c r="H43" s="61"/>
    </row>
    <row r="44" spans="1:10" s="56" customFormat="1">
      <c r="A44" s="46"/>
      <c r="B44" s="136" t="s">
        <v>98</v>
      </c>
      <c r="C44" s="46">
        <v>1</v>
      </c>
      <c r="D44" s="46" t="s">
        <v>69</v>
      </c>
      <c r="E44" s="55">
        <v>0</v>
      </c>
      <c r="F44" s="49">
        <v>150000</v>
      </c>
      <c r="G44" s="41">
        <f t="shared" si="4"/>
        <v>150000</v>
      </c>
      <c r="H44" s="61"/>
    </row>
    <row r="45" spans="1:10" s="56" customFormat="1">
      <c r="A45" s="46"/>
      <c r="B45" s="136" t="s">
        <v>99</v>
      </c>
      <c r="C45" s="46">
        <v>1</v>
      </c>
      <c r="D45" s="46" t="s">
        <v>96</v>
      </c>
      <c r="E45" s="55">
        <v>0.05</v>
      </c>
      <c r="F45" s="41">
        <v>13900</v>
      </c>
      <c r="G45" s="41">
        <f t="shared" si="4"/>
        <v>14595</v>
      </c>
      <c r="H45" s="61"/>
    </row>
    <row r="46" spans="1:10" s="56" customFormat="1">
      <c r="A46" s="46"/>
      <c r="B46" s="136" t="s">
        <v>82</v>
      </c>
      <c r="C46" s="48">
        <v>30</v>
      </c>
      <c r="D46" s="46" t="s">
        <v>83</v>
      </c>
      <c r="E46" s="55">
        <v>0</v>
      </c>
      <c r="F46" s="53">
        <v>1437.1920000000002</v>
      </c>
      <c r="G46" s="41">
        <f t="shared" si="4"/>
        <v>43115.760000000009</v>
      </c>
      <c r="H46" s="61"/>
    </row>
    <row r="47" spans="1:10" s="56" customFormat="1">
      <c r="A47" s="46"/>
      <c r="B47" s="138" t="s">
        <v>100</v>
      </c>
      <c r="C47" s="48">
        <v>1.0000226104023553</v>
      </c>
      <c r="D47" s="46" t="s">
        <v>81</v>
      </c>
      <c r="E47" s="55">
        <v>0</v>
      </c>
      <c r="F47" s="40">
        <v>254750</v>
      </c>
      <c r="G47" s="41">
        <f t="shared" si="4"/>
        <v>254755.76</v>
      </c>
      <c r="H47" s="61"/>
      <c r="I47" s="125"/>
    </row>
    <row r="48" spans="1:10" s="56" customFormat="1">
      <c r="A48" s="46"/>
      <c r="B48" s="136"/>
      <c r="C48" s="47"/>
      <c r="D48" s="47"/>
      <c r="E48" s="46"/>
      <c r="F48" s="49"/>
      <c r="G48" s="54">
        <f>SUM(G42:G47)</f>
        <v>593333</v>
      </c>
      <c r="H48" s="61"/>
      <c r="I48" s="125"/>
      <c r="J48" s="125"/>
    </row>
    <row r="51" spans="1:10" s="38" customFormat="1">
      <c r="A51" s="44">
        <f>+PRESUPUESTO!B13</f>
        <v>6</v>
      </c>
      <c r="B51" s="163" t="str">
        <f>+PRESUPUESTO!C13</f>
        <v>Reparación arcos de medio punto en ladrillo</v>
      </c>
      <c r="C51" s="163"/>
      <c r="D51" s="163"/>
      <c r="E51" s="163"/>
      <c r="F51" s="163"/>
      <c r="G51" s="58" t="str">
        <f>+PRESUPUESTO!D13</f>
        <v>un</v>
      </c>
      <c r="H51" s="60"/>
    </row>
    <row r="52" spans="1:10" s="56" customFormat="1">
      <c r="A52" s="46"/>
      <c r="B52" s="136" t="s">
        <v>95</v>
      </c>
      <c r="C52" s="46">
        <v>15.36</v>
      </c>
      <c r="D52" s="46" t="s">
        <v>96</v>
      </c>
      <c r="E52" s="55">
        <v>0</v>
      </c>
      <c r="F52" s="49">
        <v>12648</v>
      </c>
      <c r="G52" s="41">
        <f t="shared" ref="G52:G57" si="5">(C52+E52)*F52</f>
        <v>194273.28</v>
      </c>
      <c r="H52" s="61"/>
    </row>
    <row r="53" spans="1:10" s="56" customFormat="1">
      <c r="A53" s="46"/>
      <c r="B53" s="136" t="s">
        <v>97</v>
      </c>
      <c r="C53" s="46">
        <v>1.2</v>
      </c>
      <c r="D53" s="46" t="s">
        <v>71</v>
      </c>
      <c r="E53" s="55">
        <v>0</v>
      </c>
      <c r="F53" s="49">
        <v>96690</v>
      </c>
      <c r="G53" s="41">
        <f t="shared" si="5"/>
        <v>116028</v>
      </c>
      <c r="H53" s="61"/>
    </row>
    <row r="54" spans="1:10" s="56" customFormat="1">
      <c r="A54" s="46"/>
      <c r="B54" s="136" t="s">
        <v>101</v>
      </c>
      <c r="C54" s="46">
        <v>17</v>
      </c>
      <c r="D54" s="46" t="s">
        <v>69</v>
      </c>
      <c r="E54" s="55">
        <v>0</v>
      </c>
      <c r="F54" s="49">
        <v>12000</v>
      </c>
      <c r="G54" s="41">
        <f t="shared" si="5"/>
        <v>204000</v>
      </c>
      <c r="H54" s="61"/>
    </row>
    <row r="55" spans="1:10" s="56" customFormat="1">
      <c r="A55" s="46"/>
      <c r="B55" s="136" t="s">
        <v>99</v>
      </c>
      <c r="C55" s="46">
        <v>1</v>
      </c>
      <c r="D55" s="46" t="s">
        <v>96</v>
      </c>
      <c r="E55" s="55">
        <v>0.05</v>
      </c>
      <c r="F55" s="41">
        <v>13900</v>
      </c>
      <c r="G55" s="41">
        <f t="shared" si="5"/>
        <v>14595</v>
      </c>
      <c r="H55" s="61"/>
    </row>
    <row r="56" spans="1:10" s="56" customFormat="1">
      <c r="A56" s="46"/>
      <c r="B56" s="136" t="s">
        <v>82</v>
      </c>
      <c r="C56" s="48">
        <v>100</v>
      </c>
      <c r="D56" s="46" t="s">
        <v>83</v>
      </c>
      <c r="E56" s="55">
        <v>0</v>
      </c>
      <c r="F56" s="53">
        <v>1437.1920000000002</v>
      </c>
      <c r="G56" s="41">
        <f t="shared" si="5"/>
        <v>143719.20000000001</v>
      </c>
      <c r="H56" s="61"/>
    </row>
    <row r="57" spans="1:10" s="56" customFormat="1">
      <c r="A57" s="46"/>
      <c r="B57" s="138" t="s">
        <v>102</v>
      </c>
      <c r="C57" s="48">
        <v>7.6001467305690538</v>
      </c>
      <c r="D57" s="46" t="s">
        <v>81</v>
      </c>
      <c r="E57" s="55">
        <v>0</v>
      </c>
      <c r="F57" s="40">
        <v>359298</v>
      </c>
      <c r="G57" s="41">
        <f t="shared" si="5"/>
        <v>2730717.52</v>
      </c>
      <c r="H57" s="61"/>
    </row>
    <row r="58" spans="1:10" s="56" customFormat="1">
      <c r="A58" s="46"/>
      <c r="B58" s="136"/>
      <c r="C58" s="47"/>
      <c r="D58" s="47"/>
      <c r="E58" s="46"/>
      <c r="F58" s="49"/>
      <c r="G58" s="54">
        <f>SUM(G52:G57)</f>
        <v>3403333</v>
      </c>
      <c r="H58" s="61"/>
      <c r="I58" s="125"/>
      <c r="J58" s="125"/>
    </row>
    <row r="61" spans="1:10" s="38" customFormat="1">
      <c r="A61" s="44">
        <f>+PRESUPUESTO!B14</f>
        <v>7</v>
      </c>
      <c r="B61" s="163" t="str">
        <f>+PRESUPUESTO!C14</f>
        <v>Reparación y/o consolidación de fisuras y  grietas en muros</v>
      </c>
      <c r="C61" s="163"/>
      <c r="D61" s="163"/>
      <c r="E61" s="163"/>
      <c r="F61" s="163"/>
      <c r="G61" s="58" t="str">
        <f>+PRESUPUESTO!D14</f>
        <v>ml</v>
      </c>
      <c r="H61" s="60"/>
    </row>
    <row r="62" spans="1:10" s="56" customFormat="1">
      <c r="A62" s="46"/>
      <c r="B62" s="136" t="s">
        <v>95</v>
      </c>
      <c r="C62" s="46">
        <v>4</v>
      </c>
      <c r="D62" s="46" t="s">
        <v>96</v>
      </c>
      <c r="E62" s="55">
        <v>0</v>
      </c>
      <c r="F62" s="49">
        <v>12648</v>
      </c>
      <c r="G62" s="41">
        <f t="shared" ref="G62:G67" si="6">(C62+E62)*F62</f>
        <v>50592</v>
      </c>
      <c r="H62" s="61"/>
    </row>
    <row r="63" spans="1:10" s="56" customFormat="1">
      <c r="A63" s="46"/>
      <c r="B63" s="136" t="s">
        <v>97</v>
      </c>
      <c r="C63" s="46">
        <v>0.3</v>
      </c>
      <c r="D63" s="46" t="s">
        <v>71</v>
      </c>
      <c r="E63" s="55">
        <v>0</v>
      </c>
      <c r="F63" s="49">
        <v>96690</v>
      </c>
      <c r="G63" s="41">
        <f t="shared" si="6"/>
        <v>29007</v>
      </c>
      <c r="H63" s="61"/>
    </row>
    <row r="64" spans="1:10" s="56" customFormat="1">
      <c r="A64" s="46"/>
      <c r="B64" s="136" t="s">
        <v>101</v>
      </c>
      <c r="C64" s="46">
        <v>4</v>
      </c>
      <c r="D64" s="46" t="s">
        <v>69</v>
      </c>
      <c r="E64" s="55">
        <v>0</v>
      </c>
      <c r="F64" s="49">
        <v>12000</v>
      </c>
      <c r="G64" s="41">
        <f t="shared" si="6"/>
        <v>48000</v>
      </c>
      <c r="H64" s="61"/>
    </row>
    <row r="65" spans="1:10" s="56" customFormat="1">
      <c r="A65" s="46"/>
      <c r="B65" s="136" t="s">
        <v>99</v>
      </c>
      <c r="C65" s="46">
        <v>0.3</v>
      </c>
      <c r="D65" s="46" t="s">
        <v>96</v>
      </c>
      <c r="E65" s="55">
        <v>0.05</v>
      </c>
      <c r="F65" s="41">
        <v>13900</v>
      </c>
      <c r="G65" s="41">
        <f t="shared" si="6"/>
        <v>4865</v>
      </c>
      <c r="H65" s="61"/>
    </row>
    <row r="66" spans="1:10" s="56" customFormat="1">
      <c r="A66" s="46"/>
      <c r="B66" s="136" t="s">
        <v>82</v>
      </c>
      <c r="C66" s="48">
        <v>10</v>
      </c>
      <c r="D66" s="46" t="s">
        <v>83</v>
      </c>
      <c r="E66" s="55">
        <v>0</v>
      </c>
      <c r="F66" s="53">
        <v>1437.1920000000002</v>
      </c>
      <c r="G66" s="41">
        <f t="shared" si="6"/>
        <v>14371.920000000002</v>
      </c>
      <c r="H66" s="61"/>
    </row>
    <row r="67" spans="1:10" s="56" customFormat="1">
      <c r="A67" s="46"/>
      <c r="B67" s="138" t="s">
        <v>102</v>
      </c>
      <c r="C67" s="48">
        <v>0.60338237340591927</v>
      </c>
      <c r="D67" s="46" t="s">
        <v>81</v>
      </c>
      <c r="E67" s="55">
        <v>0</v>
      </c>
      <c r="F67" s="40">
        <v>359298</v>
      </c>
      <c r="G67" s="41">
        <f t="shared" si="6"/>
        <v>216794.08</v>
      </c>
      <c r="H67" s="61"/>
    </row>
    <row r="68" spans="1:10" s="56" customFormat="1">
      <c r="A68" s="46"/>
      <c r="B68" s="136"/>
      <c r="C68" s="47"/>
      <c r="D68" s="47"/>
      <c r="E68" s="46"/>
      <c r="F68" s="49"/>
      <c r="G68" s="54">
        <f>SUM(G62:G67)</f>
        <v>363630</v>
      </c>
      <c r="H68" s="61"/>
      <c r="I68" s="125"/>
      <c r="J68" s="125"/>
    </row>
    <row r="71" spans="1:10" s="38" customFormat="1">
      <c r="A71" s="44">
        <f>+PRESUPUESTO!B15</f>
        <v>8</v>
      </c>
      <c r="B71" s="163" t="str">
        <f>+PRESUPUESTO!C15</f>
        <v>Pañete 1:3 a base de cal y arena y fibra vegetal. No incluye pintura</v>
      </c>
      <c r="C71" s="163"/>
      <c r="D71" s="163"/>
      <c r="E71" s="163"/>
      <c r="F71" s="163"/>
      <c r="G71" s="58" t="str">
        <f>+PRESUPUESTO!D11</f>
        <v>m2</v>
      </c>
      <c r="H71" s="60"/>
    </row>
    <row r="72" spans="1:10" s="56" customFormat="1">
      <c r="A72" s="46"/>
      <c r="B72" s="136" t="s">
        <v>95</v>
      </c>
      <c r="C72" s="46">
        <v>3.84</v>
      </c>
      <c r="D72" s="46" t="s">
        <v>96</v>
      </c>
      <c r="E72" s="55">
        <v>0</v>
      </c>
      <c r="F72" s="49">
        <v>12648</v>
      </c>
      <c r="G72" s="41">
        <f t="shared" ref="G72:G76" si="7">(C72+E72)*F72</f>
        <v>48568.32</v>
      </c>
      <c r="H72" s="61"/>
    </row>
    <row r="73" spans="1:10" s="56" customFormat="1">
      <c r="A73" s="46"/>
      <c r="B73" s="136" t="s">
        <v>97</v>
      </c>
      <c r="C73" s="46">
        <v>0.02</v>
      </c>
      <c r="D73" s="46" t="s">
        <v>71</v>
      </c>
      <c r="E73" s="55">
        <v>0</v>
      </c>
      <c r="F73" s="49">
        <v>96690</v>
      </c>
      <c r="G73" s="41">
        <f t="shared" si="7"/>
        <v>1933.8</v>
      </c>
      <c r="H73" s="61"/>
    </row>
    <row r="74" spans="1:10" s="56" customFormat="1">
      <c r="A74" s="46"/>
      <c r="B74" s="136" t="s">
        <v>99</v>
      </c>
      <c r="C74" s="46">
        <v>0.01</v>
      </c>
      <c r="D74" s="46" t="s">
        <v>96</v>
      </c>
      <c r="E74" s="55">
        <v>0.05</v>
      </c>
      <c r="F74" s="41">
        <v>13900</v>
      </c>
      <c r="G74" s="41">
        <f t="shared" si="7"/>
        <v>834.00000000000011</v>
      </c>
      <c r="H74" s="61"/>
    </row>
    <row r="75" spans="1:10" s="56" customFormat="1">
      <c r="A75" s="46"/>
      <c r="B75" s="136" t="s">
        <v>82</v>
      </c>
      <c r="C75" s="48">
        <v>4</v>
      </c>
      <c r="D75" s="46" t="s">
        <v>83</v>
      </c>
      <c r="E75" s="55">
        <v>0</v>
      </c>
      <c r="F75" s="53">
        <v>1437.1920000000002</v>
      </c>
      <c r="G75" s="41">
        <f t="shared" si="7"/>
        <v>5748.7680000000009</v>
      </c>
      <c r="H75" s="61"/>
    </row>
    <row r="76" spans="1:10" s="56" customFormat="1">
      <c r="A76" s="46"/>
      <c r="B76" s="138" t="s">
        <v>102</v>
      </c>
      <c r="C76" s="48">
        <v>8.8177813402802119E-2</v>
      </c>
      <c r="D76" s="46" t="s">
        <v>81</v>
      </c>
      <c r="E76" s="55">
        <v>0</v>
      </c>
      <c r="F76" s="40">
        <v>359298</v>
      </c>
      <c r="G76" s="41">
        <f t="shared" si="7"/>
        <v>31682.111999999997</v>
      </c>
      <c r="H76" s="61"/>
    </row>
    <row r="77" spans="1:10" s="56" customFormat="1">
      <c r="A77" s="46"/>
      <c r="B77" s="136"/>
      <c r="C77" s="47"/>
      <c r="D77" s="47"/>
      <c r="E77" s="46"/>
      <c r="F77" s="49"/>
      <c r="G77" s="54">
        <f>SUM(G72:G76)</f>
        <v>88767</v>
      </c>
      <c r="H77" s="61"/>
      <c r="I77" s="125"/>
      <c r="J77" s="125"/>
    </row>
    <row r="80" spans="1:10" s="38" customFormat="1">
      <c r="A80" s="44">
        <f>+PRESUPUESTO!B16</f>
        <v>9</v>
      </c>
      <c r="B80" s="163" t="str">
        <f>+PRESUPUESTO!C16</f>
        <v>Pintura muro tres manos, con cal + mineral (blanco)</v>
      </c>
      <c r="C80" s="163"/>
      <c r="D80" s="163"/>
      <c r="E80" s="163"/>
      <c r="F80" s="163"/>
      <c r="G80" s="58" t="str">
        <f>+PRESUPUESTO!D16</f>
        <v>m2</v>
      </c>
      <c r="H80" s="60"/>
    </row>
    <row r="81" spans="1:10" s="38" customFormat="1">
      <c r="A81" s="46"/>
      <c r="B81" s="136" t="s">
        <v>82</v>
      </c>
      <c r="C81" s="48">
        <v>4</v>
      </c>
      <c r="D81" s="46" t="s">
        <v>83</v>
      </c>
      <c r="E81" s="42">
        <v>0</v>
      </c>
      <c r="F81" s="49">
        <v>1019</v>
      </c>
      <c r="G81" s="41">
        <f t="shared" ref="G81:G85" si="8">(C81+E81)*F81</f>
        <v>4076</v>
      </c>
      <c r="H81" s="60"/>
    </row>
    <row r="82" spans="1:10" s="38" customFormat="1">
      <c r="A82" s="46"/>
      <c r="B82" s="136" t="s">
        <v>103</v>
      </c>
      <c r="C82" s="48">
        <v>0.2</v>
      </c>
      <c r="D82" s="46" t="s">
        <v>104</v>
      </c>
      <c r="E82" s="42">
        <v>0</v>
      </c>
      <c r="F82" s="49">
        <v>14508.885542168675</v>
      </c>
      <c r="G82" s="41">
        <f t="shared" si="8"/>
        <v>2901.7771084337351</v>
      </c>
      <c r="H82" s="60"/>
    </row>
    <row r="83" spans="1:10" s="38" customFormat="1">
      <c r="A83" s="46"/>
      <c r="B83" s="136" t="s">
        <v>105</v>
      </c>
      <c r="C83" s="48">
        <v>1.9E-2</v>
      </c>
      <c r="D83" s="46" t="s">
        <v>106</v>
      </c>
      <c r="E83" s="42">
        <v>0</v>
      </c>
      <c r="F83" s="49">
        <v>37552.409638554222</v>
      </c>
      <c r="G83" s="41">
        <f t="shared" si="8"/>
        <v>713.49578313253016</v>
      </c>
      <c r="H83" s="60"/>
    </row>
    <row r="84" spans="1:10" s="38" customFormat="1">
      <c r="A84" s="46"/>
      <c r="B84" s="136" t="s">
        <v>107</v>
      </c>
      <c r="C84" s="48">
        <v>0.1</v>
      </c>
      <c r="D84" s="46" t="s">
        <v>106</v>
      </c>
      <c r="E84" s="42">
        <v>0</v>
      </c>
      <c r="F84" s="49">
        <v>44038.734939759037</v>
      </c>
      <c r="G84" s="41">
        <f t="shared" si="8"/>
        <v>4403.8734939759042</v>
      </c>
      <c r="H84" s="60"/>
    </row>
    <row r="85" spans="1:10" s="38" customFormat="1">
      <c r="A85" s="46"/>
      <c r="B85" s="138" t="s">
        <v>100</v>
      </c>
      <c r="C85" s="48">
        <v>8.3759974934083742E-2</v>
      </c>
      <c r="D85" s="46" t="s">
        <v>81</v>
      </c>
      <c r="E85" s="42">
        <v>0</v>
      </c>
      <c r="F85" s="40">
        <v>254750</v>
      </c>
      <c r="G85" s="41">
        <f t="shared" si="8"/>
        <v>21337.853614457832</v>
      </c>
      <c r="H85" s="60"/>
    </row>
    <row r="86" spans="1:10" s="38" customFormat="1">
      <c r="A86" s="46"/>
      <c r="B86" s="136"/>
      <c r="C86" s="48"/>
      <c r="D86" s="46"/>
      <c r="E86" s="42"/>
      <c r="F86" s="49"/>
      <c r="G86" s="54">
        <f>SUM(G81:G85)</f>
        <v>33433</v>
      </c>
      <c r="H86" s="60"/>
      <c r="I86" s="63"/>
      <c r="J86" s="63"/>
    </row>
    <row r="89" spans="1:10" s="38" customFormat="1">
      <c r="A89" s="44">
        <f>+PRESUPUESTO!B17</f>
        <v>10</v>
      </c>
      <c r="B89" s="163" t="str">
        <f>+PRESUPUESTO!C17</f>
        <v>Mantenimiento de carpintería en metalica (incluye remplazo de piezas faltantes, masilla, lijada, una mano de anticorrosivo y dos manos de esmalte de acabado final)</v>
      </c>
      <c r="C89" s="163"/>
      <c r="D89" s="163"/>
      <c r="E89" s="163"/>
      <c r="F89" s="163"/>
      <c r="G89" s="58" t="str">
        <f>+PRESUPUESTO!D17</f>
        <v>m2</v>
      </c>
      <c r="H89" s="60"/>
    </row>
    <row r="90" spans="1:10" s="38" customFormat="1">
      <c r="A90" s="46"/>
      <c r="B90" s="136" t="s">
        <v>82</v>
      </c>
      <c r="C90" s="48">
        <v>10</v>
      </c>
      <c r="D90" s="46" t="s">
        <v>83</v>
      </c>
      <c r="E90" s="42">
        <v>0</v>
      </c>
      <c r="F90" s="49">
        <v>1019</v>
      </c>
      <c r="G90" s="41">
        <f t="shared" ref="G90:G92" si="9">(C90+E90)*F90</f>
        <v>10190</v>
      </c>
      <c r="H90" s="60"/>
    </row>
    <row r="91" spans="1:10" s="38" customFormat="1" ht="51">
      <c r="A91" s="46"/>
      <c r="B91" s="136" t="s">
        <v>22</v>
      </c>
      <c r="C91" s="48">
        <v>1</v>
      </c>
      <c r="D91" s="46" t="s">
        <v>92</v>
      </c>
      <c r="E91" s="42">
        <v>0</v>
      </c>
      <c r="F91" s="49">
        <v>480000</v>
      </c>
      <c r="G91" s="41">
        <f t="shared" si="9"/>
        <v>480000</v>
      </c>
      <c r="H91" s="60"/>
    </row>
    <row r="92" spans="1:10" s="38" customFormat="1">
      <c r="A92" s="46"/>
      <c r="B92" s="138" t="s">
        <v>100</v>
      </c>
      <c r="C92" s="48">
        <v>0.49647497546614328</v>
      </c>
      <c r="D92" s="46" t="s">
        <v>81</v>
      </c>
      <c r="E92" s="42">
        <v>0</v>
      </c>
      <c r="F92" s="40">
        <v>254750</v>
      </c>
      <c r="G92" s="41">
        <f t="shared" si="9"/>
        <v>126477</v>
      </c>
      <c r="H92" s="60"/>
    </row>
    <row r="93" spans="1:10" s="38" customFormat="1">
      <c r="A93" s="46"/>
      <c r="B93" s="136"/>
      <c r="C93" s="48"/>
      <c r="D93" s="46"/>
      <c r="E93" s="42"/>
      <c r="F93" s="49"/>
      <c r="G93" s="54">
        <f>SUM(G90:G92)</f>
        <v>616667</v>
      </c>
      <c r="H93" s="60"/>
      <c r="I93" s="63"/>
      <c r="J93" s="63"/>
    </row>
    <row r="96" spans="1:10" s="38" customFormat="1">
      <c r="A96" s="44">
        <f>+PRESUPUESTO!B18</f>
        <v>11</v>
      </c>
      <c r="B96" s="163" t="str">
        <f>+PRESUPUESTO!C18</f>
        <v>Mantenimiento de carpintería en madera(incluye remplazo de piezas faltantes, masilla, lijada, una mano de inmunizante y dos manos de barniz de acabado final)</v>
      </c>
      <c r="C96" s="163"/>
      <c r="D96" s="163"/>
      <c r="E96" s="163"/>
      <c r="F96" s="163"/>
      <c r="G96" s="58" t="str">
        <f>+PRESUPUESTO!D18</f>
        <v>m2</v>
      </c>
      <c r="H96" s="60"/>
    </row>
    <row r="97" spans="1:10" s="38" customFormat="1">
      <c r="A97" s="46"/>
      <c r="B97" s="136" t="s">
        <v>82</v>
      </c>
      <c r="C97" s="48">
        <v>20</v>
      </c>
      <c r="D97" s="46" t="s">
        <v>83</v>
      </c>
      <c r="E97" s="42">
        <v>0</v>
      </c>
      <c r="F97" s="49">
        <v>1019</v>
      </c>
      <c r="G97" s="41">
        <f t="shared" ref="G97:G99" si="10">(C97+E97)*F97</f>
        <v>20380</v>
      </c>
      <c r="H97" s="60"/>
    </row>
    <row r="98" spans="1:10" s="38" customFormat="1" ht="51">
      <c r="A98" s="46"/>
      <c r="B98" s="136" t="s">
        <v>23</v>
      </c>
      <c r="C98" s="48">
        <v>1</v>
      </c>
      <c r="D98" s="46" t="s">
        <v>92</v>
      </c>
      <c r="E98" s="42">
        <v>0</v>
      </c>
      <c r="F98" s="49">
        <v>650000</v>
      </c>
      <c r="G98" s="41">
        <f t="shared" si="10"/>
        <v>650000</v>
      </c>
      <c r="H98" s="60"/>
    </row>
    <row r="99" spans="1:10" s="38" customFormat="1">
      <c r="A99" s="46"/>
      <c r="B99" s="138" t="s">
        <v>100</v>
      </c>
      <c r="C99" s="48">
        <v>0.610873405299313</v>
      </c>
      <c r="D99" s="46" t="s">
        <v>81</v>
      </c>
      <c r="E99" s="42">
        <v>0</v>
      </c>
      <c r="F99" s="40">
        <v>254750</v>
      </c>
      <c r="G99" s="41">
        <f t="shared" si="10"/>
        <v>155620</v>
      </c>
      <c r="H99" s="60"/>
    </row>
    <row r="100" spans="1:10" s="38" customFormat="1">
      <c r="A100" s="46"/>
      <c r="B100" s="136"/>
      <c r="C100" s="48"/>
      <c r="D100" s="46"/>
      <c r="E100" s="42"/>
      <c r="F100" s="49"/>
      <c r="G100" s="54">
        <f>SUM(G97:G99)</f>
        <v>826000</v>
      </c>
      <c r="H100" s="60"/>
      <c r="I100" s="63"/>
      <c r="J100" s="63"/>
    </row>
    <row r="103" spans="1:10" s="38" customFormat="1">
      <c r="A103" s="44">
        <f>+PRESUPUESTO!B19</f>
        <v>12</v>
      </c>
      <c r="B103" s="163" t="str">
        <f>+PRESUPUESTO!C19</f>
        <v>Suministro e instalacion de proteccion  vanos campanarios  (rejas en marco metalico (con 1 mano de antocorrosivo y 2 manos de acabado en esmalte) y malla para control de aves (color transparente, material nylon, calibre 0,8mm rombo 4,4cm, resistencia 180k*m2, durabilidad de 4 a 6 años. Caracteristicas: proteccion uv y antihongos, no absorbe humedad, no conduce electricidad, no es escalable, no deshilacha, nudo reforzado)</v>
      </c>
      <c r="C103" s="163"/>
      <c r="D103" s="163"/>
      <c r="E103" s="163"/>
      <c r="F103" s="163"/>
      <c r="G103" s="58" t="str">
        <f>+PRESUPUESTO!D19</f>
        <v>m2</v>
      </c>
      <c r="H103" s="60"/>
    </row>
    <row r="104" spans="1:10" s="38" customFormat="1">
      <c r="A104" s="46"/>
      <c r="B104" s="136" t="s">
        <v>82</v>
      </c>
      <c r="C104" s="48">
        <v>20</v>
      </c>
      <c r="D104" s="46" t="s">
        <v>83</v>
      </c>
      <c r="E104" s="42">
        <v>0</v>
      </c>
      <c r="F104" s="49">
        <v>1019</v>
      </c>
      <c r="G104" s="41">
        <f t="shared" ref="G104:G106" si="11">(C104+E104)*F104</f>
        <v>20380</v>
      </c>
      <c r="H104" s="60"/>
    </row>
    <row r="105" spans="1:10" s="38" customFormat="1" ht="127.5">
      <c r="A105" s="46"/>
      <c r="B105" s="136" t="s">
        <v>108</v>
      </c>
      <c r="C105" s="48">
        <v>1</v>
      </c>
      <c r="D105" s="46" t="s">
        <v>92</v>
      </c>
      <c r="E105" s="42">
        <v>0</v>
      </c>
      <c r="F105" s="49">
        <v>514000</v>
      </c>
      <c r="G105" s="41">
        <f t="shared" si="11"/>
        <v>514000</v>
      </c>
      <c r="H105" s="60"/>
    </row>
    <row r="106" spans="1:10" s="38" customFormat="1">
      <c r="A106" s="46"/>
      <c r="B106" s="138" t="s">
        <v>100</v>
      </c>
      <c r="C106" s="48">
        <v>0.610873405299313</v>
      </c>
      <c r="D106" s="46" t="s">
        <v>81</v>
      </c>
      <c r="E106" s="42">
        <v>0</v>
      </c>
      <c r="F106" s="40">
        <v>254750</v>
      </c>
      <c r="G106" s="41">
        <f t="shared" si="11"/>
        <v>155620</v>
      </c>
      <c r="H106" s="60"/>
    </row>
    <row r="107" spans="1:10" s="38" customFormat="1">
      <c r="A107" s="46"/>
      <c r="B107" s="136"/>
      <c r="C107" s="48"/>
      <c r="D107" s="46"/>
      <c r="E107" s="42"/>
      <c r="F107" s="49"/>
      <c r="G107" s="54">
        <f>SUM(G104:G106)</f>
        <v>690000</v>
      </c>
      <c r="H107" s="60"/>
      <c r="I107" s="63"/>
      <c r="J107" s="63"/>
    </row>
    <row r="110" spans="1:10" s="38" customFormat="1">
      <c r="A110" s="44">
        <f>+PRESUPUESTO!B20</f>
        <v>13</v>
      </c>
      <c r="B110" s="163" t="str">
        <f>+PRESUPUESTO!C20</f>
        <v>lavado y protección con sello hidrofugo de cúpulas con acabado en granito</v>
      </c>
      <c r="C110" s="163"/>
      <c r="D110" s="163"/>
      <c r="E110" s="163"/>
      <c r="F110" s="163"/>
      <c r="G110" s="58" t="str">
        <f>+PRESUPUESTO!D20</f>
        <v>m2</v>
      </c>
      <c r="H110" s="60"/>
    </row>
    <row r="111" spans="1:10" s="38" customFormat="1">
      <c r="A111" s="46"/>
      <c r="B111" s="136" t="s">
        <v>82</v>
      </c>
      <c r="C111" s="48">
        <v>10</v>
      </c>
      <c r="D111" s="46" t="s">
        <v>83</v>
      </c>
      <c r="E111" s="42">
        <v>0</v>
      </c>
      <c r="F111" s="49">
        <v>1019</v>
      </c>
      <c r="G111" s="41">
        <f t="shared" ref="G111:G114" si="12">(C111+E111)*F111</f>
        <v>10190</v>
      </c>
      <c r="H111" s="60"/>
    </row>
    <row r="112" spans="1:10" s="38" customFormat="1" ht="25.5">
      <c r="A112" s="46"/>
      <c r="B112" s="136" t="s">
        <v>109</v>
      </c>
      <c r="C112" s="48">
        <v>1</v>
      </c>
      <c r="D112" s="46" t="s">
        <v>92</v>
      </c>
      <c r="E112" s="42">
        <v>0</v>
      </c>
      <c r="F112" s="49">
        <v>19918</v>
      </c>
      <c r="G112" s="41">
        <f t="shared" si="12"/>
        <v>19918</v>
      </c>
      <c r="H112" s="60"/>
    </row>
    <row r="113" spans="1:10" s="38" customFormat="1">
      <c r="A113" s="46"/>
      <c r="B113" s="136" t="s">
        <v>110</v>
      </c>
      <c r="C113" s="48">
        <v>1</v>
      </c>
      <c r="D113" s="46" t="s">
        <v>92</v>
      </c>
      <c r="E113" s="42">
        <v>0</v>
      </c>
      <c r="F113" s="49">
        <v>67800</v>
      </c>
      <c r="G113" s="41">
        <f t="shared" si="12"/>
        <v>67800</v>
      </c>
      <c r="H113" s="60"/>
    </row>
    <row r="114" spans="1:10" s="38" customFormat="1">
      <c r="A114" s="46"/>
      <c r="B114" s="138" t="s">
        <v>100</v>
      </c>
      <c r="C114" s="48">
        <v>0.3</v>
      </c>
      <c r="D114" s="46" t="s">
        <v>81</v>
      </c>
      <c r="E114" s="42">
        <v>0</v>
      </c>
      <c r="F114" s="40">
        <v>254750</v>
      </c>
      <c r="G114" s="41">
        <f t="shared" si="12"/>
        <v>76425</v>
      </c>
      <c r="H114" s="60"/>
    </row>
    <row r="115" spans="1:10" s="38" customFormat="1">
      <c r="A115" s="46"/>
      <c r="B115" s="136"/>
      <c r="C115" s="48"/>
      <c r="D115" s="46"/>
      <c r="E115" s="42"/>
      <c r="F115" s="49"/>
      <c r="G115" s="54">
        <f>SUM(G111:G114)</f>
        <v>174333</v>
      </c>
      <c r="H115" s="60"/>
      <c r="I115" s="63"/>
      <c r="J115" s="63"/>
    </row>
    <row r="118" spans="1:10" s="38" customFormat="1">
      <c r="A118" s="44">
        <f>+PRESUPUESTO!B21</f>
        <v>14</v>
      </c>
      <c r="B118" s="163" t="str">
        <f>+PRESUPUESTO!C21</f>
        <v>Aseo general para entrega</v>
      </c>
      <c r="C118" s="163"/>
      <c r="D118" s="163"/>
      <c r="E118" s="163"/>
      <c r="F118" s="163"/>
      <c r="G118" s="58" t="str">
        <f>+PRESUPUESTO!D21</f>
        <v>m2</v>
      </c>
      <c r="H118" s="60"/>
    </row>
    <row r="119" spans="1:10" s="38" customFormat="1">
      <c r="A119" s="46"/>
      <c r="B119" s="136" t="s">
        <v>82</v>
      </c>
      <c r="C119" s="48">
        <v>1</v>
      </c>
      <c r="D119" s="46" t="s">
        <v>83</v>
      </c>
      <c r="E119" s="42">
        <v>0</v>
      </c>
      <c r="F119" s="49">
        <v>1019</v>
      </c>
      <c r="G119" s="41">
        <f t="shared" ref="G119:G121" si="13">(C119+E119)*F119</f>
        <v>1019</v>
      </c>
      <c r="H119" s="60"/>
    </row>
    <row r="120" spans="1:10" s="38" customFormat="1" ht="25.5">
      <c r="A120" s="46"/>
      <c r="B120" s="136" t="s">
        <v>111</v>
      </c>
      <c r="C120" s="48">
        <v>1</v>
      </c>
      <c r="D120" s="46" t="s">
        <v>92</v>
      </c>
      <c r="E120" s="42">
        <v>0</v>
      </c>
      <c r="F120" s="49">
        <v>3362.6399999999994</v>
      </c>
      <c r="G120" s="41">
        <f t="shared" si="13"/>
        <v>3362.6399999999994</v>
      </c>
      <c r="H120" s="60"/>
    </row>
    <row r="121" spans="1:10" s="38" customFormat="1">
      <c r="A121" s="51"/>
      <c r="B121" s="135" t="s">
        <v>88</v>
      </c>
      <c r="C121" s="37">
        <v>7.0000000000000007E-2</v>
      </c>
      <c r="D121" s="37" t="s">
        <v>81</v>
      </c>
      <c r="E121" s="42">
        <v>0</v>
      </c>
      <c r="F121" s="49">
        <v>104548</v>
      </c>
      <c r="G121" s="41">
        <f t="shared" si="13"/>
        <v>7318.3600000000006</v>
      </c>
      <c r="H121" s="60"/>
    </row>
    <row r="122" spans="1:10" s="38" customFormat="1">
      <c r="A122" s="46"/>
      <c r="B122" s="136"/>
      <c r="C122" s="48"/>
      <c r="D122" s="46"/>
      <c r="E122" s="42"/>
      <c r="F122" s="49"/>
      <c r="G122" s="54">
        <f>SUM(G119:G121)</f>
        <v>11700</v>
      </c>
      <c r="H122" s="60"/>
      <c r="I122" s="63"/>
      <c r="J122" s="63"/>
    </row>
  </sheetData>
  <mergeCells count="14">
    <mergeCell ref="B89:F89"/>
    <mergeCell ref="B96:F96"/>
    <mergeCell ref="B103:F103"/>
    <mergeCell ref="B110:F110"/>
    <mergeCell ref="B118:F118"/>
    <mergeCell ref="B4:F4"/>
    <mergeCell ref="B17:F17"/>
    <mergeCell ref="B34:F34"/>
    <mergeCell ref="B80:F80"/>
    <mergeCell ref="B71:F71"/>
    <mergeCell ref="B27:F27"/>
    <mergeCell ref="B41:F41"/>
    <mergeCell ref="B51:F51"/>
    <mergeCell ref="B61:F6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F0CE4-7178-4D2B-86E9-9FDBE976B869}">
  <dimension ref="A4:E18"/>
  <sheetViews>
    <sheetView topLeftCell="A11" zoomScale="75" zoomScaleNormal="75" workbookViewId="0">
      <selection activeCell="G15" sqref="G15"/>
    </sheetView>
  </sheetViews>
  <sheetFormatPr defaultColWidth="11.42578125" defaultRowHeight="12.75"/>
  <cols>
    <col min="1" max="1" width="7.42578125" bestFit="1" customWidth="1"/>
    <col min="2" max="2" width="60.7109375" customWidth="1"/>
    <col min="3" max="5" width="22.7109375" customWidth="1"/>
  </cols>
  <sheetData>
    <row r="4" spans="1:5" s="32" customFormat="1">
      <c r="A4" s="14" t="s">
        <v>2</v>
      </c>
      <c r="B4" s="10" t="s">
        <v>3</v>
      </c>
      <c r="C4" s="33" t="s">
        <v>112</v>
      </c>
      <c r="D4" s="33" t="s">
        <v>113</v>
      </c>
      <c r="E4" s="33" t="s">
        <v>114</v>
      </c>
    </row>
    <row r="5" spans="1:5">
      <c r="A5" s="15">
        <v>1</v>
      </c>
      <c r="B5" s="13" t="s">
        <v>9</v>
      </c>
      <c r="C5" s="34"/>
      <c r="D5" s="4"/>
      <c r="E5" s="4"/>
    </row>
    <row r="6" spans="1:5" ht="24">
      <c r="A6" s="15">
        <f>+A5+1</f>
        <v>2</v>
      </c>
      <c r="B6" s="13" t="s">
        <v>11</v>
      </c>
      <c r="C6" s="34"/>
      <c r="D6" s="4"/>
      <c r="E6" s="4"/>
    </row>
    <row r="7" spans="1:5" ht="24">
      <c r="A7" s="15">
        <f t="shared" ref="A7:A18" si="0">+A6+1</f>
        <v>3</v>
      </c>
      <c r="B7" s="13" t="s">
        <v>13</v>
      </c>
      <c r="C7" s="34"/>
      <c r="D7" s="34"/>
      <c r="E7" s="34"/>
    </row>
    <row r="8" spans="1:5">
      <c r="A8" s="15">
        <f t="shared" si="0"/>
        <v>4</v>
      </c>
      <c r="B8" s="13" t="s">
        <v>15</v>
      </c>
      <c r="C8" s="34"/>
      <c r="D8" s="34"/>
      <c r="E8" s="4"/>
    </row>
    <row r="9" spans="1:5">
      <c r="A9" s="15">
        <f t="shared" si="0"/>
        <v>5</v>
      </c>
      <c r="B9" s="13" t="s">
        <v>17</v>
      </c>
      <c r="C9" s="34"/>
      <c r="D9" s="34"/>
      <c r="E9" s="4"/>
    </row>
    <row r="10" spans="1:5">
      <c r="A10" s="15">
        <f t="shared" si="0"/>
        <v>6</v>
      </c>
      <c r="B10" s="13" t="s">
        <v>18</v>
      </c>
      <c r="C10" s="34"/>
      <c r="D10" s="34"/>
      <c r="E10" s="4"/>
    </row>
    <row r="11" spans="1:5">
      <c r="A11" s="15">
        <f t="shared" si="0"/>
        <v>7</v>
      </c>
      <c r="B11" s="13" t="s">
        <v>19</v>
      </c>
      <c r="C11" s="34"/>
      <c r="D11" s="34"/>
      <c r="E11" s="4"/>
    </row>
    <row r="12" spans="1:5">
      <c r="A12" s="15">
        <f t="shared" si="0"/>
        <v>8</v>
      </c>
      <c r="B12" s="13" t="s">
        <v>20</v>
      </c>
      <c r="C12" s="34"/>
      <c r="D12" s="34"/>
      <c r="E12" s="4"/>
    </row>
    <row r="13" spans="1:5">
      <c r="A13" s="15">
        <f t="shared" si="0"/>
        <v>9</v>
      </c>
      <c r="B13" s="13" t="s">
        <v>21</v>
      </c>
      <c r="C13" s="4"/>
      <c r="D13" s="34"/>
      <c r="E13" s="34"/>
    </row>
    <row r="14" spans="1:5" ht="36">
      <c r="A14" s="15">
        <f t="shared" si="0"/>
        <v>10</v>
      </c>
      <c r="B14" s="13" t="s">
        <v>22</v>
      </c>
      <c r="C14" s="4"/>
      <c r="D14" s="34"/>
      <c r="E14" s="34"/>
    </row>
    <row r="15" spans="1:5" ht="36">
      <c r="A15" s="15">
        <f t="shared" si="0"/>
        <v>11</v>
      </c>
      <c r="B15" s="13" t="s">
        <v>23</v>
      </c>
      <c r="C15" s="4"/>
      <c r="D15" s="34"/>
      <c r="E15" s="34"/>
    </row>
    <row r="16" spans="1:5" ht="72">
      <c r="A16" s="15">
        <f t="shared" si="0"/>
        <v>12</v>
      </c>
      <c r="B16" s="13" t="s">
        <v>24</v>
      </c>
      <c r="C16" s="4"/>
      <c r="D16" s="4"/>
      <c r="E16" s="34"/>
    </row>
    <row r="17" spans="1:5" ht="24">
      <c r="A17" s="15">
        <f t="shared" si="0"/>
        <v>13</v>
      </c>
      <c r="B17" s="13" t="s">
        <v>25</v>
      </c>
      <c r="C17" s="34"/>
      <c r="D17" s="34"/>
      <c r="E17" s="4"/>
    </row>
    <row r="18" spans="1:5">
      <c r="A18" s="15">
        <f t="shared" si="0"/>
        <v>14</v>
      </c>
      <c r="B18" s="13" t="s">
        <v>26</v>
      </c>
      <c r="C18" s="4"/>
      <c r="D18" s="4"/>
      <c r="E18" s="34"/>
    </row>
  </sheetData>
  <phoneticPr fontId="8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EEC60-1678-466B-8054-C0E503A43C12}">
  <dimension ref="A1:D10"/>
  <sheetViews>
    <sheetView tabSelected="1" workbookViewId="0">
      <selection activeCell="D12" sqref="D12"/>
    </sheetView>
  </sheetViews>
  <sheetFormatPr defaultColWidth="11.42578125" defaultRowHeight="12.75"/>
  <cols>
    <col min="1" max="1" width="20.7109375" customWidth="1"/>
    <col min="2" max="2" width="46.140625" bestFit="1" customWidth="1"/>
    <col min="3" max="3" width="16.5703125" bestFit="1" customWidth="1"/>
    <col min="4" max="4" width="5.42578125" bestFit="1" customWidth="1"/>
  </cols>
  <sheetData>
    <row r="1" spans="1:4" ht="13.5" thickBot="1"/>
    <row r="2" spans="1:4" ht="13.5" thickBot="1">
      <c r="A2" s="164" t="s">
        <v>115</v>
      </c>
      <c r="B2" s="165"/>
      <c r="C2" s="165"/>
      <c r="D2" s="166"/>
    </row>
    <row r="3" spans="1:4">
      <c r="A3" s="140" t="s">
        <v>116</v>
      </c>
      <c r="B3" s="141">
        <f>+PRESUPUESTO!H28</f>
        <v>522433494</v>
      </c>
      <c r="C3" s="142"/>
      <c r="D3" s="143"/>
    </row>
    <row r="4" spans="1:4">
      <c r="A4" s="144" t="s">
        <v>117</v>
      </c>
      <c r="B4" s="145">
        <f>B3*0.2</f>
        <v>104486698.80000001</v>
      </c>
      <c r="C4" s="146"/>
      <c r="D4" s="147"/>
    </row>
    <row r="5" spans="1:4">
      <c r="A5" s="148" t="s">
        <v>118</v>
      </c>
      <c r="B5" s="149" t="s">
        <v>119</v>
      </c>
      <c r="C5" s="149" t="s">
        <v>120</v>
      </c>
      <c r="D5" s="150" t="s">
        <v>40</v>
      </c>
    </row>
    <row r="6" spans="1:4">
      <c r="A6" s="151">
        <v>1</v>
      </c>
      <c r="B6" s="152" t="s">
        <v>121</v>
      </c>
      <c r="C6" s="153">
        <f>ROUND(B4*D6,0)</f>
        <v>36570345</v>
      </c>
      <c r="D6" s="154">
        <v>0.35</v>
      </c>
    </row>
    <row r="7" spans="1:4">
      <c r="A7" s="151">
        <v>2</v>
      </c>
      <c r="B7" s="152" t="s">
        <v>122</v>
      </c>
      <c r="C7" s="153">
        <f>ROUND(B4*D7,0)</f>
        <v>15673005</v>
      </c>
      <c r="D7" s="154">
        <v>0.15</v>
      </c>
    </row>
    <row r="8" spans="1:4">
      <c r="A8" s="151">
        <v>3</v>
      </c>
      <c r="B8" s="152" t="s">
        <v>123</v>
      </c>
      <c r="C8" s="153">
        <f>ROUND(B4*D8,0)</f>
        <v>20897340</v>
      </c>
      <c r="D8" s="154">
        <v>0.2</v>
      </c>
    </row>
    <row r="9" spans="1:4">
      <c r="A9" s="151">
        <v>4</v>
      </c>
      <c r="B9" s="152" t="s">
        <v>124</v>
      </c>
      <c r="C9" s="153">
        <f>ROUND(B4*D9,0)</f>
        <v>31346010</v>
      </c>
      <c r="D9" s="154">
        <v>0.3</v>
      </c>
    </row>
    <row r="10" spans="1:4">
      <c r="A10" s="148" t="s">
        <v>33</v>
      </c>
      <c r="B10" s="155"/>
      <c r="C10" s="156">
        <f>SUM(C6:C9)</f>
        <v>104486700</v>
      </c>
      <c r="D10" s="157">
        <f>SUM(D6:D9)</f>
        <v>1</v>
      </c>
    </row>
  </sheetData>
  <mergeCells count="1">
    <mergeCell ref="A2:D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2"/>
  <sheetViews>
    <sheetView workbookViewId="0">
      <selection activeCell="E6" sqref="E6"/>
    </sheetView>
  </sheetViews>
  <sheetFormatPr defaultColWidth="11.42578125" defaultRowHeight="12.75"/>
  <cols>
    <col min="1" max="1" width="46.7109375" bestFit="1" customWidth="1"/>
    <col min="4" max="4" width="11.7109375" style="2" bestFit="1" customWidth="1"/>
    <col min="5" max="5" width="11.42578125" style="2"/>
    <col min="6" max="6" width="14.28515625" style="2" bestFit="1" customWidth="1"/>
    <col min="7" max="7" width="1.42578125" style="2" customWidth="1"/>
    <col min="8" max="8" width="11.7109375" style="2" bestFit="1" customWidth="1"/>
    <col min="9" max="9" width="14.28515625" bestFit="1" customWidth="1"/>
    <col min="10" max="10" width="14.5703125" customWidth="1"/>
  </cols>
  <sheetData>
    <row r="1" spans="1:12">
      <c r="D1" s="167" t="s">
        <v>125</v>
      </c>
      <c r="E1" s="167"/>
      <c r="F1" s="167"/>
      <c r="H1" s="167" t="s">
        <v>126</v>
      </c>
      <c r="I1" s="167"/>
      <c r="J1" s="167"/>
    </row>
    <row r="2" spans="1:12">
      <c r="D2" s="3" t="s">
        <v>127</v>
      </c>
      <c r="E2" s="3" t="s">
        <v>128</v>
      </c>
      <c r="F2" s="3" t="s">
        <v>129</v>
      </c>
      <c r="H2" s="3" t="s">
        <v>127</v>
      </c>
      <c r="I2" s="3" t="s">
        <v>128</v>
      </c>
      <c r="J2" s="3" t="s">
        <v>129</v>
      </c>
    </row>
    <row r="3" spans="1:12">
      <c r="A3" s="4" t="s">
        <v>130</v>
      </c>
      <c r="B3" s="4" t="s">
        <v>64</v>
      </c>
      <c r="C3" s="7">
        <v>1</v>
      </c>
      <c r="D3" s="5">
        <v>20050000</v>
      </c>
      <c r="E3" s="5">
        <f>+D3*1.19</f>
        <v>23859500</v>
      </c>
      <c r="F3" s="6">
        <f>+E3*C3</f>
        <v>23859500</v>
      </c>
      <c r="H3" s="5">
        <v>19960000</v>
      </c>
      <c r="I3" s="6">
        <f>+H3*1.19</f>
        <v>23752400</v>
      </c>
      <c r="J3" s="6">
        <f>+I3*C3</f>
        <v>23752400</v>
      </c>
      <c r="L3">
        <f>+(E3+I3)/2</f>
        <v>23805950</v>
      </c>
    </row>
    <row r="4" spans="1:12">
      <c r="A4" s="4" t="s">
        <v>131</v>
      </c>
      <c r="B4" s="4" t="s">
        <v>64</v>
      </c>
      <c r="C4" s="7">
        <v>2</v>
      </c>
      <c r="D4" s="5">
        <v>1271470</v>
      </c>
      <c r="E4" s="5">
        <f t="shared" ref="E4:E6" si="0">+D4*1.19</f>
        <v>1513049.3</v>
      </c>
      <c r="F4" s="6">
        <f t="shared" ref="F4:F6" si="1">+E4*C4</f>
        <v>3026098.6</v>
      </c>
      <c r="H4" s="5">
        <v>1320000</v>
      </c>
      <c r="I4" s="6">
        <f t="shared" ref="I4:I6" si="2">+H4*1.19</f>
        <v>1570800</v>
      </c>
      <c r="J4" s="6">
        <f t="shared" ref="J4:J6" si="3">+I4*C4</f>
        <v>3141600</v>
      </c>
    </row>
    <row r="5" spans="1:12">
      <c r="A5" s="4" t="s">
        <v>132</v>
      </c>
      <c r="B5" s="4" t="s">
        <v>64</v>
      </c>
      <c r="C5" s="7">
        <v>4</v>
      </c>
      <c r="D5" s="5">
        <v>2000000</v>
      </c>
      <c r="E5" s="5">
        <f t="shared" si="0"/>
        <v>2380000</v>
      </c>
      <c r="F5" s="6">
        <f t="shared" si="1"/>
        <v>9520000</v>
      </c>
      <c r="H5" s="5">
        <v>1950000</v>
      </c>
      <c r="I5" s="6">
        <f t="shared" si="2"/>
        <v>2320500</v>
      </c>
      <c r="J5" s="6">
        <f t="shared" si="3"/>
        <v>9282000</v>
      </c>
    </row>
    <row r="6" spans="1:12">
      <c r="A6" s="4" t="s">
        <v>133</v>
      </c>
      <c r="B6" s="4" t="s">
        <v>64</v>
      </c>
      <c r="C6" s="7">
        <v>1</v>
      </c>
      <c r="D6" s="5">
        <v>500000</v>
      </c>
      <c r="E6" s="5">
        <f t="shared" si="0"/>
        <v>595000</v>
      </c>
      <c r="F6" s="6">
        <f t="shared" si="1"/>
        <v>595000</v>
      </c>
      <c r="H6" s="5">
        <v>530000</v>
      </c>
      <c r="I6" s="6">
        <f t="shared" si="2"/>
        <v>630700</v>
      </c>
      <c r="J6" s="6">
        <f t="shared" si="3"/>
        <v>630700</v>
      </c>
    </row>
    <row r="7" spans="1:12">
      <c r="A7" s="4"/>
      <c r="B7" s="4"/>
      <c r="C7" s="7"/>
      <c r="D7" s="5"/>
      <c r="E7" s="5"/>
      <c r="F7" s="6">
        <f>SUM(F3:F6)</f>
        <v>37000598.600000001</v>
      </c>
      <c r="H7" s="5"/>
      <c r="I7" s="4"/>
      <c r="J7" s="6">
        <f>SUM(J3:J6)</f>
        <v>36806700</v>
      </c>
    </row>
    <row r="10" spans="1:12">
      <c r="F10" s="1" t="s">
        <v>134</v>
      </c>
      <c r="H10" s="2">
        <f>(J7+F7)/2</f>
        <v>36903649.299999997</v>
      </c>
    </row>
    <row r="12" spans="1:12">
      <c r="H12" s="2">
        <v>37175600</v>
      </c>
    </row>
  </sheetData>
  <mergeCells count="2">
    <mergeCell ref="D1:F1"/>
    <mergeCell ref="H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CONSORCIO RS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mrangel</dc:creator>
  <cp:keywords/>
  <dc:description/>
  <cp:lastModifiedBy>Yuly Andrea Leon Bustos</cp:lastModifiedBy>
  <cp:revision/>
  <dcterms:created xsi:type="dcterms:W3CDTF">2007-05-28T14:41:59Z</dcterms:created>
  <dcterms:modified xsi:type="dcterms:W3CDTF">2025-08-28T13:26:36Z</dcterms:modified>
  <cp:category/>
  <cp:contentStatus/>
</cp:coreProperties>
</file>