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lmurillocc\Desktop\MÌNIMA CAÑA PANELERA RIOSUCIO\"/>
    </mc:Choice>
  </mc:AlternateContent>
  <bookViews>
    <workbookView xWindow="-120" yWindow="-120" windowWidth="29040" windowHeight="15840" activeTab="1"/>
  </bookViews>
  <sheets>
    <sheet name="ESTUDIOS DE MERCADO" sheetId="2" r:id="rId1"/>
    <sheet name="PRESUPUESTO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" i="2" l="1"/>
  <c r="P4" i="2" s="1"/>
  <c r="Q4" i="2" s="1"/>
  <c r="T4" i="2"/>
  <c r="U4" i="2"/>
  <c r="V4" i="2"/>
  <c r="V13" i="2" s="1"/>
  <c r="P5" i="2"/>
  <c r="Q5" i="2" s="1"/>
  <c r="T5" i="2"/>
  <c r="U5" i="2"/>
  <c r="V5" i="2" s="1"/>
  <c r="P6" i="2"/>
  <c r="Q6" i="2"/>
  <c r="H6" i="2" s="1"/>
  <c r="I6" i="2" s="1"/>
  <c r="R6" i="2"/>
  <c r="T6" i="2"/>
  <c r="U6" i="2"/>
  <c r="V6" i="2"/>
  <c r="P7" i="2"/>
  <c r="Q7" i="2" s="1"/>
  <c r="T7" i="2"/>
  <c r="U7" i="2"/>
  <c r="V7" i="2" s="1"/>
  <c r="P8" i="2"/>
  <c r="Q8" i="2"/>
  <c r="R8" i="2"/>
  <c r="T8" i="2"/>
  <c r="U8" i="2"/>
  <c r="V8" i="2"/>
  <c r="P9" i="2"/>
  <c r="Q9" i="2" s="1"/>
  <c r="T9" i="2"/>
  <c r="U9" i="2"/>
  <c r="V9" i="2" s="1"/>
  <c r="P10" i="2"/>
  <c r="Q10" i="2"/>
  <c r="H10" i="2" s="1"/>
  <c r="I10" i="2" s="1"/>
  <c r="R10" i="2"/>
  <c r="T10" i="2"/>
  <c r="U10" i="2"/>
  <c r="V10" i="2"/>
  <c r="P11" i="2"/>
  <c r="Q11" i="2" s="1"/>
  <c r="T11" i="2"/>
  <c r="U11" i="2"/>
  <c r="V11" i="2" s="1"/>
  <c r="P12" i="2"/>
  <c r="Q12" i="2"/>
  <c r="R12" i="2"/>
  <c r="T12" i="2"/>
  <c r="U12" i="2"/>
  <c r="V12" i="2"/>
  <c r="H8" i="2"/>
  <c r="I8" i="2" s="1"/>
  <c r="H12" i="2"/>
  <c r="I12" i="2" s="1"/>
  <c r="G13" i="2"/>
  <c r="G5" i="2"/>
  <c r="G6" i="2"/>
  <c r="G7" i="2"/>
  <c r="G8" i="2"/>
  <c r="G9" i="2"/>
  <c r="G10" i="2"/>
  <c r="G11" i="2"/>
  <c r="G12" i="2"/>
  <c r="F12" i="2"/>
  <c r="F11" i="2"/>
  <c r="F10" i="2"/>
  <c r="F9" i="2"/>
  <c r="F8" i="2"/>
  <c r="F7" i="2"/>
  <c r="F6" i="2"/>
  <c r="F5" i="2"/>
  <c r="F4" i="2"/>
  <c r="E5" i="2"/>
  <c r="E6" i="2"/>
  <c r="E7" i="2"/>
  <c r="E8" i="2"/>
  <c r="E9" i="2"/>
  <c r="E10" i="2"/>
  <c r="E11" i="2"/>
  <c r="E12" i="2"/>
  <c r="E4" i="2"/>
  <c r="A9" i="2"/>
  <c r="A10" i="2"/>
  <c r="A11" i="2"/>
  <c r="A12" i="2"/>
  <c r="A13" i="2"/>
  <c r="A8" i="2"/>
  <c r="A7" i="2"/>
  <c r="A6" i="2"/>
  <c r="A5" i="2"/>
  <c r="A4" i="2"/>
  <c r="R7" i="2" l="1"/>
  <c r="H7" i="2"/>
  <c r="J7" i="2" s="1"/>
  <c r="R11" i="2"/>
  <c r="H11" i="2"/>
  <c r="H9" i="2"/>
  <c r="R9" i="2"/>
  <c r="R5" i="2"/>
  <c r="H5" i="2"/>
  <c r="I5" i="2" s="1"/>
  <c r="R4" i="2"/>
  <c r="H4" i="2"/>
  <c r="J8" i="2"/>
  <c r="I7" i="2"/>
  <c r="J12" i="2"/>
  <c r="J10" i="2"/>
  <c r="J6" i="2"/>
  <c r="K8" i="2"/>
  <c r="G4" i="2"/>
  <c r="E13" i="2"/>
  <c r="I4" i="2" l="1"/>
  <c r="J4" i="2"/>
  <c r="E4" i="3" s="1"/>
  <c r="F4" i="3" s="1"/>
  <c r="J11" i="2"/>
  <c r="E11" i="3" s="1"/>
  <c r="F11" i="3" s="1"/>
  <c r="I11" i="2"/>
  <c r="J5" i="2"/>
  <c r="R13" i="2"/>
  <c r="I9" i="2"/>
  <c r="J9" i="2"/>
  <c r="E9" i="3" s="1"/>
  <c r="F9" i="3" s="1"/>
  <c r="E8" i="3"/>
  <c r="F8" i="3" s="1"/>
  <c r="K12" i="2"/>
  <c r="E12" i="3"/>
  <c r="F12" i="3" s="1"/>
  <c r="K10" i="2"/>
  <c r="E10" i="3"/>
  <c r="F10" i="3" s="1"/>
  <c r="K11" i="2"/>
  <c r="K7" i="2"/>
  <c r="E7" i="3"/>
  <c r="F7" i="3" s="1"/>
  <c r="K6" i="2"/>
  <c r="E6" i="3"/>
  <c r="F6" i="3" s="1"/>
  <c r="K4" i="2"/>
  <c r="K9" i="2" l="1"/>
  <c r="E5" i="3"/>
  <c r="F5" i="3" s="1"/>
  <c r="K5" i="2"/>
  <c r="K13" i="2" s="1"/>
  <c r="I13" i="2"/>
  <c r="F13" i="3"/>
  <c r="L4" i="2"/>
  <c r="L7" i="2" l="1"/>
</calcChain>
</file>

<file path=xl/sharedStrings.xml><?xml version="1.0" encoding="utf-8"?>
<sst xmlns="http://schemas.openxmlformats.org/spreadsheetml/2006/main" count="67" uniqueCount="46">
  <si>
    <t>TOTAL</t>
  </si>
  <si>
    <t>Descripción del insumo requerido  para el desarrollo de la actividad</t>
  </si>
  <si>
    <t>Unidad Medida</t>
  </si>
  <si>
    <t>Cantidad</t>
  </si>
  <si>
    <t xml:space="preserve">Cotización 1 </t>
  </si>
  <si>
    <t>vr unit cot 1</t>
  </si>
  <si>
    <t>vr unit cot 2</t>
  </si>
  <si>
    <t>Costo total</t>
  </si>
  <si>
    <t>Unidades</t>
  </si>
  <si>
    <t>Unidad de Medida</t>
  </si>
  <si>
    <t>Costo Total</t>
  </si>
  <si>
    <t>Remellón en acero inoxidable</t>
  </si>
  <si>
    <t>UN</t>
  </si>
  <si>
    <t>Pailas en aluminio numero de 32”</t>
  </si>
  <si>
    <t>Pailas en aluminio número 35”</t>
  </si>
  <si>
    <t xml:space="preserve">Pailas en aluminio número 38” </t>
  </si>
  <si>
    <t>Pailas en aluminio número 40”</t>
  </si>
  <si>
    <t>Gaberas de 6 huecos en madera</t>
  </si>
  <si>
    <t xml:space="preserve">Batea en acero inoxidable </t>
  </si>
  <si>
    <t xml:space="preserve">Cernidores inoxidables </t>
  </si>
  <si>
    <t xml:space="preserve">Espátulas en acero inoxidable </t>
  </si>
  <si>
    <t>PRODUCTO</t>
  </si>
  <si>
    <t>DESCRIPCIÓN INSUMO</t>
  </si>
  <si>
    <t>CANTIDAD</t>
  </si>
  <si>
    <t>VALOR UNITARIO</t>
  </si>
  <si>
    <t>Acero inoxidable con cabos en acero ornamental de 2 metros</t>
  </si>
  <si>
    <t>Acero inoxidable calibre 16 (0,90*1,5*0,25 centímetros)</t>
  </si>
  <si>
    <t>Espátula o palín en  acero inoxidable de 20 cm ancho * 25 cm de largo, calibre 14 con cabos de 1,20 metros</t>
  </si>
  <si>
    <t>Filto o zaranda en  acero inoxidable con malla 20 (0,60*0,40*0,15 centímetros)</t>
  </si>
  <si>
    <t>Tramo de Gavera en madera para 1 kg, 6 huecos</t>
  </si>
  <si>
    <t>Cotización 2</t>
  </si>
  <si>
    <t>ESTUDIO DE MERCADO</t>
  </si>
  <si>
    <t>CAROLINA GÓMEZ RAMÍREZ</t>
  </si>
  <si>
    <t>PROFESIONAL ESPECIALIZADA</t>
  </si>
  <si>
    <t>Secretaría de Agricultura y Desarrollo Rural</t>
  </si>
  <si>
    <t>}</t>
  </si>
  <si>
    <t xml:space="preserve">PRESUPUESTO </t>
  </si>
  <si>
    <t>vr unit cot 3</t>
  </si>
  <si>
    <t>Cotización 3</t>
  </si>
  <si>
    <t>valores unitarios</t>
  </si>
  <si>
    <t>IVA</t>
  </si>
  <si>
    <t>FINAL</t>
  </si>
  <si>
    <t xml:space="preserve">  COTIZACION 2</t>
  </si>
  <si>
    <t>VR TOTAL</t>
  </si>
  <si>
    <t>FINAL COT 2</t>
  </si>
  <si>
    <t>Costo Unitario promedio 3 cotizaciones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</si>
</sst>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20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3" fontId="5" fillId="0" borderId="0" xfId="0" applyNumberFormat="1" applyFont="1"/>
    <xf numFmtId="0" fontId="3" fillId="0" borderId="9" xfId="0" applyFont="1" applyBorder="1" applyAlignment="1">
      <alignment wrapText="1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3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3" fontId="5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1" fontId="8" fillId="0" borderId="5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5" fillId="0" borderId="0" xfId="0" applyFont="1"/>
    <xf numFmtId="1" fontId="5" fillId="0" borderId="0" xfId="0" applyNumberFormat="1" applyFont="1"/>
    <xf numFmtId="0" fontId="10" fillId="0" borderId="10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19"/>
  <sheetViews>
    <sheetView view="pageBreakPreview" zoomScale="70" zoomScaleNormal="100" zoomScaleSheetLayoutView="70" workbookViewId="0">
      <selection activeCell="O15" sqref="O15"/>
    </sheetView>
  </sheetViews>
  <sheetFormatPr baseColWidth="10" defaultRowHeight="15" x14ac:dyDescent="0.25"/>
  <cols>
    <col min="1" max="1" width="35.28515625" customWidth="1"/>
    <col min="2" max="2" width="12" customWidth="1"/>
    <col min="3" max="3" width="14.7109375" customWidth="1"/>
    <col min="4" max="4" width="19.5703125" customWidth="1"/>
    <col min="5" max="5" width="18.85546875" customWidth="1"/>
    <col min="6" max="6" width="19.42578125" customWidth="1"/>
    <col min="7" max="9" width="18.85546875" customWidth="1"/>
    <col min="10" max="10" width="17.5703125" customWidth="1"/>
    <col min="11" max="11" width="22.85546875" customWidth="1"/>
    <col min="12" max="12" width="0.140625" customWidth="1"/>
    <col min="18" max="18" width="22.42578125" customWidth="1"/>
    <col min="22" max="22" width="19.5703125" customWidth="1"/>
  </cols>
  <sheetData>
    <row r="2" spans="1:22" ht="26.25" x14ac:dyDescent="0.4">
      <c r="A2" s="29" t="s">
        <v>31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22" ht="58.5" customHeight="1" x14ac:dyDescent="0.25">
      <c r="A3" s="2" t="s">
        <v>1</v>
      </c>
      <c r="B3" s="2" t="s">
        <v>2</v>
      </c>
      <c r="C3" s="2" t="s">
        <v>3</v>
      </c>
      <c r="D3" s="2" t="s">
        <v>5</v>
      </c>
      <c r="E3" s="3" t="s">
        <v>4</v>
      </c>
      <c r="F3" s="2" t="s">
        <v>6</v>
      </c>
      <c r="G3" s="3" t="s">
        <v>30</v>
      </c>
      <c r="H3" s="2" t="s">
        <v>37</v>
      </c>
      <c r="I3" s="3" t="s">
        <v>38</v>
      </c>
      <c r="J3" s="2" t="s">
        <v>45</v>
      </c>
      <c r="K3" s="2" t="s">
        <v>7</v>
      </c>
      <c r="O3" t="s">
        <v>39</v>
      </c>
      <c r="P3" t="s">
        <v>40</v>
      </c>
      <c r="Q3" t="s">
        <v>0</v>
      </c>
      <c r="R3" t="s">
        <v>41</v>
      </c>
      <c r="S3" t="s">
        <v>42</v>
      </c>
      <c r="U3" t="s">
        <v>43</v>
      </c>
      <c r="V3" t="s">
        <v>44</v>
      </c>
    </row>
    <row r="4" spans="1:22" ht="48" customHeight="1" x14ac:dyDescent="0.25">
      <c r="A4" s="2" t="str">
        <f>PRESUPUESTO!A4</f>
        <v>Remellón en acero inoxidable</v>
      </c>
      <c r="B4" s="3" t="s">
        <v>8</v>
      </c>
      <c r="C4" s="10">
        <v>10</v>
      </c>
      <c r="D4" s="10">
        <v>283000</v>
      </c>
      <c r="E4" s="12">
        <f>D4*C4</f>
        <v>2830000</v>
      </c>
      <c r="F4" s="4">
        <f>(241500*0.19)+241500</f>
        <v>287385</v>
      </c>
      <c r="G4" s="12">
        <f t="shared" ref="G4:G12" si="0">F4*C4</f>
        <v>2873850</v>
      </c>
      <c r="H4" s="12">
        <f>Q4</f>
        <v>279650</v>
      </c>
      <c r="I4" s="12">
        <f>H4*C4</f>
        <v>2796500</v>
      </c>
      <c r="J4" s="12">
        <f>(D4+F4+H4)/3</f>
        <v>283345</v>
      </c>
      <c r="K4" s="12">
        <f t="shared" ref="K4:K12" si="1">J4*C4</f>
        <v>2833450</v>
      </c>
      <c r="L4" s="1" t="e">
        <f>#REF!/C4</f>
        <v>#REF!</v>
      </c>
      <c r="O4">
        <f>235000</f>
        <v>235000</v>
      </c>
      <c r="P4">
        <f>O4*0.19</f>
        <v>44650</v>
      </c>
      <c r="Q4">
        <f>O4+P4</f>
        <v>279650</v>
      </c>
      <c r="R4">
        <f>Q4*C4</f>
        <v>2796500</v>
      </c>
      <c r="S4">
        <v>241500</v>
      </c>
      <c r="T4">
        <f>S4*0.19</f>
        <v>45885</v>
      </c>
      <c r="U4">
        <f>S4+T4</f>
        <v>287385</v>
      </c>
      <c r="V4">
        <f>U4*C4</f>
        <v>2873850</v>
      </c>
    </row>
    <row r="5" spans="1:22" ht="48" customHeight="1" x14ac:dyDescent="0.25">
      <c r="A5" s="2" t="str">
        <f>PRESUPUESTO!A5</f>
        <v>Pailas en aluminio numero de 32”</v>
      </c>
      <c r="B5" s="3" t="s">
        <v>8</v>
      </c>
      <c r="C5" s="10">
        <v>2</v>
      </c>
      <c r="D5" s="10">
        <v>650000</v>
      </c>
      <c r="E5" s="12">
        <f t="shared" ref="E5:E12" si="2">D5*C5</f>
        <v>1300000</v>
      </c>
      <c r="F5" s="4">
        <f>(561200*0.19)+561200</f>
        <v>667828</v>
      </c>
      <c r="G5" s="12">
        <f t="shared" si="0"/>
        <v>1335656</v>
      </c>
      <c r="H5" s="12">
        <f t="shared" ref="H5:H12" si="3">Q5</f>
        <v>649740</v>
      </c>
      <c r="I5" s="12">
        <f t="shared" ref="I5:I12" si="4">H5*C5</f>
        <v>1299480</v>
      </c>
      <c r="J5" s="12">
        <f t="shared" ref="J5:J12" si="5">(D5+F5+H5)/3</f>
        <v>655856</v>
      </c>
      <c r="K5" s="12">
        <f t="shared" si="1"/>
        <v>1311712</v>
      </c>
      <c r="L5" s="1"/>
      <c r="O5">
        <v>546000</v>
      </c>
      <c r="P5">
        <f t="shared" ref="P5:P12" si="6">O5*0.19</f>
        <v>103740</v>
      </c>
      <c r="Q5">
        <f t="shared" ref="Q5:Q12" si="7">O5+P5</f>
        <v>649740</v>
      </c>
      <c r="R5">
        <f t="shared" ref="R5:R12" si="8">Q5*C5</f>
        <v>1299480</v>
      </c>
      <c r="S5">
        <v>561200</v>
      </c>
      <c r="T5">
        <f t="shared" ref="T5:T12" si="9">S5*0.19</f>
        <v>106628</v>
      </c>
      <c r="U5">
        <f t="shared" ref="U5:U12" si="10">S5+T5</f>
        <v>667828</v>
      </c>
      <c r="V5">
        <f t="shared" ref="V5:V12" si="11">U5*C5</f>
        <v>1335656</v>
      </c>
    </row>
    <row r="6" spans="1:22" ht="48" customHeight="1" x14ac:dyDescent="0.25">
      <c r="A6" s="2" t="str">
        <f>PRESUPUESTO!A6</f>
        <v>Pailas en aluminio número 35”</v>
      </c>
      <c r="B6" s="3" t="s">
        <v>8</v>
      </c>
      <c r="C6" s="10">
        <v>2</v>
      </c>
      <c r="D6" s="10">
        <v>800000</v>
      </c>
      <c r="E6" s="12">
        <f t="shared" si="2"/>
        <v>1600000</v>
      </c>
      <c r="F6" s="4">
        <f>(679800*0.19)+679800</f>
        <v>808962</v>
      </c>
      <c r="G6" s="12">
        <f t="shared" si="0"/>
        <v>1617924</v>
      </c>
      <c r="H6" s="12">
        <f t="shared" si="3"/>
        <v>799680</v>
      </c>
      <c r="I6" s="12">
        <f t="shared" si="4"/>
        <v>1599360</v>
      </c>
      <c r="J6" s="12">
        <f t="shared" si="5"/>
        <v>802880.66666666663</v>
      </c>
      <c r="K6" s="12">
        <f t="shared" si="1"/>
        <v>1605761.3333333333</v>
      </c>
      <c r="L6" s="1"/>
      <c r="O6">
        <v>672000</v>
      </c>
      <c r="P6">
        <f t="shared" si="6"/>
        <v>127680</v>
      </c>
      <c r="Q6">
        <f t="shared" si="7"/>
        <v>799680</v>
      </c>
      <c r="R6">
        <f t="shared" si="8"/>
        <v>1599360</v>
      </c>
      <c r="S6">
        <v>679800</v>
      </c>
      <c r="T6">
        <f t="shared" si="9"/>
        <v>129162</v>
      </c>
      <c r="U6">
        <f t="shared" si="10"/>
        <v>808962</v>
      </c>
      <c r="V6">
        <f t="shared" si="11"/>
        <v>1617924</v>
      </c>
    </row>
    <row r="7" spans="1:22" ht="58.5" customHeight="1" x14ac:dyDescent="0.25">
      <c r="A7" s="2" t="str">
        <f>PRESUPUESTO!A7</f>
        <v xml:space="preserve">Pailas en aluminio número 38” </v>
      </c>
      <c r="B7" s="3" t="s">
        <v>8</v>
      </c>
      <c r="C7" s="10">
        <v>2</v>
      </c>
      <c r="D7" s="10">
        <v>900000</v>
      </c>
      <c r="E7" s="12">
        <f t="shared" si="2"/>
        <v>1800000</v>
      </c>
      <c r="F7" s="4">
        <f>(763100*0.19)+763100</f>
        <v>908089</v>
      </c>
      <c r="G7" s="12">
        <f t="shared" si="0"/>
        <v>1816178</v>
      </c>
      <c r="H7" s="12">
        <f t="shared" si="3"/>
        <v>899640</v>
      </c>
      <c r="I7" s="12">
        <f t="shared" si="4"/>
        <v>1799280</v>
      </c>
      <c r="J7" s="12">
        <f t="shared" si="5"/>
        <v>902576.33333333337</v>
      </c>
      <c r="K7" s="12">
        <f t="shared" si="1"/>
        <v>1805152.6666666667</v>
      </c>
      <c r="L7" s="1" t="e">
        <f>#REF!/C7</f>
        <v>#REF!</v>
      </c>
      <c r="O7">
        <v>756000</v>
      </c>
      <c r="P7">
        <f t="shared" si="6"/>
        <v>143640</v>
      </c>
      <c r="Q7">
        <f t="shared" si="7"/>
        <v>899640</v>
      </c>
      <c r="R7">
        <f t="shared" si="8"/>
        <v>1799280</v>
      </c>
      <c r="S7">
        <v>763100</v>
      </c>
      <c r="T7">
        <f t="shared" si="9"/>
        <v>144989</v>
      </c>
      <c r="U7">
        <f t="shared" si="10"/>
        <v>908089</v>
      </c>
      <c r="V7">
        <f t="shared" si="11"/>
        <v>1816178</v>
      </c>
    </row>
    <row r="8" spans="1:22" x14ac:dyDescent="0.25">
      <c r="A8" s="13" t="str">
        <f>PRESUPUESTO!A8</f>
        <v>Pailas en aluminio número 40”</v>
      </c>
      <c r="B8" s="3" t="s">
        <v>8</v>
      </c>
      <c r="C8" s="10">
        <v>2</v>
      </c>
      <c r="D8" s="10">
        <v>1000000</v>
      </c>
      <c r="E8" s="12">
        <f t="shared" si="2"/>
        <v>2000000</v>
      </c>
      <c r="F8" s="4">
        <f>(846200*0.19)+846200</f>
        <v>1006978</v>
      </c>
      <c r="G8" s="12">
        <f t="shared" si="0"/>
        <v>2013956</v>
      </c>
      <c r="H8" s="12">
        <f t="shared" si="3"/>
        <v>999600</v>
      </c>
      <c r="I8" s="12">
        <f t="shared" si="4"/>
        <v>1999200</v>
      </c>
      <c r="J8" s="12">
        <f t="shared" si="5"/>
        <v>1002192.6666666666</v>
      </c>
      <c r="K8" s="12">
        <f t="shared" si="1"/>
        <v>2004385.3333333333</v>
      </c>
      <c r="O8">
        <v>840000</v>
      </c>
      <c r="P8">
        <f t="shared" si="6"/>
        <v>159600</v>
      </c>
      <c r="Q8">
        <f t="shared" si="7"/>
        <v>999600</v>
      </c>
      <c r="R8">
        <f t="shared" si="8"/>
        <v>1999200</v>
      </c>
      <c r="S8">
        <v>846200</v>
      </c>
      <c r="T8">
        <f t="shared" si="9"/>
        <v>160778</v>
      </c>
      <c r="U8">
        <f t="shared" si="10"/>
        <v>1006978</v>
      </c>
      <c r="V8">
        <f t="shared" si="11"/>
        <v>2013956</v>
      </c>
    </row>
    <row r="9" spans="1:22" x14ac:dyDescent="0.25">
      <c r="A9" s="13" t="str">
        <f>PRESUPUESTO!A9</f>
        <v>Gaberas de 6 huecos en madera</v>
      </c>
      <c r="B9" s="3" t="s">
        <v>8</v>
      </c>
      <c r="C9" s="10">
        <v>10</v>
      </c>
      <c r="D9" s="10">
        <v>56000</v>
      </c>
      <c r="E9" s="12">
        <f t="shared" si="2"/>
        <v>560000</v>
      </c>
      <c r="F9" s="4">
        <f>(48500*0.19)+48500</f>
        <v>57715</v>
      </c>
      <c r="G9" s="12">
        <f t="shared" si="0"/>
        <v>577150</v>
      </c>
      <c r="H9" s="12">
        <f t="shared" si="3"/>
        <v>54740</v>
      </c>
      <c r="I9" s="12">
        <f t="shared" si="4"/>
        <v>547400</v>
      </c>
      <c r="J9" s="12">
        <f t="shared" si="5"/>
        <v>56151.666666666664</v>
      </c>
      <c r="K9" s="12">
        <f t="shared" si="1"/>
        <v>561516.66666666663</v>
      </c>
      <c r="O9">
        <v>46000</v>
      </c>
      <c r="P9">
        <f t="shared" si="6"/>
        <v>8740</v>
      </c>
      <c r="Q9">
        <f t="shared" si="7"/>
        <v>54740</v>
      </c>
      <c r="R9">
        <f t="shared" si="8"/>
        <v>547400</v>
      </c>
      <c r="S9">
        <v>48500</v>
      </c>
      <c r="T9">
        <f t="shared" si="9"/>
        <v>9215</v>
      </c>
      <c r="U9">
        <f t="shared" si="10"/>
        <v>57715</v>
      </c>
      <c r="V9">
        <f t="shared" si="11"/>
        <v>577150</v>
      </c>
    </row>
    <row r="10" spans="1:22" x14ac:dyDescent="0.25">
      <c r="A10" s="13" t="str">
        <f>PRESUPUESTO!A10</f>
        <v xml:space="preserve">Batea en acero inoxidable </v>
      </c>
      <c r="B10" s="3" t="s">
        <v>8</v>
      </c>
      <c r="C10" s="10">
        <v>2</v>
      </c>
      <c r="D10" s="10">
        <v>1500000</v>
      </c>
      <c r="E10" s="12">
        <f t="shared" si="2"/>
        <v>3000000</v>
      </c>
      <c r="F10" s="4">
        <f>(1205480*0.19)+1205480</f>
        <v>1434521.2</v>
      </c>
      <c r="G10" s="12">
        <f t="shared" si="0"/>
        <v>2869042.4</v>
      </c>
      <c r="H10" s="12">
        <f t="shared" si="3"/>
        <v>1500590</v>
      </c>
      <c r="I10" s="12">
        <f t="shared" si="4"/>
        <v>3001180</v>
      </c>
      <c r="J10" s="12">
        <f t="shared" si="5"/>
        <v>1478370.4000000001</v>
      </c>
      <c r="K10" s="12">
        <f t="shared" si="1"/>
        <v>2956740.8000000003</v>
      </c>
      <c r="O10">
        <v>1261000</v>
      </c>
      <c r="P10">
        <f t="shared" si="6"/>
        <v>239590</v>
      </c>
      <c r="Q10">
        <f t="shared" si="7"/>
        <v>1500590</v>
      </c>
      <c r="R10">
        <f t="shared" si="8"/>
        <v>3001180</v>
      </c>
      <c r="S10">
        <v>1205480</v>
      </c>
      <c r="T10">
        <f t="shared" si="9"/>
        <v>229041.2</v>
      </c>
      <c r="U10">
        <f t="shared" si="10"/>
        <v>1434521.2</v>
      </c>
      <c r="V10">
        <f t="shared" si="11"/>
        <v>2869042.4</v>
      </c>
    </row>
    <row r="11" spans="1:22" x14ac:dyDescent="0.25">
      <c r="A11" s="13" t="str">
        <f>PRESUPUESTO!A11</f>
        <v xml:space="preserve">Cernidores inoxidables </v>
      </c>
      <c r="B11" s="3" t="s">
        <v>8</v>
      </c>
      <c r="C11" s="11">
        <v>1</v>
      </c>
      <c r="D11" s="10">
        <v>960000</v>
      </c>
      <c r="E11" s="12">
        <f t="shared" si="2"/>
        <v>960000</v>
      </c>
      <c r="F11" s="4">
        <f>(973500*0.19)+973500</f>
        <v>1158465</v>
      </c>
      <c r="G11" s="12">
        <f t="shared" si="0"/>
        <v>1158465</v>
      </c>
      <c r="H11" s="12">
        <f t="shared" si="3"/>
        <v>799680</v>
      </c>
      <c r="I11" s="12">
        <f t="shared" si="4"/>
        <v>799680</v>
      </c>
      <c r="J11" s="12">
        <f t="shared" si="5"/>
        <v>972715</v>
      </c>
      <c r="K11" s="12">
        <f t="shared" si="1"/>
        <v>972715</v>
      </c>
      <c r="O11">
        <v>672000</v>
      </c>
      <c r="P11">
        <f t="shared" si="6"/>
        <v>127680</v>
      </c>
      <c r="Q11">
        <f t="shared" si="7"/>
        <v>799680</v>
      </c>
      <c r="R11">
        <f t="shared" si="8"/>
        <v>799680</v>
      </c>
      <c r="S11">
        <v>973500</v>
      </c>
      <c r="T11">
        <f t="shared" si="9"/>
        <v>184965</v>
      </c>
      <c r="U11">
        <f t="shared" si="10"/>
        <v>1158465</v>
      </c>
      <c r="V11">
        <f t="shared" si="11"/>
        <v>1158465</v>
      </c>
    </row>
    <row r="12" spans="1:22" x14ac:dyDescent="0.25">
      <c r="A12" s="13" t="str">
        <f>PRESUPUESTO!A12</f>
        <v xml:space="preserve">Espátulas en acero inoxidable </v>
      </c>
      <c r="B12" s="3" t="s">
        <v>8</v>
      </c>
      <c r="C12" s="11">
        <v>2</v>
      </c>
      <c r="D12" s="10">
        <v>160000</v>
      </c>
      <c r="E12" s="12">
        <f t="shared" si="2"/>
        <v>320000</v>
      </c>
      <c r="F12" s="4">
        <f>(135800*0.19)+135800</f>
        <v>161602</v>
      </c>
      <c r="G12" s="12">
        <f t="shared" si="0"/>
        <v>323204</v>
      </c>
      <c r="H12" s="12">
        <f t="shared" si="3"/>
        <v>159460</v>
      </c>
      <c r="I12" s="12">
        <f t="shared" si="4"/>
        <v>318920</v>
      </c>
      <c r="J12" s="12">
        <f t="shared" si="5"/>
        <v>160354</v>
      </c>
      <c r="K12" s="12">
        <f t="shared" si="1"/>
        <v>320708</v>
      </c>
      <c r="O12">
        <v>134000</v>
      </c>
      <c r="P12">
        <f t="shared" si="6"/>
        <v>25460</v>
      </c>
      <c r="Q12">
        <f t="shared" si="7"/>
        <v>159460</v>
      </c>
      <c r="R12">
        <f t="shared" si="8"/>
        <v>318920</v>
      </c>
      <c r="S12">
        <v>135800</v>
      </c>
      <c r="T12">
        <f t="shared" si="9"/>
        <v>25802</v>
      </c>
      <c r="U12">
        <f t="shared" si="10"/>
        <v>161602</v>
      </c>
      <c r="V12">
        <f t="shared" si="11"/>
        <v>323204</v>
      </c>
    </row>
    <row r="13" spans="1:22" x14ac:dyDescent="0.25">
      <c r="A13" s="9" t="str">
        <f>PRESUPUESTO!A13</f>
        <v>TOTAL</v>
      </c>
      <c r="E13" s="8">
        <f>SUM(E4:E12)</f>
        <v>14370000</v>
      </c>
      <c r="G13" s="8">
        <f>SUM(G4:G12)</f>
        <v>14585425.4</v>
      </c>
      <c r="H13" s="8"/>
      <c r="I13" s="8">
        <f>SUM(I4:I12)</f>
        <v>14161000</v>
      </c>
      <c r="K13" s="14">
        <f>SUM(K4:K12)</f>
        <v>14372141.800000001</v>
      </c>
      <c r="R13" s="27">
        <f>SUM(R4:R12)</f>
        <v>14161000</v>
      </c>
      <c r="V13" s="28">
        <f>SUM(V4:V12)</f>
        <v>14585425.4</v>
      </c>
    </row>
    <row r="16" spans="1:22" x14ac:dyDescent="0.25">
      <c r="A16" t="s">
        <v>32</v>
      </c>
    </row>
    <row r="17" spans="1:1" x14ac:dyDescent="0.25">
      <c r="A17" t="s">
        <v>33</v>
      </c>
    </row>
    <row r="18" spans="1:1" x14ac:dyDescent="0.25">
      <c r="A18" t="s">
        <v>34</v>
      </c>
    </row>
    <row r="19" spans="1:1" x14ac:dyDescent="0.25">
      <c r="A19" t="s">
        <v>35</v>
      </c>
    </row>
  </sheetData>
  <mergeCells count="1">
    <mergeCell ref="A2:K2"/>
  </mergeCells>
  <pageMargins left="0.7" right="0.7" top="0.75" bottom="0.75" header="0.3" footer="0.3"/>
  <pageSetup paperSize="14" scale="64" orientation="landscape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topLeftCell="A16" workbookViewId="0">
      <selection activeCell="F17" sqref="F17"/>
    </sheetView>
  </sheetViews>
  <sheetFormatPr baseColWidth="10" defaultRowHeight="15" x14ac:dyDescent="0.25"/>
  <cols>
    <col min="1" max="1" width="25.7109375" customWidth="1"/>
    <col min="3" max="3" width="27.5703125" customWidth="1"/>
    <col min="4" max="4" width="13" customWidth="1"/>
    <col min="5" max="5" width="22.140625" customWidth="1"/>
    <col min="6" max="6" width="20.42578125" customWidth="1"/>
    <col min="7" max="7" width="14.140625" bestFit="1" customWidth="1"/>
  </cols>
  <sheetData>
    <row r="1" spans="1:8" ht="15.75" thickBot="1" x14ac:dyDescent="0.3"/>
    <row r="2" spans="1:8" ht="24" thickBot="1" x14ac:dyDescent="0.3">
      <c r="A2" s="32" t="s">
        <v>36</v>
      </c>
      <c r="B2" s="33"/>
      <c r="C2" s="33"/>
      <c r="D2" s="33"/>
      <c r="E2" s="33"/>
      <c r="F2" s="34"/>
    </row>
    <row r="3" spans="1:8" ht="30.75" thickBot="1" x14ac:dyDescent="0.3">
      <c r="A3" s="5" t="s">
        <v>21</v>
      </c>
      <c r="B3" s="6" t="s">
        <v>9</v>
      </c>
      <c r="C3" s="6" t="s">
        <v>22</v>
      </c>
      <c r="D3" s="6" t="s">
        <v>23</v>
      </c>
      <c r="E3" s="6" t="s">
        <v>24</v>
      </c>
      <c r="F3" s="16" t="s">
        <v>10</v>
      </c>
      <c r="H3" s="7"/>
    </row>
    <row r="4" spans="1:8" ht="45.75" thickBot="1" x14ac:dyDescent="0.3">
      <c r="A4" s="17" t="s">
        <v>11</v>
      </c>
      <c r="B4" s="18" t="s">
        <v>12</v>
      </c>
      <c r="C4" s="19" t="s">
        <v>25</v>
      </c>
      <c r="D4" s="18">
        <v>10</v>
      </c>
      <c r="E4" s="20">
        <f>'ESTUDIOS DE MERCADO'!J4</f>
        <v>283345</v>
      </c>
      <c r="F4" s="18">
        <f>E4*D4</f>
        <v>2833450</v>
      </c>
    </row>
    <row r="5" spans="1:8" ht="30.75" thickBot="1" x14ac:dyDescent="0.3">
      <c r="A5" s="17" t="s">
        <v>13</v>
      </c>
      <c r="B5" s="18" t="s">
        <v>12</v>
      </c>
      <c r="C5" s="17" t="s">
        <v>13</v>
      </c>
      <c r="D5" s="18">
        <v>2</v>
      </c>
      <c r="E5" s="20">
        <f>'ESTUDIOS DE MERCADO'!J5</f>
        <v>655856</v>
      </c>
      <c r="F5" s="18">
        <f t="shared" ref="F5:F12" si="0">E5*D5</f>
        <v>1311712</v>
      </c>
    </row>
    <row r="6" spans="1:8" ht="30.75" thickBot="1" x14ac:dyDescent="0.3">
      <c r="A6" s="17" t="s">
        <v>14</v>
      </c>
      <c r="B6" s="18" t="s">
        <v>12</v>
      </c>
      <c r="C6" s="17" t="s">
        <v>14</v>
      </c>
      <c r="D6" s="18">
        <v>2</v>
      </c>
      <c r="E6" s="20">
        <f>'ESTUDIOS DE MERCADO'!J6</f>
        <v>802880.66666666663</v>
      </c>
      <c r="F6" s="23">
        <f t="shared" si="0"/>
        <v>1605761.3333333333</v>
      </c>
    </row>
    <row r="7" spans="1:8" ht="30.75" thickBot="1" x14ac:dyDescent="0.3">
      <c r="A7" s="17" t="s">
        <v>15</v>
      </c>
      <c r="B7" s="18" t="s">
        <v>12</v>
      </c>
      <c r="C7" s="17" t="s">
        <v>15</v>
      </c>
      <c r="D7" s="18">
        <v>2</v>
      </c>
      <c r="E7" s="20">
        <f>'ESTUDIOS DE MERCADO'!J7</f>
        <v>902576.33333333337</v>
      </c>
      <c r="F7" s="23">
        <f t="shared" si="0"/>
        <v>1805152.6666666667</v>
      </c>
    </row>
    <row r="8" spans="1:8" ht="30.75" thickBot="1" x14ac:dyDescent="0.3">
      <c r="A8" s="17" t="s">
        <v>16</v>
      </c>
      <c r="B8" s="18" t="s">
        <v>12</v>
      </c>
      <c r="C8" s="17" t="s">
        <v>16</v>
      </c>
      <c r="D8" s="16">
        <v>2</v>
      </c>
      <c r="E8" s="20">
        <f>'ESTUDIOS DE MERCADO'!J8</f>
        <v>1002192.6666666666</v>
      </c>
      <c r="F8" s="23">
        <f t="shared" si="0"/>
        <v>2004385.3333333333</v>
      </c>
    </row>
    <row r="9" spans="1:8" ht="30.75" thickBot="1" x14ac:dyDescent="0.3">
      <c r="A9" s="17" t="s">
        <v>17</v>
      </c>
      <c r="B9" s="21" t="s">
        <v>12</v>
      </c>
      <c r="C9" s="22" t="s">
        <v>29</v>
      </c>
      <c r="D9" s="21">
        <v>10</v>
      </c>
      <c r="E9" s="20">
        <f>'ESTUDIOS DE MERCADO'!J9</f>
        <v>56151.666666666664</v>
      </c>
      <c r="F9" s="23">
        <f t="shared" si="0"/>
        <v>561516.66666666663</v>
      </c>
    </row>
    <row r="10" spans="1:8" ht="26.25" thickBot="1" x14ac:dyDescent="0.3">
      <c r="A10" s="17" t="s">
        <v>18</v>
      </c>
      <c r="B10" s="18" t="s">
        <v>12</v>
      </c>
      <c r="C10" s="15" t="s">
        <v>26</v>
      </c>
      <c r="D10" s="18">
        <v>2</v>
      </c>
      <c r="E10" s="20">
        <f>'ESTUDIOS DE MERCADO'!J10</f>
        <v>1478370.4000000001</v>
      </c>
      <c r="F10" s="23">
        <f t="shared" si="0"/>
        <v>2956740.8000000003</v>
      </c>
    </row>
    <row r="11" spans="1:8" ht="39" thickBot="1" x14ac:dyDescent="0.3">
      <c r="A11" s="17" t="s">
        <v>19</v>
      </c>
      <c r="B11" s="18" t="s">
        <v>12</v>
      </c>
      <c r="C11" s="15" t="s">
        <v>28</v>
      </c>
      <c r="D11" s="18">
        <v>1</v>
      </c>
      <c r="E11" s="20">
        <f>'ESTUDIOS DE MERCADO'!J11</f>
        <v>972715</v>
      </c>
      <c r="F11" s="23">
        <f t="shared" si="0"/>
        <v>972715</v>
      </c>
    </row>
    <row r="12" spans="1:8" ht="51.75" thickBot="1" x14ac:dyDescent="0.3">
      <c r="A12" s="24" t="s">
        <v>20</v>
      </c>
      <c r="B12" s="25" t="s">
        <v>12</v>
      </c>
      <c r="C12" s="15" t="s">
        <v>27</v>
      </c>
      <c r="D12" s="25">
        <v>2</v>
      </c>
      <c r="E12" s="20">
        <f>'ESTUDIOS DE MERCADO'!J12</f>
        <v>160354</v>
      </c>
      <c r="F12" s="18">
        <f t="shared" si="0"/>
        <v>320708</v>
      </c>
    </row>
    <row r="13" spans="1:8" ht="15.75" customHeight="1" thickBot="1" x14ac:dyDescent="0.3">
      <c r="A13" s="30" t="s">
        <v>0</v>
      </c>
      <c r="B13" s="31"/>
      <c r="C13" s="31"/>
      <c r="D13" s="31"/>
      <c r="E13" s="31"/>
      <c r="F13" s="26">
        <f>SUM(F4:F12)</f>
        <v>14372141.800000001</v>
      </c>
    </row>
  </sheetData>
  <mergeCells count="2">
    <mergeCell ref="A13:E13"/>
    <mergeCell ref="A2:F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780F744B1D81B47941D579E4515D481" ma:contentTypeVersion="18" ma:contentTypeDescription="Crear nuevo documento." ma:contentTypeScope="" ma:versionID="7a6a9d6c3587a69d663815383701d1cb">
  <xsd:schema xmlns:xsd="http://www.w3.org/2001/XMLSchema" xmlns:xs="http://www.w3.org/2001/XMLSchema" xmlns:p="http://schemas.microsoft.com/office/2006/metadata/properties" xmlns:ns2="7adf9574-4665-4911-94fb-b5383e0c22e8" xmlns:ns3="f568c9b8-9d9f-4d82-bafc-27b51a2c169a" targetNamespace="http://schemas.microsoft.com/office/2006/metadata/properties" ma:root="true" ma:fieldsID="23892f393b3fa835f04bc41e1cc23eb5" ns2:_="" ns3:_="">
    <xsd:import namespace="7adf9574-4665-4911-94fb-b5383e0c22e8"/>
    <xsd:import namespace="f568c9b8-9d9f-4d82-bafc-27b51a2c16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df9574-4665-4911-94fb-b5383e0c2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bfb0067e-4fa4-4e25-8f42-9eb79123232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68c9b8-9d9f-4d82-bafc-27b51a2c169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54f6680-474f-4bcc-9800-d39ecd9c8452}" ma:internalName="TaxCatchAll" ma:showField="CatchAllData" ma:web="f568c9b8-9d9f-4d82-bafc-27b51a2c169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568c9b8-9d9f-4d82-bafc-27b51a2c169a" xsi:nil="true"/>
    <lcf76f155ced4ddcb4097134ff3c332f xmlns="7adf9574-4665-4911-94fb-b5383e0c22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4B69FF0-CEB5-4B1A-91CA-B52D10ED5C25}"/>
</file>

<file path=customXml/itemProps2.xml><?xml version="1.0" encoding="utf-8"?>
<ds:datastoreItem xmlns:ds="http://schemas.openxmlformats.org/officeDocument/2006/customXml" ds:itemID="{ED478473-F773-4B40-BD55-2F82339FC4C2}"/>
</file>

<file path=customXml/itemProps3.xml><?xml version="1.0" encoding="utf-8"?>
<ds:datastoreItem xmlns:ds="http://schemas.openxmlformats.org/officeDocument/2006/customXml" ds:itemID="{6BD4D939-FDD2-4146-991E-EFE0359F2B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ESTUDIOS DE MERCADO</vt:lpstr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CAMILO</dc:creator>
  <cp:lastModifiedBy>Bertha Lucia Murillo Cardona</cp:lastModifiedBy>
  <cp:lastPrinted>2025-04-07T21:31:27Z</cp:lastPrinted>
  <dcterms:created xsi:type="dcterms:W3CDTF">2025-03-30T14:13:17Z</dcterms:created>
  <dcterms:modified xsi:type="dcterms:W3CDTF">2025-08-28T13:53:46Z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0x0101004780F744B1D81B47941D579E4515D481</vt:lpwstr>
  </property>
</Properties>
</file>