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25"/>
  <workbookPr/>
  <mc:AlternateContent xmlns:mc="http://schemas.openxmlformats.org/markup-compatibility/2006">
    <mc:Choice Requires="x15">
      <x15ac:absPath xmlns:x15ac="http://schemas.microsoft.com/office/spreadsheetml/2010/11/ac" url="C:\Users\1017180088\Downloads\"/>
    </mc:Choice>
  </mc:AlternateContent>
  <xr:revisionPtr revIDLastSave="8" documentId="8_{682D002F-67CB-4414-80A5-539949C74B9A}" xr6:coauthVersionLast="47" xr6:coauthVersionMax="47" xr10:uidLastSave="{39749A20-B357-4840-A158-DEAB37524231}"/>
  <bookViews>
    <workbookView xWindow="-120" yWindow="-120" windowWidth="29040" windowHeight="15720" tabRatio="823" firstSheet="4" xr2:uid="{5BE231EC-8AF1-4F35-B4F1-BA2A23F9816C}"/>
  </bookViews>
  <sheets>
    <sheet name="LOTE 1 (MATERIAL DIDÁCTICO)" sheetId="11" r:id="rId1"/>
    <sheet name="LOTE 2 (MOBILIARIO INFANTIL)" sheetId="12" r:id="rId2"/>
    <sheet name="LOTE 3 (EQUIPOS INDUSTRAILES)" sheetId="13" r:id="rId3"/>
    <sheet name="LOTE 4 (MENAJE DE COCINA)" sheetId="15" r:id="rId4"/>
    <sheet name="LOTE 5 (TECNOLOGÍA)" sheetId="14" r:id="rId5"/>
    <sheet name="LOTE 6 (E. ANTROPOM. Y SALUD)" sheetId="16" r:id="rId6"/>
  </sheets>
  <definedNames>
    <definedName name="_xlnm._FilterDatabase" localSheetId="0" hidden="1">'LOTE 1 (MATERIAL DIDÁCTICO)'!$A$5:$AT$74</definedName>
    <definedName name="_xlnm._FilterDatabase" localSheetId="1" hidden="1">'LOTE 2 (MOBILIARIO INFANTIL)'!$F$5:$K$13</definedName>
    <definedName name="_xlnm._FilterDatabase" localSheetId="2" hidden="1">'LOTE 3 (EQUIPOS INDUSTRAILES)'!$F$5:$K$16</definedName>
    <definedName name="_xlnm._FilterDatabase" localSheetId="3" hidden="1">'LOTE 4 (MENAJE DE COCINA)'!$F$5:$K$48</definedName>
    <definedName name="_xlnm._FilterDatabase" localSheetId="4" hidden="1">'LOTE 5 (TECNOLOGÍA)'!$F$5:$K$14</definedName>
    <definedName name="_xlnm._FilterDatabase" localSheetId="5" hidden="1">'LOTE 6 (E. ANTROPOM. Y SALUD)'!$F$5:$K$21</definedName>
    <definedName name="_xlnm.Print_Area" localSheetId="0">'LOTE 1 (MATERIAL DIDÁCTICO)'!$A$1:$AT$96</definedName>
    <definedName name="_xlnm.Print_Area" localSheetId="1">'LOTE 2 (MOBILIARIO INFANTIL)'!$A$1:$AT$91</definedName>
    <definedName name="_xlnm.Print_Area" localSheetId="2">'LOTE 3 (EQUIPOS INDUSTRAILES)'!$A$1:$AT$90</definedName>
    <definedName name="_xlnm.Print_Area" localSheetId="3">'LOTE 4 (MENAJE DE COCINA)'!$A$1:$AT$121</definedName>
    <definedName name="_xlnm.Print_Area" localSheetId="4">'LOTE 5 (TECNOLOGÍA)'!$A$1:$AT$85</definedName>
    <definedName name="_xlnm.Print_Area" localSheetId="5">'LOTE 6 (E. ANTROPOM. Y SALUD)'!$A$1:$AT$94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L02rm12YIxODjxiQO+p7Cw9Zn4nNY/c0lvAUEaRHYTw="/>
    </ext>
  </extLst>
</workbook>
</file>

<file path=xl/calcChain.xml><?xml version="1.0" encoding="utf-8"?>
<calcChain xmlns="http://schemas.openxmlformats.org/spreadsheetml/2006/main">
  <c r="AO47" i="15" l="1"/>
  <c r="I10" i="13"/>
  <c r="L7" i="16" l="1"/>
  <c r="L8" i="16"/>
  <c r="L9" i="16"/>
  <c r="L10" i="16"/>
  <c r="L11" i="16"/>
  <c r="L18" i="16"/>
  <c r="L19" i="16"/>
  <c r="L20" i="16"/>
  <c r="L8" i="14"/>
  <c r="L10" i="14"/>
  <c r="L11" i="14"/>
  <c r="L12" i="14"/>
  <c r="L6" i="14"/>
  <c r="L13" i="15"/>
  <c r="L14" i="15"/>
  <c r="L15" i="15"/>
  <c r="L16" i="15"/>
  <c r="L17" i="15"/>
  <c r="L18" i="15"/>
  <c r="L19" i="15"/>
  <c r="L20" i="15"/>
  <c r="L22" i="15"/>
  <c r="L23" i="15"/>
  <c r="L24" i="15"/>
  <c r="L25" i="15"/>
  <c r="L26" i="15"/>
  <c r="L28" i="15"/>
  <c r="L30" i="15"/>
  <c r="L31" i="15"/>
  <c r="L35" i="15"/>
  <c r="L36" i="15"/>
  <c r="L37" i="15"/>
  <c r="L38" i="15"/>
  <c r="L39" i="15"/>
  <c r="L40" i="15"/>
  <c r="L41" i="15"/>
  <c r="L42" i="15"/>
  <c r="L43" i="15"/>
  <c r="L44" i="15"/>
  <c r="L45" i="15"/>
  <c r="L46" i="15"/>
  <c r="L47" i="15"/>
  <c r="L10" i="13"/>
  <c r="L12" i="13"/>
  <c r="L13" i="13"/>
  <c r="L14" i="13"/>
  <c r="L7" i="11"/>
  <c r="L8" i="11"/>
  <c r="L10" i="11"/>
  <c r="L16" i="11"/>
  <c r="L20" i="11"/>
  <c r="L26" i="11"/>
  <c r="L28" i="11"/>
  <c r="L29" i="11"/>
  <c r="L33" i="11"/>
  <c r="L34" i="11"/>
  <c r="L35" i="11"/>
  <c r="L37" i="11"/>
  <c r="L39" i="11"/>
  <c r="L40" i="11"/>
  <c r="L42" i="11"/>
  <c r="L43" i="11"/>
  <c r="L44" i="11"/>
  <c r="L45" i="11"/>
  <c r="L46" i="11"/>
  <c r="L47" i="11"/>
  <c r="L48" i="11"/>
  <c r="L49" i="11"/>
  <c r="L50" i="11"/>
  <c r="L54" i="11"/>
  <c r="L55" i="11"/>
  <c r="L56" i="11"/>
  <c r="L57" i="11"/>
  <c r="L58" i="11"/>
  <c r="L60" i="11"/>
  <c r="L62" i="11"/>
  <c r="L64" i="11"/>
  <c r="L65" i="11"/>
  <c r="L66" i="11"/>
  <c r="L68" i="11"/>
  <c r="L70" i="11"/>
  <c r="L71" i="11"/>
  <c r="L73" i="11"/>
  <c r="H14" i="13"/>
  <c r="H15" i="13"/>
  <c r="H13" i="13"/>
  <c r="J14" i="13"/>
  <c r="J13" i="13"/>
  <c r="F15" i="13"/>
  <c r="L15" i="13" s="1"/>
  <c r="F14" i="13"/>
  <c r="J67" i="11"/>
  <c r="L67" i="11" s="1"/>
  <c r="J63" i="11"/>
  <c r="L63" i="11" s="1"/>
  <c r="J61" i="11"/>
  <c r="J59" i="11"/>
  <c r="L59" i="11" s="1"/>
  <c r="J58" i="11"/>
  <c r="J56" i="11"/>
  <c r="J52" i="11"/>
  <c r="L52" i="11" s="1"/>
  <c r="J49" i="11"/>
  <c r="J48" i="11"/>
  <c r="J34" i="11"/>
  <c r="J16" i="11"/>
  <c r="H61" i="11"/>
  <c r="L61" i="11" s="1"/>
  <c r="H45" i="11"/>
  <c r="H20" i="16"/>
  <c r="G72" i="11"/>
  <c r="M72" i="11" s="1"/>
  <c r="I72" i="11"/>
  <c r="J72" i="11"/>
  <c r="L72" i="11" s="1"/>
  <c r="AP72" i="11" s="1"/>
  <c r="K72" i="11"/>
  <c r="AO72" i="11"/>
  <c r="AQ72" i="11" s="1"/>
  <c r="H11" i="12"/>
  <c r="J11" i="12"/>
  <c r="L11" i="12" s="1"/>
  <c r="I11" i="13"/>
  <c r="H9" i="12"/>
  <c r="J9" i="12"/>
  <c r="F9" i="12"/>
  <c r="L9" i="12" s="1"/>
  <c r="J8" i="12"/>
  <c r="H8" i="12"/>
  <c r="F8" i="12"/>
  <c r="L8" i="12" s="1"/>
  <c r="F7" i="12"/>
  <c r="L7" i="12" s="1"/>
  <c r="J6" i="12"/>
  <c r="L6" i="12" s="1"/>
  <c r="H6" i="12"/>
  <c r="J34" i="15"/>
  <c r="H21" i="15"/>
  <c r="F21" i="15"/>
  <c r="L21" i="15" s="1"/>
  <c r="H12" i="15"/>
  <c r="F12" i="15"/>
  <c r="J11" i="15"/>
  <c r="J9" i="13"/>
  <c r="H9" i="13"/>
  <c r="F9" i="13"/>
  <c r="L9" i="13" s="1"/>
  <c r="J9" i="15"/>
  <c r="J7" i="13"/>
  <c r="L7" i="13" s="1"/>
  <c r="H9" i="15"/>
  <c r="J6" i="13"/>
  <c r="F9" i="15"/>
  <c r="L9" i="15" s="1"/>
  <c r="G10" i="13"/>
  <c r="F8" i="15"/>
  <c r="J7" i="15"/>
  <c r="H7" i="15"/>
  <c r="J6" i="15"/>
  <c r="L6" i="15" s="1"/>
  <c r="F6" i="16"/>
  <c r="F20" i="16"/>
  <c r="J20" i="16"/>
  <c r="F19" i="16"/>
  <c r="H19" i="16"/>
  <c r="J19" i="16"/>
  <c r="H18" i="16"/>
  <c r="F18" i="16"/>
  <c r="F17" i="16"/>
  <c r="L17" i="16" s="1"/>
  <c r="H17" i="16"/>
  <c r="J16" i="16"/>
  <c r="J15" i="16"/>
  <c r="F15" i="16"/>
  <c r="L15" i="16" s="1"/>
  <c r="H15" i="16"/>
  <c r="H14" i="16"/>
  <c r="F14" i="16"/>
  <c r="L14" i="16" s="1"/>
  <c r="J14" i="16"/>
  <c r="F13" i="16"/>
  <c r="L13" i="16" s="1"/>
  <c r="J13" i="16"/>
  <c r="H13" i="16"/>
  <c r="F12" i="16"/>
  <c r="L12" i="16" s="1"/>
  <c r="H12" i="16"/>
  <c r="J12" i="16"/>
  <c r="F6" i="13"/>
  <c r="J11" i="16"/>
  <c r="F11" i="16"/>
  <c r="J10" i="16"/>
  <c r="H10" i="16"/>
  <c r="F10" i="16"/>
  <c r="J23" i="15"/>
  <c r="J26" i="15"/>
  <c r="H26" i="15"/>
  <c r="F26" i="15"/>
  <c r="J27" i="15"/>
  <c r="F27" i="15"/>
  <c r="L27" i="15" s="1"/>
  <c r="H27" i="15"/>
  <c r="J32" i="15"/>
  <c r="J33" i="15"/>
  <c r="H33" i="15"/>
  <c r="L33" i="15" s="1"/>
  <c r="J13" i="14"/>
  <c r="L13" i="14" s="1"/>
  <c r="H13" i="14"/>
  <c r="F13" i="14"/>
  <c r="J12" i="14"/>
  <c r="F12" i="14"/>
  <c r="H11" i="14"/>
  <c r="J11" i="14"/>
  <c r="J9" i="14"/>
  <c r="H9" i="14"/>
  <c r="J8" i="14"/>
  <c r="H6" i="14"/>
  <c r="I6" i="14" s="1"/>
  <c r="J6" i="14"/>
  <c r="H24" i="11"/>
  <c r="J23" i="11"/>
  <c r="F8" i="13"/>
  <c r="L8" i="13" s="1"/>
  <c r="H6" i="13"/>
  <c r="L6" i="13" s="1"/>
  <c r="F34" i="15"/>
  <c r="L34" i="15" s="1"/>
  <c r="H29" i="15"/>
  <c r="L29" i="15" s="1"/>
  <c r="J21" i="15"/>
  <c r="F11" i="15"/>
  <c r="L11" i="15" s="1"/>
  <c r="F10" i="15"/>
  <c r="L10" i="15" s="1"/>
  <c r="J8" i="15"/>
  <c r="F7" i="15"/>
  <c r="L7" i="15" s="1"/>
  <c r="F6" i="15"/>
  <c r="H11" i="16"/>
  <c r="H16" i="16"/>
  <c r="L16" i="16" s="1"/>
  <c r="J17" i="16"/>
  <c r="J18" i="16"/>
  <c r="H12" i="14"/>
  <c r="F9" i="14"/>
  <c r="L9" i="14" s="1"/>
  <c r="F7" i="14"/>
  <c r="L7" i="14" s="1"/>
  <c r="J15" i="13"/>
  <c r="F11" i="13"/>
  <c r="L11" i="13" s="1"/>
  <c r="K11" i="13"/>
  <c r="F12" i="12"/>
  <c r="L12" i="12" s="1"/>
  <c r="J10" i="12"/>
  <c r="F6" i="12"/>
  <c r="J69" i="11"/>
  <c r="L69" i="11" s="1"/>
  <c r="F68" i="11"/>
  <c r="H67" i="11"/>
  <c r="H66" i="11"/>
  <c r="F65" i="11"/>
  <c r="H58" i="11"/>
  <c r="H51" i="11"/>
  <c r="L51" i="11" s="1"/>
  <c r="J45" i="11"/>
  <c r="J32" i="11"/>
  <c r="L32" i="11" s="1"/>
  <c r="F31" i="11"/>
  <c r="L31" i="11" s="1"/>
  <c r="F30" i="11"/>
  <c r="L30" i="11" s="1"/>
  <c r="H53" i="11"/>
  <c r="L53" i="11" s="1"/>
  <c r="AR72" i="11" l="1"/>
  <c r="AS72" i="11" s="1"/>
  <c r="X72" i="11"/>
  <c r="Y72" i="11" s="1"/>
  <c r="U72" i="11"/>
  <c r="V72" i="11" s="1"/>
  <c r="AA72" i="11"/>
  <c r="AB72" i="11" s="1"/>
  <c r="AD72" i="11"/>
  <c r="AE72" i="11" s="1"/>
  <c r="AG72" i="11"/>
  <c r="AH72" i="11" s="1"/>
  <c r="AJ72" i="11"/>
  <c r="AK72" i="11" s="1"/>
  <c r="AM72" i="11"/>
  <c r="AN72" i="11" s="1"/>
  <c r="O72" i="11"/>
  <c r="P72" i="11" s="1"/>
  <c r="R72" i="11"/>
  <c r="S72" i="11" s="1"/>
  <c r="L16" i="13"/>
  <c r="I51" i="11"/>
  <c r="J24" i="11"/>
  <c r="L24" i="11" s="1"/>
  <c r="AP16" i="13" l="1"/>
  <c r="L17" i="13"/>
  <c r="AP17" i="13" s="1"/>
  <c r="K32" i="11"/>
  <c r="L18" i="13" l="1"/>
  <c r="AP9" i="16"/>
  <c r="AP8" i="16"/>
  <c r="AP7" i="16"/>
  <c r="AP10" i="14"/>
  <c r="AP7" i="14"/>
  <c r="AP6" i="14"/>
  <c r="AP47" i="15" l="1"/>
  <c r="AP46" i="15"/>
  <c r="AP45" i="15"/>
  <c r="AP44" i="15"/>
  <c r="AP43" i="15"/>
  <c r="AP42" i="15"/>
  <c r="AP41" i="15"/>
  <c r="AP40" i="15"/>
  <c r="AP39" i="15"/>
  <c r="AP38" i="15"/>
  <c r="AP37" i="15"/>
  <c r="AP36" i="15"/>
  <c r="AP35" i="15"/>
  <c r="AP31" i="15"/>
  <c r="AP30" i="15"/>
  <c r="AP29" i="15"/>
  <c r="AP28" i="15"/>
  <c r="AP25" i="15"/>
  <c r="AP24" i="15"/>
  <c r="AP22" i="15"/>
  <c r="AP20" i="15"/>
  <c r="AP19" i="15"/>
  <c r="AP18" i="15"/>
  <c r="AP17" i="15"/>
  <c r="AP16" i="15"/>
  <c r="AP15" i="15"/>
  <c r="AP14" i="15"/>
  <c r="AP13" i="15"/>
  <c r="AP10" i="15"/>
  <c r="AP12" i="13"/>
  <c r="AP11" i="13"/>
  <c r="AP10" i="13"/>
  <c r="AP8" i="13"/>
  <c r="AO11" i="12"/>
  <c r="AP12" i="12"/>
  <c r="K6" i="11"/>
  <c r="AP71" i="11"/>
  <c r="AP60" i="11"/>
  <c r="AP47" i="11"/>
  <c r="AP44" i="11"/>
  <c r="AP39" i="11"/>
  <c r="AP28" i="11"/>
  <c r="AP20" i="11"/>
  <c r="AP10" i="11"/>
  <c r="AP73" i="11"/>
  <c r="AP70" i="11"/>
  <c r="AP69" i="11"/>
  <c r="AP68" i="11"/>
  <c r="AP66" i="11"/>
  <c r="AP65" i="11"/>
  <c r="AP64" i="11"/>
  <c r="AP62" i="11"/>
  <c r="AP59" i="11"/>
  <c r="AP57" i="11"/>
  <c r="AP56" i="11"/>
  <c r="AP55" i="11"/>
  <c r="AP54" i="11"/>
  <c r="AP53" i="11"/>
  <c r="AP51" i="11"/>
  <c r="AP50" i="11"/>
  <c r="AP46" i="11"/>
  <c r="AP43" i="11"/>
  <c r="AP42" i="11"/>
  <c r="AP40" i="11"/>
  <c r="AP37" i="11"/>
  <c r="AP35" i="11"/>
  <c r="AP34" i="11"/>
  <c r="AP33" i="11"/>
  <c r="AP32" i="11"/>
  <c r="AP31" i="11"/>
  <c r="AP30" i="11"/>
  <c r="AP29" i="11"/>
  <c r="AP26" i="11"/>
  <c r="AP9" i="11"/>
  <c r="AP8" i="11"/>
  <c r="AP7" i="11"/>
  <c r="AO13" i="14"/>
  <c r="G13" i="14"/>
  <c r="K13" i="14"/>
  <c r="AP9" i="14"/>
  <c r="AP8" i="14"/>
  <c r="I11" i="14"/>
  <c r="AP13" i="13"/>
  <c r="AP11" i="15"/>
  <c r="AP21" i="15"/>
  <c r="AP34" i="15"/>
  <c r="J12" i="15"/>
  <c r="L12" i="15" s="1"/>
  <c r="H8" i="15"/>
  <c r="L8" i="15" s="1"/>
  <c r="AP23" i="15"/>
  <c r="H32" i="15"/>
  <c r="L32" i="15" s="1"/>
  <c r="J14" i="11"/>
  <c r="J11" i="11"/>
  <c r="H11" i="11"/>
  <c r="L11" i="11" s="1"/>
  <c r="H14" i="11"/>
  <c r="L14" i="11" s="1"/>
  <c r="J22" i="11"/>
  <c r="H23" i="11"/>
  <c r="L23" i="11" s="1"/>
  <c r="H27" i="11"/>
  <c r="L27" i="11" s="1"/>
  <c r="H41" i="11"/>
  <c r="L41" i="11" s="1"/>
  <c r="AP41" i="11" s="1"/>
  <c r="H22" i="11"/>
  <c r="J19" i="11"/>
  <c r="L19" i="11" s="1"/>
  <c r="AP7" i="12"/>
  <c r="J21" i="11"/>
  <c r="H21" i="11"/>
  <c r="J18" i="11"/>
  <c r="J17" i="11"/>
  <c r="J9" i="11"/>
  <c r="L9" i="11" s="1"/>
  <c r="H15" i="11"/>
  <c r="L15" i="11" s="1"/>
  <c r="J12" i="11"/>
  <c r="L12" i="11" s="1"/>
  <c r="J13" i="11"/>
  <c r="L13" i="11" s="1"/>
  <c r="J38" i="11"/>
  <c r="L38" i="11" s="1"/>
  <c r="J36" i="11"/>
  <c r="L36" i="11" s="1"/>
  <c r="AP36" i="11" s="1"/>
  <c r="J25" i="11"/>
  <c r="L25" i="11" s="1"/>
  <c r="H17" i="11"/>
  <c r="L17" i="11" s="1"/>
  <c r="H18" i="11"/>
  <c r="L18" i="11" s="1"/>
  <c r="K68" i="11"/>
  <c r="I68" i="11"/>
  <c r="H6" i="16"/>
  <c r="J6" i="16"/>
  <c r="L21" i="11" l="1"/>
  <c r="L6" i="16"/>
  <c r="L22" i="11"/>
  <c r="AP17" i="11"/>
  <c r="AP6" i="15"/>
  <c r="AP18" i="11"/>
  <c r="AP25" i="11"/>
  <c r="AP38" i="11"/>
  <c r="AP13" i="11"/>
  <c r="AP16" i="11"/>
  <c r="AP49" i="11"/>
  <c r="AP61" i="11"/>
  <c r="AP52" i="11"/>
  <c r="AP48" i="11"/>
  <c r="AP12" i="11"/>
  <c r="AP15" i="11"/>
  <c r="AP21" i="11"/>
  <c r="AP19" i="11"/>
  <c r="AP22" i="11"/>
  <c r="AP45" i="11"/>
  <c r="AP67" i="11"/>
  <c r="AP63" i="11"/>
  <c r="AP58" i="11"/>
  <c r="AP27" i="11"/>
  <c r="AP23" i="11"/>
  <c r="AP14" i="11"/>
  <c r="AP11" i="11"/>
  <c r="AP24" i="11"/>
  <c r="AP7" i="13"/>
  <c r="I13" i="14"/>
  <c r="M13" i="14" s="1"/>
  <c r="AG13" i="14" s="1"/>
  <c r="AH13" i="14" s="1"/>
  <c r="AP11" i="16"/>
  <c r="AP6" i="16"/>
  <c r="AP13" i="16"/>
  <c r="AP12" i="16"/>
  <c r="AP20" i="16"/>
  <c r="AP15" i="16"/>
  <c r="AP18" i="16"/>
  <c r="AP19" i="16"/>
  <c r="AP17" i="16"/>
  <c r="AP10" i="16"/>
  <c r="AP16" i="16"/>
  <c r="AP14" i="16"/>
  <c r="AP12" i="14"/>
  <c r="AP11" i="14"/>
  <c r="AP13" i="14"/>
  <c r="AQ13" i="14" s="1"/>
  <c r="AP9" i="15"/>
  <c r="AP32" i="15"/>
  <c r="AP8" i="15"/>
  <c r="AP27" i="15"/>
  <c r="AP26" i="15"/>
  <c r="AP7" i="15"/>
  <c r="AP12" i="15"/>
  <c r="AP33" i="15"/>
  <c r="AP6" i="13"/>
  <c r="AP9" i="13"/>
  <c r="AP14" i="13"/>
  <c r="AP15" i="13"/>
  <c r="AP11" i="12"/>
  <c r="AQ11" i="12" s="1"/>
  <c r="AP6" i="12"/>
  <c r="AP9" i="12"/>
  <c r="AP8" i="12"/>
  <c r="F10" i="12"/>
  <c r="L10" i="12" l="1"/>
  <c r="AP10" i="12" s="1"/>
  <c r="AR13" i="14"/>
  <c r="AS13" i="14" s="1"/>
  <c r="R13" i="14"/>
  <c r="S13" i="14" s="1"/>
  <c r="AM13" i="14"/>
  <c r="AN13" i="14" s="1"/>
  <c r="O13" i="14"/>
  <c r="P13" i="14" s="1"/>
  <c r="AA13" i="14"/>
  <c r="AB13" i="14" s="1"/>
  <c r="X13" i="14"/>
  <c r="Y13" i="14" s="1"/>
  <c r="U13" i="14"/>
  <c r="V13" i="14" s="1"/>
  <c r="AJ13" i="14"/>
  <c r="AK13" i="14" s="1"/>
  <c r="AD13" i="14"/>
  <c r="AE13" i="14" s="1"/>
  <c r="G18" i="16"/>
  <c r="I18" i="16"/>
  <c r="K18" i="16"/>
  <c r="AO20" i="16"/>
  <c r="AQ20" i="16" s="1"/>
  <c r="K20" i="16"/>
  <c r="I20" i="16"/>
  <c r="G20" i="16"/>
  <c r="M20" i="16" s="1"/>
  <c r="AO19" i="16"/>
  <c r="AQ19" i="16" s="1"/>
  <c r="K19" i="16"/>
  <c r="I19" i="16"/>
  <c r="G19" i="16"/>
  <c r="AO18" i="16"/>
  <c r="AQ18" i="16" s="1"/>
  <c r="AO17" i="16"/>
  <c r="AQ17" i="16" s="1"/>
  <c r="K17" i="16"/>
  <c r="I17" i="16"/>
  <c r="G17" i="16"/>
  <c r="M17" i="16" s="1"/>
  <c r="AO16" i="16"/>
  <c r="AQ16" i="16" s="1"/>
  <c r="K16" i="16"/>
  <c r="I16" i="16"/>
  <c r="G16" i="16"/>
  <c r="M16" i="16" s="1"/>
  <c r="AO15" i="16"/>
  <c r="AQ15" i="16" s="1"/>
  <c r="K15" i="16"/>
  <c r="I15" i="16"/>
  <c r="G15" i="16"/>
  <c r="M15" i="16" s="1"/>
  <c r="AO14" i="16"/>
  <c r="AQ14" i="16" s="1"/>
  <c r="K14" i="16"/>
  <c r="I14" i="16"/>
  <c r="G14" i="16"/>
  <c r="AO13" i="16"/>
  <c r="AQ13" i="16" s="1"/>
  <c r="K13" i="16"/>
  <c r="I13" i="16"/>
  <c r="G13" i="16"/>
  <c r="M13" i="16" s="1"/>
  <c r="AO12" i="16"/>
  <c r="AQ12" i="16" s="1"/>
  <c r="K12" i="16"/>
  <c r="I12" i="16"/>
  <c r="G12" i="16"/>
  <c r="M12" i="16" s="1"/>
  <c r="AO11" i="16"/>
  <c r="AQ11" i="16" s="1"/>
  <c r="K11" i="16"/>
  <c r="I11" i="16"/>
  <c r="G11" i="16"/>
  <c r="M11" i="16" s="1"/>
  <c r="AO10" i="16"/>
  <c r="AQ10" i="16" s="1"/>
  <c r="K10" i="16"/>
  <c r="I10" i="16"/>
  <c r="G10" i="16"/>
  <c r="M10" i="16" s="1"/>
  <c r="AO9" i="16"/>
  <c r="AQ9" i="16" s="1"/>
  <c r="K9" i="16"/>
  <c r="I9" i="16"/>
  <c r="G9" i="16"/>
  <c r="M9" i="16" s="1"/>
  <c r="AO8" i="16"/>
  <c r="AQ8" i="16" s="1"/>
  <c r="K8" i="16"/>
  <c r="I8" i="16"/>
  <c r="G8" i="16"/>
  <c r="M8" i="16" s="1"/>
  <c r="AO7" i="16"/>
  <c r="AQ7" i="16" s="1"/>
  <c r="K7" i="16"/>
  <c r="I7" i="16"/>
  <c r="G7" i="16"/>
  <c r="M7" i="16" s="1"/>
  <c r="AO6" i="16"/>
  <c r="AQ6" i="16" s="1"/>
  <c r="K6" i="16"/>
  <c r="I6" i="16"/>
  <c r="G6" i="16"/>
  <c r="M6" i="16" s="1"/>
  <c r="M18" i="16" l="1"/>
  <c r="M19" i="16"/>
  <c r="M14" i="16"/>
  <c r="AQ21" i="16"/>
  <c r="R6" i="16"/>
  <c r="S6" i="16" s="1"/>
  <c r="U7" i="16"/>
  <c r="V7" i="16" s="1"/>
  <c r="O13" i="16"/>
  <c r="P13" i="16" s="1"/>
  <c r="AG10" i="16"/>
  <c r="AH10" i="16" s="1"/>
  <c r="O18" i="16"/>
  <c r="P18" i="16" s="1"/>
  <c r="AJ16" i="16"/>
  <c r="AK16" i="16" s="1"/>
  <c r="AG20" i="16"/>
  <c r="AH20" i="16" s="1"/>
  <c r="AG19" i="16"/>
  <c r="AH19" i="16" s="1"/>
  <c r="X9" i="16"/>
  <c r="Y9" i="16" s="1"/>
  <c r="AJ11" i="16"/>
  <c r="AK11" i="16" s="1"/>
  <c r="R8" i="16"/>
  <c r="S8" i="16" s="1"/>
  <c r="X15" i="16"/>
  <c r="Y15" i="16" s="1"/>
  <c r="AG17" i="16"/>
  <c r="AH17" i="16" s="1"/>
  <c r="AG7" i="16"/>
  <c r="AH7" i="16" s="1"/>
  <c r="AA7" i="16"/>
  <c r="AB7" i="16" s="1"/>
  <c r="X7" i="16"/>
  <c r="Y7" i="16" s="1"/>
  <c r="AJ7" i="16"/>
  <c r="AK7" i="16" s="1"/>
  <c r="AD7" i="16"/>
  <c r="AE7" i="16" s="1"/>
  <c r="O7" i="16"/>
  <c r="P7" i="16" s="1"/>
  <c r="AR7" i="16"/>
  <c r="AS7" i="16" s="1"/>
  <c r="AM7" i="16"/>
  <c r="AN7" i="16" s="1"/>
  <c r="R7" i="16"/>
  <c r="S7" i="16" s="1"/>
  <c r="O6" i="16"/>
  <c r="P6" i="16" s="1"/>
  <c r="AR6" i="16"/>
  <c r="AS6" i="16" s="1"/>
  <c r="AD6" i="16"/>
  <c r="AE6" i="16" s="1"/>
  <c r="AA6" i="16"/>
  <c r="AB6" i="16" s="1"/>
  <c r="AM6" i="16"/>
  <c r="AN6" i="16" s="1"/>
  <c r="AJ6" i="16"/>
  <c r="AK6" i="16" s="1"/>
  <c r="AG6" i="16"/>
  <c r="AH6" i="16" s="1"/>
  <c r="U6" i="16"/>
  <c r="V6" i="16" s="1"/>
  <c r="X6" i="16"/>
  <c r="Y6" i="16" s="1"/>
  <c r="X10" i="16" l="1"/>
  <c r="Y10" i="16" s="1"/>
  <c r="AJ10" i="16"/>
  <c r="AK10" i="16" s="1"/>
  <c r="U10" i="16"/>
  <c r="V10" i="16" s="1"/>
  <c r="AM10" i="16"/>
  <c r="AN10" i="16" s="1"/>
  <c r="O10" i="16"/>
  <c r="P10" i="16" s="1"/>
  <c r="AR10" i="16"/>
  <c r="AS10" i="16" s="1"/>
  <c r="R10" i="16"/>
  <c r="S10" i="16" s="1"/>
  <c r="AD10" i="16"/>
  <c r="AE10" i="16" s="1"/>
  <c r="AA10" i="16"/>
  <c r="AB10" i="16" s="1"/>
  <c r="R19" i="16"/>
  <c r="S19" i="16" s="1"/>
  <c r="AM19" i="16"/>
  <c r="AN19" i="16" s="1"/>
  <c r="AM18" i="16"/>
  <c r="AN18" i="16" s="1"/>
  <c r="AJ18" i="16"/>
  <c r="AK18" i="16" s="1"/>
  <c r="R18" i="16"/>
  <c r="S18" i="16" s="1"/>
  <c r="AD18" i="16"/>
  <c r="AE18" i="16" s="1"/>
  <c r="AA18" i="16"/>
  <c r="AB18" i="16" s="1"/>
  <c r="X18" i="16"/>
  <c r="Y18" i="16" s="1"/>
  <c r="AG18" i="16"/>
  <c r="AH18" i="16" s="1"/>
  <c r="AR18" i="16"/>
  <c r="AS18" i="16" s="1"/>
  <c r="X19" i="16"/>
  <c r="Y19" i="16" s="1"/>
  <c r="O15" i="16"/>
  <c r="P15" i="16" s="1"/>
  <c r="AA15" i="16"/>
  <c r="AB15" i="16" s="1"/>
  <c r="AJ15" i="16"/>
  <c r="AK15" i="16" s="1"/>
  <c r="AR15" i="16"/>
  <c r="AS15" i="16" s="1"/>
  <c r="U9" i="16"/>
  <c r="V9" i="16" s="1"/>
  <c r="AD9" i="16"/>
  <c r="AE9" i="16" s="1"/>
  <c r="AG9" i="16"/>
  <c r="AH9" i="16" s="1"/>
  <c r="AJ17" i="16"/>
  <c r="AK17" i="16" s="1"/>
  <c r="R9" i="16"/>
  <c r="S9" i="16" s="1"/>
  <c r="AM15" i="16"/>
  <c r="AN15" i="16" s="1"/>
  <c r="AG13" i="16"/>
  <c r="AH13" i="16" s="1"/>
  <c r="X13" i="16"/>
  <c r="Y13" i="16" s="1"/>
  <c r="AJ13" i="16"/>
  <c r="AK13" i="16" s="1"/>
  <c r="AM13" i="16"/>
  <c r="AN13" i="16" s="1"/>
  <c r="AD13" i="16"/>
  <c r="AE13" i="16" s="1"/>
  <c r="AR13" i="16"/>
  <c r="AS13" i="16" s="1"/>
  <c r="R13" i="16"/>
  <c r="S13" i="16" s="1"/>
  <c r="U13" i="16"/>
  <c r="V13" i="16" s="1"/>
  <c r="AA13" i="16"/>
  <c r="AB13" i="16" s="1"/>
  <c r="AA9" i="16"/>
  <c r="AB9" i="16" s="1"/>
  <c r="AJ20" i="16"/>
  <c r="AK20" i="16" s="1"/>
  <c r="AR20" i="16"/>
  <c r="AS20" i="16" s="1"/>
  <c r="AJ9" i="16"/>
  <c r="AK9" i="16" s="1"/>
  <c r="O20" i="16"/>
  <c r="P20" i="16" s="1"/>
  <c r="AR9" i="16"/>
  <c r="AS9" i="16" s="1"/>
  <c r="AA20" i="16"/>
  <c r="AB20" i="16" s="1"/>
  <c r="AM20" i="16"/>
  <c r="AN20" i="16" s="1"/>
  <c r="O9" i="16"/>
  <c r="P9" i="16" s="1"/>
  <c r="AD20" i="16"/>
  <c r="AE20" i="16" s="1"/>
  <c r="AD15" i="16"/>
  <c r="AE15" i="16" s="1"/>
  <c r="U18" i="16"/>
  <c r="V18" i="16" s="1"/>
  <c r="U19" i="16"/>
  <c r="V19" i="16" s="1"/>
  <c r="R20" i="16"/>
  <c r="S20" i="16" s="1"/>
  <c r="AA19" i="16"/>
  <c r="AB19" i="16" s="1"/>
  <c r="AR19" i="16"/>
  <c r="AS19" i="16" s="1"/>
  <c r="AD19" i="16"/>
  <c r="AE19" i="16" s="1"/>
  <c r="AJ19" i="16"/>
  <c r="AK19" i="16" s="1"/>
  <c r="U20" i="16"/>
  <c r="V20" i="16" s="1"/>
  <c r="O19" i="16"/>
  <c r="P19" i="16" s="1"/>
  <c r="X20" i="16"/>
  <c r="Y20" i="16" s="1"/>
  <c r="U15" i="16"/>
  <c r="V15" i="16" s="1"/>
  <c r="O16" i="16"/>
  <c r="P16" i="16" s="1"/>
  <c r="R16" i="16"/>
  <c r="S16" i="16" s="1"/>
  <c r="AR16" i="16"/>
  <c r="AS16" i="16" s="1"/>
  <c r="AM16" i="16"/>
  <c r="AN16" i="16" s="1"/>
  <c r="X16" i="16"/>
  <c r="Y16" i="16" s="1"/>
  <c r="U16" i="16"/>
  <c r="V16" i="16" s="1"/>
  <c r="AD16" i="16"/>
  <c r="AE16" i="16" s="1"/>
  <c r="AG16" i="16"/>
  <c r="AH16" i="16" s="1"/>
  <c r="AA16" i="16"/>
  <c r="AB16" i="16" s="1"/>
  <c r="U11" i="16"/>
  <c r="V11" i="16" s="1"/>
  <c r="AA11" i="16"/>
  <c r="AB11" i="16" s="1"/>
  <c r="O11" i="16"/>
  <c r="P11" i="16" s="1"/>
  <c r="AD11" i="16"/>
  <c r="AE11" i="16" s="1"/>
  <c r="R11" i="16"/>
  <c r="S11" i="16" s="1"/>
  <c r="AR11" i="16"/>
  <c r="AS11" i="16" s="1"/>
  <c r="AM11" i="16"/>
  <c r="AN11" i="16" s="1"/>
  <c r="X11" i="16"/>
  <c r="Y11" i="16" s="1"/>
  <c r="AG11" i="16"/>
  <c r="AH11" i="16" s="1"/>
  <c r="AJ8" i="16"/>
  <c r="AK8" i="16" s="1"/>
  <c r="AM9" i="16"/>
  <c r="AN9" i="16" s="1"/>
  <c r="R17" i="16"/>
  <c r="S17" i="16" s="1"/>
  <c r="R15" i="16"/>
  <c r="S15" i="16" s="1"/>
  <c r="AG15" i="16"/>
  <c r="AH15" i="16" s="1"/>
  <c r="AD8" i="16"/>
  <c r="AE8" i="16" s="1"/>
  <c r="U8" i="16"/>
  <c r="V8" i="16" s="1"/>
  <c r="X8" i="16"/>
  <c r="Y8" i="16" s="1"/>
  <c r="O8" i="16"/>
  <c r="P8" i="16" s="1"/>
  <c r="AA8" i="16"/>
  <c r="AB8" i="16" s="1"/>
  <c r="AR8" i="16"/>
  <c r="AS8" i="16" s="1"/>
  <c r="AM8" i="16"/>
  <c r="AN8" i="16" s="1"/>
  <c r="AR17" i="16"/>
  <c r="AS17" i="16" s="1"/>
  <c r="O17" i="16"/>
  <c r="P17" i="16" s="1"/>
  <c r="AA17" i="16"/>
  <c r="AB17" i="16" s="1"/>
  <c r="AG8" i="16"/>
  <c r="AH8" i="16" s="1"/>
  <c r="AD17" i="16"/>
  <c r="AE17" i="16" s="1"/>
  <c r="X17" i="16"/>
  <c r="Y17" i="16" s="1"/>
  <c r="AM17" i="16"/>
  <c r="AN17" i="16" s="1"/>
  <c r="U17" i="16"/>
  <c r="V17" i="16" s="1"/>
  <c r="U14" i="16"/>
  <c r="V14" i="16" s="1"/>
  <c r="AR14" i="16"/>
  <c r="AS14" i="16" s="1"/>
  <c r="R14" i="16"/>
  <c r="S14" i="16" s="1"/>
  <c r="AM14" i="16"/>
  <c r="AN14" i="16" s="1"/>
  <c r="AJ14" i="16"/>
  <c r="AK14" i="16" s="1"/>
  <c r="AG14" i="16"/>
  <c r="AH14" i="16" s="1"/>
  <c r="AD14" i="16"/>
  <c r="AE14" i="16" s="1"/>
  <c r="AA14" i="16"/>
  <c r="AB14" i="16" s="1"/>
  <c r="X14" i="16"/>
  <c r="Y14" i="16" s="1"/>
  <c r="O14" i="16"/>
  <c r="P14" i="16" s="1"/>
  <c r="U12" i="16"/>
  <c r="V12" i="16" s="1"/>
  <c r="AR12" i="16"/>
  <c r="AS12" i="16" s="1"/>
  <c r="R12" i="16"/>
  <c r="S12" i="16" s="1"/>
  <c r="AM12" i="16"/>
  <c r="AN12" i="16" s="1"/>
  <c r="O12" i="16"/>
  <c r="P12" i="16" s="1"/>
  <c r="AJ12" i="16"/>
  <c r="AK12" i="16" s="1"/>
  <c r="AG12" i="16"/>
  <c r="AH12" i="16" s="1"/>
  <c r="X12" i="16"/>
  <c r="Y12" i="16" s="1"/>
  <c r="AD12" i="16"/>
  <c r="AE12" i="16" s="1"/>
  <c r="AA12" i="16"/>
  <c r="AB12" i="16" s="1"/>
  <c r="AO44" i="15"/>
  <c r="AQ44" i="15" s="1"/>
  <c r="K44" i="15"/>
  <c r="I44" i="15"/>
  <c r="G44" i="15"/>
  <c r="M44" i="15" s="1"/>
  <c r="AO43" i="15"/>
  <c r="AQ43" i="15" s="1"/>
  <c r="K43" i="15"/>
  <c r="I43" i="15"/>
  <c r="G43" i="15"/>
  <c r="M43" i="15" s="1"/>
  <c r="AO42" i="15"/>
  <c r="AQ42" i="15" s="1"/>
  <c r="K42" i="15"/>
  <c r="I42" i="15"/>
  <c r="G42" i="15"/>
  <c r="M42" i="15" s="1"/>
  <c r="AO45" i="15"/>
  <c r="AQ45" i="15" s="1"/>
  <c r="K45" i="15"/>
  <c r="I45" i="15"/>
  <c r="G45" i="15"/>
  <c r="M45" i="15" s="1"/>
  <c r="AO41" i="15"/>
  <c r="AQ41" i="15" s="1"/>
  <c r="K41" i="15"/>
  <c r="I41" i="15"/>
  <c r="G41" i="15"/>
  <c r="AO40" i="15"/>
  <c r="AQ40" i="15" s="1"/>
  <c r="K40" i="15"/>
  <c r="I40" i="15"/>
  <c r="G40" i="15"/>
  <c r="M40" i="15" s="1"/>
  <c r="AO39" i="15"/>
  <c r="AQ39" i="15" s="1"/>
  <c r="K39" i="15"/>
  <c r="I39" i="15"/>
  <c r="G39" i="15"/>
  <c r="M39" i="15" s="1"/>
  <c r="AO38" i="15"/>
  <c r="AQ38" i="15" s="1"/>
  <c r="K38" i="15"/>
  <c r="I38" i="15"/>
  <c r="G38" i="15"/>
  <c r="M38" i="15" s="1"/>
  <c r="AO37" i="15"/>
  <c r="AQ37" i="15" s="1"/>
  <c r="K37" i="15"/>
  <c r="I37" i="15"/>
  <c r="G37" i="15"/>
  <c r="M37" i="15" s="1"/>
  <c r="AO46" i="15"/>
  <c r="AQ46" i="15" s="1"/>
  <c r="K46" i="15"/>
  <c r="I46" i="15"/>
  <c r="G46" i="15"/>
  <c r="M46" i="15" s="1"/>
  <c r="AO36" i="15"/>
  <c r="AQ36" i="15" s="1"/>
  <c r="K36" i="15"/>
  <c r="I36" i="15"/>
  <c r="G36" i="15"/>
  <c r="M36" i="15" s="1"/>
  <c r="AO35" i="15"/>
  <c r="AQ35" i="15" s="1"/>
  <c r="K35" i="15"/>
  <c r="I35" i="15"/>
  <c r="G35" i="15"/>
  <c r="M35" i="15" s="1"/>
  <c r="AO34" i="15"/>
  <c r="AQ34" i="15" s="1"/>
  <c r="K34" i="15"/>
  <c r="I34" i="15"/>
  <c r="G34" i="15"/>
  <c r="M34" i="15" s="1"/>
  <c r="AO33" i="15"/>
  <c r="AQ33" i="15" s="1"/>
  <c r="K33" i="15"/>
  <c r="I33" i="15"/>
  <c r="G33" i="15"/>
  <c r="M33" i="15" s="1"/>
  <c r="AO32" i="15"/>
  <c r="AQ32" i="15" s="1"/>
  <c r="K32" i="15"/>
  <c r="I32" i="15"/>
  <c r="G32" i="15"/>
  <c r="M32" i="15" s="1"/>
  <c r="AO31" i="15"/>
  <c r="AQ31" i="15" s="1"/>
  <c r="K31" i="15"/>
  <c r="I31" i="15"/>
  <c r="G31" i="15"/>
  <c r="M31" i="15" s="1"/>
  <c r="AO30" i="15"/>
  <c r="AQ30" i="15" s="1"/>
  <c r="K30" i="15"/>
  <c r="I30" i="15"/>
  <c r="G30" i="15"/>
  <c r="M30" i="15" s="1"/>
  <c r="AO29" i="15"/>
  <c r="AQ29" i="15" s="1"/>
  <c r="K29" i="15"/>
  <c r="I29" i="15"/>
  <c r="G29" i="15"/>
  <c r="M29" i="15" s="1"/>
  <c r="AO28" i="15"/>
  <c r="AQ28" i="15" s="1"/>
  <c r="K28" i="15"/>
  <c r="I28" i="15"/>
  <c r="G28" i="15"/>
  <c r="M28" i="15" s="1"/>
  <c r="AO27" i="15"/>
  <c r="AQ27" i="15" s="1"/>
  <c r="K27" i="15"/>
  <c r="I27" i="15"/>
  <c r="G27" i="15"/>
  <c r="M27" i="15" s="1"/>
  <c r="AO26" i="15"/>
  <c r="AQ26" i="15" s="1"/>
  <c r="K26" i="15"/>
  <c r="I26" i="15"/>
  <c r="G26" i="15"/>
  <c r="M26" i="15" s="1"/>
  <c r="AO25" i="15"/>
  <c r="AQ25" i="15" s="1"/>
  <c r="K25" i="15"/>
  <c r="I25" i="15"/>
  <c r="G25" i="15"/>
  <c r="M25" i="15" s="1"/>
  <c r="AO24" i="15"/>
  <c r="AQ24" i="15" s="1"/>
  <c r="K24" i="15"/>
  <c r="I24" i="15"/>
  <c r="G24" i="15"/>
  <c r="M24" i="15" s="1"/>
  <c r="G15" i="15"/>
  <c r="I15" i="15"/>
  <c r="K15" i="15"/>
  <c r="AO15" i="15"/>
  <c r="AQ15" i="15" s="1"/>
  <c r="G16" i="15"/>
  <c r="I16" i="15"/>
  <c r="K16" i="15"/>
  <c r="AO16" i="15"/>
  <c r="AQ16" i="15" s="1"/>
  <c r="AQ47" i="15"/>
  <c r="K47" i="15"/>
  <c r="I47" i="15"/>
  <c r="G47" i="15"/>
  <c r="M47" i="15" s="1"/>
  <c r="AO23" i="15"/>
  <c r="AQ23" i="15" s="1"/>
  <c r="K23" i="15"/>
  <c r="I23" i="15"/>
  <c r="G23" i="15"/>
  <c r="M23" i="15" s="1"/>
  <c r="AO22" i="15"/>
  <c r="AQ22" i="15" s="1"/>
  <c r="K22" i="15"/>
  <c r="I22" i="15"/>
  <c r="G22" i="15"/>
  <c r="M22" i="15" s="1"/>
  <c r="AO21" i="15"/>
  <c r="AQ21" i="15" s="1"/>
  <c r="K21" i="15"/>
  <c r="I21" i="15"/>
  <c r="G21" i="15"/>
  <c r="M21" i="15" s="1"/>
  <c r="AO20" i="15"/>
  <c r="AQ20" i="15" s="1"/>
  <c r="K20" i="15"/>
  <c r="I20" i="15"/>
  <c r="G20" i="15"/>
  <c r="M20" i="15" s="1"/>
  <c r="AO19" i="15"/>
  <c r="AQ19" i="15" s="1"/>
  <c r="K19" i="15"/>
  <c r="I19" i="15"/>
  <c r="G19" i="15"/>
  <c r="M19" i="15" s="1"/>
  <c r="AO18" i="15"/>
  <c r="AQ18" i="15" s="1"/>
  <c r="K18" i="15"/>
  <c r="I18" i="15"/>
  <c r="G18" i="15"/>
  <c r="M18" i="15" s="1"/>
  <c r="AO17" i="15"/>
  <c r="AQ17" i="15" s="1"/>
  <c r="K17" i="15"/>
  <c r="I17" i="15"/>
  <c r="G17" i="15"/>
  <c r="M17" i="15" s="1"/>
  <c r="AO14" i="15"/>
  <c r="AQ14" i="15" s="1"/>
  <c r="K14" i="15"/>
  <c r="I14" i="15"/>
  <c r="G14" i="15"/>
  <c r="M14" i="15" s="1"/>
  <c r="AO13" i="15"/>
  <c r="AQ13" i="15" s="1"/>
  <c r="K13" i="15"/>
  <c r="I13" i="15"/>
  <c r="G13" i="15"/>
  <c r="M13" i="15" s="1"/>
  <c r="AO12" i="15"/>
  <c r="AQ12" i="15" s="1"/>
  <c r="K12" i="15"/>
  <c r="I12" i="15"/>
  <c r="G12" i="15"/>
  <c r="M12" i="15" s="1"/>
  <c r="AO11" i="15"/>
  <c r="AQ11" i="15" s="1"/>
  <c r="K11" i="15"/>
  <c r="I11" i="15"/>
  <c r="G11" i="15"/>
  <c r="M11" i="15" s="1"/>
  <c r="AO10" i="15"/>
  <c r="AQ10" i="15" s="1"/>
  <c r="K10" i="15"/>
  <c r="I10" i="15"/>
  <c r="G10" i="15"/>
  <c r="M10" i="15" s="1"/>
  <c r="AO9" i="15"/>
  <c r="AQ9" i="15" s="1"/>
  <c r="K9" i="15"/>
  <c r="I9" i="15"/>
  <c r="G9" i="15"/>
  <c r="M9" i="15" s="1"/>
  <c r="AO8" i="15"/>
  <c r="AQ8" i="15" s="1"/>
  <c r="K8" i="15"/>
  <c r="I8" i="15"/>
  <c r="G8" i="15"/>
  <c r="M8" i="15" s="1"/>
  <c r="AO7" i="15"/>
  <c r="AQ7" i="15" s="1"/>
  <c r="K7" i="15"/>
  <c r="I7" i="15"/>
  <c r="G7" i="15"/>
  <c r="M7" i="15" s="1"/>
  <c r="AO6" i="15"/>
  <c r="AQ6" i="15" s="1"/>
  <c r="K6" i="15"/>
  <c r="I6" i="15"/>
  <c r="G6" i="15"/>
  <c r="M6" i="15" s="1"/>
  <c r="M41" i="15" l="1"/>
  <c r="M15" i="15"/>
  <c r="M16" i="15"/>
  <c r="AR16" i="15" s="1"/>
  <c r="AS16" i="15" s="1"/>
  <c r="AS21" i="16"/>
  <c r="AQ48" i="15"/>
  <c r="AR10" i="15"/>
  <c r="AS10" i="15" s="1"/>
  <c r="AR23" i="15"/>
  <c r="AS23" i="15" s="1"/>
  <c r="U26" i="15"/>
  <c r="V26" i="15" s="1"/>
  <c r="X28" i="15"/>
  <c r="Y28" i="15" s="1"/>
  <c r="AJ34" i="15"/>
  <c r="AK34" i="15" s="1"/>
  <c r="AD36" i="15"/>
  <c r="AE36" i="15" s="1"/>
  <c r="AR40" i="15"/>
  <c r="AS40" i="15" s="1"/>
  <c r="AD45" i="15"/>
  <c r="AE45" i="15" s="1"/>
  <c r="O29" i="15"/>
  <c r="P29" i="15" s="1"/>
  <c r="X33" i="15"/>
  <c r="Y33" i="15" s="1"/>
  <c r="O35" i="15"/>
  <c r="P35" i="15" s="1"/>
  <c r="AM37" i="15"/>
  <c r="AN37" i="15" s="1"/>
  <c r="AR9" i="15"/>
  <c r="AS9" i="15" s="1"/>
  <c r="X13" i="15"/>
  <c r="Y13" i="15" s="1"/>
  <c r="AJ44" i="15"/>
  <c r="AK44" i="15" s="1"/>
  <c r="AD24" i="15"/>
  <c r="AE24" i="15" s="1"/>
  <c r="X38" i="15"/>
  <c r="Y38" i="15" s="1"/>
  <c r="U46" i="15"/>
  <c r="V46" i="15" s="1"/>
  <c r="AJ12" i="15"/>
  <c r="AK12" i="15" s="1"/>
  <c r="AG19" i="15"/>
  <c r="AH19" i="15" s="1"/>
  <c r="AD15" i="15"/>
  <c r="AE15" i="15" s="1"/>
  <c r="U18" i="15"/>
  <c r="V18" i="15" s="1"/>
  <c r="AR22" i="15"/>
  <c r="AS22" i="15" s="1"/>
  <c r="O32" i="15"/>
  <c r="P32" i="15" s="1"/>
  <c r="X43" i="15"/>
  <c r="Y43" i="15" s="1"/>
  <c r="U30" i="15"/>
  <c r="V30" i="15" s="1"/>
  <c r="AR39" i="15"/>
  <c r="AS39" i="15" s="1"/>
  <c r="AJ42" i="15"/>
  <c r="AK42" i="15" s="1"/>
  <c r="AM7" i="15"/>
  <c r="AN7" i="15" s="1"/>
  <c r="AR11" i="15"/>
  <c r="AS11" i="15" s="1"/>
  <c r="AG21" i="15"/>
  <c r="AH21" i="15" s="1"/>
  <c r="O41" i="15"/>
  <c r="P41" i="15" s="1"/>
  <c r="O38" i="15"/>
  <c r="P38" i="15" s="1"/>
  <c r="AG14" i="15"/>
  <c r="AH14" i="15" s="1"/>
  <c r="AJ31" i="15"/>
  <c r="AK31" i="15" s="1"/>
  <c r="AG27" i="15"/>
  <c r="AH27" i="15" s="1"/>
  <c r="AM20" i="15"/>
  <c r="AN20" i="15" s="1"/>
  <c r="AJ25" i="15"/>
  <c r="AK25" i="15" s="1"/>
  <c r="AD35" i="15"/>
  <c r="AE35" i="15" s="1"/>
  <c r="R35" i="15"/>
  <c r="S35" i="15" s="1"/>
  <c r="U35" i="15"/>
  <c r="V35" i="15" s="1"/>
  <c r="U17" i="15"/>
  <c r="V17" i="15" s="1"/>
  <c r="AR8" i="15"/>
  <c r="AS8" i="15" s="1"/>
  <c r="AJ47" i="15"/>
  <c r="AK47" i="15" s="1"/>
  <c r="R6" i="15"/>
  <c r="S6" i="15" s="1"/>
  <c r="AG16" i="15"/>
  <c r="AH16" i="15" s="1"/>
  <c r="U16" i="15"/>
  <c r="V16" i="15" s="1"/>
  <c r="X23" i="15"/>
  <c r="Y23" i="15" s="1"/>
  <c r="AG23" i="15"/>
  <c r="AH23" i="15" s="1"/>
  <c r="AM29" i="15" l="1"/>
  <c r="AN29" i="15" s="1"/>
  <c r="R29" i="15"/>
  <c r="S29" i="15" s="1"/>
  <c r="AG29" i="15"/>
  <c r="AH29" i="15" s="1"/>
  <c r="X29" i="15"/>
  <c r="Y29" i="15" s="1"/>
  <c r="AD29" i="15"/>
  <c r="AE29" i="15" s="1"/>
  <c r="U10" i="15"/>
  <c r="V10" i="15" s="1"/>
  <c r="U23" i="15"/>
  <c r="V23" i="15" s="1"/>
  <c r="AD23" i="15"/>
  <c r="AE23" i="15" s="1"/>
  <c r="X16" i="15"/>
  <c r="Y16" i="15" s="1"/>
  <c r="AA29" i="15"/>
  <c r="AB29" i="15" s="1"/>
  <c r="O23" i="15"/>
  <c r="P23" i="15" s="1"/>
  <c r="AR29" i="15"/>
  <c r="AS29" i="15" s="1"/>
  <c r="AJ23" i="15"/>
  <c r="AK23" i="15" s="1"/>
  <c r="R23" i="15"/>
  <c r="S23" i="15" s="1"/>
  <c r="AG33" i="15"/>
  <c r="AH33" i="15" s="1"/>
  <c r="AG26" i="15"/>
  <c r="AH26" i="15" s="1"/>
  <c r="AR26" i="15"/>
  <c r="AS26" i="15" s="1"/>
  <c r="O26" i="15"/>
  <c r="P26" i="15" s="1"/>
  <c r="AM26" i="15"/>
  <c r="AN26" i="15" s="1"/>
  <c r="AG38" i="15"/>
  <c r="AH38" i="15" s="1"/>
  <c r="U38" i="15"/>
  <c r="V38" i="15" s="1"/>
  <c r="AA38" i="15"/>
  <c r="AB38" i="15" s="1"/>
  <c r="AJ26" i="15"/>
  <c r="AK26" i="15" s="1"/>
  <c r="X26" i="15"/>
  <c r="Y26" i="15" s="1"/>
  <c r="R26" i="15"/>
  <c r="S26" i="15" s="1"/>
  <c r="AA26" i="15"/>
  <c r="AB26" i="15" s="1"/>
  <c r="AA16" i="15"/>
  <c r="AB16" i="15" s="1"/>
  <c r="AJ29" i="15"/>
  <c r="AK29" i="15" s="1"/>
  <c r="AJ16" i="15"/>
  <c r="AK16" i="15" s="1"/>
  <c r="O16" i="15"/>
  <c r="P16" i="15" s="1"/>
  <c r="U29" i="15"/>
  <c r="V29" i="15" s="1"/>
  <c r="AM16" i="15"/>
  <c r="AN16" i="15" s="1"/>
  <c r="U33" i="15"/>
  <c r="V33" i="15" s="1"/>
  <c r="AM33" i="15"/>
  <c r="AN33" i="15" s="1"/>
  <c r="R33" i="15"/>
  <c r="S33" i="15" s="1"/>
  <c r="AG36" i="15"/>
  <c r="AH36" i="15" s="1"/>
  <c r="AM36" i="15"/>
  <c r="AN36" i="15" s="1"/>
  <c r="R36" i="15"/>
  <c r="S36" i="15" s="1"/>
  <c r="O21" i="15"/>
  <c r="P21" i="15" s="1"/>
  <c r="R12" i="15"/>
  <c r="S12" i="15" s="1"/>
  <c r="O45" i="15"/>
  <c r="P45" i="15" s="1"/>
  <c r="X10" i="15"/>
  <c r="Y10" i="15" s="1"/>
  <c r="R45" i="15"/>
  <c r="S45" i="15" s="1"/>
  <c r="O10" i="15"/>
  <c r="P10" i="15" s="1"/>
  <c r="AJ10" i="15"/>
  <c r="AK10" i="15" s="1"/>
  <c r="AA45" i="15"/>
  <c r="AB45" i="15" s="1"/>
  <c r="AR45" i="15"/>
  <c r="AS45" i="15" s="1"/>
  <c r="AD10" i="15"/>
  <c r="AE10" i="15" s="1"/>
  <c r="AA33" i="15"/>
  <c r="AB33" i="15" s="1"/>
  <c r="AA13" i="15"/>
  <c r="AB13" i="15" s="1"/>
  <c r="AG45" i="15"/>
  <c r="AH45" i="15" s="1"/>
  <c r="U45" i="15"/>
  <c r="V45" i="15" s="1"/>
  <c r="AR33" i="15"/>
  <c r="AS33" i="15" s="1"/>
  <c r="AM45" i="15"/>
  <c r="AN45" i="15" s="1"/>
  <c r="AG10" i="15"/>
  <c r="AH10" i="15" s="1"/>
  <c r="AM10" i="15"/>
  <c r="AN10" i="15" s="1"/>
  <c r="AA10" i="15"/>
  <c r="AB10" i="15" s="1"/>
  <c r="X45" i="15"/>
  <c r="Y45" i="15" s="1"/>
  <c r="R10" i="15"/>
  <c r="S10" i="15" s="1"/>
  <c r="AG13" i="15"/>
  <c r="AH13" i="15" s="1"/>
  <c r="AJ45" i="15"/>
  <c r="AK45" i="15" s="1"/>
  <c r="AM12" i="15"/>
  <c r="AN12" i="15" s="1"/>
  <c r="AJ33" i="15"/>
  <c r="AK33" i="15" s="1"/>
  <c r="AM38" i="15"/>
  <c r="AN38" i="15" s="1"/>
  <c r="AR12" i="15"/>
  <c r="AS12" i="15" s="1"/>
  <c r="U12" i="15"/>
  <c r="V12" i="15" s="1"/>
  <c r="AA36" i="15"/>
  <c r="AB36" i="15" s="1"/>
  <c r="O36" i="15"/>
  <c r="P36" i="15" s="1"/>
  <c r="AJ35" i="15"/>
  <c r="AK35" i="15" s="1"/>
  <c r="AA28" i="15"/>
  <c r="AB28" i="15" s="1"/>
  <c r="AD12" i="15"/>
  <c r="AE12" i="15" s="1"/>
  <c r="AD33" i="15"/>
  <c r="AE33" i="15" s="1"/>
  <c r="AR36" i="15"/>
  <c r="AS36" i="15" s="1"/>
  <c r="AG35" i="15"/>
  <c r="AH35" i="15" s="1"/>
  <c r="AG28" i="15"/>
  <c r="AH28" i="15" s="1"/>
  <c r="AD38" i="15"/>
  <c r="AE38" i="15" s="1"/>
  <c r="AJ13" i="15"/>
  <c r="AK13" i="15" s="1"/>
  <c r="AJ36" i="15"/>
  <c r="AK36" i="15" s="1"/>
  <c r="X12" i="15"/>
  <c r="Y12" i="15" s="1"/>
  <c r="AG12" i="15"/>
  <c r="AH12" i="15" s="1"/>
  <c r="X36" i="15"/>
  <c r="Y36" i="15" s="1"/>
  <c r="O33" i="15"/>
  <c r="P33" i="15" s="1"/>
  <c r="U36" i="15"/>
  <c r="V36" i="15" s="1"/>
  <c r="U13" i="15"/>
  <c r="V13" i="15" s="1"/>
  <c r="AD26" i="15"/>
  <c r="AE26" i="15" s="1"/>
  <c r="O13" i="15"/>
  <c r="P13" i="15" s="1"/>
  <c r="AJ38" i="15"/>
  <c r="AK38" i="15" s="1"/>
  <c r="AM23" i="15"/>
  <c r="AN23" i="15" s="1"/>
  <c r="AA23" i="15"/>
  <c r="AB23" i="15" s="1"/>
  <c r="X44" i="15"/>
  <c r="Y44" i="15" s="1"/>
  <c r="X15" i="15"/>
  <c r="Y15" i="15" s="1"/>
  <c r="U15" i="15"/>
  <c r="V15" i="15" s="1"/>
  <c r="AM13" i="15"/>
  <c r="AN13" i="15" s="1"/>
  <c r="AD13" i="15"/>
  <c r="AE13" i="15" s="1"/>
  <c r="R13" i="15"/>
  <c r="S13" i="15" s="1"/>
  <c r="R34" i="15"/>
  <c r="S34" i="15" s="1"/>
  <c r="AD9" i="15"/>
  <c r="AE9" i="15" s="1"/>
  <c r="AR21" i="15"/>
  <c r="AS21" i="15" s="1"/>
  <c r="X9" i="15"/>
  <c r="Y9" i="15" s="1"/>
  <c r="AJ9" i="15"/>
  <c r="AK9" i="15" s="1"/>
  <c r="AG9" i="15"/>
  <c r="AH9" i="15" s="1"/>
  <c r="AA9" i="15"/>
  <c r="AB9" i="15" s="1"/>
  <c r="U9" i="15"/>
  <c r="V9" i="15" s="1"/>
  <c r="O9" i="15"/>
  <c r="P9" i="15" s="1"/>
  <c r="AM9" i="15"/>
  <c r="AN9" i="15" s="1"/>
  <c r="R9" i="15"/>
  <c r="S9" i="15" s="1"/>
  <c r="AR13" i="15"/>
  <c r="AS13" i="15" s="1"/>
  <c r="AD37" i="15"/>
  <c r="AE37" i="15" s="1"/>
  <c r="O44" i="15"/>
  <c r="P44" i="15" s="1"/>
  <c r="R37" i="15"/>
  <c r="S37" i="15" s="1"/>
  <c r="X34" i="15"/>
  <c r="Y34" i="15" s="1"/>
  <c r="X35" i="15"/>
  <c r="Y35" i="15" s="1"/>
  <c r="AJ28" i="15"/>
  <c r="AK28" i="15" s="1"/>
  <c r="AA40" i="15"/>
  <c r="AB40" i="15" s="1"/>
  <c r="AA15" i="15"/>
  <c r="AB15" i="15" s="1"/>
  <c r="U40" i="15"/>
  <c r="V40" i="15" s="1"/>
  <c r="AR35" i="15"/>
  <c r="AS35" i="15" s="1"/>
  <c r="AM35" i="15"/>
  <c r="AN35" i="15" s="1"/>
  <c r="AD28" i="15"/>
  <c r="AE28" i="15" s="1"/>
  <c r="U28" i="15"/>
  <c r="V28" i="15" s="1"/>
  <c r="R28" i="15"/>
  <c r="S28" i="15" s="1"/>
  <c r="O28" i="15"/>
  <c r="P28" i="15" s="1"/>
  <c r="AA35" i="15"/>
  <c r="AB35" i="15" s="1"/>
  <c r="AM28" i="15"/>
  <c r="AN28" i="15" s="1"/>
  <c r="AG37" i="15"/>
  <c r="AH37" i="15" s="1"/>
  <c r="AA34" i="15"/>
  <c r="AB34" i="15" s="1"/>
  <c r="AR37" i="15"/>
  <c r="AS37" i="15" s="1"/>
  <c r="AG40" i="15"/>
  <c r="AH40" i="15" s="1"/>
  <c r="AD40" i="15"/>
  <c r="AE40" i="15" s="1"/>
  <c r="R44" i="15"/>
  <c r="S44" i="15" s="1"/>
  <c r="U44" i="15"/>
  <c r="V44" i="15" s="1"/>
  <c r="U37" i="15"/>
  <c r="V37" i="15" s="1"/>
  <c r="AM40" i="15"/>
  <c r="AN40" i="15" s="1"/>
  <c r="X40" i="15"/>
  <c r="Y40" i="15" s="1"/>
  <c r="AD44" i="15"/>
  <c r="AE44" i="15" s="1"/>
  <c r="AM44" i="15"/>
  <c r="AN44" i="15" s="1"/>
  <c r="AM34" i="15"/>
  <c r="AN34" i="15" s="1"/>
  <c r="AA37" i="15"/>
  <c r="AB37" i="15" s="1"/>
  <c r="AJ40" i="15"/>
  <c r="AK40" i="15" s="1"/>
  <c r="AR44" i="15"/>
  <c r="AS44" i="15" s="1"/>
  <c r="AG34" i="15"/>
  <c r="AH34" i="15" s="1"/>
  <c r="AR34" i="15"/>
  <c r="AS34" i="15" s="1"/>
  <c r="AJ37" i="15"/>
  <c r="AK37" i="15" s="1"/>
  <c r="O40" i="15"/>
  <c r="P40" i="15" s="1"/>
  <c r="AA44" i="15"/>
  <c r="AB44" i="15" s="1"/>
  <c r="U34" i="15"/>
  <c r="V34" i="15" s="1"/>
  <c r="O37" i="15"/>
  <c r="P37" i="15" s="1"/>
  <c r="R40" i="15"/>
  <c r="S40" i="15" s="1"/>
  <c r="AG44" i="15"/>
  <c r="AH44" i="15" s="1"/>
  <c r="AD34" i="15"/>
  <c r="AE34" i="15" s="1"/>
  <c r="O34" i="15"/>
  <c r="P34" i="15" s="1"/>
  <c r="AM27" i="15"/>
  <c r="AN27" i="15" s="1"/>
  <c r="X37" i="15"/>
  <c r="Y37" i="15" s="1"/>
  <c r="AR28" i="15"/>
  <c r="AS28" i="15" s="1"/>
  <c r="R38" i="15"/>
  <c r="S38" i="15" s="1"/>
  <c r="AA12" i="15"/>
  <c r="AB12" i="15" s="1"/>
  <c r="AR38" i="15"/>
  <c r="AS38" i="15" s="1"/>
  <c r="O12" i="15"/>
  <c r="P12" i="15" s="1"/>
  <c r="R16" i="15"/>
  <c r="S16" i="15" s="1"/>
  <c r="AD16" i="15"/>
  <c r="AE16" i="15" s="1"/>
  <c r="AG24" i="15"/>
  <c r="AH24" i="15" s="1"/>
  <c r="AR24" i="15"/>
  <c r="AS24" i="15" s="1"/>
  <c r="R24" i="15"/>
  <c r="S24" i="15" s="1"/>
  <c r="AM24" i="15"/>
  <c r="AN24" i="15" s="1"/>
  <c r="X24" i="15"/>
  <c r="Y24" i="15" s="1"/>
  <c r="AJ24" i="15"/>
  <c r="AK24" i="15" s="1"/>
  <c r="O24" i="15"/>
  <c r="P24" i="15" s="1"/>
  <c r="U24" i="15"/>
  <c r="V24" i="15" s="1"/>
  <c r="AA24" i="15"/>
  <c r="AB24" i="15" s="1"/>
  <c r="AG15" i="15"/>
  <c r="AH15" i="15" s="1"/>
  <c r="AM15" i="15"/>
  <c r="AN15" i="15" s="1"/>
  <c r="R15" i="15"/>
  <c r="S15" i="15" s="1"/>
  <c r="O15" i="15"/>
  <c r="P15" i="15" s="1"/>
  <c r="AJ15" i="15"/>
  <c r="AK15" i="15" s="1"/>
  <c r="AR15" i="15"/>
  <c r="AS15" i="15" s="1"/>
  <c r="AR18" i="15"/>
  <c r="AS18" i="15" s="1"/>
  <c r="O18" i="15"/>
  <c r="P18" i="15" s="1"/>
  <c r="AM46" i="15"/>
  <c r="AN46" i="15" s="1"/>
  <c r="AR46" i="15"/>
  <c r="AS46" i="15" s="1"/>
  <c r="R46" i="15"/>
  <c r="S46" i="15" s="1"/>
  <c r="AJ46" i="15"/>
  <c r="AK46" i="15" s="1"/>
  <c r="O46" i="15"/>
  <c r="P46" i="15" s="1"/>
  <c r="X46" i="15"/>
  <c r="Y46" i="15" s="1"/>
  <c r="AD46" i="15"/>
  <c r="AE46" i="15" s="1"/>
  <c r="AA46" i="15"/>
  <c r="AB46" i="15" s="1"/>
  <c r="AG46" i="15"/>
  <c r="AH46" i="15" s="1"/>
  <c r="AD18" i="15"/>
  <c r="AE18" i="15" s="1"/>
  <c r="X18" i="15"/>
  <c r="Y18" i="15" s="1"/>
  <c r="AJ18" i="15"/>
  <c r="AK18" i="15" s="1"/>
  <c r="AA18" i="15"/>
  <c r="AB18" i="15" s="1"/>
  <c r="R18" i="15"/>
  <c r="S18" i="15" s="1"/>
  <c r="AG18" i="15"/>
  <c r="AH18" i="15" s="1"/>
  <c r="AM18" i="15"/>
  <c r="AN18" i="15" s="1"/>
  <c r="AM31" i="15"/>
  <c r="AN31" i="15" s="1"/>
  <c r="U39" i="15"/>
  <c r="V39" i="15" s="1"/>
  <c r="AJ19" i="15"/>
  <c r="AK19" i="15" s="1"/>
  <c r="AD25" i="15"/>
  <c r="AE25" i="15" s="1"/>
  <c r="X39" i="15"/>
  <c r="Y39" i="15" s="1"/>
  <c r="AD39" i="15"/>
  <c r="AE39" i="15" s="1"/>
  <c r="AD19" i="15"/>
  <c r="AE19" i="15" s="1"/>
  <c r="R19" i="15"/>
  <c r="S19" i="15" s="1"/>
  <c r="AM19" i="15"/>
  <c r="AN19" i="15" s="1"/>
  <c r="AR19" i="15"/>
  <c r="AS19" i="15" s="1"/>
  <c r="R39" i="15"/>
  <c r="S39" i="15" s="1"/>
  <c r="AA39" i="15"/>
  <c r="AB39" i="15" s="1"/>
  <c r="AM39" i="15"/>
  <c r="AN39" i="15" s="1"/>
  <c r="R32" i="15"/>
  <c r="S32" i="15" s="1"/>
  <c r="U32" i="15"/>
  <c r="V32" i="15" s="1"/>
  <c r="AR47" i="15"/>
  <c r="AS47" i="15" s="1"/>
  <c r="AM47" i="15"/>
  <c r="AN47" i="15" s="1"/>
  <c r="AM42" i="15"/>
  <c r="AN42" i="15" s="1"/>
  <c r="O42" i="15"/>
  <c r="P42" i="15" s="1"/>
  <c r="AR25" i="15"/>
  <c r="AS25" i="15" s="1"/>
  <c r="R25" i="15"/>
  <c r="S25" i="15" s="1"/>
  <c r="AJ22" i="15"/>
  <c r="AK22" i="15" s="1"/>
  <c r="O22" i="15"/>
  <c r="P22" i="15" s="1"/>
  <c r="U22" i="15"/>
  <c r="V22" i="15" s="1"/>
  <c r="AA22" i="15"/>
  <c r="AB22" i="15" s="1"/>
  <c r="AG22" i="15"/>
  <c r="AH22" i="15" s="1"/>
  <c r="AD32" i="15"/>
  <c r="AE32" i="15" s="1"/>
  <c r="AR32" i="15"/>
  <c r="AS32" i="15" s="1"/>
  <c r="AA43" i="15"/>
  <c r="AB43" i="15" s="1"/>
  <c r="U43" i="15"/>
  <c r="V43" i="15" s="1"/>
  <c r="X21" i="15"/>
  <c r="Y21" i="15" s="1"/>
  <c r="AG32" i="15"/>
  <c r="AH32" i="15" s="1"/>
  <c r="AD43" i="15"/>
  <c r="AE43" i="15" s="1"/>
  <c r="R43" i="15"/>
  <c r="S43" i="15" s="1"/>
  <c r="AG43" i="15"/>
  <c r="AH43" i="15" s="1"/>
  <c r="U41" i="15"/>
  <c r="V41" i="15" s="1"/>
  <c r="R30" i="15"/>
  <c r="S30" i="15" s="1"/>
  <c r="AD30" i="15"/>
  <c r="AE30" i="15" s="1"/>
  <c r="U21" i="15"/>
  <c r="V21" i="15" s="1"/>
  <c r="X32" i="15"/>
  <c r="Y32" i="15" s="1"/>
  <c r="AJ43" i="15"/>
  <c r="AK43" i="15" s="1"/>
  <c r="AG30" i="15"/>
  <c r="AH30" i="15" s="1"/>
  <c r="AA30" i="15"/>
  <c r="AB30" i="15" s="1"/>
  <c r="AJ6" i="15"/>
  <c r="AK6" i="15" s="1"/>
  <c r="O19" i="15"/>
  <c r="P19" i="15" s="1"/>
  <c r="AM22" i="15"/>
  <c r="AN22" i="15" s="1"/>
  <c r="X30" i="15"/>
  <c r="Y30" i="15" s="1"/>
  <c r="X42" i="15"/>
  <c r="Y42" i="15" s="1"/>
  <c r="AM41" i="15"/>
  <c r="AN41" i="15" s="1"/>
  <c r="AJ21" i="15"/>
  <c r="AK21" i="15" s="1"/>
  <c r="AJ30" i="15"/>
  <c r="AK30" i="15" s="1"/>
  <c r="AA32" i="15"/>
  <c r="AB32" i="15" s="1"/>
  <c r="AM21" i="15"/>
  <c r="AN21" i="15" s="1"/>
  <c r="AM43" i="15"/>
  <c r="AN43" i="15" s="1"/>
  <c r="R21" i="15"/>
  <c r="S21" i="15" s="1"/>
  <c r="AA19" i="15"/>
  <c r="AB19" i="15" s="1"/>
  <c r="X22" i="15"/>
  <c r="Y22" i="15" s="1"/>
  <c r="U19" i="15"/>
  <c r="V19" i="15" s="1"/>
  <c r="AR20" i="15"/>
  <c r="AS20" i="15" s="1"/>
  <c r="AD22" i="15"/>
  <c r="AE22" i="15" s="1"/>
  <c r="AM30" i="15"/>
  <c r="AN30" i="15" s="1"/>
  <c r="AM32" i="15"/>
  <c r="AN32" i="15" s="1"/>
  <c r="AJ32" i="15"/>
  <c r="AK32" i="15" s="1"/>
  <c r="R41" i="15"/>
  <c r="S41" i="15" s="1"/>
  <c r="AM6" i="15"/>
  <c r="AN6" i="15" s="1"/>
  <c r="X47" i="15"/>
  <c r="Y47" i="15" s="1"/>
  <c r="X19" i="15"/>
  <c r="Y19" i="15" s="1"/>
  <c r="X20" i="15"/>
  <c r="Y20" i="15" s="1"/>
  <c r="R22" i="15"/>
  <c r="S22" i="15" s="1"/>
  <c r="AA47" i="15"/>
  <c r="AB47" i="15" s="1"/>
  <c r="AG20" i="15"/>
  <c r="AH20" i="15" s="1"/>
  <c r="AR27" i="15"/>
  <c r="AS27" i="15" s="1"/>
  <c r="AA7" i="15"/>
  <c r="AB7" i="15" s="1"/>
  <c r="AD7" i="15"/>
  <c r="AE7" i="15" s="1"/>
  <c r="X6" i="15"/>
  <c r="Y6" i="15" s="1"/>
  <c r="AM11" i="15"/>
  <c r="AN11" i="15" s="1"/>
  <c r="AG42" i="15"/>
  <c r="AH42" i="15" s="1"/>
  <c r="U27" i="15"/>
  <c r="V27" i="15" s="1"/>
  <c r="AM14" i="15"/>
  <c r="AN14" i="15" s="1"/>
  <c r="AG39" i="15"/>
  <c r="AH39" i="15" s="1"/>
  <c r="O39" i="15"/>
  <c r="P39" i="15" s="1"/>
  <c r="O11" i="15"/>
  <c r="P11" i="15" s="1"/>
  <c r="AA6" i="15"/>
  <c r="AB6" i="15" s="1"/>
  <c r="AA8" i="15"/>
  <c r="AB8" i="15" s="1"/>
  <c r="AD8" i="15"/>
  <c r="AE8" i="15" s="1"/>
  <c r="AG31" i="15"/>
  <c r="AH31" i="15" s="1"/>
  <c r="O30" i="15"/>
  <c r="P30" i="15" s="1"/>
  <c r="O43" i="15"/>
  <c r="P43" i="15" s="1"/>
  <c r="R42" i="15"/>
  <c r="S42" i="15" s="1"/>
  <c r="AR7" i="15"/>
  <c r="AS7" i="15" s="1"/>
  <c r="AD6" i="15"/>
  <c r="AE6" i="15" s="1"/>
  <c r="AR30" i="15"/>
  <c r="AS30" i="15" s="1"/>
  <c r="R31" i="15"/>
  <c r="S31" i="15" s="1"/>
  <c r="AR43" i="15"/>
  <c r="AS43" i="15" s="1"/>
  <c r="AR42" i="15"/>
  <c r="AS42" i="15" s="1"/>
  <c r="R27" i="15"/>
  <c r="S27" i="15" s="1"/>
  <c r="AG7" i="15"/>
  <c r="AH7" i="15" s="1"/>
  <c r="AA27" i="15"/>
  <c r="AB27" i="15" s="1"/>
  <c r="O27" i="15"/>
  <c r="P27" i="15" s="1"/>
  <c r="R11" i="15"/>
  <c r="S11" i="15" s="1"/>
  <c r="AJ7" i="15"/>
  <c r="AK7" i="15" s="1"/>
  <c r="AJ39" i="15"/>
  <c r="AK39" i="15" s="1"/>
  <c r="R7" i="15"/>
  <c r="S7" i="15" s="1"/>
  <c r="AA11" i="15"/>
  <c r="AB11" i="15" s="1"/>
  <c r="AA42" i="15"/>
  <c r="AB42" i="15" s="1"/>
  <c r="U7" i="15"/>
  <c r="V7" i="15" s="1"/>
  <c r="U42" i="15"/>
  <c r="V42" i="15" s="1"/>
  <c r="AD42" i="15"/>
  <c r="AE42" i="15" s="1"/>
  <c r="X7" i="15"/>
  <c r="Y7" i="15" s="1"/>
  <c r="X11" i="15"/>
  <c r="Y11" i="15" s="1"/>
  <c r="U11" i="15"/>
  <c r="V11" i="15" s="1"/>
  <c r="U31" i="15"/>
  <c r="V31" i="15" s="1"/>
  <c r="AD27" i="15"/>
  <c r="AE27" i="15" s="1"/>
  <c r="AA41" i="15"/>
  <c r="AB41" i="15" s="1"/>
  <c r="X27" i="15"/>
  <c r="Y27" i="15" s="1"/>
  <c r="AJ14" i="15"/>
  <c r="AK14" i="15" s="1"/>
  <c r="AJ41" i="15"/>
  <c r="AK41" i="15" s="1"/>
  <c r="AR41" i="15"/>
  <c r="AS41" i="15" s="1"/>
  <c r="AM25" i="15"/>
  <c r="AN25" i="15" s="1"/>
  <c r="AG41" i="15"/>
  <c r="AH41" i="15" s="1"/>
  <c r="AD11" i="15"/>
  <c r="AE11" i="15" s="1"/>
  <c r="X25" i="15"/>
  <c r="Y25" i="15" s="1"/>
  <c r="AG11" i="15"/>
  <c r="AH11" i="15" s="1"/>
  <c r="O7" i="15"/>
  <c r="P7" i="15" s="1"/>
  <c r="AA21" i="15"/>
  <c r="AB21" i="15" s="1"/>
  <c r="U25" i="15"/>
  <c r="V25" i="15" s="1"/>
  <c r="X41" i="15"/>
  <c r="Y41" i="15" s="1"/>
  <c r="AD20" i="15"/>
  <c r="AE20" i="15" s="1"/>
  <c r="AD41" i="15"/>
  <c r="AE41" i="15" s="1"/>
  <c r="AD21" i="15"/>
  <c r="AE21" i="15" s="1"/>
  <c r="O14" i="15"/>
  <c r="P14" i="15" s="1"/>
  <c r="AJ11" i="15"/>
  <c r="AK11" i="15" s="1"/>
  <c r="U6" i="15"/>
  <c r="V6" i="15" s="1"/>
  <c r="AJ27" i="15"/>
  <c r="AK27" i="15" s="1"/>
  <c r="AA25" i="15"/>
  <c r="AB25" i="15" s="1"/>
  <c r="AG6" i="15"/>
  <c r="AH6" i="15" s="1"/>
  <c r="AD47" i="15"/>
  <c r="AE47" i="15" s="1"/>
  <c r="R20" i="15"/>
  <c r="S20" i="15" s="1"/>
  <c r="AA20" i="15"/>
  <c r="AB20" i="15" s="1"/>
  <c r="R8" i="15"/>
  <c r="S8" i="15" s="1"/>
  <c r="AR6" i="15"/>
  <c r="AS6" i="15" s="1"/>
  <c r="AJ20" i="15"/>
  <c r="AK20" i="15" s="1"/>
  <c r="O25" i="15"/>
  <c r="P25" i="15" s="1"/>
  <c r="AR14" i="15"/>
  <c r="AS14" i="15" s="1"/>
  <c r="U14" i="15"/>
  <c r="V14" i="15" s="1"/>
  <c r="X14" i="15"/>
  <c r="Y14" i="15" s="1"/>
  <c r="R14" i="15"/>
  <c r="S14" i="15" s="1"/>
  <c r="AD14" i="15"/>
  <c r="AE14" i="15" s="1"/>
  <c r="AA14" i="15"/>
  <c r="AB14" i="15" s="1"/>
  <c r="O8" i="15"/>
  <c r="P8" i="15" s="1"/>
  <c r="AD31" i="15"/>
  <c r="AE31" i="15" s="1"/>
  <c r="AA31" i="15"/>
  <c r="AB31" i="15" s="1"/>
  <c r="X31" i="15"/>
  <c r="Y31" i="15" s="1"/>
  <c r="U8" i="15"/>
  <c r="V8" i="15" s="1"/>
  <c r="O6" i="15"/>
  <c r="P6" i="15" s="1"/>
  <c r="O20" i="15"/>
  <c r="P20" i="15" s="1"/>
  <c r="AR31" i="15"/>
  <c r="AS31" i="15" s="1"/>
  <c r="AG25" i="15"/>
  <c r="AH25" i="15" s="1"/>
  <c r="U20" i="15"/>
  <c r="V20" i="15" s="1"/>
  <c r="X8" i="15"/>
  <c r="Y8" i="15" s="1"/>
  <c r="O31" i="15"/>
  <c r="P31" i="15" s="1"/>
  <c r="AD17" i="15"/>
  <c r="AE17" i="15" s="1"/>
  <c r="AM17" i="15"/>
  <c r="AN17" i="15" s="1"/>
  <c r="R17" i="15"/>
  <c r="S17" i="15" s="1"/>
  <c r="AA17" i="15"/>
  <c r="AB17" i="15" s="1"/>
  <c r="O17" i="15"/>
  <c r="P17" i="15" s="1"/>
  <c r="U47" i="15"/>
  <c r="V47" i="15" s="1"/>
  <c r="AJ8" i="15"/>
  <c r="AK8" i="15" s="1"/>
  <c r="O47" i="15"/>
  <c r="P47" i="15" s="1"/>
  <c r="AG17" i="15"/>
  <c r="AH17" i="15" s="1"/>
  <c r="AM8" i="15"/>
  <c r="AN8" i="15" s="1"/>
  <c r="AG8" i="15"/>
  <c r="AH8" i="15" s="1"/>
  <c r="AG47" i="15"/>
  <c r="AH47" i="15" s="1"/>
  <c r="AR17" i="15"/>
  <c r="AS17" i="15" s="1"/>
  <c r="AJ17" i="15"/>
  <c r="AK17" i="15" s="1"/>
  <c r="X17" i="15"/>
  <c r="Y17" i="15" s="1"/>
  <c r="R47" i="15"/>
  <c r="S47" i="15" s="1"/>
  <c r="K15" i="13"/>
  <c r="K14" i="13"/>
  <c r="K13" i="13"/>
  <c r="K12" i="13"/>
  <c r="K10" i="13"/>
  <c r="M10" i="13" s="1"/>
  <c r="K9" i="13"/>
  <c r="K8" i="13"/>
  <c r="K7" i="13"/>
  <c r="K6" i="13"/>
  <c r="I15" i="13"/>
  <c r="I14" i="13"/>
  <c r="I13" i="13"/>
  <c r="I12" i="13"/>
  <c r="I9" i="13"/>
  <c r="I8" i="13"/>
  <c r="I7" i="13"/>
  <c r="I6" i="13"/>
  <c r="G15" i="13"/>
  <c r="G14" i="13"/>
  <c r="G13" i="13"/>
  <c r="G12" i="13"/>
  <c r="G11" i="13"/>
  <c r="M11" i="13" s="1"/>
  <c r="G9" i="13"/>
  <c r="G8" i="13"/>
  <c r="G7" i="13"/>
  <c r="G6" i="13"/>
  <c r="AO15" i="13"/>
  <c r="AQ15" i="13" s="1"/>
  <c r="AO14" i="13"/>
  <c r="AQ14" i="13" s="1"/>
  <c r="AO13" i="13"/>
  <c r="AQ13" i="13" s="1"/>
  <c r="AO12" i="13"/>
  <c r="AQ12" i="13" s="1"/>
  <c r="AO11" i="13"/>
  <c r="AQ11" i="13" s="1"/>
  <c r="AO10" i="13"/>
  <c r="AQ10" i="13" s="1"/>
  <c r="AO9" i="13"/>
  <c r="AQ9" i="13" s="1"/>
  <c r="AO8" i="13"/>
  <c r="AQ8" i="13" s="1"/>
  <c r="AO7" i="13"/>
  <c r="AQ7" i="13" s="1"/>
  <c r="AO6" i="13"/>
  <c r="AQ6" i="13" s="1"/>
  <c r="M13" i="13" l="1"/>
  <c r="M6" i="13"/>
  <c r="M8" i="13"/>
  <c r="M15" i="13"/>
  <c r="M9" i="13"/>
  <c r="M7" i="13"/>
  <c r="M16" i="13" s="1"/>
  <c r="M17" i="13" s="1"/>
  <c r="M12" i="13"/>
  <c r="M14" i="13"/>
  <c r="AQ16" i="13"/>
  <c r="AS48" i="15"/>
  <c r="AR14" i="13"/>
  <c r="AS14" i="13" s="1"/>
  <c r="U13" i="13"/>
  <c r="V13" i="13" s="1"/>
  <c r="X15" i="13"/>
  <c r="Y15" i="13" s="1"/>
  <c r="AR12" i="13"/>
  <c r="AS12" i="13" s="1"/>
  <c r="AR11" i="13"/>
  <c r="AS11" i="13" s="1"/>
  <c r="AR8" i="13"/>
  <c r="AS8" i="13" s="1"/>
  <c r="AR6" i="13"/>
  <c r="AS6" i="13" s="1"/>
  <c r="AR9" i="13"/>
  <c r="AS9" i="13" s="1"/>
  <c r="AR7" i="13"/>
  <c r="AS7" i="13" s="1"/>
  <c r="K12" i="14"/>
  <c r="K11" i="14"/>
  <c r="K10" i="14"/>
  <c r="K9" i="14"/>
  <c r="K8" i="14"/>
  <c r="K7" i="14"/>
  <c r="K6" i="14"/>
  <c r="I12" i="14"/>
  <c r="I10" i="14"/>
  <c r="I9" i="14"/>
  <c r="I8" i="14"/>
  <c r="I7" i="14"/>
  <c r="G12" i="14"/>
  <c r="G11" i="14"/>
  <c r="M11" i="14" s="1"/>
  <c r="G10" i="14"/>
  <c r="M10" i="14" s="1"/>
  <c r="G9" i="14"/>
  <c r="M9" i="14" s="1"/>
  <c r="G8" i="14"/>
  <c r="G7" i="14"/>
  <c r="G6" i="14"/>
  <c r="AO12" i="14"/>
  <c r="AQ12" i="14" s="1"/>
  <c r="AO11" i="14"/>
  <c r="AQ11" i="14" s="1"/>
  <c r="AO10" i="14"/>
  <c r="AQ10" i="14" s="1"/>
  <c r="AO9" i="14"/>
  <c r="AQ9" i="14" s="1"/>
  <c r="AO8" i="14"/>
  <c r="AQ8" i="14" s="1"/>
  <c r="AO7" i="14"/>
  <c r="AQ7" i="14" s="1"/>
  <c r="AO6" i="14"/>
  <c r="AQ6" i="14" s="1"/>
  <c r="AO12" i="12"/>
  <c r="AQ12" i="12" s="1"/>
  <c r="AO10" i="12"/>
  <c r="AQ10" i="12" s="1"/>
  <c r="AO8" i="12"/>
  <c r="AQ8" i="12" s="1"/>
  <c r="AO7" i="12"/>
  <c r="AQ7" i="12" s="1"/>
  <c r="AO6" i="12"/>
  <c r="AQ6" i="12" s="1"/>
  <c r="K12" i="12"/>
  <c r="K11" i="12"/>
  <c r="K10" i="12"/>
  <c r="K9" i="12"/>
  <c r="K8" i="12"/>
  <c r="K7" i="12"/>
  <c r="K6" i="12"/>
  <c r="I12" i="12"/>
  <c r="I11" i="12"/>
  <c r="I10" i="12"/>
  <c r="I9" i="12"/>
  <c r="I8" i="12"/>
  <c r="I7" i="12"/>
  <c r="I6" i="12"/>
  <c r="G12" i="12"/>
  <c r="G11" i="12"/>
  <c r="M11" i="12" s="1"/>
  <c r="G9" i="12"/>
  <c r="M9" i="12" s="1"/>
  <c r="G8" i="12"/>
  <c r="M8" i="12" s="1"/>
  <c r="G7" i="12"/>
  <c r="M7" i="12" s="1"/>
  <c r="G6" i="12"/>
  <c r="M6" i="12" s="1"/>
  <c r="M12" i="14" l="1"/>
  <c r="M12" i="12"/>
  <c r="AQ17" i="13"/>
  <c r="AR17" i="13" s="1"/>
  <c r="M6" i="14"/>
  <c r="M7" i="14"/>
  <c r="M8" i="14"/>
  <c r="AA13" i="13"/>
  <c r="AB13" i="13" s="1"/>
  <c r="AQ14" i="14"/>
  <c r="X12" i="14"/>
  <c r="Y12" i="14" s="1"/>
  <c r="AD13" i="13"/>
  <c r="AE13" i="13" s="1"/>
  <c r="AG13" i="13"/>
  <c r="AH13" i="13" s="1"/>
  <c r="X13" i="13"/>
  <c r="Y13" i="13" s="1"/>
  <c r="AJ13" i="13"/>
  <c r="AK13" i="13" s="1"/>
  <c r="AR13" i="13"/>
  <c r="AS13" i="13" s="1"/>
  <c r="AA14" i="13"/>
  <c r="AB14" i="13" s="1"/>
  <c r="X14" i="13"/>
  <c r="Y14" i="13" s="1"/>
  <c r="AG15" i="13"/>
  <c r="AH15" i="13" s="1"/>
  <c r="R14" i="13"/>
  <c r="S14" i="13" s="1"/>
  <c r="AG14" i="13"/>
  <c r="AH14" i="13" s="1"/>
  <c r="AM13" i="13"/>
  <c r="AN13" i="13" s="1"/>
  <c r="U14" i="13"/>
  <c r="V14" i="13" s="1"/>
  <c r="O15" i="13"/>
  <c r="P15" i="13" s="1"/>
  <c r="AM15" i="13"/>
  <c r="AN15" i="13" s="1"/>
  <c r="AD15" i="13"/>
  <c r="AE15" i="13" s="1"/>
  <c r="O14" i="13"/>
  <c r="P14" i="13" s="1"/>
  <c r="AM14" i="13"/>
  <c r="AN14" i="13" s="1"/>
  <c r="AD14" i="13"/>
  <c r="AE14" i="13" s="1"/>
  <c r="AJ14" i="13"/>
  <c r="AK14" i="13" s="1"/>
  <c r="AJ11" i="14"/>
  <c r="AK11" i="14" s="1"/>
  <c r="AJ12" i="14"/>
  <c r="AK12" i="14" s="1"/>
  <c r="AD12" i="14"/>
  <c r="AE12" i="14" s="1"/>
  <c r="AG12" i="14"/>
  <c r="AH12" i="14" s="1"/>
  <c r="U12" i="14"/>
  <c r="V12" i="14" s="1"/>
  <c r="R12" i="14"/>
  <c r="S12" i="14" s="1"/>
  <c r="AA12" i="14"/>
  <c r="AB12" i="14" s="1"/>
  <c r="AM12" i="14"/>
  <c r="AN12" i="14" s="1"/>
  <c r="O13" i="13"/>
  <c r="P13" i="13" s="1"/>
  <c r="R13" i="13"/>
  <c r="S13" i="13" s="1"/>
  <c r="AR15" i="13"/>
  <c r="AS15" i="13" s="1"/>
  <c r="U15" i="13"/>
  <c r="V15" i="13" s="1"/>
  <c r="R15" i="13"/>
  <c r="S15" i="13" s="1"/>
  <c r="AJ15" i="13"/>
  <c r="AK15" i="13" s="1"/>
  <c r="AA15" i="13"/>
  <c r="AB15" i="13" s="1"/>
  <c r="X11" i="13"/>
  <c r="Y11" i="13" s="1"/>
  <c r="AM11" i="13"/>
  <c r="AN11" i="13" s="1"/>
  <c r="AG11" i="13"/>
  <c r="AH11" i="13" s="1"/>
  <c r="O11" i="13"/>
  <c r="P11" i="13" s="1"/>
  <c r="AA11" i="13"/>
  <c r="AB11" i="13" s="1"/>
  <c r="O12" i="13"/>
  <c r="P12" i="13" s="1"/>
  <c r="AD12" i="13"/>
  <c r="AE12" i="13" s="1"/>
  <c r="AG12" i="13"/>
  <c r="AH12" i="13" s="1"/>
  <c r="AM12" i="13"/>
  <c r="AN12" i="13" s="1"/>
  <c r="AA12" i="13"/>
  <c r="AB12" i="13" s="1"/>
  <c r="U12" i="13"/>
  <c r="V12" i="13" s="1"/>
  <c r="X12" i="13"/>
  <c r="Y12" i="13" s="1"/>
  <c r="AJ12" i="13"/>
  <c r="AK12" i="13" s="1"/>
  <c r="U11" i="13"/>
  <c r="V11" i="13" s="1"/>
  <c r="AJ11" i="13"/>
  <c r="AK11" i="13" s="1"/>
  <c r="R11" i="13"/>
  <c r="S11" i="13" s="1"/>
  <c r="AD11" i="13"/>
  <c r="AE11" i="13" s="1"/>
  <c r="R12" i="13"/>
  <c r="S12" i="13" s="1"/>
  <c r="AR10" i="13"/>
  <c r="AS10" i="13" s="1"/>
  <c r="R10" i="13"/>
  <c r="AO71" i="11"/>
  <c r="AQ71" i="11" s="1"/>
  <c r="AO67" i="11"/>
  <c r="AQ67" i="11" s="1"/>
  <c r="AO66" i="11"/>
  <c r="AQ66" i="11" s="1"/>
  <c r="AO64" i="11"/>
  <c r="AQ64" i="11" s="1"/>
  <c r="AO65" i="11"/>
  <c r="AQ65" i="11" s="1"/>
  <c r="AO68" i="11"/>
  <c r="AQ68" i="11" s="1"/>
  <c r="AO69" i="11"/>
  <c r="AQ69" i="11" s="1"/>
  <c r="AO70" i="11"/>
  <c r="AQ70" i="11" s="1"/>
  <c r="AO73" i="11"/>
  <c r="AQ73" i="11" s="1"/>
  <c r="K64" i="11"/>
  <c r="K65" i="11"/>
  <c r="K66" i="11"/>
  <c r="K67" i="11"/>
  <c r="K69" i="11"/>
  <c r="K70" i="11"/>
  <c r="K71" i="11"/>
  <c r="K73" i="11"/>
  <c r="I64" i="11"/>
  <c r="I65" i="11"/>
  <c r="I66" i="11"/>
  <c r="I67" i="11"/>
  <c r="I69" i="11"/>
  <c r="I70" i="11"/>
  <c r="I71" i="11"/>
  <c r="I73" i="11"/>
  <c r="G64" i="11"/>
  <c r="G65" i="11"/>
  <c r="G66" i="11"/>
  <c r="G67" i="11"/>
  <c r="G68" i="11"/>
  <c r="M68" i="11" s="1"/>
  <c r="G69" i="11"/>
  <c r="G70" i="11"/>
  <c r="M70" i="11" s="1"/>
  <c r="G71" i="11"/>
  <c r="M71" i="11" s="1"/>
  <c r="G73" i="11"/>
  <c r="M73" i="11" s="1"/>
  <c r="M66" i="11" l="1"/>
  <c r="M67" i="11"/>
  <c r="AQ18" i="13"/>
  <c r="M69" i="11"/>
  <c r="M65" i="11"/>
  <c r="M64" i="11"/>
  <c r="O64" i="11" s="1"/>
  <c r="P64" i="11" s="1"/>
  <c r="O12" i="14"/>
  <c r="P12" i="14" s="1"/>
  <c r="AJ67" i="11"/>
  <c r="AK67" i="11" s="1"/>
  <c r="AM73" i="11"/>
  <c r="AN73" i="11" s="1"/>
  <c r="U69" i="11"/>
  <c r="V69" i="11" s="1"/>
  <c r="AD66" i="11"/>
  <c r="AE66" i="11" s="1"/>
  <c r="AM65" i="11"/>
  <c r="AN65" i="11" s="1"/>
  <c r="AR71" i="11"/>
  <c r="AS71" i="11" s="1"/>
  <c r="AM70" i="11"/>
  <c r="AN70" i="11" s="1"/>
  <c r="AM11" i="14"/>
  <c r="AN11" i="14" s="1"/>
  <c r="O11" i="14"/>
  <c r="P11" i="14" s="1"/>
  <c r="X11" i="14"/>
  <c r="Y11" i="14" s="1"/>
  <c r="AG11" i="14"/>
  <c r="AH11" i="14" s="1"/>
  <c r="U11" i="14"/>
  <c r="V11" i="14" s="1"/>
  <c r="AA11" i="14"/>
  <c r="AB11" i="14" s="1"/>
  <c r="AD11" i="14"/>
  <c r="AE11" i="14" s="1"/>
  <c r="R11" i="14"/>
  <c r="S11" i="14" s="1"/>
  <c r="O68" i="11"/>
  <c r="P68" i="11" s="1"/>
  <c r="AO63" i="11"/>
  <c r="AQ63" i="11" s="1"/>
  <c r="AO58" i="11"/>
  <c r="AQ58" i="11" s="1"/>
  <c r="AO55" i="11"/>
  <c r="AQ55" i="11" s="1"/>
  <c r="AO53" i="11"/>
  <c r="AQ53" i="11" s="1"/>
  <c r="AO50" i="11"/>
  <c r="AQ50" i="11" s="1"/>
  <c r="AO48" i="11"/>
  <c r="AQ48" i="11" s="1"/>
  <c r="AO47" i="11"/>
  <c r="AQ47" i="11" s="1"/>
  <c r="AO42" i="11"/>
  <c r="AQ42" i="11" s="1"/>
  <c r="AO40" i="11"/>
  <c r="AQ40" i="11" s="1"/>
  <c r="AO33" i="11"/>
  <c r="AQ33" i="11" s="1"/>
  <c r="AO32" i="11"/>
  <c r="AQ32" i="11" s="1"/>
  <c r="AO27" i="11"/>
  <c r="AQ27" i="11" s="1"/>
  <c r="AO24" i="11"/>
  <c r="AQ24" i="11" s="1"/>
  <c r="AO23" i="11"/>
  <c r="AQ23" i="11" s="1"/>
  <c r="AO21" i="11"/>
  <c r="AQ21" i="11" s="1"/>
  <c r="AO17" i="11"/>
  <c r="AQ17" i="11" s="1"/>
  <c r="AO16" i="11"/>
  <c r="AQ16" i="11" s="1"/>
  <c r="AO15" i="11"/>
  <c r="AQ15" i="11" s="1"/>
  <c r="AO14" i="11"/>
  <c r="AQ14" i="11" s="1"/>
  <c r="AO12" i="11"/>
  <c r="AQ12" i="11" s="1"/>
  <c r="AO9" i="11"/>
  <c r="AQ9" i="11" s="1"/>
  <c r="AO6" i="11"/>
  <c r="F6" i="11"/>
  <c r="L6" i="11" s="1"/>
  <c r="K63" i="11"/>
  <c r="K62" i="11"/>
  <c r="K61" i="11"/>
  <c r="K60" i="11"/>
  <c r="K59" i="11"/>
  <c r="K58" i="11"/>
  <c r="K57" i="11"/>
  <c r="K56" i="11"/>
  <c r="K55" i="11"/>
  <c r="K54" i="11"/>
  <c r="K53" i="11"/>
  <c r="K52" i="11"/>
  <c r="K51" i="11"/>
  <c r="K50" i="11"/>
  <c r="K49" i="11"/>
  <c r="K48" i="11"/>
  <c r="K47" i="11"/>
  <c r="K46" i="11"/>
  <c r="K45" i="11"/>
  <c r="K44" i="11"/>
  <c r="K43" i="11"/>
  <c r="K42" i="11"/>
  <c r="K41" i="11"/>
  <c r="K40" i="11"/>
  <c r="K39" i="11"/>
  <c r="K38" i="11"/>
  <c r="K37" i="11"/>
  <c r="K36" i="11"/>
  <c r="K35" i="11"/>
  <c r="K34" i="11"/>
  <c r="K33" i="11"/>
  <c r="K31" i="11"/>
  <c r="K30" i="11"/>
  <c r="K29" i="11"/>
  <c r="K28" i="11"/>
  <c r="K27" i="11"/>
  <c r="K26" i="11"/>
  <c r="K25" i="11"/>
  <c r="K24" i="11"/>
  <c r="K23" i="11"/>
  <c r="K22" i="11"/>
  <c r="K21" i="11"/>
  <c r="K20" i="11"/>
  <c r="K19" i="11"/>
  <c r="K18" i="11"/>
  <c r="K17" i="11"/>
  <c r="K16" i="11"/>
  <c r="K15" i="11"/>
  <c r="K14" i="11"/>
  <c r="K13" i="11"/>
  <c r="K12" i="11"/>
  <c r="K11" i="11"/>
  <c r="K10" i="11"/>
  <c r="K9" i="11"/>
  <c r="K8" i="11"/>
  <c r="K7" i="11"/>
  <c r="I63" i="11"/>
  <c r="I62" i="11"/>
  <c r="I61" i="11"/>
  <c r="I60" i="11"/>
  <c r="I59" i="11"/>
  <c r="I58" i="11"/>
  <c r="I57" i="11"/>
  <c r="I56" i="11"/>
  <c r="I55" i="11"/>
  <c r="I54" i="11"/>
  <c r="I53" i="11"/>
  <c r="I52" i="11"/>
  <c r="I50" i="11"/>
  <c r="I49" i="11"/>
  <c r="I48" i="11"/>
  <c r="I47" i="11"/>
  <c r="I46" i="11"/>
  <c r="I45" i="11"/>
  <c r="I44" i="11"/>
  <c r="I43" i="11"/>
  <c r="I42" i="11"/>
  <c r="I41" i="11"/>
  <c r="I40" i="11"/>
  <c r="I39" i="11"/>
  <c r="I38" i="11"/>
  <c r="I37" i="11"/>
  <c r="I36" i="11"/>
  <c r="I35" i="11"/>
  <c r="I34" i="11"/>
  <c r="I33" i="11"/>
  <c r="I32" i="11"/>
  <c r="I31" i="11"/>
  <c r="I30" i="11"/>
  <c r="I29" i="11"/>
  <c r="I28" i="11"/>
  <c r="I27" i="11"/>
  <c r="I26" i="11"/>
  <c r="I25" i="11"/>
  <c r="I24" i="11"/>
  <c r="I23" i="11"/>
  <c r="I22" i="11"/>
  <c r="I21" i="11"/>
  <c r="I20" i="11"/>
  <c r="I19" i="11"/>
  <c r="I18" i="11"/>
  <c r="I17" i="11"/>
  <c r="I16" i="11"/>
  <c r="I15" i="11"/>
  <c r="I14" i="11"/>
  <c r="I13" i="11"/>
  <c r="I12" i="11"/>
  <c r="I11" i="11"/>
  <c r="I10" i="11"/>
  <c r="I9" i="11"/>
  <c r="I8" i="11"/>
  <c r="I7" i="11"/>
  <c r="I6" i="11"/>
  <c r="G63" i="11"/>
  <c r="G62" i="11"/>
  <c r="G61" i="11"/>
  <c r="G60" i="11"/>
  <c r="G59" i="11"/>
  <c r="G58" i="11"/>
  <c r="G57" i="11"/>
  <c r="G56" i="11"/>
  <c r="G55" i="11"/>
  <c r="G54" i="11"/>
  <c r="G53" i="11"/>
  <c r="G52" i="11"/>
  <c r="G51" i="11"/>
  <c r="G50" i="11"/>
  <c r="G49" i="11"/>
  <c r="G48" i="11"/>
  <c r="G47" i="11"/>
  <c r="G46" i="11"/>
  <c r="G45" i="11"/>
  <c r="M45" i="11" s="1"/>
  <c r="G44" i="11"/>
  <c r="M44" i="11" s="1"/>
  <c r="G43" i="11"/>
  <c r="G42" i="11"/>
  <c r="G41" i="11"/>
  <c r="G40" i="11"/>
  <c r="G39" i="11"/>
  <c r="G38" i="11"/>
  <c r="G37" i="11"/>
  <c r="G36" i="11"/>
  <c r="G35" i="11"/>
  <c r="G34" i="11"/>
  <c r="G33" i="11"/>
  <c r="G32" i="11"/>
  <c r="G31" i="11"/>
  <c r="G30" i="11"/>
  <c r="G29" i="11"/>
  <c r="G28" i="11"/>
  <c r="G27" i="11"/>
  <c r="G26" i="11"/>
  <c r="G25" i="11"/>
  <c r="M25" i="11" s="1"/>
  <c r="G24" i="11"/>
  <c r="M24" i="11" s="1"/>
  <c r="G23" i="11"/>
  <c r="G22" i="11"/>
  <c r="G21" i="11"/>
  <c r="G20" i="11"/>
  <c r="G19" i="11"/>
  <c r="G18" i="11"/>
  <c r="G17" i="11"/>
  <c r="G16" i="11"/>
  <c r="G15" i="11"/>
  <c r="G14" i="11"/>
  <c r="G13" i="11"/>
  <c r="G12" i="11"/>
  <c r="G11" i="11"/>
  <c r="G10" i="11"/>
  <c r="G9" i="11"/>
  <c r="G8" i="11"/>
  <c r="G7" i="11"/>
  <c r="M50" i="11" l="1"/>
  <c r="M7" i="11"/>
  <c r="M29" i="11"/>
  <c r="M31" i="11"/>
  <c r="M32" i="11"/>
  <c r="M48" i="11"/>
  <c r="M49" i="11"/>
  <c r="M35" i="11"/>
  <c r="M47" i="11"/>
  <c r="M9" i="11"/>
  <c r="M30" i="11"/>
  <c r="M11" i="11"/>
  <c r="M53" i="11"/>
  <c r="M14" i="11"/>
  <c r="M15" i="11"/>
  <c r="M36" i="11"/>
  <c r="M17" i="11"/>
  <c r="M58" i="11"/>
  <c r="M59" i="11"/>
  <c r="M60" i="11"/>
  <c r="M61" i="11"/>
  <c r="M46" i="11"/>
  <c r="M28" i="11"/>
  <c r="M52" i="11"/>
  <c r="M33" i="11"/>
  <c r="M34" i="11"/>
  <c r="M16" i="11"/>
  <c r="M37" i="11"/>
  <c r="M18" i="11"/>
  <c r="M39" i="11"/>
  <c r="M40" i="11"/>
  <c r="M62" i="11"/>
  <c r="M26" i="11"/>
  <c r="M27" i="11"/>
  <c r="M8" i="11"/>
  <c r="M10" i="11"/>
  <c r="M51" i="11"/>
  <c r="M12" i="11"/>
  <c r="M13" i="11"/>
  <c r="M54" i="11"/>
  <c r="M55" i="11"/>
  <c r="M56" i="11"/>
  <c r="M57" i="11"/>
  <c r="M38" i="11"/>
  <c r="M19" i="11"/>
  <c r="M20" i="11"/>
  <c r="M21" i="11"/>
  <c r="M41" i="11"/>
  <c r="M22" i="11"/>
  <c r="M42" i="11"/>
  <c r="M23" i="11"/>
  <c r="M43" i="11"/>
  <c r="M63" i="11"/>
  <c r="G6" i="11"/>
  <c r="AP6" i="11"/>
  <c r="AQ6" i="11"/>
  <c r="R69" i="11"/>
  <c r="S69" i="11" s="1"/>
  <c r="O70" i="11"/>
  <c r="P70" i="11" s="1"/>
  <c r="AG69" i="11"/>
  <c r="AH69" i="11" s="1"/>
  <c r="AG73" i="11"/>
  <c r="AH73" i="11" s="1"/>
  <c r="AJ70" i="11"/>
  <c r="AK70" i="11" s="1"/>
  <c r="U70" i="11"/>
  <c r="V70" i="11" s="1"/>
  <c r="AD68" i="11"/>
  <c r="AE68" i="11" s="1"/>
  <c r="R68" i="11"/>
  <c r="S68" i="11" s="1"/>
  <c r="AJ68" i="11"/>
  <c r="AK68" i="11" s="1"/>
  <c r="O69" i="11"/>
  <c r="P69" i="11" s="1"/>
  <c r="AD69" i="11"/>
  <c r="AE69" i="11" s="1"/>
  <c r="X69" i="11"/>
  <c r="Y69" i="11" s="1"/>
  <c r="AA69" i="11"/>
  <c r="AB69" i="11" s="1"/>
  <c r="AM69" i="11"/>
  <c r="AN69" i="11" s="1"/>
  <c r="AJ69" i="11"/>
  <c r="AK69" i="11" s="1"/>
  <c r="AD70" i="11"/>
  <c r="AE70" i="11" s="1"/>
  <c r="AA70" i="11"/>
  <c r="AB70" i="11" s="1"/>
  <c r="R70" i="11"/>
  <c r="S70" i="11" s="1"/>
  <c r="AA71" i="11"/>
  <c r="AB71" i="11" s="1"/>
  <c r="AG71" i="11"/>
  <c r="AH71" i="11" s="1"/>
  <c r="AR73" i="11"/>
  <c r="AS73" i="11" s="1"/>
  <c r="AJ73" i="11"/>
  <c r="AK73" i="11" s="1"/>
  <c r="X70" i="11"/>
  <c r="Y70" i="11" s="1"/>
  <c r="AD71" i="11"/>
  <c r="AE71" i="11" s="1"/>
  <c r="O71" i="11"/>
  <c r="P71" i="11" s="1"/>
  <c r="AR70" i="11"/>
  <c r="AS70" i="11" s="1"/>
  <c r="AJ71" i="11"/>
  <c r="AK71" i="11" s="1"/>
  <c r="AG70" i="11"/>
  <c r="AH70" i="11" s="1"/>
  <c r="AG68" i="11"/>
  <c r="AH68" i="11" s="1"/>
  <c r="X68" i="11"/>
  <c r="Y68" i="11" s="1"/>
  <c r="R71" i="11"/>
  <c r="S71" i="11" s="1"/>
  <c r="AA68" i="11"/>
  <c r="AB68" i="11" s="1"/>
  <c r="O66" i="11"/>
  <c r="P66" i="11" s="1"/>
  <c r="AR68" i="11"/>
  <c r="AS68" i="11" s="1"/>
  <c r="U68" i="11"/>
  <c r="V68" i="11" s="1"/>
  <c r="AJ65" i="11"/>
  <c r="AK65" i="11" s="1"/>
  <c r="AJ66" i="11"/>
  <c r="AK66" i="11" s="1"/>
  <c r="R66" i="11"/>
  <c r="S66" i="11" s="1"/>
  <c r="X64" i="11"/>
  <c r="Y64" i="11" s="1"/>
  <c r="AD73" i="11"/>
  <c r="AE73" i="11" s="1"/>
  <c r="AA73" i="11"/>
  <c r="AB73" i="11" s="1"/>
  <c r="O73" i="11"/>
  <c r="P73" i="11" s="1"/>
  <c r="X73" i="11"/>
  <c r="Y73" i="11" s="1"/>
  <c r="U73" i="11"/>
  <c r="V73" i="11" s="1"/>
  <c r="AR69" i="11"/>
  <c r="AS69" i="11" s="1"/>
  <c r="AG65" i="11"/>
  <c r="AH65" i="11" s="1"/>
  <c r="AR65" i="11"/>
  <c r="AS65" i="11" s="1"/>
  <c r="AM68" i="11"/>
  <c r="AN68" i="11" s="1"/>
  <c r="R67" i="11"/>
  <c r="S67" i="11" s="1"/>
  <c r="AM67" i="11"/>
  <c r="AN67" i="11" s="1"/>
  <c r="AD65" i="11"/>
  <c r="AE65" i="11" s="1"/>
  <c r="U67" i="11"/>
  <c r="V67" i="11" s="1"/>
  <c r="AG64" i="11"/>
  <c r="AH64" i="11" s="1"/>
  <c r="AR67" i="11"/>
  <c r="AS67" i="11" s="1"/>
  <c r="AD64" i="11"/>
  <c r="AE64" i="11" s="1"/>
  <c r="AG66" i="11"/>
  <c r="AH66" i="11" s="1"/>
  <c r="U66" i="11"/>
  <c r="V66" i="11" s="1"/>
  <c r="X67" i="11"/>
  <c r="Y67" i="11" s="1"/>
  <c r="X66" i="11"/>
  <c r="Y66" i="11" s="1"/>
  <c r="AA67" i="11"/>
  <c r="AB67" i="11" s="1"/>
  <c r="AR66" i="11"/>
  <c r="AS66" i="11" s="1"/>
  <c r="AD67" i="11"/>
  <c r="AE67" i="11" s="1"/>
  <c r="AM66" i="11"/>
  <c r="AN66" i="11" s="1"/>
  <c r="R73" i="11"/>
  <c r="S73" i="11" s="1"/>
  <c r="AA64" i="11"/>
  <c r="AB64" i="11" s="1"/>
  <c r="AM64" i="11"/>
  <c r="AN64" i="11" s="1"/>
  <c r="U65" i="11"/>
  <c r="V65" i="11" s="1"/>
  <c r="AG67" i="11"/>
  <c r="AH67" i="11" s="1"/>
  <c r="AJ64" i="11"/>
  <c r="AK64" i="11" s="1"/>
  <c r="O65" i="11"/>
  <c r="P65" i="11" s="1"/>
  <c r="O67" i="11"/>
  <c r="P67" i="11" s="1"/>
  <c r="X65" i="11"/>
  <c r="Y65" i="11" s="1"/>
  <c r="AA65" i="11"/>
  <c r="AB65" i="11" s="1"/>
  <c r="R65" i="11"/>
  <c r="S65" i="11" s="1"/>
  <c r="AR64" i="11"/>
  <c r="AS64" i="11" s="1"/>
  <c r="AA66" i="11"/>
  <c r="AB66" i="11" s="1"/>
  <c r="R64" i="11"/>
  <c r="S64" i="11" s="1"/>
  <c r="U64" i="11"/>
  <c r="V64" i="11" s="1"/>
  <c r="U71" i="11"/>
  <c r="V71" i="11" s="1"/>
  <c r="AM71" i="11"/>
  <c r="AN71" i="11" s="1"/>
  <c r="X71" i="11"/>
  <c r="Y71" i="11" s="1"/>
  <c r="M6" i="11"/>
  <c r="G10" i="12"/>
  <c r="M10" i="12" s="1"/>
  <c r="AR12" i="14"/>
  <c r="AM9" i="14" l="1"/>
  <c r="AN9" i="14" s="1"/>
  <c r="O9" i="14"/>
  <c r="P9" i="14" s="1"/>
  <c r="AM6" i="14"/>
  <c r="AN6" i="14" s="1"/>
  <c r="O6" i="14"/>
  <c r="P6" i="14" s="1"/>
  <c r="AR7" i="14"/>
  <c r="AS7" i="14" s="1"/>
  <c r="O7" i="14"/>
  <c r="P7" i="14" s="1"/>
  <c r="AM8" i="14"/>
  <c r="AN8" i="14" s="1"/>
  <c r="O8" i="14"/>
  <c r="P8" i="14" s="1"/>
  <c r="AM10" i="14"/>
  <c r="AN10" i="14" s="1"/>
  <c r="O10" i="14"/>
  <c r="P10" i="14" s="1"/>
  <c r="AG7" i="14"/>
  <c r="AH7" i="14" s="1"/>
  <c r="X7" i="14"/>
  <c r="Y7" i="14" s="1"/>
  <c r="AA7" i="14"/>
  <c r="AB7" i="14" s="1"/>
  <c r="AJ7" i="14"/>
  <c r="AK7" i="14" s="1"/>
  <c r="U6" i="14"/>
  <c r="V6" i="14" s="1"/>
  <c r="AA6" i="14"/>
  <c r="AB6" i="14" s="1"/>
  <c r="AD6" i="14"/>
  <c r="AE6" i="14" s="1"/>
  <c r="AG8" i="14"/>
  <c r="AH8" i="14" s="1"/>
  <c r="X9" i="14"/>
  <c r="Y9" i="14" s="1"/>
  <c r="AG6" i="14"/>
  <c r="AH6" i="14" s="1"/>
  <c r="AR6" i="14"/>
  <c r="AS6" i="14" s="1"/>
  <c r="AG10" i="14"/>
  <c r="AH10" i="14" s="1"/>
  <c r="AJ10" i="14"/>
  <c r="AK10" i="14" s="1"/>
  <c r="R6" i="14"/>
  <c r="S6" i="14" s="1"/>
  <c r="X6" i="14"/>
  <c r="Y6" i="14" s="1"/>
  <c r="AJ6" i="14"/>
  <c r="AK6" i="14" s="1"/>
  <c r="R10" i="14"/>
  <c r="S10" i="14" s="1"/>
  <c r="X10" i="14"/>
  <c r="Y10" i="14" s="1"/>
  <c r="U7" i="14"/>
  <c r="V7" i="14" s="1"/>
  <c r="AA8" i="14"/>
  <c r="AB8" i="14" s="1"/>
  <c r="AR8" i="14"/>
  <c r="AS8" i="14" s="1"/>
  <c r="R8" i="14"/>
  <c r="S8" i="14" s="1"/>
  <c r="AJ8" i="14"/>
  <c r="AK8" i="14" s="1"/>
  <c r="X8" i="14"/>
  <c r="Y8" i="14" s="1"/>
  <c r="U8" i="14"/>
  <c r="V8" i="14" s="1"/>
  <c r="AD8" i="14"/>
  <c r="AE8" i="14" s="1"/>
  <c r="AR11" i="14"/>
  <c r="AS11" i="14" s="1"/>
  <c r="AJ9" i="14"/>
  <c r="AK9" i="14" s="1"/>
  <c r="AA9" i="14"/>
  <c r="AB9" i="14" s="1"/>
  <c r="AD9" i="14"/>
  <c r="AE9" i="14" s="1"/>
  <c r="R9" i="14"/>
  <c r="S9" i="14" s="1"/>
  <c r="AR9" i="14"/>
  <c r="AS9" i="14" s="1"/>
  <c r="AG9" i="14"/>
  <c r="AH9" i="14" s="1"/>
  <c r="U9" i="14"/>
  <c r="V9" i="14" s="1"/>
  <c r="R7" i="14"/>
  <c r="S7" i="14" s="1"/>
  <c r="AM7" i="14"/>
  <c r="AN7" i="14" s="1"/>
  <c r="AD7" i="14"/>
  <c r="AE7" i="14" s="1"/>
  <c r="AS12" i="14"/>
  <c r="AD10" i="14"/>
  <c r="AE10" i="14" s="1"/>
  <c r="U10" i="14"/>
  <c r="V10" i="14" s="1"/>
  <c r="AR10" i="14"/>
  <c r="AS10" i="14" s="1"/>
  <c r="AA10" i="14"/>
  <c r="AB10" i="14" s="1"/>
  <c r="AS14" i="14" l="1"/>
  <c r="O9" i="13"/>
  <c r="P9" i="13" s="1"/>
  <c r="O8" i="13"/>
  <c r="P8" i="13" s="1"/>
  <c r="AL9" i="12"/>
  <c r="AI9" i="12"/>
  <c r="AF9" i="12"/>
  <c r="AC9" i="12"/>
  <c r="Z9" i="12"/>
  <c r="W9" i="12"/>
  <c r="T9" i="12"/>
  <c r="Q9" i="12"/>
  <c r="AM7" i="13" l="1"/>
  <c r="AN7" i="13" s="1"/>
  <c r="O7" i="13"/>
  <c r="P7" i="13" s="1"/>
  <c r="O10" i="13"/>
  <c r="P10" i="13" s="1"/>
  <c r="O6" i="13"/>
  <c r="P6" i="13" s="1"/>
  <c r="AO9" i="12"/>
  <c r="AQ9" i="12" s="1"/>
  <c r="AQ13" i="12" s="1"/>
  <c r="R7" i="13"/>
  <c r="S7" i="13" s="1"/>
  <c r="U10" i="13"/>
  <c r="V10" i="13" s="1"/>
  <c r="U7" i="13"/>
  <c r="V7" i="13" s="1"/>
  <c r="X10" i="13"/>
  <c r="Y10" i="13" s="1"/>
  <c r="AA10" i="13"/>
  <c r="AB10" i="13" s="1"/>
  <c r="AD7" i="13"/>
  <c r="AE7" i="13" s="1"/>
  <c r="AA6" i="13"/>
  <c r="AB6" i="13" s="1"/>
  <c r="AG7" i="13"/>
  <c r="AH7" i="13" s="1"/>
  <c r="AG10" i="13"/>
  <c r="AH10" i="13" s="1"/>
  <c r="S10" i="13"/>
  <c r="AD10" i="13"/>
  <c r="AE10" i="13" s="1"/>
  <c r="AM6" i="13"/>
  <c r="AN6" i="13" s="1"/>
  <c r="AJ10" i="13"/>
  <c r="AK10" i="13" s="1"/>
  <c r="X7" i="13"/>
  <c r="Y7" i="13" s="1"/>
  <c r="AA7" i="13"/>
  <c r="AB7" i="13" s="1"/>
  <c r="U6" i="13"/>
  <c r="V6" i="13" s="1"/>
  <c r="AJ7" i="13"/>
  <c r="AK7" i="13" s="1"/>
  <c r="AD8" i="13"/>
  <c r="AE8" i="13" s="1"/>
  <c r="AA8" i="13"/>
  <c r="AB8" i="13" s="1"/>
  <c r="AG8" i="13"/>
  <c r="AH8" i="13" s="1"/>
  <c r="U8" i="13"/>
  <c r="V8" i="13" s="1"/>
  <c r="R8" i="13"/>
  <c r="S8" i="13" s="1"/>
  <c r="AM8" i="13"/>
  <c r="AN8" i="13" s="1"/>
  <c r="AJ8" i="13"/>
  <c r="AK8" i="13" s="1"/>
  <c r="X8" i="13"/>
  <c r="Y8" i="13" s="1"/>
  <c r="AA9" i="13"/>
  <c r="AB9" i="13" s="1"/>
  <c r="X9" i="13"/>
  <c r="Y9" i="13" s="1"/>
  <c r="R9" i="13"/>
  <c r="S9" i="13" s="1"/>
  <c r="U9" i="13"/>
  <c r="V9" i="13" s="1"/>
  <c r="AD9" i="13"/>
  <c r="AE9" i="13" s="1"/>
  <c r="AG9" i="13"/>
  <c r="AH9" i="13" s="1"/>
  <c r="AJ9" i="13"/>
  <c r="AK9" i="13" s="1"/>
  <c r="AM9" i="13"/>
  <c r="AN9" i="13" s="1"/>
  <c r="AS16" i="13"/>
  <c r="AG6" i="13"/>
  <c r="AH6" i="13" s="1"/>
  <c r="AE6" i="13"/>
  <c r="X6" i="13"/>
  <c r="Y6" i="13" s="1"/>
  <c r="AJ6" i="13"/>
  <c r="AK6" i="13" s="1"/>
  <c r="R6" i="13"/>
  <c r="S6" i="13" s="1"/>
  <c r="AM10" i="13"/>
  <c r="AN10" i="13" s="1"/>
  <c r="AA11" i="12" l="1"/>
  <c r="AB11" i="12" s="1"/>
  <c r="AJ8" i="12"/>
  <c r="AK8" i="12" s="1"/>
  <c r="AA7" i="12"/>
  <c r="AB7" i="12" s="1"/>
  <c r="AR6" i="12"/>
  <c r="U8" i="12" l="1"/>
  <c r="V8" i="12" s="1"/>
  <c r="AR7" i="12"/>
  <c r="AS7" i="12" s="1"/>
  <c r="AD8" i="12"/>
  <c r="AE8" i="12" s="1"/>
  <c r="X8" i="12"/>
  <c r="Y8" i="12" s="1"/>
  <c r="AA8" i="12"/>
  <c r="AB8" i="12" s="1"/>
  <c r="AR8" i="12"/>
  <c r="AS8" i="12" s="1"/>
  <c r="AG8" i="12"/>
  <c r="AH8" i="12" s="1"/>
  <c r="X7" i="12"/>
  <c r="Y7" i="12" s="1"/>
  <c r="R8" i="12"/>
  <c r="S8" i="12" s="1"/>
  <c r="U6" i="12"/>
  <c r="V6" i="12" s="1"/>
  <c r="O6" i="12"/>
  <c r="P6" i="12" s="1"/>
  <c r="X6" i="12"/>
  <c r="Y6" i="12" s="1"/>
  <c r="AG6" i="12"/>
  <c r="AH6" i="12" s="1"/>
  <c r="U7" i="12"/>
  <c r="V7" i="12" s="1"/>
  <c r="O7" i="12"/>
  <c r="P7" i="12" s="1"/>
  <c r="AG7" i="12"/>
  <c r="AH7" i="12" s="1"/>
  <c r="O8" i="12"/>
  <c r="P8" i="12" s="1"/>
  <c r="AM6" i="12"/>
  <c r="AN6" i="12" s="1"/>
  <c r="AM11" i="12"/>
  <c r="AN11" i="12" s="1"/>
  <c r="O11" i="12"/>
  <c r="P11" i="12" s="1"/>
  <c r="AG9" i="12"/>
  <c r="AH9" i="12" s="1"/>
  <c r="O9" i="12"/>
  <c r="P9" i="12" s="1"/>
  <c r="R6" i="12"/>
  <c r="S6" i="12" s="1"/>
  <c r="AM7" i="12"/>
  <c r="AN7" i="12" s="1"/>
  <c r="O12" i="12"/>
  <c r="P12" i="12" s="1"/>
  <c r="AA10" i="12"/>
  <c r="AB10" i="12" s="1"/>
  <c r="O10" i="12"/>
  <c r="P10" i="12" s="1"/>
  <c r="AD6" i="12"/>
  <c r="AE6" i="12" s="1"/>
  <c r="AM8" i="12"/>
  <c r="AN8" i="12" s="1"/>
  <c r="X9" i="12"/>
  <c r="Y9" i="12" s="1"/>
  <c r="AD9" i="12"/>
  <c r="AE9" i="12" s="1"/>
  <c r="R9" i="12"/>
  <c r="S9" i="12" s="1"/>
  <c r="AM9" i="12"/>
  <c r="AN9" i="12" s="1"/>
  <c r="AR9" i="12"/>
  <c r="AS9" i="12" s="1"/>
  <c r="AA9" i="12"/>
  <c r="AB9" i="12" s="1"/>
  <c r="AJ9" i="12"/>
  <c r="AK9" i="12" s="1"/>
  <c r="U9" i="12"/>
  <c r="V9" i="12" s="1"/>
  <c r="AA12" i="12"/>
  <c r="AB12" i="12" s="1"/>
  <c r="AJ10" i="12"/>
  <c r="AK10" i="12" s="1"/>
  <c r="U12" i="12"/>
  <c r="V12" i="12" s="1"/>
  <c r="AJ12" i="12"/>
  <c r="AK12" i="12" s="1"/>
  <c r="AD11" i="12"/>
  <c r="AE11" i="12" s="1"/>
  <c r="AR12" i="12"/>
  <c r="AS12" i="12" s="1"/>
  <c r="X10" i="12"/>
  <c r="Y10" i="12" s="1"/>
  <c r="AM10" i="12"/>
  <c r="AN10" i="12" s="1"/>
  <c r="X12" i="12"/>
  <c r="Y12" i="12" s="1"/>
  <c r="AM12" i="12"/>
  <c r="AN12" i="12" s="1"/>
  <c r="R10" i="12"/>
  <c r="S10" i="12" s="1"/>
  <c r="R11" i="12"/>
  <c r="S11" i="12" s="1"/>
  <c r="AG11" i="12"/>
  <c r="AH11" i="12" s="1"/>
  <c r="R12" i="12"/>
  <c r="S12" i="12" s="1"/>
  <c r="AG12" i="12"/>
  <c r="AH12" i="12" s="1"/>
  <c r="U10" i="12"/>
  <c r="V10" i="12" s="1"/>
  <c r="U11" i="12"/>
  <c r="V11" i="12" s="1"/>
  <c r="AJ11" i="12"/>
  <c r="AK11" i="12" s="1"/>
  <c r="AD10" i="12"/>
  <c r="AE10" i="12" s="1"/>
  <c r="AR10" i="12"/>
  <c r="AS10" i="12" s="1"/>
  <c r="AR11" i="12"/>
  <c r="AS11" i="12" s="1"/>
  <c r="AD12" i="12"/>
  <c r="AE12" i="12" s="1"/>
  <c r="X11" i="12"/>
  <c r="Y11" i="12" s="1"/>
  <c r="AG10" i="12"/>
  <c r="AH10" i="12" s="1"/>
  <c r="AJ6" i="12"/>
  <c r="AK6" i="12" s="1"/>
  <c r="AS6" i="12"/>
  <c r="AJ7" i="12"/>
  <c r="AK7" i="12" s="1"/>
  <c r="R7" i="12"/>
  <c r="S7" i="12" s="1"/>
  <c r="AD7" i="12"/>
  <c r="AE7" i="12" s="1"/>
  <c r="AA6" i="12"/>
  <c r="AB6" i="12" s="1"/>
  <c r="AS13" i="12" l="1"/>
  <c r="AO62" i="11"/>
  <c r="AQ62" i="11" s="1"/>
  <c r="O62" i="11"/>
  <c r="P62" i="11" s="1"/>
  <c r="AO61" i="11"/>
  <c r="AQ61" i="11" s="1"/>
  <c r="AO60" i="11"/>
  <c r="AQ60" i="11" s="1"/>
  <c r="O60" i="11"/>
  <c r="P60" i="11" s="1"/>
  <c r="AO59" i="11"/>
  <c r="AQ59" i="11" s="1"/>
  <c r="O58" i="11"/>
  <c r="P58" i="11" s="1"/>
  <c r="AO57" i="11"/>
  <c r="AQ57" i="11" s="1"/>
  <c r="AO56" i="11"/>
  <c r="AQ56" i="11" s="1"/>
  <c r="AO54" i="11"/>
  <c r="AQ54" i="11" s="1"/>
  <c r="O54" i="11"/>
  <c r="P54" i="11" s="1"/>
  <c r="AO52" i="11"/>
  <c r="AQ52" i="11" s="1"/>
  <c r="AO51" i="11"/>
  <c r="AQ51" i="11" s="1"/>
  <c r="O51" i="11"/>
  <c r="P51" i="11" s="1"/>
  <c r="AO49" i="11"/>
  <c r="AQ49" i="11" s="1"/>
  <c r="O49" i="11"/>
  <c r="P49" i="11" s="1"/>
  <c r="AO46" i="11"/>
  <c r="AQ46" i="11" s="1"/>
  <c r="AO45" i="11"/>
  <c r="AQ45" i="11" s="1"/>
  <c r="AO44" i="11"/>
  <c r="AQ44" i="11" s="1"/>
  <c r="AO43" i="11"/>
  <c r="AQ43" i="11" s="1"/>
  <c r="O43" i="11"/>
  <c r="P43" i="11" s="1"/>
  <c r="AO41" i="11"/>
  <c r="AQ41" i="11" s="1"/>
  <c r="O40" i="11"/>
  <c r="P40" i="11" s="1"/>
  <c r="AO39" i="11"/>
  <c r="AQ39" i="11" s="1"/>
  <c r="O39" i="11"/>
  <c r="P39" i="11" s="1"/>
  <c r="AO38" i="11"/>
  <c r="AQ38" i="11" s="1"/>
  <c r="AO37" i="11"/>
  <c r="AQ37" i="11" s="1"/>
  <c r="O37" i="11"/>
  <c r="P37" i="11" s="1"/>
  <c r="AO36" i="11"/>
  <c r="AQ36" i="11" s="1"/>
  <c r="O36" i="11"/>
  <c r="P36" i="11" s="1"/>
  <c r="AO35" i="11"/>
  <c r="AQ35" i="11" s="1"/>
  <c r="AO34" i="11"/>
  <c r="AQ34" i="11" s="1"/>
  <c r="AO31" i="11"/>
  <c r="AQ31" i="11" s="1"/>
  <c r="AO30" i="11"/>
  <c r="AQ30" i="11" s="1"/>
  <c r="AO29" i="11"/>
  <c r="AQ29" i="11" s="1"/>
  <c r="O29" i="11"/>
  <c r="P29" i="11" s="1"/>
  <c r="AO28" i="11"/>
  <c r="AQ28" i="11" s="1"/>
  <c r="O28" i="11"/>
  <c r="P28" i="11" s="1"/>
  <c r="AO26" i="11"/>
  <c r="AQ26" i="11" s="1"/>
  <c r="O26" i="11"/>
  <c r="P26" i="11" s="1"/>
  <c r="AO25" i="11"/>
  <c r="AQ25" i="11" s="1"/>
  <c r="O24" i="11"/>
  <c r="P24" i="11" s="1"/>
  <c r="AO22" i="11"/>
  <c r="AQ22" i="11" s="1"/>
  <c r="O22" i="11"/>
  <c r="P22" i="11" s="1"/>
  <c r="AO20" i="11"/>
  <c r="AQ20" i="11" s="1"/>
  <c r="AO19" i="11"/>
  <c r="AQ19" i="11" s="1"/>
  <c r="AO18" i="11"/>
  <c r="AQ18" i="11" s="1"/>
  <c r="AO13" i="11"/>
  <c r="AQ13" i="11" s="1"/>
  <c r="AO11" i="11"/>
  <c r="AQ11" i="11" s="1"/>
  <c r="AO10" i="11"/>
  <c r="AQ10" i="11" s="1"/>
  <c r="AO8" i="11"/>
  <c r="AQ8" i="11" s="1"/>
  <c r="AO7" i="11"/>
  <c r="AQ7" i="11" s="1"/>
  <c r="O6" i="11"/>
  <c r="P6" i="11" s="1"/>
  <c r="AQ74" i="11" l="1"/>
  <c r="AR27" i="11"/>
  <c r="O27" i="11"/>
  <c r="P27" i="11" s="1"/>
  <c r="O63" i="11"/>
  <c r="P63" i="11" s="1"/>
  <c r="AM14" i="11"/>
  <c r="AN14" i="11" s="1"/>
  <c r="O14" i="11"/>
  <c r="P14" i="11" s="1"/>
  <c r="O17" i="11"/>
  <c r="P17" i="11" s="1"/>
  <c r="AR9" i="11"/>
  <c r="AS9" i="11" s="1"/>
  <c r="O9" i="11"/>
  <c r="P9" i="11" s="1"/>
  <c r="AG20" i="11"/>
  <c r="AH20" i="11" s="1"/>
  <c r="O20" i="11"/>
  <c r="P20" i="11" s="1"/>
  <c r="AM30" i="11"/>
  <c r="AN30" i="11" s="1"/>
  <c r="O30" i="11"/>
  <c r="P30" i="11" s="1"/>
  <c r="AR47" i="11"/>
  <c r="AS47" i="11" s="1"/>
  <c r="O47" i="11"/>
  <c r="P47" i="11" s="1"/>
  <c r="AR52" i="11"/>
  <c r="AS52" i="11" s="1"/>
  <c r="O52" i="11"/>
  <c r="P52" i="11" s="1"/>
  <c r="AM53" i="11"/>
  <c r="AN53" i="11" s="1"/>
  <c r="O53" i="11"/>
  <c r="P53" i="11" s="1"/>
  <c r="U55" i="11"/>
  <c r="V55" i="11" s="1"/>
  <c r="O55" i="11"/>
  <c r="P55" i="11" s="1"/>
  <c r="AR61" i="11"/>
  <c r="AS61" i="11" s="1"/>
  <c r="O61" i="11"/>
  <c r="P61" i="11" s="1"/>
  <c r="AD45" i="11"/>
  <c r="AE45" i="11" s="1"/>
  <c r="O45" i="11"/>
  <c r="P45" i="11" s="1"/>
  <c r="R38" i="11"/>
  <c r="S38" i="11" s="1"/>
  <c r="O38" i="11"/>
  <c r="P38" i="11" s="1"/>
  <c r="AR21" i="11"/>
  <c r="AS21" i="11" s="1"/>
  <c r="O21" i="11"/>
  <c r="P21" i="11" s="1"/>
  <c r="AJ31" i="11"/>
  <c r="AK31" i="11" s="1"/>
  <c r="O31" i="11"/>
  <c r="P31" i="11" s="1"/>
  <c r="AM56" i="11"/>
  <c r="AN56" i="11" s="1"/>
  <c r="O56" i="11"/>
  <c r="P56" i="11" s="1"/>
  <c r="AA35" i="11"/>
  <c r="AB35" i="11" s="1"/>
  <c r="O35" i="11"/>
  <c r="P35" i="11" s="1"/>
  <c r="AM18" i="11"/>
  <c r="AN18" i="11" s="1"/>
  <c r="O18" i="11"/>
  <c r="P18" i="11" s="1"/>
  <c r="AJ19" i="11"/>
  <c r="AK19" i="11" s="1"/>
  <c r="O19" i="11"/>
  <c r="P19" i="11" s="1"/>
  <c r="AJ11" i="11"/>
  <c r="AK11" i="11" s="1"/>
  <c r="O11" i="11"/>
  <c r="P11" i="11" s="1"/>
  <c r="R41" i="11"/>
  <c r="S41" i="11" s="1"/>
  <c r="O41" i="11"/>
  <c r="P41" i="11" s="1"/>
  <c r="X59" i="11"/>
  <c r="Y59" i="11" s="1"/>
  <c r="O59" i="11"/>
  <c r="P59" i="11" s="1"/>
  <c r="AR16" i="11"/>
  <c r="AS16" i="11" s="1"/>
  <c r="O16" i="11"/>
  <c r="P16" i="11" s="1"/>
  <c r="AD7" i="11"/>
  <c r="AE7" i="11" s="1"/>
  <c r="O7" i="11"/>
  <c r="P7" i="11" s="1"/>
  <c r="AA46" i="11"/>
  <c r="AB46" i="11" s="1"/>
  <c r="O46" i="11"/>
  <c r="P46" i="11" s="1"/>
  <c r="AG32" i="11"/>
  <c r="AH32" i="11" s="1"/>
  <c r="O32" i="11"/>
  <c r="P32" i="11" s="1"/>
  <c r="AR48" i="11"/>
  <c r="AS48" i="11" s="1"/>
  <c r="O48" i="11"/>
  <c r="P48" i="11" s="1"/>
  <c r="U57" i="11"/>
  <c r="V57" i="11" s="1"/>
  <c r="O57" i="11"/>
  <c r="P57" i="11" s="1"/>
  <c r="R50" i="11"/>
  <c r="S50" i="11" s="1"/>
  <c r="O50" i="11"/>
  <c r="P50" i="11" s="1"/>
  <c r="AD8" i="11"/>
  <c r="AE8" i="11" s="1"/>
  <c r="O8" i="11"/>
  <c r="P8" i="11" s="1"/>
  <c r="O10" i="11"/>
  <c r="P10" i="11" s="1"/>
  <c r="AM12" i="11"/>
  <c r="AN12" i="11" s="1"/>
  <c r="O12" i="11"/>
  <c r="P12" i="11" s="1"/>
  <c r="AA23" i="11"/>
  <c r="AB23" i="11" s="1"/>
  <c r="O23" i="11"/>
  <c r="P23" i="11" s="1"/>
  <c r="AR33" i="11"/>
  <c r="AS33" i="11" s="1"/>
  <c r="O33" i="11"/>
  <c r="P33" i="11" s="1"/>
  <c r="AM42" i="11"/>
  <c r="AN42" i="11" s="1"/>
  <c r="O42" i="11"/>
  <c r="P42" i="11" s="1"/>
  <c r="AM25" i="11"/>
  <c r="AN25" i="11" s="1"/>
  <c r="O25" i="11"/>
  <c r="P25" i="11" s="1"/>
  <c r="U15" i="11"/>
  <c r="V15" i="11" s="1"/>
  <c r="O15" i="11"/>
  <c r="P15" i="11" s="1"/>
  <c r="R44" i="11"/>
  <c r="S44" i="11" s="1"/>
  <c r="O44" i="11"/>
  <c r="P44" i="11" s="1"/>
  <c r="AM13" i="11"/>
  <c r="AN13" i="11" s="1"/>
  <c r="O13" i="11"/>
  <c r="P13" i="11" s="1"/>
  <c r="AR34" i="11"/>
  <c r="AS34" i="11" s="1"/>
  <c r="O34" i="11"/>
  <c r="P34" i="11" s="1"/>
  <c r="AM32" i="11"/>
  <c r="AN32" i="11" s="1"/>
  <c r="AJ32" i="11"/>
  <c r="AK32" i="11" s="1"/>
  <c r="AD18" i="11"/>
  <c r="AE18" i="11" s="1"/>
  <c r="AJ18" i="11"/>
  <c r="AK18" i="11" s="1"/>
  <c r="AM11" i="11"/>
  <c r="AN11" i="11" s="1"/>
  <c r="AA18" i="11"/>
  <c r="AB18" i="11" s="1"/>
  <c r="AM46" i="11"/>
  <c r="AN46" i="11" s="1"/>
  <c r="AR46" i="11"/>
  <c r="AS46" i="11" s="1"/>
  <c r="U35" i="11"/>
  <c r="V35" i="11" s="1"/>
  <c r="X61" i="11"/>
  <c r="Y61" i="11" s="1"/>
  <c r="U46" i="11"/>
  <c r="V46" i="11" s="1"/>
  <c r="X18" i="11"/>
  <c r="Y18" i="11" s="1"/>
  <c r="AR18" i="11"/>
  <c r="AS18" i="11" s="1"/>
  <c r="AG38" i="11"/>
  <c r="AH38" i="11" s="1"/>
  <c r="AG61" i="11"/>
  <c r="AH61" i="11" s="1"/>
  <c r="AD46" i="11"/>
  <c r="AE46" i="11" s="1"/>
  <c r="AG18" i="11"/>
  <c r="AH18" i="11" s="1"/>
  <c r="AG23" i="11"/>
  <c r="AH23" i="11" s="1"/>
  <c r="X30" i="11"/>
  <c r="Y30" i="11" s="1"/>
  <c r="AA30" i="11"/>
  <c r="AB30" i="11" s="1"/>
  <c r="AD59" i="11"/>
  <c r="AE59" i="11" s="1"/>
  <c r="U9" i="11"/>
  <c r="V9" i="11" s="1"/>
  <c r="X12" i="11"/>
  <c r="Y12" i="11" s="1"/>
  <c r="AD30" i="11"/>
  <c r="AE30" i="11" s="1"/>
  <c r="AG12" i="11"/>
  <c r="AH12" i="11" s="1"/>
  <c r="AJ59" i="11"/>
  <c r="AK59" i="11" s="1"/>
  <c r="AJ9" i="11"/>
  <c r="AK9" i="11" s="1"/>
  <c r="AJ12" i="11"/>
  <c r="AK12" i="11" s="1"/>
  <c r="AR30" i="11"/>
  <c r="AS30" i="11" s="1"/>
  <c r="AM35" i="11"/>
  <c r="AN35" i="11" s="1"/>
  <c r="AA44" i="11"/>
  <c r="AB44" i="11" s="1"/>
  <c r="R56" i="11"/>
  <c r="S56" i="11" s="1"/>
  <c r="AR35" i="11"/>
  <c r="AS35" i="11" s="1"/>
  <c r="AJ44" i="11"/>
  <c r="AK44" i="11" s="1"/>
  <c r="AA13" i="11"/>
  <c r="AB13" i="11" s="1"/>
  <c r="X56" i="11"/>
  <c r="Y56" i="11" s="1"/>
  <c r="AR44" i="11"/>
  <c r="AS44" i="11" s="1"/>
  <c r="AJ56" i="11"/>
  <c r="AK56" i="11" s="1"/>
  <c r="AJ23" i="11"/>
  <c r="AK23" i="11" s="1"/>
  <c r="AM47" i="11"/>
  <c r="AN47" i="11" s="1"/>
  <c r="AM9" i="11"/>
  <c r="AN9" i="11" s="1"/>
  <c r="AA11" i="11"/>
  <c r="AB11" i="11" s="1"/>
  <c r="AR32" i="11"/>
  <c r="AS32" i="11" s="1"/>
  <c r="AR56" i="11"/>
  <c r="AS56" i="11" s="1"/>
  <c r="AJ61" i="11"/>
  <c r="AK61" i="11" s="1"/>
  <c r="R12" i="11"/>
  <c r="S12" i="11" s="1"/>
  <c r="X35" i="11"/>
  <c r="Y35" i="11" s="1"/>
  <c r="AM59" i="11"/>
  <c r="AN59" i="11" s="1"/>
  <c r="AM19" i="11"/>
  <c r="AN19" i="11" s="1"/>
  <c r="AG11" i="11"/>
  <c r="AH11" i="11" s="1"/>
  <c r="AM23" i="11"/>
  <c r="AN23" i="11" s="1"/>
  <c r="AG59" i="11"/>
  <c r="AH59" i="11" s="1"/>
  <c r="AD9" i="11"/>
  <c r="AE9" i="11" s="1"/>
  <c r="AD35" i="11"/>
  <c r="AE35" i="11" s="1"/>
  <c r="X44" i="11"/>
  <c r="Y44" i="11" s="1"/>
  <c r="U56" i="11"/>
  <c r="V56" i="11" s="1"/>
  <c r="AJ38" i="11"/>
  <c r="AK38" i="11" s="1"/>
  <c r="X46" i="11"/>
  <c r="Y46" i="11" s="1"/>
  <c r="AR23" i="11"/>
  <c r="AS23" i="11" s="1"/>
  <c r="U18" i="11"/>
  <c r="V18" i="11" s="1"/>
  <c r="AD28" i="11"/>
  <c r="AE28" i="11" s="1"/>
  <c r="AG28" i="11"/>
  <c r="AH28" i="11" s="1"/>
  <c r="AJ28" i="11"/>
  <c r="AK28" i="11" s="1"/>
  <c r="AA28" i="11"/>
  <c r="AB28" i="11" s="1"/>
  <c r="X28" i="11"/>
  <c r="Y28" i="11" s="1"/>
  <c r="U28" i="11"/>
  <c r="V28" i="11" s="1"/>
  <c r="R28" i="11"/>
  <c r="S28" i="11" s="1"/>
  <c r="AM28" i="11"/>
  <c r="AN28" i="11" s="1"/>
  <c r="R33" i="11"/>
  <c r="S33" i="11" s="1"/>
  <c r="R39" i="11"/>
  <c r="S39" i="11" s="1"/>
  <c r="AM39" i="11"/>
  <c r="AN39" i="11" s="1"/>
  <c r="AG39" i="11"/>
  <c r="AH39" i="11" s="1"/>
  <c r="AD39" i="11"/>
  <c r="AE39" i="11" s="1"/>
  <c r="AA39" i="11"/>
  <c r="AB39" i="11" s="1"/>
  <c r="X39" i="11"/>
  <c r="Y39" i="11" s="1"/>
  <c r="U24" i="11"/>
  <c r="V24" i="11" s="1"/>
  <c r="X24" i="11"/>
  <c r="Y24" i="11" s="1"/>
  <c r="R24" i="11"/>
  <c r="S24" i="11" s="1"/>
  <c r="AR24" i="11"/>
  <c r="AJ24" i="11"/>
  <c r="AK24" i="11" s="1"/>
  <c r="AG24" i="11"/>
  <c r="AH24" i="11" s="1"/>
  <c r="R29" i="11"/>
  <c r="S29" i="11" s="1"/>
  <c r="AM29" i="11"/>
  <c r="AN29" i="11" s="1"/>
  <c r="AA33" i="11"/>
  <c r="AB33" i="11" s="1"/>
  <c r="U39" i="11"/>
  <c r="V39" i="11" s="1"/>
  <c r="AA54" i="11"/>
  <c r="AB54" i="11" s="1"/>
  <c r="X54" i="11"/>
  <c r="Y54" i="11" s="1"/>
  <c r="U54" i="11"/>
  <c r="V54" i="11" s="1"/>
  <c r="R54" i="11"/>
  <c r="S54" i="11" s="1"/>
  <c r="AM54" i="11"/>
  <c r="AN54" i="11" s="1"/>
  <c r="X29" i="11"/>
  <c r="Y29" i="11" s="1"/>
  <c r="R31" i="11"/>
  <c r="S31" i="11" s="1"/>
  <c r="AJ39" i="11"/>
  <c r="AK39" i="11" s="1"/>
  <c r="AM50" i="11"/>
  <c r="AN50" i="11" s="1"/>
  <c r="AA24" i="11"/>
  <c r="AB24" i="11" s="1"/>
  <c r="AD33" i="11"/>
  <c r="AE33" i="11" s="1"/>
  <c r="AJ58" i="11"/>
  <c r="AK58" i="11" s="1"/>
  <c r="AG58" i="11"/>
  <c r="AH58" i="11" s="1"/>
  <c r="AA58" i="11"/>
  <c r="AB58" i="11" s="1"/>
  <c r="U58" i="11"/>
  <c r="V58" i="11" s="1"/>
  <c r="AM6" i="11"/>
  <c r="AN6" i="11" s="1"/>
  <c r="AG6" i="11"/>
  <c r="AH6" i="11" s="1"/>
  <c r="AG21" i="11"/>
  <c r="AH21" i="11" s="1"/>
  <c r="AA29" i="11"/>
  <c r="AB29" i="11" s="1"/>
  <c r="AR39" i="11"/>
  <c r="AJ51" i="11"/>
  <c r="AK51" i="11" s="1"/>
  <c r="AG51" i="11"/>
  <c r="AH51" i="11" s="1"/>
  <c r="AD51" i="11"/>
  <c r="AE51" i="11" s="1"/>
  <c r="AM51" i="11"/>
  <c r="AN51" i="11" s="1"/>
  <c r="AA51" i="11"/>
  <c r="AB51" i="11" s="1"/>
  <c r="X16" i="11"/>
  <c r="Y16" i="11" s="1"/>
  <c r="R51" i="11"/>
  <c r="S51" i="11" s="1"/>
  <c r="AR31" i="11"/>
  <c r="AS31" i="11" s="1"/>
  <c r="AR43" i="11"/>
  <c r="AS43" i="11" s="1"/>
  <c r="AM43" i="11"/>
  <c r="AN43" i="11" s="1"/>
  <c r="AJ43" i="11"/>
  <c r="AK43" i="11" s="1"/>
  <c r="AD43" i="11"/>
  <c r="AE43" i="11" s="1"/>
  <c r="U51" i="11"/>
  <c r="V51" i="11" s="1"/>
  <c r="AG25" i="11"/>
  <c r="AH25" i="11" s="1"/>
  <c r="AD25" i="11"/>
  <c r="AE25" i="11" s="1"/>
  <c r="AA25" i="11"/>
  <c r="AB25" i="11" s="1"/>
  <c r="AD27" i="11"/>
  <c r="AE27" i="11" s="1"/>
  <c r="X51" i="11"/>
  <c r="Y51" i="11" s="1"/>
  <c r="X25" i="11"/>
  <c r="Y25" i="11" s="1"/>
  <c r="AR51" i="11"/>
  <c r="AS51" i="11" s="1"/>
  <c r="AJ45" i="11"/>
  <c r="AK45" i="11" s="1"/>
  <c r="AG45" i="11"/>
  <c r="AH45" i="11" s="1"/>
  <c r="AM45" i="11"/>
  <c r="AN45" i="11" s="1"/>
  <c r="AR28" i="11"/>
  <c r="AS28" i="11" s="1"/>
  <c r="X33" i="11"/>
  <c r="Y33" i="11" s="1"/>
  <c r="R42" i="11"/>
  <c r="S42" i="11" s="1"/>
  <c r="R45" i="11"/>
  <c r="S45" i="11" s="1"/>
  <c r="AD26" i="11"/>
  <c r="AE26" i="11" s="1"/>
  <c r="AR26" i="11"/>
  <c r="AG26" i="11"/>
  <c r="AH26" i="11" s="1"/>
  <c r="AA26" i="11"/>
  <c r="AB26" i="11" s="1"/>
  <c r="X26" i="11"/>
  <c r="Y26" i="11" s="1"/>
  <c r="U26" i="11"/>
  <c r="V26" i="11" s="1"/>
  <c r="X42" i="11"/>
  <c r="Y42" i="11" s="1"/>
  <c r="AA45" i="11"/>
  <c r="AB45" i="11" s="1"/>
  <c r="X10" i="11"/>
  <c r="Y10" i="11" s="1"/>
  <c r="U10" i="11"/>
  <c r="V10" i="11" s="1"/>
  <c r="R10" i="11"/>
  <c r="S10" i="11" s="1"/>
  <c r="AJ10" i="11"/>
  <c r="AK10" i="11" s="1"/>
  <c r="AG10" i="11"/>
  <c r="AH10" i="11" s="1"/>
  <c r="AD10" i="11"/>
  <c r="AE10" i="11" s="1"/>
  <c r="U21" i="11"/>
  <c r="V21" i="11" s="1"/>
  <c r="R26" i="11"/>
  <c r="S26" i="11" s="1"/>
  <c r="AA42" i="11"/>
  <c r="AB42" i="11" s="1"/>
  <c r="AD21" i="11"/>
  <c r="AE21" i="11" s="1"/>
  <c r="AJ26" i="11"/>
  <c r="AK26" i="11" s="1"/>
  <c r="U31" i="11"/>
  <c r="V31" i="11" s="1"/>
  <c r="AG42" i="11"/>
  <c r="AH42" i="11" s="1"/>
  <c r="AD54" i="11"/>
  <c r="AE54" i="11" s="1"/>
  <c r="AG31" i="11"/>
  <c r="AH31" i="11" s="1"/>
  <c r="AA10" i="11"/>
  <c r="AB10" i="11" s="1"/>
  <c r="AD24" i="11"/>
  <c r="AE24" i="11" s="1"/>
  <c r="AM36" i="11"/>
  <c r="AN36" i="11" s="1"/>
  <c r="X36" i="11"/>
  <c r="Y36" i="11" s="1"/>
  <c r="U36" i="11"/>
  <c r="V36" i="11" s="1"/>
  <c r="AM21" i="11"/>
  <c r="AN21" i="11" s="1"/>
  <c r="U27" i="11"/>
  <c r="V27" i="11" s="1"/>
  <c r="AD29" i="11"/>
  <c r="AE29" i="11" s="1"/>
  <c r="AM33" i="11"/>
  <c r="AN33" i="11" s="1"/>
  <c r="AJ16" i="11"/>
  <c r="AK16" i="11" s="1"/>
  <c r="AA27" i="11"/>
  <c r="AB27" i="11" s="1"/>
  <c r="AG29" i="11"/>
  <c r="AH29" i="11" s="1"/>
  <c r="AR36" i="11"/>
  <c r="AS36" i="11" s="1"/>
  <c r="R62" i="11"/>
  <c r="S62" i="11" s="1"/>
  <c r="AJ62" i="11"/>
  <c r="AK62" i="11" s="1"/>
  <c r="AG62" i="11"/>
  <c r="AH62" i="11" s="1"/>
  <c r="AD62" i="11"/>
  <c r="AE62" i="11" s="1"/>
  <c r="AM62" i="11"/>
  <c r="AN62" i="11" s="1"/>
  <c r="AA62" i="11"/>
  <c r="AB62" i="11" s="1"/>
  <c r="AM10" i="11"/>
  <c r="AN10" i="11" s="1"/>
  <c r="AG22" i="11"/>
  <c r="AH22" i="11" s="1"/>
  <c r="AA22" i="11"/>
  <c r="AB22" i="11" s="1"/>
  <c r="U22" i="11"/>
  <c r="V22" i="11" s="1"/>
  <c r="AM22" i="11"/>
  <c r="AN22" i="11" s="1"/>
  <c r="U43" i="11"/>
  <c r="V43" i="11" s="1"/>
  <c r="AR17" i="11"/>
  <c r="AM17" i="11"/>
  <c r="AN17" i="11" s="1"/>
  <c r="R22" i="11"/>
  <c r="S22" i="11" s="1"/>
  <c r="AG27" i="11"/>
  <c r="AH27" i="11" s="1"/>
  <c r="AM41" i="11"/>
  <c r="AN41" i="11" s="1"/>
  <c r="AJ41" i="11"/>
  <c r="AK41" i="11" s="1"/>
  <c r="AG41" i="11"/>
  <c r="AH41" i="11" s="1"/>
  <c r="AD41" i="11"/>
  <c r="AE41" i="11" s="1"/>
  <c r="U62" i="11"/>
  <c r="V62" i="11" s="1"/>
  <c r="AR10" i="11"/>
  <c r="AS10" i="11" s="1"/>
  <c r="R25" i="11"/>
  <c r="S25" i="11" s="1"/>
  <c r="AJ27" i="11"/>
  <c r="AK27" i="11" s="1"/>
  <c r="X62" i="11"/>
  <c r="Y62" i="11" s="1"/>
  <c r="AD11" i="11"/>
  <c r="AE11" i="11" s="1"/>
  <c r="U11" i="11"/>
  <c r="V11" i="11" s="1"/>
  <c r="R11" i="11"/>
  <c r="S11" i="11" s="1"/>
  <c r="AR11" i="11"/>
  <c r="AS11" i="11" s="1"/>
  <c r="AJ17" i="11"/>
  <c r="AK17" i="11" s="1"/>
  <c r="AJ25" i="11"/>
  <c r="AK25" i="11" s="1"/>
  <c r="AM27" i="11"/>
  <c r="AN27" i="11" s="1"/>
  <c r="AA41" i="11"/>
  <c r="AB41" i="11" s="1"/>
  <c r="AG33" i="11"/>
  <c r="AH33" i="11" s="1"/>
  <c r="AJ33" i="11"/>
  <c r="AK33" i="11" s="1"/>
  <c r="R60" i="11"/>
  <c r="S60" i="11" s="1"/>
  <c r="AM60" i="11"/>
  <c r="AN60" i="11" s="1"/>
  <c r="AA60" i="11"/>
  <c r="AB60" i="11" s="1"/>
  <c r="AD60" i="11"/>
  <c r="AE60" i="11" s="1"/>
  <c r="R14" i="11"/>
  <c r="S14" i="11" s="1"/>
  <c r="R23" i="11"/>
  <c r="S23" i="11" s="1"/>
  <c r="AJ35" i="11"/>
  <c r="AK35" i="11" s="1"/>
  <c r="AG35" i="11"/>
  <c r="AH35" i="11" s="1"/>
  <c r="AJ46" i="11"/>
  <c r="AK46" i="11" s="1"/>
  <c r="AG46" i="11"/>
  <c r="AH46" i="11" s="1"/>
  <c r="U47" i="11"/>
  <c r="V47" i="11" s="1"/>
  <c r="AG60" i="11"/>
  <c r="AH60" i="11" s="1"/>
  <c r="AR12" i="11"/>
  <c r="AS12" i="11" s="1"/>
  <c r="AD12" i="11"/>
  <c r="AE12" i="11" s="1"/>
  <c r="AA12" i="11"/>
  <c r="AB12" i="11" s="1"/>
  <c r="U23" i="11"/>
  <c r="V23" i="11" s="1"/>
  <c r="X47" i="11"/>
  <c r="Y47" i="11" s="1"/>
  <c r="AG56" i="11"/>
  <c r="AH56" i="11" s="1"/>
  <c r="AD56" i="11"/>
  <c r="AE56" i="11" s="1"/>
  <c r="AA56" i="11"/>
  <c r="AB56" i="11" s="1"/>
  <c r="AD23" i="11"/>
  <c r="AE23" i="11" s="1"/>
  <c r="R35" i="11"/>
  <c r="S35" i="11" s="1"/>
  <c r="R46" i="11"/>
  <c r="S46" i="11" s="1"/>
  <c r="AG47" i="11"/>
  <c r="AH47" i="11" s="1"/>
  <c r="R18" i="11"/>
  <c r="S18" i="11" s="1"/>
  <c r="U34" i="11"/>
  <c r="V34" i="11" s="1"/>
  <c r="AD20" i="11"/>
  <c r="AE20" i="11" s="1"/>
  <c r="R8" i="11"/>
  <c r="S8" i="11" s="1"/>
  <c r="AG8" i="11"/>
  <c r="AH8" i="11" s="1"/>
  <c r="AA8" i="11"/>
  <c r="AB8" i="11" s="1"/>
  <c r="X8" i="11"/>
  <c r="Y8" i="11" s="1"/>
  <c r="AJ37" i="11"/>
  <c r="AK37" i="11" s="1"/>
  <c r="AG37" i="11"/>
  <c r="AH37" i="11" s="1"/>
  <c r="AR37" i="11"/>
  <c r="AS37" i="11" s="1"/>
  <c r="AD37" i="11"/>
  <c r="AE37" i="11" s="1"/>
  <c r="AM37" i="11"/>
  <c r="AN37" i="11" s="1"/>
  <c r="U37" i="11"/>
  <c r="V37" i="11" s="1"/>
  <c r="AA48" i="11"/>
  <c r="AB48" i="11" s="1"/>
  <c r="X48" i="11"/>
  <c r="Y48" i="11" s="1"/>
  <c r="R48" i="11"/>
  <c r="S48" i="11" s="1"/>
  <c r="AG48" i="11"/>
  <c r="AH48" i="11" s="1"/>
  <c r="AD48" i="11"/>
  <c r="AE48" i="11" s="1"/>
  <c r="U48" i="11"/>
  <c r="V48" i="11" s="1"/>
  <c r="X57" i="11"/>
  <c r="Y57" i="11" s="1"/>
  <c r="AM8" i="11"/>
  <c r="AN8" i="11" s="1"/>
  <c r="AJ14" i="11"/>
  <c r="AK14" i="11" s="1"/>
  <c r="AA14" i="11"/>
  <c r="AB14" i="11" s="1"/>
  <c r="AR14" i="11"/>
  <c r="AS14" i="11" s="1"/>
  <c r="U14" i="11"/>
  <c r="V14" i="11" s="1"/>
  <c r="AG14" i="11"/>
  <c r="AH14" i="11" s="1"/>
  <c r="AD14" i="11"/>
  <c r="AE14" i="11" s="1"/>
  <c r="X14" i="11"/>
  <c r="Y14" i="11" s="1"/>
  <c r="AG15" i="11"/>
  <c r="AH15" i="11" s="1"/>
  <c r="AJ20" i="11"/>
  <c r="AK20" i="11" s="1"/>
  <c r="AS27" i="11"/>
  <c r="AA37" i="11"/>
  <c r="AB37" i="11" s="1"/>
  <c r="X50" i="11"/>
  <c r="Y50" i="11" s="1"/>
  <c r="AR50" i="11"/>
  <c r="AS50" i="11" s="1"/>
  <c r="U50" i="11"/>
  <c r="V50" i="11" s="1"/>
  <c r="AG50" i="11"/>
  <c r="AH50" i="11" s="1"/>
  <c r="AA50" i="11"/>
  <c r="AB50" i="11" s="1"/>
  <c r="AD50" i="11"/>
  <c r="AE50" i="11" s="1"/>
  <c r="AM49" i="11"/>
  <c r="AN49" i="11" s="1"/>
  <c r="AG49" i="11"/>
  <c r="AH49" i="11" s="1"/>
  <c r="AD49" i="11"/>
  <c r="AE49" i="11" s="1"/>
  <c r="X49" i="11"/>
  <c r="Y49" i="11" s="1"/>
  <c r="AJ49" i="11"/>
  <c r="AK49" i="11" s="1"/>
  <c r="AA49" i="11"/>
  <c r="AB49" i="11" s="1"/>
  <c r="U49" i="11"/>
  <c r="V49" i="11" s="1"/>
  <c r="R49" i="11"/>
  <c r="S49" i="11" s="1"/>
  <c r="AA20" i="11"/>
  <c r="AB20" i="11" s="1"/>
  <c r="AG63" i="11"/>
  <c r="AH63" i="11" s="1"/>
  <c r="X63" i="11"/>
  <c r="Y63" i="11" s="1"/>
  <c r="AM63" i="11"/>
  <c r="AN63" i="11" s="1"/>
  <c r="AJ63" i="11"/>
  <c r="AK63" i="11" s="1"/>
  <c r="AD63" i="11"/>
  <c r="AE63" i="11" s="1"/>
  <c r="AA63" i="11"/>
  <c r="AB63" i="11" s="1"/>
  <c r="U63" i="11"/>
  <c r="V63" i="11" s="1"/>
  <c r="R37" i="11"/>
  <c r="S37" i="11" s="1"/>
  <c r="R63" i="11"/>
  <c r="S63" i="11" s="1"/>
  <c r="AM40" i="11"/>
  <c r="AN40" i="11" s="1"/>
  <c r="AG40" i="11"/>
  <c r="AH40" i="11" s="1"/>
  <c r="AD40" i="11"/>
  <c r="AE40" i="11" s="1"/>
  <c r="R40" i="11"/>
  <c r="S40" i="11" s="1"/>
  <c r="AR40" i="11"/>
  <c r="AS40" i="11" s="1"/>
  <c r="AR49" i="11"/>
  <c r="AM16" i="11"/>
  <c r="AN16" i="11" s="1"/>
  <c r="AG19" i="11"/>
  <c r="AH19" i="11" s="1"/>
  <c r="AD19" i="11"/>
  <c r="AE19" i="11" s="1"/>
  <c r="U19" i="11"/>
  <c r="V19" i="11" s="1"/>
  <c r="R19" i="11"/>
  <c r="S19" i="11" s="1"/>
  <c r="AR19" i="11"/>
  <c r="AS19" i="11" s="1"/>
  <c r="X37" i="11"/>
  <c r="Y37" i="11" s="1"/>
  <c r="U40" i="11"/>
  <c r="V40" i="11" s="1"/>
  <c r="AJ6" i="11"/>
  <c r="AK6" i="11" s="1"/>
  <c r="AA6" i="11"/>
  <c r="AB6" i="11" s="1"/>
  <c r="AR6" i="11"/>
  <c r="U6" i="11"/>
  <c r="V6" i="11" s="1"/>
  <c r="AD6" i="11"/>
  <c r="AE6" i="11" s="1"/>
  <c r="X6" i="11"/>
  <c r="Y6" i="11" s="1"/>
  <c r="R6" i="11"/>
  <c r="S6" i="11" s="1"/>
  <c r="AG7" i="11"/>
  <c r="AH7" i="11" s="1"/>
  <c r="X19" i="11"/>
  <c r="Y19" i="11" s="1"/>
  <c r="X40" i="11"/>
  <c r="Y40" i="11" s="1"/>
  <c r="AJ48" i="11"/>
  <c r="AK48" i="11" s="1"/>
  <c r="AR63" i="11"/>
  <c r="AS63" i="11" s="1"/>
  <c r="X20" i="11"/>
  <c r="Y20" i="11" s="1"/>
  <c r="R20" i="11"/>
  <c r="S20" i="11" s="1"/>
  <c r="U20" i="11"/>
  <c r="V20" i="11" s="1"/>
  <c r="AR20" i="11"/>
  <c r="AS20" i="11" s="1"/>
  <c r="AD52" i="11"/>
  <c r="AE52" i="11" s="1"/>
  <c r="AA52" i="11"/>
  <c r="AB52" i="11" s="1"/>
  <c r="AM52" i="11"/>
  <c r="AN52" i="11" s="1"/>
  <c r="U52" i="11"/>
  <c r="V52" i="11" s="1"/>
  <c r="AG52" i="11"/>
  <c r="AH52" i="11" s="1"/>
  <c r="X52" i="11"/>
  <c r="Y52" i="11" s="1"/>
  <c r="R52" i="11"/>
  <c r="S52" i="11" s="1"/>
  <c r="AM57" i="11"/>
  <c r="AN57" i="11" s="1"/>
  <c r="AG57" i="11"/>
  <c r="AH57" i="11" s="1"/>
  <c r="AD57" i="11"/>
  <c r="AE57" i="11" s="1"/>
  <c r="R57" i="11"/>
  <c r="S57" i="11" s="1"/>
  <c r="AJ57" i="11"/>
  <c r="AK57" i="11" s="1"/>
  <c r="AA57" i="11"/>
  <c r="AB57" i="11" s="1"/>
  <c r="AR57" i="11"/>
  <c r="AS57" i="11" s="1"/>
  <c r="AR8" i="11"/>
  <c r="AS8" i="11" s="1"/>
  <c r="AA19" i="11"/>
  <c r="AB19" i="11" s="1"/>
  <c r="AD36" i="11"/>
  <c r="AE36" i="11" s="1"/>
  <c r="R36" i="11"/>
  <c r="S36" i="11" s="1"/>
  <c r="AJ36" i="11"/>
  <c r="AK36" i="11" s="1"/>
  <c r="AG36" i="11"/>
  <c r="AH36" i="11" s="1"/>
  <c r="AA36" i="11"/>
  <c r="AB36" i="11" s="1"/>
  <c r="AR53" i="11"/>
  <c r="U53" i="11"/>
  <c r="V53" i="11" s="1"/>
  <c r="R53" i="11"/>
  <c r="S53" i="11" s="1"/>
  <c r="AJ53" i="11"/>
  <c r="AK53" i="11" s="1"/>
  <c r="X53" i="11"/>
  <c r="Y53" i="11" s="1"/>
  <c r="AG53" i="11"/>
  <c r="AH53" i="11" s="1"/>
  <c r="AD53" i="11"/>
  <c r="AE53" i="11" s="1"/>
  <c r="AA53" i="11"/>
  <c r="AB53" i="11" s="1"/>
  <c r="AG17" i="11"/>
  <c r="AH17" i="11" s="1"/>
  <c r="X17" i="11"/>
  <c r="Y17" i="11" s="1"/>
  <c r="R17" i="11"/>
  <c r="S17" i="11" s="1"/>
  <c r="AD17" i="11"/>
  <c r="AE17" i="11" s="1"/>
  <c r="AA17" i="11"/>
  <c r="AB17" i="11" s="1"/>
  <c r="U17" i="11"/>
  <c r="V17" i="11" s="1"/>
  <c r="AM20" i="11"/>
  <c r="AN20" i="11" s="1"/>
  <c r="R32" i="11"/>
  <c r="S32" i="11" s="1"/>
  <c r="X32" i="11"/>
  <c r="Y32" i="11" s="1"/>
  <c r="AD32" i="11"/>
  <c r="AE32" i="11" s="1"/>
  <c r="AA32" i="11"/>
  <c r="AB32" i="11" s="1"/>
  <c r="U32" i="11"/>
  <c r="V32" i="11" s="1"/>
  <c r="AA38" i="11"/>
  <c r="AB38" i="11" s="1"/>
  <c r="X38" i="11"/>
  <c r="Y38" i="11" s="1"/>
  <c r="AM38" i="11"/>
  <c r="AN38" i="11" s="1"/>
  <c r="AD38" i="11"/>
  <c r="AE38" i="11" s="1"/>
  <c r="U38" i="11"/>
  <c r="V38" i="11" s="1"/>
  <c r="AR38" i="11"/>
  <c r="AS38" i="11" s="1"/>
  <c r="AA40" i="11"/>
  <c r="AB40" i="11" s="1"/>
  <c r="AM48" i="11"/>
  <c r="AN48" i="11" s="1"/>
  <c r="AJ50" i="11"/>
  <c r="AK50" i="11" s="1"/>
  <c r="AA55" i="11"/>
  <c r="AB55" i="11" s="1"/>
  <c r="X55" i="11"/>
  <c r="Y55" i="11" s="1"/>
  <c r="AD55" i="11"/>
  <c r="AE55" i="11" s="1"/>
  <c r="R55" i="11"/>
  <c r="S55" i="11" s="1"/>
  <c r="AR55" i="11"/>
  <c r="AS55" i="11" s="1"/>
  <c r="AM55" i="11"/>
  <c r="AN55" i="11" s="1"/>
  <c r="AJ55" i="11"/>
  <c r="AK55" i="11" s="1"/>
  <c r="AG55" i="11"/>
  <c r="AH55" i="11" s="1"/>
  <c r="X34" i="11"/>
  <c r="Y34" i="11" s="1"/>
  <c r="AM34" i="11"/>
  <c r="AN34" i="11" s="1"/>
  <c r="AD34" i="11"/>
  <c r="AE34" i="11" s="1"/>
  <c r="R34" i="11"/>
  <c r="S34" i="11" s="1"/>
  <c r="AJ34" i="11"/>
  <c r="AK34" i="11" s="1"/>
  <c r="AG34" i="11"/>
  <c r="AH34" i="11" s="1"/>
  <c r="AA34" i="11"/>
  <c r="AB34" i="11" s="1"/>
  <c r="AA7" i="11"/>
  <c r="AB7" i="11" s="1"/>
  <c r="R7" i="11"/>
  <c r="S7" i="11" s="1"/>
  <c r="AM7" i="11"/>
  <c r="AN7" i="11" s="1"/>
  <c r="AJ7" i="11"/>
  <c r="AK7" i="11" s="1"/>
  <c r="X7" i="11"/>
  <c r="Y7" i="11" s="1"/>
  <c r="U7" i="11"/>
  <c r="V7" i="11" s="1"/>
  <c r="AD58" i="11"/>
  <c r="AE58" i="11" s="1"/>
  <c r="AM58" i="11"/>
  <c r="AN58" i="11" s="1"/>
  <c r="X58" i="11"/>
  <c r="Y58" i="11" s="1"/>
  <c r="AR58" i="11"/>
  <c r="AS58" i="11" s="1"/>
  <c r="U8" i="11"/>
  <c r="V8" i="11" s="1"/>
  <c r="AR13" i="11"/>
  <c r="U13" i="11"/>
  <c r="V13" i="11" s="1"/>
  <c r="AJ13" i="11"/>
  <c r="AK13" i="11" s="1"/>
  <c r="AD13" i="11"/>
  <c r="AE13" i="11" s="1"/>
  <c r="AG13" i="11"/>
  <c r="AH13" i="11" s="1"/>
  <c r="X13" i="11"/>
  <c r="Y13" i="11" s="1"/>
  <c r="AR7" i="11"/>
  <c r="AS7" i="11" s="1"/>
  <c r="R13" i="11"/>
  <c r="S13" i="11" s="1"/>
  <c r="AJ40" i="11"/>
  <c r="AK40" i="11" s="1"/>
  <c r="AA15" i="11"/>
  <c r="AB15" i="11" s="1"/>
  <c r="R15" i="11"/>
  <c r="S15" i="11" s="1"/>
  <c r="AM15" i="11"/>
  <c r="AN15" i="11" s="1"/>
  <c r="AJ15" i="11"/>
  <c r="AK15" i="11" s="1"/>
  <c r="AD15" i="11"/>
  <c r="AE15" i="11" s="1"/>
  <c r="X15" i="11"/>
  <c r="Y15" i="11" s="1"/>
  <c r="AJ52" i="11"/>
  <c r="AK52" i="11" s="1"/>
  <c r="AJ8" i="11"/>
  <c r="AK8" i="11" s="1"/>
  <c r="AR15" i="11"/>
  <c r="AS15" i="11" s="1"/>
  <c r="R16" i="11"/>
  <c r="S16" i="11" s="1"/>
  <c r="AG16" i="11"/>
  <c r="AH16" i="11" s="1"/>
  <c r="AA16" i="11"/>
  <c r="AB16" i="11" s="1"/>
  <c r="AD16" i="11"/>
  <c r="AE16" i="11" s="1"/>
  <c r="U16" i="11"/>
  <c r="V16" i="11" s="1"/>
  <c r="R58" i="11"/>
  <c r="S58" i="11" s="1"/>
  <c r="AG9" i="11"/>
  <c r="AH9" i="11" s="1"/>
  <c r="X9" i="11"/>
  <c r="Y9" i="11" s="1"/>
  <c r="R9" i="11"/>
  <c r="S9" i="11" s="1"/>
  <c r="AR22" i="11"/>
  <c r="AJ22" i="11"/>
  <c r="AK22" i="11" s="1"/>
  <c r="AD22" i="11"/>
  <c r="AE22" i="11" s="1"/>
  <c r="AA61" i="11"/>
  <c r="AB61" i="11" s="1"/>
  <c r="AM61" i="11"/>
  <c r="AN61" i="11" s="1"/>
  <c r="U61" i="11"/>
  <c r="V61" i="11" s="1"/>
  <c r="R61" i="11"/>
  <c r="S61" i="11" s="1"/>
  <c r="AA21" i="11"/>
  <c r="AB21" i="11" s="1"/>
  <c r="R21" i="11"/>
  <c r="S21" i="11" s="1"/>
  <c r="AJ21" i="11"/>
  <c r="AK21" i="11" s="1"/>
  <c r="AR25" i="11"/>
  <c r="AS25" i="11" s="1"/>
  <c r="AA31" i="11"/>
  <c r="AB31" i="11" s="1"/>
  <c r="AM31" i="11"/>
  <c r="AN31" i="11" s="1"/>
  <c r="AD31" i="11"/>
  <c r="AE31" i="11" s="1"/>
  <c r="AJ30" i="11"/>
  <c r="AK30" i="11" s="1"/>
  <c r="AG30" i="11"/>
  <c r="AH30" i="11" s="1"/>
  <c r="X27" i="11"/>
  <c r="Y27" i="11" s="1"/>
  <c r="R27" i="11"/>
  <c r="S27" i="11" s="1"/>
  <c r="R30" i="11"/>
  <c r="S30" i="11" s="1"/>
  <c r="AA43" i="11"/>
  <c r="AB43" i="11" s="1"/>
  <c r="X43" i="11"/>
  <c r="Y43" i="11" s="1"/>
  <c r="AG43" i="11"/>
  <c r="AH43" i="11" s="1"/>
  <c r="AR59" i="11"/>
  <c r="AS59" i="11" s="1"/>
  <c r="U59" i="11"/>
  <c r="V59" i="11" s="1"/>
  <c r="AA59" i="11"/>
  <c r="AB59" i="11" s="1"/>
  <c r="X23" i="11"/>
  <c r="Y23" i="11" s="1"/>
  <c r="X31" i="11"/>
  <c r="Y31" i="11" s="1"/>
  <c r="AR42" i="11"/>
  <c r="AS42" i="11" s="1"/>
  <c r="U42" i="11"/>
  <c r="V42" i="11" s="1"/>
  <c r="AJ42" i="11"/>
  <c r="AK42" i="11" s="1"/>
  <c r="AD42" i="11"/>
  <c r="AE42" i="11" s="1"/>
  <c r="AR29" i="11"/>
  <c r="AS29" i="11" s="1"/>
  <c r="U29" i="11"/>
  <c r="V29" i="11" s="1"/>
  <c r="AJ29" i="11"/>
  <c r="AK29" i="11" s="1"/>
  <c r="AJ60" i="11"/>
  <c r="AK60" i="11" s="1"/>
  <c r="U60" i="11"/>
  <c r="V60" i="11" s="1"/>
  <c r="AR60" i="11"/>
  <c r="AS60" i="11" s="1"/>
  <c r="AA9" i="11"/>
  <c r="AB9" i="11" s="1"/>
  <c r="X21" i="11"/>
  <c r="Y21" i="11" s="1"/>
  <c r="X22" i="11"/>
  <c r="Y22" i="11" s="1"/>
  <c r="U25" i="11"/>
  <c r="V25" i="11" s="1"/>
  <c r="U30" i="11"/>
  <c r="V30" i="11" s="1"/>
  <c r="R43" i="11"/>
  <c r="S43" i="11" s="1"/>
  <c r="AM44" i="11"/>
  <c r="AN44" i="11" s="1"/>
  <c r="AG44" i="11"/>
  <c r="AH44" i="11" s="1"/>
  <c r="AD44" i="11"/>
  <c r="AE44" i="11" s="1"/>
  <c r="U44" i="11"/>
  <c r="V44" i="11" s="1"/>
  <c r="AD47" i="11"/>
  <c r="AE47" i="11" s="1"/>
  <c r="AA47" i="11"/>
  <c r="AB47" i="11" s="1"/>
  <c r="R47" i="11"/>
  <c r="S47" i="11" s="1"/>
  <c r="AJ47" i="11"/>
  <c r="AK47" i="11" s="1"/>
  <c r="R59" i="11"/>
  <c r="S59" i="11" s="1"/>
  <c r="X60" i="11"/>
  <c r="Y60" i="11" s="1"/>
  <c r="AD61" i="11"/>
  <c r="AE61" i="11" s="1"/>
  <c r="X11" i="11"/>
  <c r="Y11" i="11" s="1"/>
  <c r="AM24" i="11"/>
  <c r="AN24" i="11" s="1"/>
  <c r="AJ54" i="11"/>
  <c r="AK54" i="11" s="1"/>
  <c r="AG54" i="11"/>
  <c r="AH54" i="11" s="1"/>
  <c r="AR54" i="11"/>
  <c r="AS54" i="11" s="1"/>
  <c r="X45" i="11"/>
  <c r="Y45" i="11" s="1"/>
  <c r="AR45" i="11"/>
  <c r="AS45" i="11" s="1"/>
  <c r="U45" i="11"/>
  <c r="V45" i="11" s="1"/>
  <c r="AR62" i="11"/>
  <c r="AS62" i="11" s="1"/>
  <c r="U12" i="11"/>
  <c r="V12" i="11" s="1"/>
  <c r="U33" i="11"/>
  <c r="V33" i="11" s="1"/>
  <c r="X41" i="11"/>
  <c r="Y41" i="11" s="1"/>
  <c r="AR41" i="11"/>
  <c r="U41" i="11"/>
  <c r="V41" i="11" s="1"/>
  <c r="AM26" i="11"/>
  <c r="AN26" i="11" s="1"/>
  <c r="AS24" i="11" l="1"/>
  <c r="AS17" i="11"/>
  <c r="AS39" i="11"/>
  <c r="AS26" i="11"/>
  <c r="AS53" i="11"/>
  <c r="AS6" i="11"/>
  <c r="AS49" i="11"/>
  <c r="AS13" i="11"/>
  <c r="AS41" i="11"/>
  <c r="AS22" i="11"/>
  <c r="AS74"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AT10" authorId="0" shapeId="0" xr:uid="{847C7501-C646-47CE-BC99-93EF61DCE3B0}">
      <text>
        <r>
          <rPr>
            <b/>
            <sz val="10"/>
            <color rgb="FF000000"/>
            <rFont val="Tahoma"/>
            <family val="2"/>
          </rPr>
          <t>Digital</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42">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bk>
      <extLst>
        <ext uri="{3e2802c4-a4d2-4d8b-9148-e3be6c30e623}">
          <xlrd:rvb i="28"/>
        </ext>
      </extLst>
    </bk>
    <bk>
      <extLst>
        <ext uri="{3e2802c4-a4d2-4d8b-9148-e3be6c30e623}">
          <xlrd:rvb i="29"/>
        </ext>
      </extLst>
    </bk>
    <bk>
      <extLst>
        <ext uri="{3e2802c4-a4d2-4d8b-9148-e3be6c30e623}">
          <xlrd:rvb i="30"/>
        </ext>
      </extLst>
    </bk>
    <bk>
      <extLst>
        <ext uri="{3e2802c4-a4d2-4d8b-9148-e3be6c30e623}">
          <xlrd:rvb i="31"/>
        </ext>
      </extLst>
    </bk>
    <bk>
      <extLst>
        <ext uri="{3e2802c4-a4d2-4d8b-9148-e3be6c30e623}">
          <xlrd:rvb i="32"/>
        </ext>
      </extLst>
    </bk>
    <bk>
      <extLst>
        <ext uri="{3e2802c4-a4d2-4d8b-9148-e3be6c30e623}">
          <xlrd:rvb i="33"/>
        </ext>
      </extLst>
    </bk>
    <bk>
      <extLst>
        <ext uri="{3e2802c4-a4d2-4d8b-9148-e3be6c30e623}">
          <xlrd:rvb i="34"/>
        </ext>
      </extLst>
    </bk>
    <bk>
      <extLst>
        <ext uri="{3e2802c4-a4d2-4d8b-9148-e3be6c30e623}">
          <xlrd:rvb i="35"/>
        </ext>
      </extLst>
    </bk>
    <bk>
      <extLst>
        <ext uri="{3e2802c4-a4d2-4d8b-9148-e3be6c30e623}">
          <xlrd:rvb i="36"/>
        </ext>
      </extLst>
    </bk>
    <bk>
      <extLst>
        <ext uri="{3e2802c4-a4d2-4d8b-9148-e3be6c30e623}">
          <xlrd:rvb i="37"/>
        </ext>
      </extLst>
    </bk>
    <bk>
      <extLst>
        <ext uri="{3e2802c4-a4d2-4d8b-9148-e3be6c30e623}">
          <xlrd:rvb i="38"/>
        </ext>
      </extLst>
    </bk>
    <bk>
      <extLst>
        <ext uri="{3e2802c4-a4d2-4d8b-9148-e3be6c30e623}">
          <xlrd:rvb i="39"/>
        </ext>
      </extLst>
    </bk>
    <bk>
      <extLst>
        <ext uri="{3e2802c4-a4d2-4d8b-9148-e3be6c30e623}">
          <xlrd:rvb i="40"/>
        </ext>
      </extLst>
    </bk>
    <bk>
      <extLst>
        <ext uri="{3e2802c4-a4d2-4d8b-9148-e3be6c30e623}">
          <xlrd:rvb i="41"/>
        </ext>
      </extLst>
    </bk>
    <bk>
      <extLst>
        <ext uri="{3e2802c4-a4d2-4d8b-9148-e3be6c30e623}">
          <xlrd:rvb i="42"/>
        </ext>
      </extLst>
    </bk>
    <bk>
      <extLst>
        <ext uri="{3e2802c4-a4d2-4d8b-9148-e3be6c30e623}">
          <xlrd:rvb i="43"/>
        </ext>
      </extLst>
    </bk>
    <bk>
      <extLst>
        <ext uri="{3e2802c4-a4d2-4d8b-9148-e3be6c30e623}">
          <xlrd:rvb i="44"/>
        </ext>
      </extLst>
    </bk>
    <bk>
      <extLst>
        <ext uri="{3e2802c4-a4d2-4d8b-9148-e3be6c30e623}">
          <xlrd:rvb i="45"/>
        </ext>
      </extLst>
    </bk>
    <bk>
      <extLst>
        <ext uri="{3e2802c4-a4d2-4d8b-9148-e3be6c30e623}">
          <xlrd:rvb i="46"/>
        </ext>
      </extLst>
    </bk>
    <bk>
      <extLst>
        <ext uri="{3e2802c4-a4d2-4d8b-9148-e3be6c30e623}">
          <xlrd:rvb i="47"/>
        </ext>
      </extLst>
    </bk>
    <bk>
      <extLst>
        <ext uri="{3e2802c4-a4d2-4d8b-9148-e3be6c30e623}">
          <xlrd:rvb i="48"/>
        </ext>
      </extLst>
    </bk>
    <bk>
      <extLst>
        <ext uri="{3e2802c4-a4d2-4d8b-9148-e3be6c30e623}">
          <xlrd:rvb i="49"/>
        </ext>
      </extLst>
    </bk>
    <bk>
      <extLst>
        <ext uri="{3e2802c4-a4d2-4d8b-9148-e3be6c30e623}">
          <xlrd:rvb i="50"/>
        </ext>
      </extLst>
    </bk>
    <bk>
      <extLst>
        <ext uri="{3e2802c4-a4d2-4d8b-9148-e3be6c30e623}">
          <xlrd:rvb i="51"/>
        </ext>
      </extLst>
    </bk>
    <bk>
      <extLst>
        <ext uri="{3e2802c4-a4d2-4d8b-9148-e3be6c30e623}">
          <xlrd:rvb i="52"/>
        </ext>
      </extLst>
    </bk>
    <bk>
      <extLst>
        <ext uri="{3e2802c4-a4d2-4d8b-9148-e3be6c30e623}">
          <xlrd:rvb i="53"/>
        </ext>
      </extLst>
    </bk>
    <bk>
      <extLst>
        <ext uri="{3e2802c4-a4d2-4d8b-9148-e3be6c30e623}">
          <xlrd:rvb i="54"/>
        </ext>
      </extLst>
    </bk>
    <bk>
      <extLst>
        <ext uri="{3e2802c4-a4d2-4d8b-9148-e3be6c30e623}">
          <xlrd:rvb i="55"/>
        </ext>
      </extLst>
    </bk>
    <bk>
      <extLst>
        <ext uri="{3e2802c4-a4d2-4d8b-9148-e3be6c30e623}">
          <xlrd:rvb i="56"/>
        </ext>
      </extLst>
    </bk>
    <bk>
      <extLst>
        <ext uri="{3e2802c4-a4d2-4d8b-9148-e3be6c30e623}">
          <xlrd:rvb i="57"/>
        </ext>
      </extLst>
    </bk>
    <bk>
      <extLst>
        <ext uri="{3e2802c4-a4d2-4d8b-9148-e3be6c30e623}">
          <xlrd:rvb i="58"/>
        </ext>
      </extLst>
    </bk>
    <bk>
      <extLst>
        <ext uri="{3e2802c4-a4d2-4d8b-9148-e3be6c30e623}">
          <xlrd:rvb i="59"/>
        </ext>
      </extLst>
    </bk>
    <bk>
      <extLst>
        <ext uri="{3e2802c4-a4d2-4d8b-9148-e3be6c30e623}">
          <xlrd:rvb i="60"/>
        </ext>
      </extLst>
    </bk>
    <bk>
      <extLst>
        <ext uri="{3e2802c4-a4d2-4d8b-9148-e3be6c30e623}">
          <xlrd:rvb i="61"/>
        </ext>
      </extLst>
    </bk>
    <bk>
      <extLst>
        <ext uri="{3e2802c4-a4d2-4d8b-9148-e3be6c30e623}">
          <xlrd:rvb i="62"/>
        </ext>
      </extLst>
    </bk>
    <bk>
      <extLst>
        <ext uri="{3e2802c4-a4d2-4d8b-9148-e3be6c30e623}">
          <xlrd:rvb i="63"/>
        </ext>
      </extLst>
    </bk>
    <bk>
      <extLst>
        <ext uri="{3e2802c4-a4d2-4d8b-9148-e3be6c30e623}">
          <xlrd:rvb i="64"/>
        </ext>
      </extLst>
    </bk>
    <bk>
      <extLst>
        <ext uri="{3e2802c4-a4d2-4d8b-9148-e3be6c30e623}">
          <xlrd:rvb i="65"/>
        </ext>
      </extLst>
    </bk>
    <bk>
      <extLst>
        <ext uri="{3e2802c4-a4d2-4d8b-9148-e3be6c30e623}">
          <xlrd:rvb i="66"/>
        </ext>
      </extLst>
    </bk>
    <bk>
      <extLst>
        <ext uri="{3e2802c4-a4d2-4d8b-9148-e3be6c30e623}">
          <xlrd:rvb i="67"/>
        </ext>
      </extLst>
    </bk>
    <bk>
      <extLst>
        <ext uri="{3e2802c4-a4d2-4d8b-9148-e3be6c30e623}">
          <xlrd:rvb i="68"/>
        </ext>
      </extLst>
    </bk>
    <bk>
      <extLst>
        <ext uri="{3e2802c4-a4d2-4d8b-9148-e3be6c30e623}">
          <xlrd:rvb i="69"/>
        </ext>
      </extLst>
    </bk>
    <bk>
      <extLst>
        <ext uri="{3e2802c4-a4d2-4d8b-9148-e3be6c30e623}">
          <xlrd:rvb i="70"/>
        </ext>
      </extLst>
    </bk>
    <bk>
      <extLst>
        <ext uri="{3e2802c4-a4d2-4d8b-9148-e3be6c30e623}">
          <xlrd:rvb i="71"/>
        </ext>
      </extLst>
    </bk>
    <bk>
      <extLst>
        <ext uri="{3e2802c4-a4d2-4d8b-9148-e3be6c30e623}">
          <xlrd:rvb i="72"/>
        </ext>
      </extLst>
    </bk>
    <bk>
      <extLst>
        <ext uri="{3e2802c4-a4d2-4d8b-9148-e3be6c30e623}">
          <xlrd:rvb i="73"/>
        </ext>
      </extLst>
    </bk>
    <bk>
      <extLst>
        <ext uri="{3e2802c4-a4d2-4d8b-9148-e3be6c30e623}">
          <xlrd:rvb i="74"/>
        </ext>
      </extLst>
    </bk>
    <bk>
      <extLst>
        <ext uri="{3e2802c4-a4d2-4d8b-9148-e3be6c30e623}">
          <xlrd:rvb i="75"/>
        </ext>
      </extLst>
    </bk>
    <bk>
      <extLst>
        <ext uri="{3e2802c4-a4d2-4d8b-9148-e3be6c30e623}">
          <xlrd:rvb i="76"/>
        </ext>
      </extLst>
    </bk>
    <bk>
      <extLst>
        <ext uri="{3e2802c4-a4d2-4d8b-9148-e3be6c30e623}">
          <xlrd:rvb i="77"/>
        </ext>
      </extLst>
    </bk>
    <bk>
      <extLst>
        <ext uri="{3e2802c4-a4d2-4d8b-9148-e3be6c30e623}">
          <xlrd:rvb i="78"/>
        </ext>
      </extLst>
    </bk>
    <bk>
      <extLst>
        <ext uri="{3e2802c4-a4d2-4d8b-9148-e3be6c30e623}">
          <xlrd:rvb i="79"/>
        </ext>
      </extLst>
    </bk>
    <bk>
      <extLst>
        <ext uri="{3e2802c4-a4d2-4d8b-9148-e3be6c30e623}">
          <xlrd:rvb i="80"/>
        </ext>
      </extLst>
    </bk>
    <bk>
      <extLst>
        <ext uri="{3e2802c4-a4d2-4d8b-9148-e3be6c30e623}">
          <xlrd:rvb i="81"/>
        </ext>
      </extLst>
    </bk>
    <bk>
      <extLst>
        <ext uri="{3e2802c4-a4d2-4d8b-9148-e3be6c30e623}">
          <xlrd:rvb i="82"/>
        </ext>
      </extLst>
    </bk>
    <bk>
      <extLst>
        <ext uri="{3e2802c4-a4d2-4d8b-9148-e3be6c30e623}">
          <xlrd:rvb i="83"/>
        </ext>
      </extLst>
    </bk>
    <bk>
      <extLst>
        <ext uri="{3e2802c4-a4d2-4d8b-9148-e3be6c30e623}">
          <xlrd:rvb i="84"/>
        </ext>
      </extLst>
    </bk>
    <bk>
      <extLst>
        <ext uri="{3e2802c4-a4d2-4d8b-9148-e3be6c30e623}">
          <xlrd:rvb i="85"/>
        </ext>
      </extLst>
    </bk>
    <bk>
      <extLst>
        <ext uri="{3e2802c4-a4d2-4d8b-9148-e3be6c30e623}">
          <xlrd:rvb i="86"/>
        </ext>
      </extLst>
    </bk>
    <bk>
      <extLst>
        <ext uri="{3e2802c4-a4d2-4d8b-9148-e3be6c30e623}">
          <xlrd:rvb i="87"/>
        </ext>
      </extLst>
    </bk>
    <bk>
      <extLst>
        <ext uri="{3e2802c4-a4d2-4d8b-9148-e3be6c30e623}">
          <xlrd:rvb i="88"/>
        </ext>
      </extLst>
    </bk>
    <bk>
      <extLst>
        <ext uri="{3e2802c4-a4d2-4d8b-9148-e3be6c30e623}">
          <xlrd:rvb i="89"/>
        </ext>
      </extLst>
    </bk>
    <bk>
      <extLst>
        <ext uri="{3e2802c4-a4d2-4d8b-9148-e3be6c30e623}">
          <xlrd:rvb i="90"/>
        </ext>
      </extLst>
    </bk>
    <bk>
      <extLst>
        <ext uri="{3e2802c4-a4d2-4d8b-9148-e3be6c30e623}">
          <xlrd:rvb i="91"/>
        </ext>
      </extLst>
    </bk>
    <bk>
      <extLst>
        <ext uri="{3e2802c4-a4d2-4d8b-9148-e3be6c30e623}">
          <xlrd:rvb i="92"/>
        </ext>
      </extLst>
    </bk>
    <bk>
      <extLst>
        <ext uri="{3e2802c4-a4d2-4d8b-9148-e3be6c30e623}">
          <xlrd:rvb i="93"/>
        </ext>
      </extLst>
    </bk>
    <bk>
      <extLst>
        <ext uri="{3e2802c4-a4d2-4d8b-9148-e3be6c30e623}">
          <xlrd:rvb i="94"/>
        </ext>
      </extLst>
    </bk>
    <bk>
      <extLst>
        <ext uri="{3e2802c4-a4d2-4d8b-9148-e3be6c30e623}">
          <xlrd:rvb i="95"/>
        </ext>
      </extLst>
    </bk>
    <bk>
      <extLst>
        <ext uri="{3e2802c4-a4d2-4d8b-9148-e3be6c30e623}">
          <xlrd:rvb i="96"/>
        </ext>
      </extLst>
    </bk>
    <bk>
      <extLst>
        <ext uri="{3e2802c4-a4d2-4d8b-9148-e3be6c30e623}">
          <xlrd:rvb i="97"/>
        </ext>
      </extLst>
    </bk>
    <bk>
      <extLst>
        <ext uri="{3e2802c4-a4d2-4d8b-9148-e3be6c30e623}">
          <xlrd:rvb i="98"/>
        </ext>
      </extLst>
    </bk>
    <bk>
      <extLst>
        <ext uri="{3e2802c4-a4d2-4d8b-9148-e3be6c30e623}">
          <xlrd:rvb i="99"/>
        </ext>
      </extLst>
    </bk>
    <bk>
      <extLst>
        <ext uri="{3e2802c4-a4d2-4d8b-9148-e3be6c30e623}">
          <xlrd:rvb i="100"/>
        </ext>
      </extLst>
    </bk>
    <bk>
      <extLst>
        <ext uri="{3e2802c4-a4d2-4d8b-9148-e3be6c30e623}">
          <xlrd:rvb i="101"/>
        </ext>
      </extLst>
    </bk>
    <bk>
      <extLst>
        <ext uri="{3e2802c4-a4d2-4d8b-9148-e3be6c30e623}">
          <xlrd:rvb i="102"/>
        </ext>
      </extLst>
    </bk>
    <bk>
      <extLst>
        <ext uri="{3e2802c4-a4d2-4d8b-9148-e3be6c30e623}">
          <xlrd:rvb i="103"/>
        </ext>
      </extLst>
    </bk>
    <bk>
      <extLst>
        <ext uri="{3e2802c4-a4d2-4d8b-9148-e3be6c30e623}">
          <xlrd:rvb i="104"/>
        </ext>
      </extLst>
    </bk>
    <bk>
      <extLst>
        <ext uri="{3e2802c4-a4d2-4d8b-9148-e3be6c30e623}">
          <xlrd:rvb i="105"/>
        </ext>
      </extLst>
    </bk>
    <bk>
      <extLst>
        <ext uri="{3e2802c4-a4d2-4d8b-9148-e3be6c30e623}">
          <xlrd:rvb i="106"/>
        </ext>
      </extLst>
    </bk>
    <bk>
      <extLst>
        <ext uri="{3e2802c4-a4d2-4d8b-9148-e3be6c30e623}">
          <xlrd:rvb i="107"/>
        </ext>
      </extLst>
    </bk>
    <bk>
      <extLst>
        <ext uri="{3e2802c4-a4d2-4d8b-9148-e3be6c30e623}">
          <xlrd:rvb i="108"/>
        </ext>
      </extLst>
    </bk>
    <bk>
      <extLst>
        <ext uri="{3e2802c4-a4d2-4d8b-9148-e3be6c30e623}">
          <xlrd:rvb i="109"/>
        </ext>
      </extLst>
    </bk>
    <bk>
      <extLst>
        <ext uri="{3e2802c4-a4d2-4d8b-9148-e3be6c30e623}">
          <xlrd:rvb i="110"/>
        </ext>
      </extLst>
    </bk>
    <bk>
      <extLst>
        <ext uri="{3e2802c4-a4d2-4d8b-9148-e3be6c30e623}">
          <xlrd:rvb i="111"/>
        </ext>
      </extLst>
    </bk>
    <bk>
      <extLst>
        <ext uri="{3e2802c4-a4d2-4d8b-9148-e3be6c30e623}">
          <xlrd:rvb i="112"/>
        </ext>
      </extLst>
    </bk>
    <bk>
      <extLst>
        <ext uri="{3e2802c4-a4d2-4d8b-9148-e3be6c30e623}">
          <xlrd:rvb i="113"/>
        </ext>
      </extLst>
    </bk>
    <bk>
      <extLst>
        <ext uri="{3e2802c4-a4d2-4d8b-9148-e3be6c30e623}">
          <xlrd:rvb i="114"/>
        </ext>
      </extLst>
    </bk>
    <bk>
      <extLst>
        <ext uri="{3e2802c4-a4d2-4d8b-9148-e3be6c30e623}">
          <xlrd:rvb i="115"/>
        </ext>
      </extLst>
    </bk>
    <bk>
      <extLst>
        <ext uri="{3e2802c4-a4d2-4d8b-9148-e3be6c30e623}">
          <xlrd:rvb i="116"/>
        </ext>
      </extLst>
    </bk>
    <bk>
      <extLst>
        <ext uri="{3e2802c4-a4d2-4d8b-9148-e3be6c30e623}">
          <xlrd:rvb i="117"/>
        </ext>
      </extLst>
    </bk>
    <bk>
      <extLst>
        <ext uri="{3e2802c4-a4d2-4d8b-9148-e3be6c30e623}">
          <xlrd:rvb i="118"/>
        </ext>
      </extLst>
    </bk>
    <bk>
      <extLst>
        <ext uri="{3e2802c4-a4d2-4d8b-9148-e3be6c30e623}">
          <xlrd:rvb i="119"/>
        </ext>
      </extLst>
    </bk>
    <bk>
      <extLst>
        <ext uri="{3e2802c4-a4d2-4d8b-9148-e3be6c30e623}">
          <xlrd:rvb i="120"/>
        </ext>
      </extLst>
    </bk>
    <bk>
      <extLst>
        <ext uri="{3e2802c4-a4d2-4d8b-9148-e3be6c30e623}">
          <xlrd:rvb i="121"/>
        </ext>
      </extLst>
    </bk>
    <bk>
      <extLst>
        <ext uri="{3e2802c4-a4d2-4d8b-9148-e3be6c30e623}">
          <xlrd:rvb i="122"/>
        </ext>
      </extLst>
    </bk>
    <bk>
      <extLst>
        <ext uri="{3e2802c4-a4d2-4d8b-9148-e3be6c30e623}">
          <xlrd:rvb i="123"/>
        </ext>
      </extLst>
    </bk>
    <bk>
      <extLst>
        <ext uri="{3e2802c4-a4d2-4d8b-9148-e3be6c30e623}">
          <xlrd:rvb i="124"/>
        </ext>
      </extLst>
    </bk>
    <bk>
      <extLst>
        <ext uri="{3e2802c4-a4d2-4d8b-9148-e3be6c30e623}">
          <xlrd:rvb i="125"/>
        </ext>
      </extLst>
    </bk>
    <bk>
      <extLst>
        <ext uri="{3e2802c4-a4d2-4d8b-9148-e3be6c30e623}">
          <xlrd:rvb i="126"/>
        </ext>
      </extLst>
    </bk>
    <bk>
      <extLst>
        <ext uri="{3e2802c4-a4d2-4d8b-9148-e3be6c30e623}">
          <xlrd:rvb i="127"/>
        </ext>
      </extLst>
    </bk>
    <bk>
      <extLst>
        <ext uri="{3e2802c4-a4d2-4d8b-9148-e3be6c30e623}">
          <xlrd:rvb i="128"/>
        </ext>
      </extLst>
    </bk>
    <bk>
      <extLst>
        <ext uri="{3e2802c4-a4d2-4d8b-9148-e3be6c30e623}">
          <xlrd:rvb i="129"/>
        </ext>
      </extLst>
    </bk>
    <bk>
      <extLst>
        <ext uri="{3e2802c4-a4d2-4d8b-9148-e3be6c30e623}">
          <xlrd:rvb i="130"/>
        </ext>
      </extLst>
    </bk>
    <bk>
      <extLst>
        <ext uri="{3e2802c4-a4d2-4d8b-9148-e3be6c30e623}">
          <xlrd:rvb i="131"/>
        </ext>
      </extLst>
    </bk>
    <bk>
      <extLst>
        <ext uri="{3e2802c4-a4d2-4d8b-9148-e3be6c30e623}">
          <xlrd:rvb i="132"/>
        </ext>
      </extLst>
    </bk>
    <bk>
      <extLst>
        <ext uri="{3e2802c4-a4d2-4d8b-9148-e3be6c30e623}">
          <xlrd:rvb i="133"/>
        </ext>
      </extLst>
    </bk>
    <bk>
      <extLst>
        <ext uri="{3e2802c4-a4d2-4d8b-9148-e3be6c30e623}">
          <xlrd:rvb i="134"/>
        </ext>
      </extLst>
    </bk>
    <bk>
      <extLst>
        <ext uri="{3e2802c4-a4d2-4d8b-9148-e3be6c30e623}">
          <xlrd:rvb i="135"/>
        </ext>
      </extLst>
    </bk>
    <bk>
      <extLst>
        <ext uri="{3e2802c4-a4d2-4d8b-9148-e3be6c30e623}">
          <xlrd:rvb i="136"/>
        </ext>
      </extLst>
    </bk>
    <bk>
      <extLst>
        <ext uri="{3e2802c4-a4d2-4d8b-9148-e3be6c30e623}">
          <xlrd:rvb i="137"/>
        </ext>
      </extLst>
    </bk>
    <bk>
      <extLst>
        <ext uri="{3e2802c4-a4d2-4d8b-9148-e3be6c30e623}">
          <xlrd:rvb i="138"/>
        </ext>
      </extLst>
    </bk>
    <bk>
      <extLst>
        <ext uri="{3e2802c4-a4d2-4d8b-9148-e3be6c30e623}">
          <xlrd:rvb i="139"/>
        </ext>
      </extLst>
    </bk>
    <bk>
      <extLst>
        <ext uri="{3e2802c4-a4d2-4d8b-9148-e3be6c30e623}">
          <xlrd:rvb i="140"/>
        </ext>
      </extLst>
    </bk>
    <bk>
      <extLst>
        <ext uri="{3e2802c4-a4d2-4d8b-9148-e3be6c30e623}">
          <xlrd:rvb i="141"/>
        </ext>
      </extLst>
    </bk>
  </futureMetadata>
  <valueMetadata count="142">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bk>
      <rc t="1" v="28"/>
    </bk>
    <bk>
      <rc t="1" v="29"/>
    </bk>
    <bk>
      <rc t="1" v="30"/>
    </bk>
    <bk>
      <rc t="1" v="31"/>
    </bk>
    <bk>
      <rc t="1" v="32"/>
    </bk>
    <bk>
      <rc t="1" v="33"/>
    </bk>
    <bk>
      <rc t="1" v="34"/>
    </bk>
    <bk>
      <rc t="1" v="35"/>
    </bk>
    <bk>
      <rc t="1" v="36"/>
    </bk>
    <bk>
      <rc t="1" v="37"/>
    </bk>
    <bk>
      <rc t="1" v="38"/>
    </bk>
    <bk>
      <rc t="1" v="39"/>
    </bk>
    <bk>
      <rc t="1" v="40"/>
    </bk>
    <bk>
      <rc t="1" v="41"/>
    </bk>
    <bk>
      <rc t="1" v="42"/>
    </bk>
    <bk>
      <rc t="1" v="43"/>
    </bk>
    <bk>
      <rc t="1" v="44"/>
    </bk>
    <bk>
      <rc t="1" v="45"/>
    </bk>
    <bk>
      <rc t="1" v="46"/>
    </bk>
    <bk>
      <rc t="1" v="47"/>
    </bk>
    <bk>
      <rc t="1" v="48"/>
    </bk>
    <bk>
      <rc t="1" v="49"/>
    </bk>
    <bk>
      <rc t="1" v="50"/>
    </bk>
    <bk>
      <rc t="1" v="51"/>
    </bk>
    <bk>
      <rc t="1" v="52"/>
    </bk>
    <bk>
      <rc t="1" v="53"/>
    </bk>
    <bk>
      <rc t="1" v="54"/>
    </bk>
    <bk>
      <rc t="1" v="55"/>
    </bk>
    <bk>
      <rc t="1" v="56"/>
    </bk>
    <bk>
      <rc t="1" v="57"/>
    </bk>
    <bk>
      <rc t="1" v="58"/>
    </bk>
    <bk>
      <rc t="1" v="59"/>
    </bk>
    <bk>
      <rc t="1" v="60"/>
    </bk>
    <bk>
      <rc t="1" v="61"/>
    </bk>
    <bk>
      <rc t="1" v="62"/>
    </bk>
    <bk>
      <rc t="1" v="63"/>
    </bk>
    <bk>
      <rc t="1" v="64"/>
    </bk>
    <bk>
      <rc t="1" v="65"/>
    </bk>
    <bk>
      <rc t="1" v="66"/>
    </bk>
    <bk>
      <rc t="1" v="67"/>
    </bk>
    <bk>
      <rc t="1" v="68"/>
    </bk>
    <bk>
      <rc t="1" v="69"/>
    </bk>
    <bk>
      <rc t="1" v="70"/>
    </bk>
    <bk>
      <rc t="1" v="71"/>
    </bk>
    <bk>
      <rc t="1" v="72"/>
    </bk>
    <bk>
      <rc t="1" v="73"/>
    </bk>
    <bk>
      <rc t="1" v="74"/>
    </bk>
    <bk>
      <rc t="1" v="75"/>
    </bk>
    <bk>
      <rc t="1" v="76"/>
    </bk>
    <bk>
      <rc t="1" v="77"/>
    </bk>
    <bk>
      <rc t="1" v="78"/>
    </bk>
    <bk>
      <rc t="1" v="79"/>
    </bk>
    <bk>
      <rc t="1" v="80"/>
    </bk>
    <bk>
      <rc t="1" v="81"/>
    </bk>
    <bk>
      <rc t="1" v="82"/>
    </bk>
    <bk>
      <rc t="1" v="83"/>
    </bk>
    <bk>
      <rc t="1" v="84"/>
    </bk>
    <bk>
      <rc t="1" v="85"/>
    </bk>
    <bk>
      <rc t="1" v="86"/>
    </bk>
    <bk>
      <rc t="1" v="87"/>
    </bk>
    <bk>
      <rc t="1" v="88"/>
    </bk>
    <bk>
      <rc t="1" v="89"/>
    </bk>
    <bk>
      <rc t="1" v="90"/>
    </bk>
    <bk>
      <rc t="1" v="91"/>
    </bk>
    <bk>
      <rc t="1" v="92"/>
    </bk>
    <bk>
      <rc t="1" v="93"/>
    </bk>
    <bk>
      <rc t="1" v="94"/>
    </bk>
    <bk>
      <rc t="1" v="95"/>
    </bk>
    <bk>
      <rc t="1" v="96"/>
    </bk>
    <bk>
      <rc t="1" v="97"/>
    </bk>
    <bk>
      <rc t="1" v="98"/>
    </bk>
    <bk>
      <rc t="1" v="99"/>
    </bk>
    <bk>
      <rc t="1" v="100"/>
    </bk>
    <bk>
      <rc t="1" v="101"/>
    </bk>
    <bk>
      <rc t="1" v="102"/>
    </bk>
    <bk>
      <rc t="1" v="103"/>
    </bk>
    <bk>
      <rc t="1" v="104"/>
    </bk>
    <bk>
      <rc t="1" v="105"/>
    </bk>
    <bk>
      <rc t="1" v="106"/>
    </bk>
    <bk>
      <rc t="1" v="107"/>
    </bk>
    <bk>
      <rc t="1" v="108"/>
    </bk>
    <bk>
      <rc t="1" v="109"/>
    </bk>
    <bk>
      <rc t="1" v="110"/>
    </bk>
    <bk>
      <rc t="1" v="111"/>
    </bk>
    <bk>
      <rc t="1" v="112"/>
    </bk>
    <bk>
      <rc t="1" v="113"/>
    </bk>
    <bk>
      <rc t="1" v="114"/>
    </bk>
    <bk>
      <rc t="1" v="115"/>
    </bk>
    <bk>
      <rc t="1" v="116"/>
    </bk>
    <bk>
      <rc t="1" v="117"/>
    </bk>
    <bk>
      <rc t="1" v="118"/>
    </bk>
    <bk>
      <rc t="1" v="119"/>
    </bk>
    <bk>
      <rc t="1" v="120"/>
    </bk>
    <bk>
      <rc t="1" v="121"/>
    </bk>
    <bk>
      <rc t="1" v="122"/>
    </bk>
    <bk>
      <rc t="1" v="123"/>
    </bk>
    <bk>
      <rc t="1" v="124"/>
    </bk>
    <bk>
      <rc t="1" v="125"/>
    </bk>
    <bk>
      <rc t="1" v="126"/>
    </bk>
    <bk>
      <rc t="1" v="127"/>
    </bk>
    <bk>
      <rc t="1" v="128"/>
    </bk>
    <bk>
      <rc t="1" v="129"/>
    </bk>
    <bk>
      <rc t="1" v="130"/>
    </bk>
    <bk>
      <rc t="1" v="131"/>
    </bk>
    <bk>
      <rc t="1" v="132"/>
    </bk>
    <bk>
      <rc t="1" v="133"/>
    </bk>
    <bk>
      <rc t="1" v="134"/>
    </bk>
    <bk>
      <rc t="1" v="135"/>
    </bk>
    <bk>
      <rc t="1" v="136"/>
    </bk>
    <bk>
      <rc t="1" v="137"/>
    </bk>
    <bk>
      <rc t="1" v="138"/>
    </bk>
    <bk>
      <rc t="1" v="139"/>
    </bk>
    <bk>
      <rc t="1" v="140"/>
    </bk>
    <bk>
      <rc t="1" v="141"/>
    </bk>
  </valueMetadata>
</metadata>
</file>

<file path=xl/sharedStrings.xml><?xml version="1.0" encoding="utf-8"?>
<sst xmlns="http://schemas.openxmlformats.org/spreadsheetml/2006/main" count="924" uniqueCount="337">
  <si>
    <t>Grupo</t>
  </si>
  <si>
    <t>Ítem</t>
  </si>
  <si>
    <t>Especifícaciones Técnicas</t>
  </si>
  <si>
    <t>Unidad de medida</t>
  </si>
  <si>
    <t>PPTO COMPRA DE DOTACIÓN 2025</t>
  </si>
  <si>
    <t xml:space="preserve">COTIZACIONES </t>
  </si>
  <si>
    <t>JI BC PALMITAS (NUEVO)</t>
  </si>
  <si>
    <t>JI BC CASTILLA (AMPLIACIÓN)</t>
  </si>
  <si>
    <t>JI BC EL PINAL (AMPLIACIÓN)</t>
  </si>
  <si>
    <t>JI BC CALAZANIA (AMPLIACIÓN)</t>
  </si>
  <si>
    <t>JI BC ALFONSO LOPEZ (NUEVO)</t>
  </si>
  <si>
    <t xml:space="preserve">JI BC PASCUAL BRAVO (NUEVO) </t>
  </si>
  <si>
    <t xml:space="preserve">JI BC LA LIBERTAD (NUEVO) </t>
  </si>
  <si>
    <t>JI BC CHAMBACU (NUEVO)</t>
  </si>
  <si>
    <t>JI BC (SUSTITUCIÓN)</t>
  </si>
  <si>
    <t>RESUMEN TOTAL</t>
  </si>
  <si>
    <t xml:space="preserve">Registro Fotografico </t>
  </si>
  <si>
    <t>ESTUDIO DE MERCADO</t>
  </si>
  <si>
    <t>Valor unitario</t>
  </si>
  <si>
    <t xml:space="preserve">Relación técnica </t>
  </si>
  <si>
    <t xml:space="preserve">Costo total </t>
  </si>
  <si>
    <t>Relación técnica</t>
  </si>
  <si>
    <t>Valor unitario (Sin IVA)</t>
  </si>
  <si>
    <t>Costo total (Sin IVA)</t>
  </si>
  <si>
    <t>Valor unitario (Con IVA)</t>
  </si>
  <si>
    <t>Costo total (Con IVA)</t>
  </si>
  <si>
    <t>PROVEEDOR 1</t>
  </si>
  <si>
    <t>PRECIO CON IVA</t>
  </si>
  <si>
    <t>PROVEEDOR 2</t>
  </si>
  <si>
    <t>PROVEEDOR 3</t>
  </si>
  <si>
    <t>Sin IVA</t>
  </si>
  <si>
    <t>Con IVA</t>
  </si>
  <si>
    <t>$</t>
  </si>
  <si>
    <t>100 a 149</t>
  </si>
  <si>
    <t>250 a 299</t>
  </si>
  <si>
    <t>5 SEDES</t>
  </si>
  <si>
    <t>Material didáctico</t>
  </si>
  <si>
    <t>Tambor andino</t>
  </si>
  <si>
    <t xml:space="preserve">Cilindro fabricado en madera, plástico o metal con refuerzo interno, cueros de vaca procesados, cordón sintético de alta durabilidad y un par de baquetas, dimension del cilindro entre 20 y 40 cm de diametro. Altura entre  30 y 50 cm. </t>
  </si>
  <si>
    <t>Unidad</t>
  </si>
  <si>
    <t>Maraca pequeña en cuero # 1 (par)</t>
  </si>
  <si>
    <t>Fabricada en cuero de vaca curtido y desinfectado,  palo de madera inmunizada y cosido a mano con semillas de achira en su interior.Dimension de 15 cm largo</t>
  </si>
  <si>
    <t>Palo de lluvia pequeño</t>
  </si>
  <si>
    <t>Fabricado en Bambu, forma tubular, con colgandejo  y cerrado en los extremos con cuero de vaca, en su interior tiene caracoles y cristales de cuarzo (u otros)  y los travesaños. Medidas aproximadas 5 x 5 cm, longitud 30 cm.</t>
  </si>
  <si>
    <t xml:space="preserve">Océano </t>
  </si>
  <si>
    <t>Cilindro fabricado de dos ruedas de triplex cilindrado al calor, parches sintéticos grueso y delgado para tener dos timbres, en su interior contiene semillas de achira, cosido a mano, baqueta de madera con cabeza  forrada en lana, medidas aproximadas 14 "(34 cm)x 12cm de alto. NOTA: Esto aplica para las sedes que tengan sala cunas.</t>
  </si>
  <si>
    <t>Sonajero</t>
  </si>
  <si>
    <t>Sonajero de 10cm de diametro, manipulables por la mano del bebe. Material en tela antifluidos, de facil limpieza y desinfeccion, en colores primarios o la combinacion rojo - negro - blanco. No colores fluorescentes.
NOTA: Esto aplica para las sedes que tengan sala cunas.</t>
  </si>
  <si>
    <t>Caja sonora</t>
  </si>
  <si>
    <t>Juego de caja sonora compuesta por 6 unidades. Material madera natural en pino, pulida y sin esmaltar, con posibilidad de visualizar el contenido. Dimensiones minimas 5 cm * 5 cm en diferentes formas geometricas.
NOTA: Esto aplica para las sedes que tengan sala cunas.</t>
  </si>
  <si>
    <t>Ukelele</t>
  </si>
  <si>
    <t>Fabricado en madera con cuerdas de nailon, cuerpo de soprano con medidas aprox. de 55 cms.</t>
  </si>
  <si>
    <t>Guitarra infantil</t>
  </si>
  <si>
    <t>Réplica de una guitarra a escala infantil en madera maciza (Tamaño ukelele), con cuerdas de plástico para garantizar seguridad en los niños y las niñas, cómodo para sostener, con el tamaño adecuado para su manipulación, material madera, con bordes redondos sin rebabas, medidas aprox. entre 15 y 17 pulgadas.</t>
  </si>
  <si>
    <t>Steel tongue drum (hank drum, tank drum o tambor de lengua)</t>
  </si>
  <si>
    <t>instrumento de percusión de la familia de los idiófonos elaborado en Acero y Titanio, medidas aproximadas de 25 x 13 cm</t>
  </si>
  <si>
    <t>Acordeón de juguete</t>
  </si>
  <si>
    <t xml:space="preserve">Fabricado en plástico, con 7 botones agudos y dos botones de acordes, liviano, con medidas aprox. 17 cms de largo x 11 cms de ancho x 18 cms de alto </t>
  </si>
  <si>
    <t xml:space="preserve">  </t>
  </si>
  <si>
    <t>Piano Infantil</t>
  </si>
  <si>
    <t xml:space="preserve">Fabricado en plástico, diseño ligero y con medidas aprox. 45cm largo x 17cm x 3cm alto </t>
  </si>
  <si>
    <t>Puerca, marrana o zambumbia</t>
  </si>
  <si>
    <t>Elaborado en totumo y cuero, con dimensiones aprox. largo 27 cm x ancho 15 cm x
diámetro 15 cm.</t>
  </si>
  <si>
    <t>Campanas musicales</t>
  </si>
  <si>
    <t xml:space="preserve">Set de campanas musicales 8 tonos (cada una produce una nota diferente), colores vivos, material resistente y no tóxico </t>
  </si>
  <si>
    <t>Firisais</t>
  </si>
  <si>
    <t>Elaborado en metal o madera con semillas fijadas en un soporte, con medidas aprox 5x5x20 cms</t>
  </si>
  <si>
    <t>Platillos para dedos</t>
  </si>
  <si>
    <t>Fabricado en metal, ligero y con tiras de tela o resorte o mango de madera, con medidas de 7 cms de diámetro</t>
  </si>
  <si>
    <t>Cuenco tibetano y almohadilla</t>
  </si>
  <si>
    <t>Elaborado con aleación de 5 a 7 metales, medidas de 14 o 15 cms y baqueta antivibratoria de 8.5 cms.</t>
  </si>
  <si>
    <t>Silbato Canto de Pájaro</t>
  </si>
  <si>
    <t>silbatos de pequeño tamaño madera, plastico o metal, que reproducen los sonidos de pájaros, con medidas aprox. 5 x 5 cm</t>
  </si>
  <si>
    <t>Tambor de Trueno</t>
  </si>
  <si>
    <t>El tambor de trueno emite el sonido de un trueno o una tormenta, realizado en bambú, parche de cuero y un resorte tomado al parche que con su vibración suena imitando el sonido del viento y con un ligero movimiento suena como un potente trueno. con medidas aprox. 17 cms de largo x 11 cms de ancho</t>
  </si>
  <si>
    <t>Campana Koshi Bell</t>
  </si>
  <si>
    <t>Carrillones de bambú originales. Los diferentes modelos de Koshi Bell se encuentran categorizados según su afinación, logrando sutiles melodías basadas en cuatro de los elementos: tierra, agua, fuego y aire. con medidas aprox. 17 cms de largo x 8 cms de ancho</t>
  </si>
  <si>
    <t>Pandereta cascabel</t>
  </si>
  <si>
    <t>Elaborado el mango en madera, soporte de cascabeles en pasta y cascabeles de metal, ligero, con medidas aprox. de 11 cms</t>
  </si>
  <si>
    <t>Castañuelas</t>
  </si>
  <si>
    <t>Elaboradas en madera, tela prensada o fibra de vidrio, unidas por un cordón, con medidas apróx. 6 cms</t>
  </si>
  <si>
    <t>Lira</t>
  </si>
  <si>
    <t xml:space="preserve">Arpa pequeña o lira elaborada en madera pulida maciza y barnizada de alta dureza y densidad, con cuerdas metalicas, con medidas aprox. 17 cms de largo x 11 cms de ancho </t>
  </si>
  <si>
    <t>Kit de juego de roles</t>
  </si>
  <si>
    <r>
      <t xml:space="preserve">El kit esta compuesto como minimo de 100 piezas de difrentes colores y texturas que contengan: Capas sin logos, cascos, sombreros, overoles, chalecos, cinturones, </t>
    </r>
    <r>
      <rPr>
        <sz val="11"/>
        <rFont val="Arial"/>
        <family val="2"/>
      </rPr>
      <t>delantales, maletas, pelucas, tapabocas, guantes, batas, antifaces, gorros, alpargatas, faldas largas, penachos, caretas, gafas, corbatas, moños, collares, bolsos, que nos permitan personificar roles tales como: Vaquero, campesino, indígena, panadero, carpintero, modista, mago, chef, enfermera, ciclista, ingeniero, bombero, astronauta, odontólogo, atetla</t>
    </r>
    <r>
      <rPr>
        <sz val="11"/>
        <color theme="1"/>
        <rFont val="Arial"/>
        <family val="2"/>
      </rPr>
      <t>s, policia, cirujano, salvavidas, motociclistas, veterinario, peluquero, cientifico, militar, buceadores, jardinero. No debe tener impresiones gráficas, ni piezas pequeñas desprendibles, ni ganchos, ni resortes. Las piezas deben ser de formas bien estructuradas no desarmables, con muy buenos acabados, materiales finos, resistentes, telas antifluidos y el kit debe contar como minimo con 5 cajas o contenedores almacenadores de las piezas.</t>
    </r>
  </si>
  <si>
    <t>Kit de cocina</t>
  </si>
  <si>
    <t xml:space="preserve">Estufa de material madera resistente. 19cm ancho  x 10 cm de alto. Cinco ollas de aluminio con tapa y mango, de diferentes diámetros  desde 5 cm hasta 15 cm. un perol con agarraderas de mínimo 5 cm de diámetro. una chocolatera  de aluminio de mínimo 6 cm de alto.  Una Licuadora de madera de 10 cm de alto Vajilla de 4 puestos compuesta por: cuatro  platos soperos, cuatro platos pandos, cuatro tazas o pocillos, cucharas, tenedores y un soporte de plástico organizador tipo locero. Dos cucharones de cocina en plástico de 10 cm de largo.
Debe tener recubrimientos con lacas no toxicas. El metal debe tener bordes enrolados. El plástico debe ser liso sin ranuras, ni orificios. (Medidas aproximadas)
</t>
  </si>
  <si>
    <t xml:space="preserve">Kit de utensilios de cocina </t>
  </si>
  <si>
    <t>Elaborado en madera pulida, sin puntillas o astillas salientes con piezas como cuchara, bolinillo, cucharón, rodillo, tabla, escurridor, espátula. Si tiene intervención de pintura esta no puede tener partículas de plomo.</t>
  </si>
  <si>
    <t>Kit de maquillaje artístico</t>
  </si>
  <si>
    <t xml:space="preserve">Pintura facial y corporal líquida soluble en agua, antialérgico, antiséptico, no tóxico. Set compuesto por 12 cuadrículas arcoiris, un pincel de cabeza ancha suave y 7 adicionales de diversos tamaños, lápices delineadores de ojos en 5 colores diferentes, plantillas de pintura, pegatinas de diamantes y un paquete por 100 de toallitas de desmaquillantes. </t>
  </si>
  <si>
    <t>Marionetas</t>
  </si>
  <si>
    <t xml:space="preserve">Marionetas en madera o en tela, de diferentes roles y oficios,  personajes, animales u otros motivos de interés como frutas, vegetales, cepillo de dientes, dientes y muelas; con caracterizaciones acordes al personaje o animal.  </t>
  </si>
  <si>
    <t xml:space="preserve">Medios de transporte </t>
  </si>
  <si>
    <r>
      <t xml:space="preserve">Carros, </t>
    </r>
    <r>
      <rPr>
        <sz val="11"/>
        <rFont val="Arial"/>
        <family val="2"/>
      </rPr>
      <t>camiones, tren, ambulancia, helicópteros, motos, bicicletas, aviones, barcos, lanchas.  De diferentes colores, motivos y usos variados, en madera (su pintura no puede contener particulas de plomo), NO deben tener piezas pequeñas ni desprendibles</t>
    </r>
    <r>
      <rPr>
        <sz val="11"/>
        <color rgb="FF000000"/>
        <rFont val="Arial"/>
        <family val="2"/>
      </rPr>
      <t xml:space="preserve"> o que posibiliten desarmar el objeto, deben ser productos bien ensamblados. Si tienen piezas metálicas deben ser inoxidables y fijas, NO deben contener elementos de vidrio o acrílico.</t>
    </r>
  </si>
  <si>
    <t xml:space="preserve">Kit de Playa </t>
  </si>
  <si>
    <r>
      <t>Elementos auxiliares de los juegos de Arena.  En material plastico denso, sin rebabas, la pintura no podra contener particulas de plomo. Debe incluir un</t>
    </r>
    <r>
      <rPr>
        <sz val="11"/>
        <color rgb="FF000000"/>
        <rFont val="Arial"/>
        <family val="2"/>
      </rPr>
      <t xml:space="preserve"> rastrillo, un balde y una pala. Dimensiones minimas de 15 cm de largo por 15 cm de alto </t>
    </r>
  </si>
  <si>
    <t xml:space="preserve">Juegos de encaje </t>
  </si>
  <si>
    <t>Los encajables deberán ser de madera o piezas en plástico (sin contenido de plomo ni rebabas). La base del encajable debe estar finamente pulida en todos sus contornos para asegurar el encaje de las diferentes fichas y la manipulación.  Si tienes imágenes deberán ser a color y deben corresponder a  animales, oficios,  frutas y objetos cotidianos de los niños y las niñas. Tamaño aproximado de 30cm x 33cm. El juego debe contener mínimo 6 encajables.</t>
  </si>
  <si>
    <t xml:space="preserve">
Juegos para armar
</t>
  </si>
  <si>
    <t xml:space="preserve">Conjunto de piezas en madera natural que permitan crear craciones como tamgram, tetris, arcoirirs, bloques escalonado.
</t>
  </si>
  <si>
    <t xml:space="preserve">Dominó </t>
  </si>
  <si>
    <t>Elaborado en madera pulida, con diseños de animales, plantas, frutas, objetos cotidianos y/o texuturas, conformado por 18 piezas Si tiene intervención de pintura esta no puede tener partículas de plomo.</t>
  </si>
  <si>
    <t>Juegos de mesa</t>
  </si>
  <si>
    <t xml:space="preserve">Loterías y rompecabezas bidimensionales o tridimensionales elaborados en madera pulida y sin astillas o cartón grueso con imágenes de plananimales, oficios, frutas, verduras o elementos de la cotidianidad y de fácil identificación. Pintura libre de partículas de plomo. Diferentes dimensiones teniendo en cuenta que no deben tener piezas pequeñas que puedan ser ingeribles por los niños y niñas.  </t>
  </si>
  <si>
    <t>Ensartados de madera y/o plástico.</t>
  </si>
  <si>
    <t>Piezas con perforaciones para ensartar, con colores de pinturas no tóxicas, puntas redondeadas, bordes suaves. -Tamaño aproximado de 5cm x 5cm.  Motivos de animales o figuras geometrías debidamente pulidas y con acabados lisos, sin ranuras, ni rebabas, ni astillas.
Debe tener estuche plástico con sistema de cerramiento para su empaque.</t>
  </si>
  <si>
    <t xml:space="preserve">Juegos de texturas </t>
  </si>
  <si>
    <t>Caja de madera con piezas de diferentes texturas y formas.
NOTA: Solo aplica para las sedes que tienen sala cunas</t>
  </si>
  <si>
    <t>Kit de modelado</t>
  </si>
  <si>
    <t xml:space="preserve">
Juego de estique de plástico o madera conformado por piezas como cortadores de masas, vaciadores, cuchillos, rodillos o paletas para alisar, jeringas extrusoras de masa y troqueles especiales para la interacción con masas como plastilina, porcelana fría y arcilla.
</t>
  </si>
  <si>
    <t>Paquetes de animales</t>
  </si>
  <si>
    <t xml:space="preserve">Elaborados en plástico rígido duradero, tamaño seguro para la manipulación de las niñas y los niños, con medidas de apróx entre 10 y 14 cms de alto. Los paquetes deberán estar clasificados por animales del mar, selva, granja, domésticos, insectos, reptiles, prehistóricos. </t>
  </si>
  <si>
    <t>Kit de aseo</t>
  </si>
  <si>
    <t>Conformado por escoba, trapeadora y recogedor a escala infantil, elaborado en material duradero y resistente al desgaste.</t>
  </si>
  <si>
    <t xml:space="preserve">Velos </t>
  </si>
  <si>
    <t>Colores surtidos  de 1,20 * 1 mt  - 1,20 *2 mt y 1,20 *3 mt</t>
  </si>
  <si>
    <t xml:space="preserve">Siluetas de Animales </t>
  </si>
  <si>
    <t>Siluetas de animales de diferentes especies y genero (macho, hembra o sus crias) en dimensiones entre 10 y 25 cm.( teniendo en cuenta que no deben tener piezas pequeñas que puedan ser ingeribles por los niños y niñas) En lamina de triplx de 3- 5 mm</t>
  </si>
  <si>
    <t xml:space="preserve">Lazos cortos 
</t>
  </si>
  <si>
    <t>Lazos con agarraderas plástica de colores de 1 y 2 metros.</t>
  </si>
  <si>
    <t xml:space="preserve">Lazos largos
</t>
  </si>
  <si>
    <t>Lazos con agarraderas de colores de 3 y 4 metros.</t>
  </si>
  <si>
    <t xml:space="preserve">Túnel
</t>
  </si>
  <si>
    <t>De 3mt de largo por 70cm de diámetro (puede ser de diferentes longitudes de acuerdo a la edad de los niños y las niñas) en tela anti-fluidos en varios colores,  con material que permita al ventilación (de tela con transparencias), con base acolchada (con aislante del piso), de fácil desplazamiento y almacenamiento. NOTA: Solo aplica para las sedes que tienen sala cunas</t>
  </si>
  <si>
    <t xml:space="preserve">Literatura infantil
</t>
  </si>
  <si>
    <t xml:space="preserve">libros tradicionales, libros de texturas y de tipo pop-up, libros ilustrados, álbumes, libros de imágenes, libros de cartón y libros plásticos (Bebetecas), libros animados, libros troquelados y tiras cómicas. </t>
  </si>
  <si>
    <t xml:space="preserve">Tarjetas de imágenes
</t>
  </si>
  <si>
    <t>En madera o pasta dura, plastificadas (imágenes de insectos, animales acuáticos, de la granja, aves, objetos del entorno de los niños y las niñas, de oficios y profesiones).</t>
  </si>
  <si>
    <t xml:space="preserve">
Conos de tráfico para juegos de equilibrio
</t>
  </si>
  <si>
    <t>Conformado por 6 conos elaborados en plástico de pvc, con medidas apróx. de 23 x 14 cms, en colores variados que posibilitan actividades de equilibrio, coordinación y juegos de obstáculos.</t>
  </si>
  <si>
    <t xml:space="preserve">
Juegos de enroscado de tuercas y tornillos
</t>
  </si>
  <si>
    <t xml:space="preserve">
Elaborado en plásticos duadero y resistente al desgaste, en colores variados y almacenados en recipiente con tapa. Con tamaño adecuado para su manipulación y que no sea de fácil ingesta. Este juego para enroscar tuercas y tornillos posibilita el desarrollo de coordinación mano-ojo y la motricidad fina.
</t>
  </si>
  <si>
    <t xml:space="preserve">
Big bloks
</t>
  </si>
  <si>
    <t>Grandes bloques de construcción de plástico duradero y resistente al desgaste, ideales para construir estructuras creativas y desarrollar habilidades de manipulación y construcción. Debe de contar con un recipiente con tapa para su almacenamiento.</t>
  </si>
  <si>
    <t xml:space="preserve">
Rodillos de estimulación (masajes)
</t>
  </si>
  <si>
    <t>Rodillos con texturas y relieves diseñados para proporcionar estimulación táctil y sensorial durante actividades de juego y exploración. Elaborados en madera.</t>
  </si>
  <si>
    <t xml:space="preserve">
Set de figuras geométricas de colores traslucidos
</t>
  </si>
  <si>
    <t xml:space="preserve">
Elaborado en plástico traslúcido para actividades de clasificación, apilamiento y exploración sensorial. Con un mínimo de 100 figuras tridimensionales con dimensiones apróx. entre 3 y 10 cms.
</t>
  </si>
  <si>
    <t xml:space="preserve">
Linterna pequeña 
</t>
  </si>
  <si>
    <t xml:space="preserve">
Pequeña linterna de juguete, preferiblemente recargable, ideal para juegos de exploración y actividades nocturnas. Con medidas apróx 8,8*2,5 cms.
</t>
  </si>
  <si>
    <t xml:space="preserve">
Eslabón klic klac (Flexible - magnetico)
</t>
  </si>
  <si>
    <t>Elaborado en caucho de pvc e imanes, flexible y de diferentes colores, conformado por mínimo 50 piezas que se enlazan entre sí  por medio de imanes en los extremos para formar cadenas y figuras, promoviendo la coordinación y la creatividad.</t>
  </si>
  <si>
    <t xml:space="preserve">
Figuras geométricas
</t>
  </si>
  <si>
    <t>Conjunto de figuras geométricas elaboradas en madera, intervenido con pinturas libre de plomo y con tamaño adecuado para su manipulación medidas apróx.entre los 4 y 6 cms. Debe de tener un mínimo de 15 figuras para actividades de clasificación y aprendizaje sobre formas, debe de contar con un recipiente con tapa para su almacenamiento.</t>
  </si>
  <si>
    <t xml:space="preserve">
Cubos sonoros
</t>
  </si>
  <si>
    <t>Elaborados en tela antifluído y espuma de diferentes tamaños con elementos sonoros en su interior, utilizados para juegos de sonidos y exploración sensorial.
Nota: Aplica para la atención con bebés</t>
  </si>
  <si>
    <t xml:space="preserve">
Cilindros clasificadores de ensarte
</t>
  </si>
  <si>
    <t>Elaborado en madera pulida con puntas redondeadas, intervenidos con pintura no tóxica libre de plomo y con medidas de cilindros en diferentes tamaños apróx.:
5 cilindros de 2 cms
5 cilindros de 3 cms
5 cilindros de 5 cms
5 cilindros de 6.5 cms
5 cilindros de 8 cms</t>
  </si>
  <si>
    <t>Tapete Didáctico Twister</t>
  </si>
  <si>
    <t>Elaborado en lona plástica de fácil limpieza.</t>
  </si>
  <si>
    <t xml:space="preserve">
Cubo tarjetero 
</t>
  </si>
  <si>
    <t>Elaborado en tela antifluído y espuma, liviano, con tamaño de fácil manipulación para los niños y las niñas.
Nota: Aplica para la atención con bebés</t>
  </si>
  <si>
    <t xml:space="preserve">
Tabla de equilibrio monobalancín
</t>
  </si>
  <si>
    <t xml:space="preserve">Elaborado en madera pulida sin astillas o plástico duradero y resistente al desgaste. </t>
  </si>
  <si>
    <t>Kit de herramientas construcción</t>
  </si>
  <si>
    <t>En material plástico o en madera pulida, sin puntillas o astillas, sin pintura que contenga partículas de plomo. Debe incluir delantal y mínimo 10 artículos como tornillos, tuercas, destornillador, martillo, taladro, regla, alicate, llave, serrucho, piezas de montaje, bloques de construcción, pernos y deben de estar contenidos en una caja con tapa.</t>
  </si>
  <si>
    <t>Kit de teatro</t>
  </si>
  <si>
    <t xml:space="preserve">Artículos de distintas formas, colores y texturas de: 10 Velos de 50 cm x 70 cm, 10 retazos tela dacrón de 1 x 1 m, sombrilla de colores, coronas en fieltro, armaduras en tela, sombreros mágicos, pelucas, corbatas, pañoletas, varitas mágicas de hadas y magos, cinturones, diademas con orejas de animales, guantes, capas, gafas, collares, antifaces. Debe tener  una caja o contenedor para guardar todos los elementos que sea liviana de fácil manipulación al abrir y cerrar. Este set no debe tener piezas pequeñas desprendibles, ni ganchos, ni resortes. Los implementos deben ser fabricados con muy buenos acabados, materiales finos, telas anti fluidos.
</t>
  </si>
  <si>
    <t>Kit de exploración científica</t>
  </si>
  <si>
    <t>El kit debe contener mínimo 10 de los siguientes elementos: tubos de ensayo con soporte, jeringas, goteros, embudos y cedazos de 3 dimensiones 10, 15 y 20 cm de diámetro; cucharas medidoras, vaso de medición grande, vaso de medición pequeño, lupa con cuerpo o carcasa en madera de dimensiones 5 cm, 10 cm, 15 cm y 20 cm de diámetro; pinzas, anteojos de seguridad, varilla agitadora, trozos de mangueras en plástico, transparentes y de diferentes tamaños y colores (entre 10 y 20 cm  de longitud). Los componentes NO deben tener piezas pequeñas que puedan ser ingeridas por los niños y las niñas, ni piezas metálicas. Todo elemento debe tener estructura suficiente para sostenerse.</t>
  </si>
  <si>
    <t>Juegos de palabras magnéticas</t>
  </si>
  <si>
    <t>Letras magnéticas con tablero y caja de almacenamiento elaborados en material duradero y seguro para la manipulación de las niñas y los niños, con tamaño de letra aproximadamente de 4 cm.</t>
  </si>
  <si>
    <t>Iniciación al movimiento</t>
  </si>
  <si>
    <t>Circuito de motricidad gruesa que costa de: 
- Set de 5 cojines de 20 x 20 cm en tela antifluidos y espuma densa.
-1 base de equilibrio con 10 ladrillos antideslizantes Diámetro 40 cm. Alto 24 cm. Peso máx. soportado 100 kg. y 5 barras Longitud. 72 cm. Peso máx. soportado: 100 kg. Ambos De plástico o madera densa los cuales no puden tener rebada, astillas ni su pintura puede contener plomo o sustancias tóxicas.
-1 camino de textura son 10 estructuras táctiles, cada una con formatos distintos. En caucho. Diámetro 27 cm y Altura 11 cm, diferentes colores.
- 1 set de pelotas gemelas compuesta por 6 medias lunas colores diferentes. Están recubiertas de esferas flexibles Diámetro 9 cm. Altura: 5,5cm  
-1 set de obstáculos en disco son 5. (3 alturas diferentes 8,5cm, 17cm, 25,5cm)  Diámetro de 27 cm</t>
  </si>
  <si>
    <t>Registradora en madera</t>
  </si>
  <si>
    <t>Fabricada en madera con pintura libre de plomo, contiene billetes y monedas didácticas, ideal para juegos de tienda.
Dimensiones aproximadas de 19 x 20 x 14 cm.</t>
  </si>
  <si>
    <t>Ábaco abierto</t>
  </si>
  <si>
    <t>Elabora en madera, no debe contener particulas de plomo, con dimensiones aproximadas de 36 cm de ancho x 17 cm de alto.</t>
  </si>
  <si>
    <t>Laberinto complejo</t>
  </si>
  <si>
    <t xml:space="preserve">
Juego de laberinto con niveles de dificultad, ideal para desarrollar habilidades de pensamiento lógico y estratégico. Elaborado en madera y hierro liso, intervenido con pintura libre de plomo.
</t>
  </si>
  <si>
    <t>Espejo de mano</t>
  </si>
  <si>
    <t>Espejo con lámina de seguridad antifracmento y marco de madera. Dimension de 15 cm  * 15 cm, su forma puede ser rectangular o cuadrada.</t>
  </si>
  <si>
    <t>Colchonetas</t>
  </si>
  <si>
    <t>Las colchonetas deben ser con espuma de Poliolefilas o Yumbolón, forrada en tela impermeable y luego en sedatex y tela poliéster. Colores según guía de Color Buen Comienzo, preferiblemente sin cierre o con cierre oculto pero de fácil acceso para el personal de limpieza. Se debe garantizar una colchoneta por niño.</t>
  </si>
  <si>
    <t>Dotación - Mobiliario Infantil</t>
  </si>
  <si>
    <t>Caballo (u otros animales) balancín</t>
  </si>
  <si>
    <t>Estructura en madera maciza, en forma de caballo u otro animal, con balancín.  los demas componentes deben ser en en Madera natural, pintura epóxica, polietileno o epoxipoliamidas, con bordes pulidos y redondeados, sin puntas ni clavos, astillas o tornillos que sobresalgan de la madera, preferiblemente ensamblados con tarugos de madera o de ser necesario tornillos de ensamble ocultos al tacto de los niños y niñas. Con la menor cantidad de herrajes posible, asegurarse de que las piezas que posibilitan mover de lugar son segura y de alta durabilidad.  Es indispensable el visto bueno por parte del programa Buen comienzo para la entrega de este producto.</t>
  </si>
  <si>
    <t>Espejo de pared</t>
  </si>
  <si>
    <t>Espejo con lámina de seguridad antifracmento y marco de madera, de piso, que se puedan mover de lugar o que estén instalados en un lugar habilitado para ello. Dimension de 1 * 2 m, su forma puede ser rectangular u obalada.</t>
  </si>
  <si>
    <t>Sillas a escala infantil para comedor</t>
  </si>
  <si>
    <t xml:space="preserve">Las sillas para el comedor deben deben estar elaboradas en estructura 100% Polipropileno con filtro UV. denso de fácil limpieza y desinfección. Dimension promedio 36,5 cm de alto. </t>
  </si>
  <si>
    <t xml:space="preserve">Mesa a escala infantil para comedor. </t>
  </si>
  <si>
    <t>Las mesa para el comedor Trapezoidal de Polipropileno, con estructura metálica y cubierta de polipropileno de fácil limpieza y desinfección. Dimensiones promedio Alto 53 cm y ancho 120cm.</t>
  </si>
  <si>
    <t>Sillas comedor bebes</t>
  </si>
  <si>
    <t>Las sillas de comedor de bebés son en  plástico y metal, con revestimiento del asiento en material lavable, no absorvente.  Debe contener superficies lisas y de fácil limpieza y desinfección.
NOTA: Solo aplica para las sedes que tienen sala cunas</t>
  </si>
  <si>
    <t>Silla para amamantar</t>
  </si>
  <si>
    <t>Las sillas para amamantar deben permitir a la madre balancearse con el bebé. Deben ofrecer máxima comodidad, deben estar desarrollados a la medida de la madre y contener cojines para ofrecer mayor comodidad en tela antifluidos. Esta silla va acompañada de un reposa pies y una mesa auxiliar todo elaborado en Madera natural, pintura epóxica, polietileno o epoxipoliamidas, con bordes pulidos y redondeados, sin puntas ni clavos, astillas o tornillos que sobresalgan de la madera, preferiblemente ensamblados con tarugos de madera o de ser necesario tornillos de ensamble ocultos al tacto de los niños y niñas. Con la menor cantidad de herrajes posible, asegurarse de que las piezas que posibilitan mover de lugar son segura y de alta durabilidad.  Es indispensable el visto bueno por parte del programa Buen comienzo para la entrega de este producto.</t>
  </si>
  <si>
    <t>Cambiador de pañal</t>
  </si>
  <si>
    <t>Meson en resina polimerica o plastico de alta densidad, de facil limpieza y desinfeccion.</t>
  </si>
  <si>
    <t>Homogenizador (licuadora de inmersion)</t>
  </si>
  <si>
    <t>Auxiliar de cocina que permite tritutrar y macerar de manera agil y segura diferentes preparaciones. Diseño ergonomico y de inmersion.
Cuchilla profesional en Y, fabricada en acero templado y con un filo de larga duración.
Velocidad arreglada.
Diseñado para trabajar en recipientes de hasta 60 litros.
Tamaño lógico y manejable.
Brazo desmontable, se puede limpiar bajo el grifo.</t>
  </si>
  <si>
    <t>&lt;&lt;&lt;&lt;&lt;&lt;&lt;&lt;&lt;&lt;&lt;</t>
  </si>
  <si>
    <t xml:space="preserve">Termómetro de punzón digital </t>
  </si>
  <si>
    <t>A prueba de agua, Varilla ( punzón ) de acero inoxidable, medida a partir de -40°C y temperatura máxima 15°C. Apagado automático. Pantalla digital con resolución de 0,1°C de doble funcionalidad ( para temperaturas frias y calientes)</t>
  </si>
  <si>
    <t>Báscula digital de piso</t>
  </si>
  <si>
    <t>Debe tener una capacidad de 120 a 150 kilogramos y una precisión de 50 gramos, 100 gramos como máximo (2)</t>
  </si>
  <si>
    <t>Repisa plana de pared</t>
  </si>
  <si>
    <t xml:space="preserve">
Dimensiones: 1800x500mm
Marca: Itracer (Colombia)
Fabricación en acero inoxidable AISI 304 calibre 20. Refuerzos en "U" fabricados en
acero inoxidable calibre 20. Tres Pie amigos fabricados en acero inoxidable calibre
20 para anclaje a la pared.</t>
  </si>
  <si>
    <t>Reloj de pared</t>
  </si>
  <si>
    <t>Legible a una distancia moderada. Con especificaciones a gusto de la entidad.</t>
  </si>
  <si>
    <t>Peladora de papas</t>
  </si>
  <si>
    <t>Cuerpo, base y tapa en acero inoxidable. Disco abrasivo de alta resistencia. Puerta de descargue con seguro. Necesita conexión hidráulica y desagüe.
Capacidad: 150 kg/h. / Hasta 10 kg por ciclo.
Dimensiones: 50 x 60 x 72 cm.
Potencia: 1/2 H. P., 360 Wh., 110 V.</t>
  </si>
  <si>
    <t>Procesador de alimentos con doble juego de discos de corte</t>
  </si>
  <si>
    <t>Mueble en acero inoxidable y fundición de aluminio, base plástica de alta resistencia. Para trabajo pesado. Sólida construcción. 
PA7 Pro incluye los discos E3, E10 tajadas ( 3 y 10 mm)  Z3, Z8 deshilado (3 y 8 mm) CG10 (cubos 10mm) H7 julianas (7 mm).
Puede adquirir discos adicionales para otros cortes..
Dimensiones: 29,00 x 52,00 x 58,00 cm
Potencia: 1/2 H. P., 375 Wh., 110 V</t>
  </si>
  <si>
    <t>Gramera Digital</t>
  </si>
  <si>
    <t>Capacidad 5kg. División: 1gr, Material Plástico ABS, Acero y Bandeja de Vidrio templado, pantalla; LCD, preferiblemente Función auto-cero, auto-apagado, de gran precisión, poder 2 Baterías (AAA) opción de adaptador cable adaptador a corriente.</t>
  </si>
  <si>
    <t>Carretilla carga tipo Zorra recta</t>
  </si>
  <si>
    <t>Carretilla carga tipo zorra es un producto de exhibición que ha sido diseñado para facilitar el transporte de carga pesada o voluminosa de un lugar a otro. Esta herramienta es ampliamente utilizada en diferentes industrias, como la construcción, la agricultura, la logística y el comercio. La carretilla tipo carga que estamos describiendo ha sido fabricada en tubería redonda de alta resistencia, lo que la hace muy resistente y duradera.
La capacidad de carga de esta carretilla es de 100 kilos</t>
  </si>
  <si>
    <t xml:space="preserve">Unidad </t>
  </si>
  <si>
    <t>ESTIBADORA MANUAL 2000 KG</t>
  </si>
  <si>
    <t>estibadora manual con capacidad de 2000 Kg y ancho de horquilla de 685 mm, equipada mango revestido de goma cómoda</t>
  </si>
  <si>
    <t>Dotación - Menaje de cocina</t>
  </si>
  <si>
    <t>Ollas</t>
  </si>
  <si>
    <t xml:space="preserve">Olla caldero en aluminio extra fuerte manijas/asas en aluminio calibre 11 mm con refuerzo para una mayor durabilidad, con 4 remaches en cada asa, aluminio de calibre 2.2mm con tapa. 
Capacidad: 50 Litros.
Dimensiones: Alto: 40cm, Diámetro: 40 cm. </t>
  </si>
  <si>
    <t>Olla caldero en aluminio extra fuerte manijas/asas en aluminio calibre 11 mm con refuerzo para una mayor durabilidad, con 4 remaches en cada asa, aluminio de calibre 2.2mm con tapa. 
Capacidad: 75 Litros
Dimensiones: Altura: 53,5 cm, Diámetro: 54 cm</t>
  </si>
  <si>
    <t>Caldero</t>
  </si>
  <si>
    <t>Olla y tapa en aluminio 99.7 alta pureza, asas extrafuertes, compactas al tacto para uso seguro, cómodo y mejor agarre
Capacidad: 50 Litros
Dimensiones: Altura: 40 cm, Diámetro: 30cm</t>
  </si>
  <si>
    <t>Ollas a presión</t>
  </si>
  <si>
    <t>Fabrica en acero aluminio, apta para trabajo pesado. Asas métalicas con cubierta en baquelita. Válvula de seguridad. Perilla para facil apertura. Presión de trabajo 40 kPa                                                                                                         Capacidad: 40 Litros
Dimensiones: Altura: 35 cm, Diámetro: 38 cm</t>
  </si>
  <si>
    <t>Fabrica en acero aluminio, apta para trabajo pesado. Asas métalicas con cubierta en baquelita. Válvula de seguridad. Perilla para facil apertura. Presión de trabajo 50 kPa                                                                                                         Capacidad: 15 Litros
Dimensiones: Altura: 40 cm, Diámetro: 34 cm</t>
  </si>
  <si>
    <t>Set de ollas para zona de lactancia</t>
  </si>
  <si>
    <t>Conjunto de 2 ollas para calentamiento indirecto de la leche
materna por convección térmica desde el medio líquido (agua).                     Material acero inoxidable. ALTO MÍNIMO OLLA EXTERNA 19 cm, DIAMETRO MÍNIMO OLLA EXTERNA 22 cm, CAPACIDAD REQUERIDA (olla externa) (Prevalece la capacidad sobre las dimensiones) 2.8 L, CAPACIDAD REQUERIDA (olla interior)  (Prevalece la capacidad sobre las dimensiones) 1.0 L ESPESOR 1.8 mm</t>
  </si>
  <si>
    <t>Paila</t>
  </si>
  <si>
    <t>Sartén y mango en acero inoxidable. Apto para cocina de inducción.                   Capacidad: 23 Litros</t>
  </si>
  <si>
    <t>Cucharón para sopa</t>
  </si>
  <si>
    <t>1 para sopa</t>
  </si>
  <si>
    <t>Cucharón para ensalada</t>
  </si>
  <si>
    <t>1 para ensalada</t>
  </si>
  <si>
    <t>Cucharón para bebida</t>
  </si>
  <si>
    <t>1 para bebida. Deben ser de alta calidad, con mango y banda anti deslizante que proporciona mejor agarre a la hora de utilizarlo. Resistente a altas temperaturas y fácil limpieza. No debe tener dibujos ni grabados en relieve. No debe presentar rebabas del material con el que es hecho.</t>
  </si>
  <si>
    <t>Cucharón para arroz</t>
  </si>
  <si>
    <t>1 para arroz. Deben ser de alta calidad, con mango y banda anti deslizante que proporciona mejor agarre a la hora de utilizarlo. Resistente a altas temperaturas y fácil limpieza. No debe tener dibujos ni grabados en relieve. No debe presentar rebabas del material con el que es hecho.</t>
  </si>
  <si>
    <t>Espumaderas</t>
  </si>
  <si>
    <t>Fabricada totalmente en acero inoxidable, de la línea profesional para trabajo industrial o pesado. Dimensiones promedio largo de 15 a 20 cm.</t>
  </si>
  <si>
    <t>Pinzas</t>
  </si>
  <si>
    <t>Fabricadas en acero inoxidable, de la línea profesional, con cuchara para agarre de los alimentos en la punta.</t>
  </si>
  <si>
    <t>Coladores.</t>
  </si>
  <si>
    <t>Material: acero inoxidable. Dimensiones: Diámetro entre 30 cm y 40 cm</t>
  </si>
  <si>
    <t>Rallador</t>
  </si>
  <si>
    <t>Material en acero inoxidable o plástico resistente.</t>
  </si>
  <si>
    <t>Juego de cuchillos para cocina ( set de 5 piezas)</t>
  </si>
  <si>
    <t>Cuchillo para pelar de 7,6 cm, Cuchillo cocinero de 25.4 cm, Cuchillo para deshuesar de 15,2 cm, Hacha de 15,2 cm, Cuchillo de cocinero de 20,3 cm</t>
  </si>
  <si>
    <t>Molinillo</t>
  </si>
  <si>
    <t>Material: acero inoxidable o plástico.</t>
  </si>
  <si>
    <t>Tablas para picar</t>
  </si>
  <si>
    <t>Tablas plásticas para picar (Crudo y cocido - Carnes y Vegetales)</t>
  </si>
  <si>
    <t>Jarra o contenedor para bebidas</t>
  </si>
  <si>
    <t>Recipiente plástica transparente con tapa. Capacidad mínima de 2.5 lts</t>
  </si>
  <si>
    <t>kit de recipientes plásticos (13 L, 44 L, 75 L, 120 L)</t>
  </si>
  <si>
    <t>Recipiente para almacenamiento</t>
  </si>
  <si>
    <t>Caja plástica con tapa, transparente, 79 cm x57 cm x 43 cm
Capacidad: 130 Litros</t>
  </si>
  <si>
    <t>Bandejas para servicio grande</t>
  </si>
  <si>
    <t xml:space="preserve">Bandeja con manijas laterales antideslizante, para transportar alimentos. Materiales que permitan la desinfección, sin textura decorativa ni relieves.      Dimensiones: Largo 45 cm x mango 2 cm
</t>
  </si>
  <si>
    <t>Tijeras para cocina</t>
  </si>
  <si>
    <t>Tijeras en acero inoxidable con 21 cm.</t>
  </si>
  <si>
    <t>Imagen</t>
  </si>
  <si>
    <t>Estibas plásticas</t>
  </si>
  <si>
    <t>Material Polietileno de alta densidad (HDPE)  u otro material resistente y no corrusivo. De fácil lavado y desinfección.Con una altura de 15 cm</t>
  </si>
  <si>
    <t>Canastas para bodegaje.</t>
  </si>
  <si>
    <t>Material Polietileno de alta densidad (HDPE) Dimensiones recomendadas: 60x40x25cm. Resistencia: 1950gr. Capacidad de carga: 25kg. Adecuadas para el almacenamiento de frutas, verduras, hortalizas y productos lácteos. De fácil lavado y desinfección.</t>
  </si>
  <si>
    <t>Coge ollas</t>
  </si>
  <si>
    <t>Material: Silicona 
Medidas: 13 cm de alto (abierto) 7,5 cm al estar cerrado, y 10 de ancho. Color: tonos claros.</t>
  </si>
  <si>
    <t>Gafas de protección</t>
  </si>
  <si>
    <t>Fabricadas en policarbonato para la protección visual en el manejo de productos químicos</t>
  </si>
  <si>
    <t>Mangas termicas</t>
  </si>
  <si>
    <t>Las Mangas deben ser  resistentes a cortes, fabricadas con una capa interna de algodón y nylon, tejido sin costuras, que proveen una muy buena protección a corte, excelente comodidad brindando mayor frescura y respirabilidad.</t>
  </si>
  <si>
    <t>Resultado de imagen para mangas termicas</t>
  </si>
  <si>
    <t>Cuchara sopera para niños y niñas.</t>
  </si>
  <si>
    <t>Material: Metal inoxidable y/o resinas y plásticos no tóxicos, fácil de limpiar (sin endiduras, ni esquinas, ni cavidades).</t>
  </si>
  <si>
    <t>Cuchara postre  para niños y niñas.</t>
  </si>
  <si>
    <t>Tenedores  para niños y niñas.</t>
  </si>
  <si>
    <t>Material: Metal inoxidable y/o resinas y plásticos no tóxicos, fácil de limpiar (sin hendiduras, ni esquinas, ni cavidades). No debe presentar filo y sus puntas deben ser redondeadas y/o romas.</t>
  </si>
  <si>
    <t>Cuchillos  para niños y niñas.</t>
  </si>
  <si>
    <t>Platos integrados (Opcional)</t>
  </si>
  <si>
    <t>Con sello que indique el tipo de plástico, preferiblemente el PE y PP. Se debe garantizar la NO existencia de componentes tóxicos como el plomo. Debe tener base planas y no presentar encocamiento con el paso del tiempo, el material no debe mancharse o presentar marcas blancas, debe carecer de gráficos o estampados, No debe tener cavidades ni esquinas difíciles de limpiar. Debe ser rígido más no frágil ni quebradizo.</t>
  </si>
  <si>
    <t>Platos para sopa</t>
  </si>
  <si>
    <t>Pocillos</t>
  </si>
  <si>
    <t>Vasos</t>
  </si>
  <si>
    <t>Recipientes para fruta</t>
  </si>
  <si>
    <t xml:space="preserve">Recipiente hondos plástico en PP
(Polipropileno) </t>
  </si>
  <si>
    <t>Balde plástico 13 lts</t>
  </si>
  <si>
    <t>Recipiente plástico con capacidad de 13 lts, con manija plástica.</t>
  </si>
  <si>
    <t>Ponchera (lavandería)</t>
  </si>
  <si>
    <t>Recipiente plástico con capacidad mínima de 9 lts.</t>
  </si>
  <si>
    <t>Contenedores (limpieza y desinfección)</t>
  </si>
  <si>
    <t>Agarraderas ergonómicas y tapa ajustable, manijas integradas para mejor movilidad, sistema de apilamiento que permite ahorrar espacio, plástico resistente a la corrosión, no sueltan sedimentos, ni color.
Material: Polipropileno.
Medidas: Alto (61.7 cm) Ancho (53 cm) Largo (58.5 cm).
Peso: 2.7 kg. 
Capacidad mínima de 80 Litros</t>
  </si>
  <si>
    <t>Papeleras</t>
  </si>
  <si>
    <t>Para salas de desarrollo y área administrativa, se deben garantizar que tengan tapa.</t>
  </si>
  <si>
    <t>Dotación - Tecnología</t>
  </si>
  <si>
    <t>Horno microondas</t>
  </si>
  <si>
    <t>En acero inoxidable - Con panel reflectivo, apertura de puerta con pulsador y dorador eléctrico - 1500 w de potencia. Dimensiones: Alto: 30,5 cm x Ancho: 51,3 cm x Profundo: 41 cm Marca reconocida en el mercado.</t>
  </si>
  <si>
    <t>Cabina activa 15"</t>
  </si>
  <si>
    <t>2 vías de rango completo, 500 wts, autoamplificado, transductor en Titanio de compresión de alta frecuencia de 15”, funciona perfectamente sin ventiladores, madera comprimida enchapada 15 mm. Con base fácil de cargar, fabricada en aluminio de alta calidad, con tubería reforzada en fibra de vidrio. Altura y pies de fácil ajuste por palanca de fijación. Soporta hasta 50 kgs. (1.93 mts altura</t>
  </si>
  <si>
    <t>Micrófono inalámbrico</t>
  </si>
  <si>
    <t>Doble, UHF, 30 mt de alcance</t>
  </si>
  <si>
    <t>Multifuncional trabajo pesado</t>
  </si>
  <si>
    <t xml:space="preserve">ESCÁNER CARACTERÍSTICAS: Formato original A5 A4 Este sistema permite enviar documentos escaneados a cualquier dirección de correo electrónico o a una carpeta de red dedicada. Posibilita digitalizar todos los documentos en color y a doble cara y enviarlos directamente a diferentes destinos al mismo tiempo. Escaneo a correo electrónico. Direcciones de destino: máximo 100 por trabajo 
Escaneo a carperta: Protocolo SMB, NCP o FTP 
Velocidad de escaneo : 22 originales por minuto 
Resolución: 100-600 dpi 
Escáner a color Convierte los documentos físicos a PDF o TIF para enviarlos via e-mail.
IMPRESORA: Resolución: 600 x 600 dpi Imprime y copia con el costo más bajo del mercado, con la agilidad de las funciones de dúplex, combinación de originales, compaginador automático y su alimentador recirculante ofrece mayor velocidad a la hora de sacar copias en grandes volúmenes
COPIADORA: Velocidad de la primera impresión: inferior a 7,5 segundos Por medio del software de administración y control que incluye el equipo sin ningún costo. La instalación del equipo se configura como local, aunque se conecte en la red, esto permite total independencia de algún PC. Ajuste automático de formatos de papel, cuando el usuario se equivoca, e imprime un documento tamaño oficio y selecciona bandeja carta, el controlador ajusta la información al tamaño carta, evitando el despilfarro de papel, o bien, es configurable que haga advertencia del error para seleccionar el papel adecuado. 99 copias continuas de un original 
Zoom: 50% -200% (en incrementos del 1%) 
384 MB de memoria 
Capacidad alimentación de papel: 2 bandejas máximo 850 hojas 
Modo ahorro de energía: inferior a 30 w 
Unidad dúplex 
Alimentador Recirculante 
Entornos compatibles 
Windows® 2000/XP/Server 2003/Vista/Server 2008,
ESCÁNER CARACTERÍSTICAS: Formato original A5 A4 Este sistema permite enviar documentos escaneados a cualquier dirección de correo electrónico o a una carpeta de red dedicada. Posibilita digitalizar todos los documentos en color y a doble cara y enviarlos directamente a diferentes destinos al mismo tiempo. Escaneo a correo electrónico. Direcciones de destino: máximo 100 por trabajo 
Escaneo a carperta: Protocolo SMB, NCP o FTP 
Velocidad de escaneo : 22 originales por minuto 
Resolución: 100-600 dpi 
Escáner a color Convierte los documentos físicos a PDF o TIF para enviarlos via e-mail.
IMPRESORA: Resolución: 600 x 600 dpi Imprime y copia con el costo más bajo del mercado, con la agilidad de las funciones de dúplex, combinación de originales, compaginador automático y su alimentador recirculante ofrece mayor velocidad a la hora de sacar copias en grandes volúmenes
COPIADORA: Velocidad de la primera impresión: inferior a 7,5 segundos Por medio del software de administración y control que incluye el equipo sin ningún costo. La instalación del equipo se configura como local, aunque se conecte en la red, esto permite total independencia de algún PC. Ajuste automático de formatos de papel, cuando el usuario se equivoca, e imprime un documento tamaño oficio y selecciona bandeja carta, el controlador ajusta la información al tamaño carta, evitando el despilfarro de papel, o bien, es configurable que haga advertencia del error para seleccionar el papel adecuado. 99 copias continuas de un original 
Zoom: 50% -200% (en incrementos del 1%) 
384 MB de memoria 
Capacidad alimentación de papel: 2 bandejas máximo 850 hojas 
Modo ahorro de energía: inferior a 30 w 
Unidad dúplex 
Alimentador Recirculante 
Entornos compatibles 
Windows® 2000/XP/Server 2003/Vista/Server 2008,
</t>
  </si>
  <si>
    <t>Impresora</t>
  </si>
  <si>
    <t>Negro: Velocidad máxima de 10 segundos
Calidad de impresión en negro (óptima):Hasta 1200 x 1200 PPP
Ciclo de trabajo (mensual, A4)Hasta 65000 páginasTecnología de impresión:
Láser monocromo</t>
  </si>
  <si>
    <t xml:space="preserve">DESCANSA PIES </t>
  </si>
  <si>
    <t>DESCANSA PIES EN MADERA MADECOR</t>
  </si>
  <si>
    <t>SOPORTE ERGONOMICO PARA PORTATIL</t>
  </si>
  <si>
    <t>Compatibilidad universal
Superficie antideslizante
Altura ajustable: 7 alturas diferentes
Material: aleación de aluminio y almohadillasde goma suave
Función de refrigeración</t>
  </si>
  <si>
    <t xml:space="preserve">DRONE </t>
  </si>
  <si>
    <t>Sistema global de navegación por satélite: GPS + Galileo + BeiDou
Sensor de imagen: CMOS de 1/1,3 pulgadas, píxeles efectivos: 48 MP
Resolución de video: 
  - H.264/H.265
  - 4K: 3840×2160 a 24/25/30/48/50/60/100fps
  - FHD: 1920×1080 a 24/25/30/48/50/60/100/200fps
Estabilización: Cardán mecánico de 3 ejes (inclinación, balanceo y panorámica)
Capacidad de batería:  2590 mAh</t>
  </si>
  <si>
    <t>EQUIPOS ANTROPOMETRICOS Y DE SALUD.</t>
  </si>
  <si>
    <t>Tallímetro fijo ó portátil</t>
  </si>
  <si>
    <t xml:space="preserve">Sitio fijo
• Materiales: madera o aluminio
• Capacidad de dos (2) metros.
• Sensibilidad 1 mm.
• Base de 25 cm de ancho.
Portátil
• Capacidad de dos (2) metros
• Sensibilidad 1 mm.
- Incluye calibración </t>
  </si>
  <si>
    <t>Infantometro</t>
  </si>
  <si>
    <t xml:space="preserve">• Alcance de medición 10 - 100 cm
• Resolución o división de escala: 1 mm
• Unidad de marcación: cm
• Materiales: Que garanticen la estabilidad dimensional, en las distintas condiciones medio ambientales. 
• Acabado liso
• Con un tope fijo para la cabeza y otro móvil para los pies, firme sobre las guías.
• Con base de 25 cm de ancho (aproximadamente) que le permita al niño acostarse. 
• Para infantómetros de uso móvil, la base deberá ser desmontable o plegable.
</t>
  </si>
  <si>
    <t>Balanza de piso</t>
  </si>
  <si>
    <t>Debe tener una capacidad de 120 a 150 kilogramos y una precisión de 50 gramos, 100 gramos como máximo (2) (874)</t>
  </si>
  <si>
    <t>Balanza pesa bebés</t>
  </si>
  <si>
    <t xml:space="preserve"> - Con bandeja amplia para disminuir riesgo de caida de bebés. 
- Con sistema de amortiguación que permita disminuir error en la toma del peso de bebés que se muevan constantemente. 
- En material ABS de grado médico </t>
  </si>
  <si>
    <t>Camilla pediátrica</t>
  </si>
  <si>
    <t>Estructura metálica esmaltada con pintura electrostática, colchoneta de goma espuma forrada en semicuero impermeable de color negro, regatones plásticos en las patas. Altura aproximada de 60 cm.</t>
  </si>
  <si>
    <t>Grada de 2 pasos</t>
  </si>
  <si>
    <t>• Estructura tubular metálica de 7/8"
• Paso cubierto en caucho antideslizante y bocel
• Acabado en pintura electrostática
• Dimensiones aproximadas: 0,40mt de largo, 0,39mt de ancho, 0,42mt de alto</t>
  </si>
  <si>
    <t>Mesa de curaciones</t>
  </si>
  <si>
    <t>Estructura de tubo de metal esmaltado al horno, 2 entrepaños. Posee 4 ruedas para mejor desplazamiento.</t>
  </si>
  <si>
    <t>Contenedor tipo guardian</t>
  </si>
  <si>
    <t>• Recipiente Rígido, en polipropileno de alta densidad u otro polímero que no contenga P.V.C.
• Resistentes a ruptura y perforación por elementos corto punzantes
• Liviano y con capacidad de 3 litros.</t>
  </si>
  <si>
    <t>Tarros en acero inoxidable</t>
  </si>
  <si>
    <t>Medidas aproximadas: 11,5 cm diámetro X 18,5 cm alto aproximadamente. Fabricado en acero inoxidable.</t>
  </si>
  <si>
    <t>Linterna luz led</t>
  </si>
  <si>
    <t>interna de Diagnóstico Premium GMD
Fabricada en un material liviano y resistente de calidad Premium el cual incorpora tecnología lumínica LED que proporciona mejor visibilidad al profesional de la salud al momento de realizar un diagnóstico visual.</t>
  </si>
  <si>
    <t>Tabla espinal para emergencias</t>
  </si>
  <si>
    <t>Material: polietileno
Agarre: Orificios que facilitan su manipulación y carga.
Capacidad de carga: 150 kg
Medidas aproxcimadas: 185 cm x 42 cm x 5,5 mm
Tipo de cierre: Con reata en lona y velcro. Cintas reflectivas en PVC.
Con inmovilizador</t>
  </si>
  <si>
    <t>DEA desfibrlador externo Automatico (PADS o adaptador pediátrico)</t>
  </si>
  <si>
    <t>Desfibrilación bajo la forma de onda bifásica exponencial truncada, con carga de 150 Julios en modo adulto y 50 Julios en modo infantil; Posee sistema de seguridad inteligente que limita la carga para uso infantil; Descarga interna automática después de 30 segundos si no dispara; Capacidad de llevar con hasta 140 descargas en carga máxima (batería nueva con carga completa); El display de cristal líquido electroluminiscente, que visualiza el trazo de ECG. 6.6 Sistema de Análisis de Paciente - DEA Sistema automático de evaluación de ECG que detecta complejos QRS e identifica arritmias malignas automáticamente (taquicardia ventricular y fibrilación ventricular) esas necesitan desfibrilación; Sincronismo con onda “R” en caso de la presencia de complejo QRS (cuando de “modo sincronizado”); Detección de Marcapaso; Cuenta con un indicador de voz con control de volumen y texto para instruir al socorrista durante la secuencia de reanimación.</t>
  </si>
  <si>
    <t>Botiquín portátil (itinerante)</t>
  </si>
  <si>
    <t>Clorhexidina o Yodopovidona Espuma (1), Solución Salina (2), Alcohol glicerinado (1), Alcohol Antiséptico al 70% (1), Guantes de Látex No Estériles (1), Termómetro digital (1), Tijeras de punta roma (1), Tapabocas (1), Jeringas sin aguja, unidad x 10cc (2), Gasas estériles, caja de 10 paquetes estériles individuales de 7,5cm x 7,5cm (1), Curas Adhesivas, caja x 10 unidades (1), Esparadrapo, rollo x 2 pulgadas (1), Micropore, rollo x 1 pulgada (1), Bajalenguas, paquete x 10 unidades (1), Venda de tela no elástica de 5x2 pulgadas (1), Kit de inmovilizadores pediátricos de cartón o cartoplast con inmovilizador cervical (1), Sales de Rehidratación Oral, sobres (2), Manual de Primer respondiente o primeros auxilios (1).</t>
  </si>
  <si>
    <t>Botiquín fijo</t>
  </si>
  <si>
    <t>Clorhexidina o Yodopovidona Espuma (1), Solución Salina (2), Alcohol Antiséptico (1), Alcohol Glicerinado (1), Guantes de látex no estériles (4), Termómetro digital (1), Tijeras de punta redonda (1), Linterna de pilas de recambio (1), Pilas repuesto para linterna (1), Sábana de algodón pequeña (1), Tapabocas (10), Jeringas de 10cc (2), Gasas estériles (caja de 10 paquetes) (1), Curas Adhesivas (caja x 20 unidades) (1), Esparadrapo (rollo x 2 pulgadas) (1), Micropore (rollo x 1 pulgada) (1), Bajalenguas (paquete por 10 unidades) (2), Venda de tela no elástica 90 x 90 (1), Kit de inmovilizadores pediátricos de cartón o cartoplast con inmovilizador cervical (1), Aplicadores de algodón (bolsa x 20 unidades) (1), Sales de Rehidratación Oral (3), Manual de Primer respondiente o primeros auxilios (1).</t>
  </si>
  <si>
    <t>Mascarilla para reanimacion cardiopulmonar pediátrica y para adulto (son 2 unidades)</t>
  </si>
  <si>
    <t>1. Nombre técnico del equipo:
Mascarilla para reanimación cardiopulmonar RCP Pocket Mask
2. Función que cumple el equipo:
Dispositivo de exhalación de aire para maniobras de reanimación cardiopulmonar
RCP, previene el paso de líquidos y secreciones y actúa como barrera, separando a
la víctima del rescatista.
3. Especificaciones Técnicas:
Mascarilla reutilizable, con válvula filtro unidireccional desechable, diseñada para
suministrar protección durante las maniobras de reanimación boca a boca a
cualquier paciente debido a que se amolda a la anotomía facial del paciente
independiente de si se trata de adulto, infante o pediátrico.
La válvula de paso con filtro bacteriano impide el contacto directo con la boca, cara
y nariz del paciente y el paso de secreciones corporales del paciente al realizador de
la maniobra. El capuchón transparente permite visualizar el estado respiratorio del
paciente. Cuenta con válvula para conexión de la cánula de oxigeno (opcional) para
mayor suministro de oxígeno al paciente, y permitir un fácil acople al equipo
manual de respiración (AMBU); así mismo dispone de una banda elástica ajustable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</si>
</sst>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 #,##0.00"/>
    <numFmt numFmtId="165" formatCode="_-&quot;$&quot;\ * #,##0_-;\-&quot;$&quot;\ * #,##0_-;_-&quot;$&quot;\ * &quot;-&quot;??_-;_-@_-"/>
    <numFmt numFmtId="167" formatCode="_-* #,##0_-;\-* #,##0_-;_-* &quot;-&quot;??_-;_-@_-"/>
  </numFmts>
  <fonts count="13">
    <font>
      <sz val="11"/>
      <color theme="1"/>
      <name val="Calibri"/>
      <scheme val="minor"/>
    </font>
    <font>
      <sz val="11"/>
      <color theme="1"/>
      <name val="Calibri"/>
      <family val="2"/>
      <scheme val="minor"/>
    </font>
    <font>
      <b/>
      <sz val="11"/>
      <color rgb="FF000000"/>
      <name val="Arial"/>
      <family val="2"/>
    </font>
    <font>
      <b/>
      <sz val="11"/>
      <color theme="1"/>
      <name val="Arial"/>
      <family val="2"/>
    </font>
    <font>
      <sz val="11"/>
      <color rgb="FF000000"/>
      <name val="Arial"/>
      <family val="2"/>
    </font>
    <font>
      <sz val="11"/>
      <color theme="1"/>
      <name val="Arial"/>
      <family val="2"/>
    </font>
    <font>
      <sz val="11"/>
      <color theme="1"/>
      <name val="Calibri"/>
      <family val="2"/>
    </font>
    <font>
      <sz val="11"/>
      <name val="Arial"/>
      <family val="2"/>
    </font>
    <font>
      <b/>
      <sz val="10"/>
      <color rgb="FF000000"/>
      <name val="Tahoma"/>
      <family val="2"/>
    </font>
    <font>
      <u/>
      <sz val="11"/>
      <color theme="10"/>
      <name val="Calibri"/>
      <family val="2"/>
      <scheme val="minor"/>
    </font>
    <font>
      <sz val="11"/>
      <color theme="1"/>
      <name val="Calibri"/>
      <family val="2"/>
      <scheme val="minor"/>
    </font>
    <font>
      <u/>
      <sz val="11"/>
      <color theme="10"/>
      <name val="Calibri"/>
      <family val="2"/>
      <scheme val="minor"/>
    </font>
    <font>
      <sz val="11"/>
      <color rgb="FF000000"/>
      <name val="Calibri"/>
      <family val="2"/>
      <scheme val="minor"/>
    </font>
  </fonts>
  <fills count="15">
    <fill>
      <patternFill patternType="none"/>
    </fill>
    <fill>
      <patternFill patternType="gray125"/>
    </fill>
    <fill>
      <patternFill patternType="solid">
        <fgColor theme="0"/>
        <bgColor theme="0"/>
      </patternFill>
    </fill>
    <fill>
      <patternFill patternType="solid">
        <fgColor rgb="FFF2DBDB"/>
        <bgColor rgb="FFF2DBDB"/>
      </patternFill>
    </fill>
    <fill>
      <patternFill patternType="solid">
        <fgColor rgb="FFEAF1DD"/>
        <bgColor rgb="FFEAF1DD"/>
      </patternFill>
    </fill>
    <fill>
      <patternFill patternType="solid">
        <fgColor rgb="FFFFFFFF"/>
        <bgColor rgb="FFFFFFFF"/>
      </patternFill>
    </fill>
    <fill>
      <patternFill patternType="solid">
        <fgColor rgb="FFFFFFFF"/>
        <bgColor indexed="64"/>
      </patternFill>
    </fill>
    <fill>
      <patternFill patternType="solid">
        <fgColor rgb="FFDAEEF3"/>
        <bgColor indexed="64"/>
      </patternFill>
    </fill>
    <fill>
      <patternFill patternType="solid">
        <fgColor rgb="FFDDD9C3"/>
        <bgColor indexed="64"/>
      </patternFill>
    </fill>
    <fill>
      <patternFill patternType="solid">
        <fgColor theme="0"/>
        <bgColor indexed="64"/>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
      <patternFill patternType="solid">
        <fgColor rgb="FF00B050"/>
        <bgColor indexed="64"/>
      </patternFill>
    </fill>
    <fill>
      <patternFill patternType="solid">
        <fgColor rgb="FFFFFF00"/>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auto="1"/>
      </left>
      <right style="thin">
        <color auto="1"/>
      </right>
      <top style="thin">
        <color auto="1"/>
      </top>
      <bottom/>
      <diagonal/>
    </border>
    <border>
      <left style="thin">
        <color auto="1"/>
      </left>
      <right style="medium">
        <color indexed="64"/>
      </right>
      <top style="thin">
        <color auto="1"/>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style="thin">
        <color auto="1"/>
      </right>
      <top/>
      <bottom style="medium">
        <color indexed="64"/>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thin">
        <color indexed="64"/>
      </right>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auto="1"/>
      </top>
      <bottom/>
      <diagonal/>
    </border>
    <border>
      <left/>
      <right/>
      <top style="thin">
        <color indexed="64"/>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medium">
        <color rgb="FF000000"/>
      </bottom>
      <diagonal/>
    </border>
    <border>
      <left style="thin">
        <color indexed="64"/>
      </left>
      <right/>
      <top style="medium">
        <color indexed="64"/>
      </top>
      <bottom style="thin">
        <color indexed="64"/>
      </bottom>
      <diagonal/>
    </border>
    <border>
      <left style="thin">
        <color rgb="FF000000"/>
      </left>
      <right style="thin">
        <color indexed="64"/>
      </right>
      <top style="medium">
        <color indexed="64"/>
      </top>
      <bottom style="thin">
        <color indexed="64"/>
      </bottom>
      <diagonal/>
    </border>
    <border>
      <left style="thin">
        <color rgb="FF000000"/>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4">
    <xf numFmtId="0" fontId="0" fillId="0" borderId="0"/>
    <xf numFmtId="0" fontId="9" fillId="0" borderId="0" applyNumberFormat="0" applyFill="0" applyBorder="0" applyAlignment="0" applyProtection="0"/>
    <xf numFmtId="43" fontId="10" fillId="0" borderId="0" applyFont="0" applyFill="0" applyBorder="0" applyAlignment="0" applyProtection="0"/>
    <xf numFmtId="0" fontId="11" fillId="0" borderId="0" applyNumberFormat="0" applyFill="0" applyBorder="0" applyAlignment="0" applyProtection="0"/>
  </cellStyleXfs>
  <cellXfs count="251">
    <xf numFmtId="0" fontId="0" fillId="0" borderId="0" xfId="0"/>
    <xf numFmtId="0" fontId="6" fillId="0" borderId="0" xfId="0" applyFont="1"/>
    <xf numFmtId="0" fontId="0" fillId="0" borderId="0" xfId="0" applyAlignment="1">
      <alignment wrapText="1"/>
    </xf>
    <xf numFmtId="0" fontId="6" fillId="0" borderId="0" xfId="0" applyFont="1" applyAlignment="1">
      <alignment horizontal="center" vertical="center"/>
    </xf>
    <xf numFmtId="0" fontId="0" fillId="0" borderId="0" xfId="0" applyAlignment="1">
      <alignment horizontal="center" vertical="center"/>
    </xf>
    <xf numFmtId="0" fontId="4" fillId="2" borderId="1" xfId="0" applyFont="1" applyFill="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vertical="center" wrapText="1"/>
    </xf>
    <xf numFmtId="0" fontId="5" fillId="0" borderId="1" xfId="0" applyFont="1" applyBorder="1" applyAlignment="1">
      <alignment horizontal="left" wrapText="1"/>
    </xf>
    <xf numFmtId="0" fontId="3" fillId="0" borderId="10" xfId="0" applyFont="1" applyBorder="1" applyAlignment="1">
      <alignment horizontal="center" vertical="center" wrapText="1"/>
    </xf>
    <xf numFmtId="0" fontId="5" fillId="0" borderId="5" xfId="0" applyFont="1" applyBorder="1" applyAlignment="1">
      <alignment horizontal="center" vertical="center"/>
    </xf>
    <xf numFmtId="0" fontId="5" fillId="0" borderId="5" xfId="0" applyFont="1" applyBorder="1" applyAlignment="1">
      <alignment horizontal="center" vertical="center" wrapText="1"/>
    </xf>
    <xf numFmtId="0" fontId="5" fillId="5"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0" borderId="2" xfId="0" applyFont="1" applyBorder="1" applyAlignment="1">
      <alignment horizontal="center" vertical="center"/>
    </xf>
    <xf numFmtId="0" fontId="5" fillId="0" borderId="7" xfId="0" applyFont="1" applyBorder="1" applyAlignment="1">
      <alignment horizontal="center" vertical="center"/>
    </xf>
    <xf numFmtId="0" fontId="3" fillId="0" borderId="24" xfId="0" applyFont="1" applyBorder="1" applyAlignment="1">
      <alignment horizontal="center" vertical="center"/>
    </xf>
    <xf numFmtId="0" fontId="3" fillId="0" borderId="24" xfId="0" applyFont="1" applyBorder="1" applyAlignment="1">
      <alignment horizontal="center" vertical="center" wrapText="1"/>
    </xf>
    <xf numFmtId="0" fontId="4" fillId="0" borderId="3" xfId="0" applyFont="1" applyBorder="1" applyAlignment="1">
      <alignment horizontal="left" vertical="center" wrapText="1"/>
    </xf>
    <xf numFmtId="164" fontId="0" fillId="0" borderId="0" xfId="0" applyNumberFormat="1" applyAlignment="1">
      <alignment horizontal="center" vertical="center"/>
    </xf>
    <xf numFmtId="164" fontId="3" fillId="0" borderId="11" xfId="0" applyNumberFormat="1" applyFont="1" applyBorder="1" applyAlignment="1">
      <alignment horizontal="center" vertical="center" wrapText="1"/>
    </xf>
    <xf numFmtId="164" fontId="3" fillId="0" borderId="21" xfId="0" applyNumberFormat="1" applyFont="1" applyBorder="1" applyAlignment="1">
      <alignment horizontal="center" vertical="center"/>
    </xf>
    <xf numFmtId="164" fontId="5" fillId="0" borderId="3" xfId="0" applyNumberFormat="1" applyFont="1" applyBorder="1" applyAlignment="1">
      <alignment horizontal="center" vertical="center"/>
    </xf>
    <xf numFmtId="164" fontId="5" fillId="0" borderId="1" xfId="0" applyNumberFormat="1" applyFont="1" applyBorder="1" applyAlignment="1">
      <alignment horizontal="center" vertical="center"/>
    </xf>
    <xf numFmtId="164" fontId="5" fillId="0" borderId="8" xfId="0" applyNumberFormat="1" applyFont="1" applyBorder="1" applyAlignment="1">
      <alignment horizontal="center" vertical="center"/>
    </xf>
    <xf numFmtId="164" fontId="3" fillId="0" borderId="12" xfId="0" applyNumberFormat="1" applyFont="1" applyBorder="1" applyAlignment="1">
      <alignment horizontal="center" vertical="center" wrapText="1"/>
    </xf>
    <xf numFmtId="164" fontId="3" fillId="0" borderId="22" xfId="0" applyNumberFormat="1" applyFont="1" applyBorder="1" applyAlignment="1">
      <alignment horizontal="center" vertical="center"/>
    </xf>
    <xf numFmtId="164" fontId="5" fillId="0" borderId="4" xfId="0" applyNumberFormat="1" applyFont="1" applyBorder="1" applyAlignment="1">
      <alignment horizontal="center" vertical="center"/>
    </xf>
    <xf numFmtId="164" fontId="5" fillId="0" borderId="12" xfId="0" applyNumberFormat="1" applyFont="1" applyBorder="1" applyAlignment="1">
      <alignment horizontal="center" vertical="center"/>
    </xf>
    <xf numFmtId="0" fontId="0" fillId="0" borderId="0" xfId="0"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164" fontId="3" fillId="0" borderId="15" xfId="0" applyNumberFormat="1" applyFont="1" applyBorder="1" applyAlignment="1">
      <alignment horizontal="center" vertical="center" wrapText="1"/>
    </xf>
    <xf numFmtId="164" fontId="3" fillId="0" borderId="25" xfId="0" applyNumberFormat="1" applyFont="1" applyBorder="1" applyAlignment="1">
      <alignment horizontal="center" vertical="center"/>
    </xf>
    <xf numFmtId="164" fontId="5" fillId="0" borderId="6" xfId="0" applyNumberFormat="1" applyFont="1" applyBorder="1" applyAlignment="1">
      <alignment horizontal="center" vertical="center"/>
    </xf>
    <xf numFmtId="164" fontId="5" fillId="0" borderId="9" xfId="0" applyNumberFormat="1" applyFont="1" applyBorder="1" applyAlignment="1">
      <alignment horizontal="center" vertical="center"/>
    </xf>
    <xf numFmtId="164" fontId="5" fillId="0" borderId="11" xfId="0" applyNumberFormat="1" applyFont="1" applyBorder="1" applyAlignment="1">
      <alignment horizontal="center" vertical="center"/>
    </xf>
    <xf numFmtId="165" fontId="0" fillId="0" borderId="0" xfId="0" applyNumberFormat="1" applyAlignment="1">
      <alignment horizontal="center" vertical="center" wrapText="1"/>
    </xf>
    <xf numFmtId="165" fontId="5" fillId="0" borderId="1" xfId="0" applyNumberFormat="1" applyFont="1" applyBorder="1" applyAlignment="1">
      <alignment horizontal="center" vertical="center" wrapText="1"/>
    </xf>
    <xf numFmtId="0" fontId="5" fillId="0" borderId="10" xfId="0" applyFont="1" applyBorder="1" applyAlignment="1">
      <alignment horizontal="center" vertical="center"/>
    </xf>
    <xf numFmtId="164" fontId="0" fillId="0" borderId="1" xfId="0" applyNumberFormat="1" applyBorder="1" applyAlignment="1">
      <alignment horizontal="center" vertical="center"/>
    </xf>
    <xf numFmtId="0" fontId="5" fillId="0" borderId="8" xfId="0" applyFont="1" applyBorder="1" applyAlignment="1">
      <alignment vertical="center" wrapText="1"/>
    </xf>
    <xf numFmtId="0" fontId="5" fillId="0" borderId="4" xfId="0" applyFont="1" applyBorder="1" applyAlignment="1">
      <alignment horizontal="center" vertical="center"/>
    </xf>
    <xf numFmtId="0" fontId="5" fillId="0" borderId="6" xfId="0" applyFont="1" applyBorder="1" applyAlignment="1">
      <alignment horizontal="center" vertical="center"/>
    </xf>
    <xf numFmtId="164" fontId="5" fillId="0" borderId="46" xfId="0" applyNumberFormat="1" applyFont="1" applyBorder="1" applyAlignment="1">
      <alignment horizontal="center" vertical="center"/>
    </xf>
    <xf numFmtId="0" fontId="0" fillId="0" borderId="45" xfId="0" applyBorder="1" applyAlignment="1">
      <alignment horizontal="center" vertical="center"/>
    </xf>
    <xf numFmtId="0" fontId="0" fillId="0" borderId="46" xfId="0" applyBorder="1" applyAlignment="1">
      <alignment horizontal="center" vertical="center"/>
    </xf>
    <xf numFmtId="0" fontId="3" fillId="0" borderId="16" xfId="0" applyFont="1" applyBorder="1" applyAlignment="1">
      <alignment horizontal="center" vertical="center" wrapText="1"/>
    </xf>
    <xf numFmtId="0" fontId="0" fillId="0" borderId="5" xfId="0" applyBorder="1" applyAlignment="1">
      <alignment horizontal="center" vertical="center"/>
    </xf>
    <xf numFmtId="164" fontId="0" fillId="0" borderId="6" xfId="0" applyNumberFormat="1" applyBorder="1" applyAlignment="1">
      <alignment horizontal="center" vertical="center"/>
    </xf>
    <xf numFmtId="0" fontId="3" fillId="0" borderId="26" xfId="0" applyFont="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6" fillId="0" borderId="47" xfId="0" applyFont="1" applyBorder="1" applyAlignment="1">
      <alignment horizontal="center" vertical="center"/>
    </xf>
    <xf numFmtId="0" fontId="0" fillId="0" borderId="47" xfId="0" applyBorder="1"/>
    <xf numFmtId="0" fontId="5" fillId="0" borderId="3" xfId="0" applyFont="1" applyBorder="1" applyAlignment="1">
      <alignment vertical="center" wrapText="1"/>
    </xf>
    <xf numFmtId="164" fontId="5" fillId="0" borderId="0" xfId="0" applyNumberFormat="1" applyFont="1" applyAlignment="1">
      <alignment horizontal="center" vertical="center"/>
    </xf>
    <xf numFmtId="0" fontId="5" fillId="0" borderId="0" xfId="0" applyFont="1" applyAlignment="1">
      <alignment horizontal="center" vertical="center"/>
    </xf>
    <xf numFmtId="165" fontId="5" fillId="0" borderId="0" xfId="0" applyNumberFormat="1" applyFont="1" applyAlignment="1">
      <alignment horizontal="center" vertical="center" wrapText="1"/>
    </xf>
    <xf numFmtId="0" fontId="3" fillId="12" borderId="18" xfId="0" applyFont="1" applyFill="1" applyBorder="1" applyAlignment="1">
      <alignment horizontal="center" vertical="center" wrapText="1"/>
    </xf>
    <xf numFmtId="165" fontId="3" fillId="0" borderId="17" xfId="0" applyNumberFormat="1" applyFont="1" applyBorder="1" applyAlignment="1">
      <alignment horizontal="center" vertical="center" wrapText="1"/>
    </xf>
    <xf numFmtId="164" fontId="3" fillId="0" borderId="8" xfId="0" applyNumberFormat="1" applyFont="1" applyBorder="1" applyAlignment="1">
      <alignment horizontal="center" vertical="center"/>
    </xf>
    <xf numFmtId="0" fontId="3" fillId="0" borderId="7" xfId="0" applyFont="1" applyBorder="1" applyAlignment="1">
      <alignment horizontal="center" vertical="center"/>
    </xf>
    <xf numFmtId="164" fontId="3" fillId="0" borderId="9" xfId="0" applyNumberFormat="1" applyFont="1" applyBorder="1" applyAlignment="1">
      <alignment horizontal="center" vertical="center"/>
    </xf>
    <xf numFmtId="0" fontId="3" fillId="0" borderId="17" xfId="0" applyFont="1" applyBorder="1" applyAlignment="1">
      <alignment horizontal="center" vertical="center" wrapText="1"/>
    </xf>
    <xf numFmtId="0" fontId="3" fillId="0" borderId="7" xfId="0" applyFont="1" applyBorder="1" applyAlignment="1">
      <alignment horizontal="center" vertical="center" wrapText="1"/>
    </xf>
    <xf numFmtId="0" fontId="0" fillId="0" borderId="47" xfId="0" applyBorder="1" applyAlignment="1">
      <alignment horizontal="center" vertical="center"/>
    </xf>
    <xf numFmtId="0" fontId="0" fillId="9" borderId="47" xfId="0" applyFill="1" applyBorder="1" applyAlignment="1">
      <alignment horizontal="center" vertical="center"/>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4" fillId="0" borderId="47" xfId="0" applyFont="1" applyBorder="1" applyAlignment="1">
      <alignment horizontal="center" vertical="center"/>
    </xf>
    <xf numFmtId="0" fontId="5" fillId="0" borderId="47" xfId="0" applyFont="1" applyBorder="1" applyAlignment="1">
      <alignment horizontal="center" vertical="center"/>
    </xf>
    <xf numFmtId="0" fontId="4" fillId="0" borderId="8" xfId="0" applyFont="1" applyBorder="1" applyAlignment="1">
      <alignment horizontal="center" vertical="center" wrapText="1"/>
    </xf>
    <xf numFmtId="0" fontId="5" fillId="0" borderId="9" xfId="0" applyFont="1" applyBorder="1" applyAlignment="1">
      <alignment horizontal="center" vertical="center"/>
    </xf>
    <xf numFmtId="165" fontId="5" fillId="0" borderId="16" xfId="0" applyNumberFormat="1" applyFont="1" applyBorder="1" applyAlignment="1">
      <alignment horizontal="center" vertical="center"/>
    </xf>
    <xf numFmtId="164" fontId="5" fillId="0" borderId="17" xfId="0" applyNumberFormat="1" applyFont="1" applyBorder="1" applyAlignment="1">
      <alignment horizontal="right" vertical="center"/>
    </xf>
    <xf numFmtId="164" fontId="3" fillId="0" borderId="16"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165" fontId="0" fillId="0" borderId="0" xfId="0" applyNumberFormat="1" applyAlignment="1">
      <alignment horizontal="center" vertical="center"/>
    </xf>
    <xf numFmtId="165" fontId="5" fillId="0" borderId="43" xfId="0" applyNumberFormat="1" applyFont="1" applyBorder="1" applyAlignment="1">
      <alignment horizontal="center" vertical="center"/>
    </xf>
    <xf numFmtId="165" fontId="0" fillId="0" borderId="0" xfId="0" applyNumberFormat="1"/>
    <xf numFmtId="164" fontId="3" fillId="0" borderId="44" xfId="0" applyNumberFormat="1" applyFont="1" applyBorder="1" applyAlignment="1">
      <alignment horizontal="center" vertical="center" wrapText="1"/>
    </xf>
    <xf numFmtId="165" fontId="3" fillId="0" borderId="7" xfId="0" applyNumberFormat="1" applyFont="1" applyBorder="1" applyAlignment="1">
      <alignment horizontal="center" vertical="center" wrapText="1"/>
    </xf>
    <xf numFmtId="165" fontId="3" fillId="0" borderId="51" xfId="0" applyNumberFormat="1" applyFont="1" applyBorder="1" applyAlignment="1">
      <alignment horizontal="center" vertical="center" wrapText="1"/>
    </xf>
    <xf numFmtId="165" fontId="5" fillId="0" borderId="11" xfId="0" applyNumberFormat="1" applyFont="1" applyBorder="1" applyAlignment="1">
      <alignment horizontal="center" vertical="center" wrapText="1"/>
    </xf>
    <xf numFmtId="165" fontId="5" fillId="0" borderId="15" xfId="0" applyNumberFormat="1" applyFont="1" applyBorder="1" applyAlignment="1">
      <alignment horizontal="center" vertical="center" wrapText="1"/>
    </xf>
    <xf numFmtId="165" fontId="5" fillId="0" borderId="13" xfId="0" applyNumberFormat="1" applyFont="1" applyBorder="1" applyAlignment="1">
      <alignment horizontal="center" vertical="center" wrapText="1"/>
    </xf>
    <xf numFmtId="164" fontId="5" fillId="0" borderId="6" xfId="0" applyNumberFormat="1" applyFont="1" applyBorder="1" applyAlignment="1">
      <alignment horizontal="center" vertical="center" wrapText="1"/>
    </xf>
    <xf numFmtId="165" fontId="5" fillId="0" borderId="8" xfId="0" applyNumberFormat="1" applyFont="1" applyBorder="1" applyAlignment="1">
      <alignment horizontal="center" vertical="center" wrapText="1"/>
    </xf>
    <xf numFmtId="165" fontId="5" fillId="0" borderId="3" xfId="0" applyNumberFormat="1" applyFont="1" applyBorder="1" applyAlignment="1">
      <alignment horizontal="center" vertical="center" wrapText="1"/>
    </xf>
    <xf numFmtId="165" fontId="3" fillId="0" borderId="26" xfId="0" applyNumberFormat="1" applyFont="1" applyBorder="1" applyAlignment="1">
      <alignment horizontal="center" vertical="center" wrapText="1"/>
    </xf>
    <xf numFmtId="165" fontId="3" fillId="0" borderId="24" xfId="0" applyNumberFormat="1" applyFont="1" applyBorder="1" applyAlignment="1">
      <alignment horizontal="center" vertical="center" wrapText="1"/>
    </xf>
    <xf numFmtId="165" fontId="5" fillId="0" borderId="27" xfId="0" applyNumberFormat="1" applyFont="1" applyBorder="1" applyAlignment="1">
      <alignment horizontal="center" vertical="center"/>
    </xf>
    <xf numFmtId="164" fontId="3" fillId="0" borderId="3" xfId="0" applyNumberFormat="1" applyFont="1" applyBorder="1" applyAlignment="1">
      <alignment horizontal="center" vertical="center" wrapText="1"/>
    </xf>
    <xf numFmtId="164" fontId="3" fillId="0" borderId="4" xfId="0" applyNumberFormat="1"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6" borderId="5" xfId="0" applyFont="1" applyFill="1" applyBorder="1" applyAlignment="1">
      <alignment horizontal="center" vertical="center" wrapText="1"/>
    </xf>
    <xf numFmtId="0" fontId="5" fillId="0" borderId="6" xfId="0" applyFont="1" applyBorder="1" applyAlignment="1">
      <alignment vertical="center" wrapText="1"/>
    </xf>
    <xf numFmtId="0" fontId="5" fillId="0" borderId="9" xfId="0" applyFont="1" applyBorder="1" applyAlignment="1">
      <alignment vertical="center" wrapText="1"/>
    </xf>
    <xf numFmtId="0" fontId="5" fillId="0" borderId="9"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7" xfId="0" applyFont="1" applyBorder="1" applyAlignment="1">
      <alignment horizontal="center" vertical="center" wrapText="1"/>
    </xf>
    <xf numFmtId="165" fontId="3" fillId="10" borderId="7" xfId="0" applyNumberFormat="1" applyFont="1" applyFill="1" applyBorder="1" applyAlignment="1">
      <alignment horizontal="center" vertical="center" wrapText="1"/>
    </xf>
    <xf numFmtId="165" fontId="5" fillId="10" borderId="10" xfId="1" applyNumberFormat="1" applyFont="1" applyFill="1" applyBorder="1" applyAlignment="1">
      <alignment horizontal="center" vertical="center" wrapText="1"/>
    </xf>
    <xf numFmtId="165" fontId="5" fillId="10" borderId="5" xfId="1" applyNumberFormat="1" applyFont="1" applyFill="1" applyBorder="1" applyAlignment="1">
      <alignment horizontal="center" vertical="center" wrapText="1"/>
    </xf>
    <xf numFmtId="165" fontId="3" fillId="10" borderId="17" xfId="0" applyNumberFormat="1" applyFont="1" applyFill="1" applyBorder="1" applyAlignment="1">
      <alignment horizontal="center" vertical="center" wrapText="1"/>
    </xf>
    <xf numFmtId="165" fontId="5" fillId="10" borderId="1" xfId="1" applyNumberFormat="1" applyFont="1" applyFill="1" applyBorder="1" applyAlignment="1">
      <alignment horizontal="center" vertical="center" wrapText="1"/>
    </xf>
    <xf numFmtId="167" fontId="0" fillId="0" borderId="0" xfId="2" applyNumberFormat="1" applyFont="1"/>
    <xf numFmtId="167" fontId="0" fillId="0" borderId="0" xfId="0" applyNumberFormat="1"/>
    <xf numFmtId="165" fontId="5" fillId="13" borderId="13" xfId="0" applyNumberFormat="1" applyFont="1" applyFill="1" applyBorder="1" applyAlignment="1">
      <alignment horizontal="center" vertical="center" wrapText="1"/>
    </xf>
    <xf numFmtId="165" fontId="1" fillId="10" borderId="11" xfId="1" applyNumberFormat="1" applyFont="1" applyFill="1" applyBorder="1" applyAlignment="1">
      <alignment horizontal="center" vertical="center" wrapText="1"/>
    </xf>
    <xf numFmtId="165" fontId="1" fillId="10" borderId="1" xfId="1" applyNumberFormat="1" applyFont="1" applyFill="1" applyBorder="1" applyAlignment="1">
      <alignment horizontal="center" vertical="center" wrapText="1"/>
    </xf>
    <xf numFmtId="165" fontId="1" fillId="10" borderId="5" xfId="1" applyNumberFormat="1" applyFont="1" applyFill="1" applyBorder="1" applyAlignment="1">
      <alignment horizontal="center" vertical="center" wrapText="1"/>
    </xf>
    <xf numFmtId="165" fontId="1" fillId="14" borderId="5" xfId="1" applyNumberFormat="1" applyFont="1" applyFill="1" applyBorder="1" applyAlignment="1">
      <alignment horizontal="center" vertical="center" wrapText="1"/>
    </xf>
    <xf numFmtId="0" fontId="1" fillId="0" borderId="47" xfId="0" applyFont="1" applyBorder="1" applyAlignment="1">
      <alignment horizontal="center" vertical="center"/>
    </xf>
    <xf numFmtId="165" fontId="1" fillId="10" borderId="7" xfId="1" applyNumberFormat="1" applyFont="1" applyFill="1" applyBorder="1" applyAlignment="1">
      <alignment horizontal="center" vertical="center" wrapText="1"/>
    </xf>
    <xf numFmtId="165" fontId="1" fillId="10" borderId="8" xfId="1" applyNumberFormat="1" applyFont="1" applyFill="1" applyBorder="1" applyAlignment="1">
      <alignment horizontal="center" vertical="center" wrapText="1"/>
    </xf>
    <xf numFmtId="165" fontId="1" fillId="0" borderId="1" xfId="1" applyNumberFormat="1" applyFont="1" applyFill="1" applyBorder="1" applyAlignment="1">
      <alignment horizontal="center" vertical="center" wrapText="1"/>
    </xf>
    <xf numFmtId="0" fontId="1" fillId="0" borderId="47" xfId="0" applyFont="1" applyBorder="1" applyAlignment="1">
      <alignment horizontal="center" vertical="center" wrapText="1"/>
    </xf>
    <xf numFmtId="165" fontId="1" fillId="11" borderId="5" xfId="1" applyNumberFormat="1" applyFont="1" applyFill="1" applyBorder="1" applyAlignment="1">
      <alignment horizontal="center" vertical="center" wrapText="1"/>
    </xf>
    <xf numFmtId="165" fontId="5" fillId="11" borderId="1" xfId="0" applyNumberFormat="1" applyFont="1" applyFill="1" applyBorder="1" applyAlignment="1">
      <alignment horizontal="center" vertical="center" wrapText="1"/>
    </xf>
    <xf numFmtId="165" fontId="1" fillId="11" borderId="1" xfId="1" applyNumberFormat="1" applyFont="1" applyFill="1" applyBorder="1" applyAlignment="1">
      <alignment horizontal="center" vertical="center" wrapText="1"/>
    </xf>
    <xf numFmtId="165" fontId="5" fillId="11" borderId="5" xfId="1" applyNumberFormat="1" applyFont="1" applyFill="1" applyBorder="1" applyAlignment="1">
      <alignment horizontal="center" vertical="center" wrapText="1"/>
    </xf>
    <xf numFmtId="164" fontId="5" fillId="13" borderId="6" xfId="0" applyNumberFormat="1" applyFont="1" applyFill="1" applyBorder="1" applyAlignment="1">
      <alignment horizontal="center" vertical="center" wrapText="1"/>
    </xf>
    <xf numFmtId="165" fontId="1" fillId="11" borderId="7" xfId="1" applyNumberFormat="1" applyFont="1" applyFill="1" applyBorder="1" applyAlignment="1">
      <alignment horizontal="center" vertical="center" wrapText="1"/>
    </xf>
    <xf numFmtId="165" fontId="5" fillId="11" borderId="8" xfId="0" applyNumberFormat="1" applyFont="1" applyFill="1" applyBorder="1" applyAlignment="1">
      <alignment horizontal="center" vertical="center" wrapText="1"/>
    </xf>
    <xf numFmtId="165" fontId="1" fillId="11" borderId="3" xfId="1" applyNumberFormat="1" applyFont="1" applyFill="1" applyBorder="1" applyAlignment="1">
      <alignment horizontal="center" vertical="center" wrapText="1"/>
    </xf>
    <xf numFmtId="165" fontId="5" fillId="11" borderId="3" xfId="0" applyNumberFormat="1" applyFont="1" applyFill="1" applyBorder="1" applyAlignment="1">
      <alignment horizontal="center" vertical="center" wrapText="1"/>
    </xf>
    <xf numFmtId="165" fontId="1" fillId="11" borderId="2" xfId="1" applyNumberFormat="1" applyFont="1" applyFill="1" applyBorder="1" applyAlignment="1">
      <alignment horizontal="center" vertical="center" wrapText="1"/>
    </xf>
    <xf numFmtId="165" fontId="1" fillId="11" borderId="8" xfId="1" applyNumberFormat="1" applyFont="1" applyFill="1" applyBorder="1" applyAlignment="1">
      <alignment horizontal="center" vertical="center" wrapText="1"/>
    </xf>
    <xf numFmtId="0" fontId="5" fillId="0" borderId="54" xfId="0" applyFont="1" applyBorder="1" applyAlignment="1">
      <alignment vertical="center" wrapText="1"/>
    </xf>
    <xf numFmtId="0" fontId="5" fillId="9" borderId="1" xfId="0" applyFont="1" applyFill="1" applyBorder="1" applyAlignment="1">
      <alignment horizontal="center" vertical="center" wrapText="1"/>
    </xf>
    <xf numFmtId="165" fontId="0" fillId="11" borderId="5" xfId="3" applyNumberFormat="1" applyFont="1" applyFill="1" applyBorder="1" applyAlignment="1">
      <alignment horizontal="center" vertical="center" wrapText="1"/>
    </xf>
    <xf numFmtId="165" fontId="0" fillId="10" borderId="5" xfId="3" applyNumberFormat="1" applyFont="1" applyFill="1" applyBorder="1" applyAlignment="1">
      <alignment horizontal="center" vertical="center" wrapText="1"/>
    </xf>
    <xf numFmtId="165" fontId="0" fillId="10" borderId="1" xfId="3" applyNumberFormat="1" applyFont="1" applyFill="1" applyBorder="1" applyAlignment="1">
      <alignment horizontal="center" vertical="center" wrapText="1"/>
    </xf>
    <xf numFmtId="165" fontId="0" fillId="11" borderId="1" xfId="3" applyNumberFormat="1" applyFont="1" applyFill="1" applyBorder="1" applyAlignment="1">
      <alignment horizontal="center" vertical="center" wrapText="1"/>
    </xf>
    <xf numFmtId="165" fontId="1" fillId="14" borderId="1" xfId="1" applyNumberFormat="1" applyFont="1" applyFill="1" applyBorder="1" applyAlignment="1">
      <alignment horizontal="center" vertical="center" wrapText="1"/>
    </xf>
    <xf numFmtId="0" fontId="5" fillId="0" borderId="54" xfId="0" applyFont="1" applyBorder="1" applyAlignment="1">
      <alignment horizontal="left" vertical="center" wrapText="1"/>
    </xf>
    <xf numFmtId="165" fontId="1" fillId="14" borderId="7" xfId="1" applyNumberFormat="1" applyFont="1" applyFill="1" applyBorder="1" applyAlignment="1">
      <alignment horizontal="center" vertical="center" wrapText="1"/>
    </xf>
    <xf numFmtId="165" fontId="1" fillId="14" borderId="8" xfId="1" applyNumberFormat="1" applyFont="1" applyFill="1" applyBorder="1" applyAlignment="1">
      <alignment horizontal="center" vertical="center" wrapText="1"/>
    </xf>
    <xf numFmtId="165" fontId="12" fillId="11" borderId="54" xfId="3" applyNumberFormat="1" applyFont="1" applyFill="1" applyBorder="1" applyAlignment="1">
      <alignment horizontal="center" vertical="center" wrapText="1"/>
    </xf>
    <xf numFmtId="0" fontId="5" fillId="0" borderId="53" xfId="0" applyFont="1" applyBorder="1" applyAlignment="1">
      <alignment vertical="center" wrapText="1"/>
    </xf>
    <xf numFmtId="0" fontId="5" fillId="0" borderId="13" xfId="0" applyFont="1" applyBorder="1" applyAlignment="1">
      <alignment horizontal="center" vertical="center" wrapText="1"/>
    </xf>
    <xf numFmtId="0" fontId="5" fillId="0" borderId="58" xfId="0" applyFont="1" applyBorder="1" applyAlignment="1">
      <alignment horizontal="center" vertical="center" wrapText="1"/>
    </xf>
    <xf numFmtId="0" fontId="5" fillId="0" borderId="21" xfId="0" applyFont="1" applyBorder="1" applyAlignment="1">
      <alignment vertical="center" wrapText="1"/>
    </xf>
    <xf numFmtId="0" fontId="5" fillId="0" borderId="38" xfId="0" applyFont="1" applyBorder="1" applyAlignment="1">
      <alignment vertical="center" wrapText="1"/>
    </xf>
    <xf numFmtId="165" fontId="1" fillId="14" borderId="2" xfId="1" applyNumberFormat="1" applyFont="1" applyFill="1" applyBorder="1" applyAlignment="1">
      <alignment horizontal="center" vertical="center" wrapText="1"/>
    </xf>
    <xf numFmtId="165" fontId="0" fillId="10" borderId="3" xfId="1" applyNumberFormat="1" applyFont="1" applyFill="1" applyBorder="1" applyAlignment="1">
      <alignment horizontal="center" vertical="center" wrapText="1"/>
    </xf>
    <xf numFmtId="165" fontId="0" fillId="10" borderId="1" xfId="1" applyNumberFormat="1" applyFont="1" applyFill="1" applyBorder="1" applyAlignment="1">
      <alignment horizontal="center" vertical="center" wrapText="1"/>
    </xf>
    <xf numFmtId="165" fontId="0" fillId="11" borderId="1" xfId="1" applyNumberFormat="1" applyFont="1" applyFill="1" applyBorder="1" applyAlignment="1">
      <alignment horizontal="center" vertical="center" wrapText="1"/>
    </xf>
    <xf numFmtId="165" fontId="0" fillId="11" borderId="5" xfId="1" applyNumberFormat="1" applyFont="1" applyFill="1" applyBorder="1" applyAlignment="1">
      <alignment horizontal="center" vertical="center" wrapText="1"/>
    </xf>
    <xf numFmtId="165" fontId="0" fillId="10" borderId="5" xfId="1" applyNumberFormat="1" applyFont="1" applyFill="1" applyBorder="1" applyAlignment="1">
      <alignment horizontal="center" vertical="center" wrapText="1"/>
    </xf>
    <xf numFmtId="0" fontId="3" fillId="14" borderId="7" xfId="0" applyFont="1" applyFill="1" applyBorder="1" applyAlignment="1">
      <alignment horizontal="center" vertical="center" wrapText="1"/>
    </xf>
    <xf numFmtId="0" fontId="4" fillId="0" borderId="54" xfId="0" applyFont="1" applyBorder="1" applyAlignment="1">
      <alignment horizontal="left" vertical="center" wrapText="1"/>
    </xf>
    <xf numFmtId="165" fontId="0" fillId="0" borderId="1" xfId="0" applyNumberFormat="1" applyBorder="1" applyAlignment="1">
      <alignment horizontal="center" vertical="center" wrapText="1"/>
    </xf>
    <xf numFmtId="165" fontId="0" fillId="11" borderId="1" xfId="0" applyNumberFormat="1" applyFill="1" applyBorder="1" applyAlignment="1">
      <alignment horizontal="center" vertical="center" wrapText="1"/>
    </xf>
    <xf numFmtId="165" fontId="0" fillId="14" borderId="1" xfId="3" applyNumberFormat="1" applyFont="1" applyFill="1" applyBorder="1" applyAlignment="1">
      <alignment horizontal="center" vertical="center" wrapText="1"/>
    </xf>
    <xf numFmtId="165" fontId="0" fillId="10" borderId="7" xfId="3" applyNumberFormat="1" applyFont="1" applyFill="1" applyBorder="1" applyAlignment="1">
      <alignment horizontal="center" vertical="center" wrapText="1"/>
    </xf>
    <xf numFmtId="165" fontId="1" fillId="11" borderId="54" xfId="1" applyNumberFormat="1" applyFont="1" applyFill="1" applyBorder="1" applyAlignment="1">
      <alignment horizontal="center" vertical="center" wrapText="1"/>
    </xf>
    <xf numFmtId="165" fontId="5" fillId="11" borderId="54" xfId="0" applyNumberFormat="1" applyFont="1" applyFill="1" applyBorder="1" applyAlignment="1">
      <alignment horizontal="center" vertical="center" wrapText="1"/>
    </xf>
    <xf numFmtId="165" fontId="5" fillId="11" borderId="53" xfId="0" applyNumberFormat="1" applyFont="1" applyFill="1" applyBorder="1" applyAlignment="1">
      <alignment horizontal="center" vertical="center" wrapText="1"/>
    </xf>
    <xf numFmtId="165" fontId="0" fillId="10" borderId="48" xfId="1" applyNumberFormat="1" applyFont="1" applyFill="1" applyBorder="1" applyAlignment="1">
      <alignment horizontal="center" vertical="center" wrapText="1"/>
    </xf>
    <xf numFmtId="165" fontId="0" fillId="10" borderId="14" xfId="1" applyNumberFormat="1" applyFont="1" applyFill="1" applyBorder="1" applyAlignment="1">
      <alignment horizontal="center" vertical="center" wrapText="1"/>
    </xf>
    <xf numFmtId="165" fontId="5" fillId="0" borderId="21" xfId="0" applyNumberFormat="1" applyFont="1" applyBorder="1" applyAlignment="1">
      <alignment horizontal="center" vertical="center" wrapText="1"/>
    </xf>
    <xf numFmtId="0" fontId="5" fillId="0" borderId="11" xfId="0" applyFont="1" applyBorder="1" applyAlignment="1">
      <alignment vertical="center" wrapText="1"/>
    </xf>
    <xf numFmtId="165" fontId="0" fillId="10" borderId="8" xfId="3" applyNumberFormat="1" applyFont="1" applyFill="1" applyBorder="1" applyAlignment="1">
      <alignment horizontal="center" vertical="center" wrapText="1"/>
    </xf>
    <xf numFmtId="0" fontId="5" fillId="9" borderId="8" xfId="0" applyFont="1" applyFill="1" applyBorder="1" applyAlignment="1">
      <alignment horizontal="center" vertical="center" wrapText="1"/>
    </xf>
    <xf numFmtId="165" fontId="11" fillId="10" borderId="5" xfId="3" applyNumberFormat="1" applyFill="1" applyBorder="1" applyAlignment="1">
      <alignment horizontal="center" vertical="center" wrapText="1"/>
    </xf>
    <xf numFmtId="165" fontId="11" fillId="10" borderId="1" xfId="3" applyNumberFormat="1" applyFill="1" applyBorder="1" applyAlignment="1">
      <alignment horizontal="center" vertical="center" wrapText="1"/>
    </xf>
    <xf numFmtId="0" fontId="6" fillId="0" borderId="45" xfId="0" applyFont="1" applyBorder="1" applyAlignment="1">
      <alignment horizontal="center" vertical="center"/>
    </xf>
    <xf numFmtId="0" fontId="1" fillId="0" borderId="50" xfId="0" applyFont="1" applyBorder="1" applyAlignment="1">
      <alignment horizontal="center" vertical="center"/>
    </xf>
    <xf numFmtId="0" fontId="6" fillId="0" borderId="46" xfId="0" applyFont="1" applyBorder="1" applyAlignment="1">
      <alignment horizontal="center" vertical="center"/>
    </xf>
    <xf numFmtId="165" fontId="4" fillId="10" borderId="2" xfId="1" applyNumberFormat="1" applyFont="1" applyFill="1" applyBorder="1" applyAlignment="1">
      <alignment horizontal="center" vertical="center" wrapText="1"/>
    </xf>
    <xf numFmtId="165" fontId="4" fillId="0" borderId="55" xfId="0" applyNumberFormat="1" applyFont="1" applyBorder="1" applyAlignment="1">
      <alignment horizontal="center" vertical="center" wrapText="1"/>
    </xf>
    <xf numFmtId="165" fontId="4" fillId="11" borderId="56" xfId="1" applyNumberFormat="1" applyFont="1" applyFill="1" applyBorder="1" applyAlignment="1">
      <alignment horizontal="center" vertical="center" wrapText="1"/>
    </xf>
    <xf numFmtId="165" fontId="4" fillId="11" borderId="3" xfId="0" applyNumberFormat="1" applyFont="1" applyFill="1" applyBorder="1" applyAlignment="1">
      <alignment horizontal="center" vertical="center" wrapText="1"/>
    </xf>
    <xf numFmtId="165" fontId="4" fillId="14" borderId="3" xfId="1" applyNumberFormat="1" applyFont="1" applyFill="1" applyBorder="1" applyAlignment="1">
      <alignment horizontal="center" vertical="center" wrapText="1"/>
    </xf>
    <xf numFmtId="165" fontId="4" fillId="11" borderId="5" xfId="1" applyNumberFormat="1" applyFont="1" applyFill="1" applyBorder="1" applyAlignment="1">
      <alignment horizontal="center" vertical="center" wrapText="1"/>
    </xf>
    <xf numFmtId="165" fontId="4" fillId="11" borderId="1" xfId="0" applyNumberFormat="1" applyFont="1" applyFill="1" applyBorder="1" applyAlignment="1">
      <alignment horizontal="center" vertical="center" wrapText="1"/>
    </xf>
    <xf numFmtId="165" fontId="4" fillId="10" borderId="1" xfId="1" applyNumberFormat="1" applyFont="1" applyFill="1" applyBorder="1" applyAlignment="1">
      <alignment horizontal="center" vertical="center" wrapText="1"/>
    </xf>
    <xf numFmtId="165" fontId="4" fillId="0" borderId="1" xfId="0" applyNumberFormat="1" applyFont="1" applyBorder="1" applyAlignment="1">
      <alignment horizontal="center" vertical="center" wrapText="1"/>
    </xf>
    <xf numFmtId="165" fontId="4" fillId="10" borderId="5" xfId="1" applyNumberFormat="1" applyFont="1" applyFill="1" applyBorder="1" applyAlignment="1">
      <alignment horizontal="center" vertical="center" wrapText="1"/>
    </xf>
    <xf numFmtId="165" fontId="4" fillId="11" borderId="1" xfId="3" applyNumberFormat="1" applyFont="1" applyFill="1" applyBorder="1" applyAlignment="1">
      <alignment horizontal="center" vertical="center" wrapText="1"/>
    </xf>
    <xf numFmtId="165" fontId="4" fillId="11" borderId="1" xfId="1" applyNumberFormat="1" applyFont="1" applyFill="1" applyBorder="1" applyAlignment="1">
      <alignment horizontal="center" vertical="center" wrapText="1"/>
    </xf>
    <xf numFmtId="165" fontId="4" fillId="10" borderId="1" xfId="3" applyNumberFormat="1" applyFont="1" applyFill="1" applyBorder="1" applyAlignment="1">
      <alignment horizontal="center" vertical="center" wrapText="1"/>
    </xf>
    <xf numFmtId="165" fontId="4" fillId="10" borderId="5" xfId="3" applyNumberFormat="1" applyFont="1" applyFill="1" applyBorder="1" applyAlignment="1">
      <alignment horizontal="center" vertical="center" wrapText="1"/>
    </xf>
    <xf numFmtId="165" fontId="4" fillId="14" borderId="1" xfId="1" applyNumberFormat="1" applyFont="1" applyFill="1" applyBorder="1" applyAlignment="1">
      <alignment horizontal="center" vertical="center" wrapText="1"/>
    </xf>
    <xf numFmtId="165" fontId="4" fillId="10" borderId="7" xfId="3" applyNumberFormat="1" applyFont="1" applyFill="1" applyBorder="1" applyAlignment="1">
      <alignment horizontal="center" vertical="center" wrapText="1"/>
    </xf>
    <xf numFmtId="165" fontId="4" fillId="0" borderId="8" xfId="0" applyNumberFormat="1" applyFont="1" applyBorder="1" applyAlignment="1">
      <alignment horizontal="center" vertical="center" wrapText="1"/>
    </xf>
    <xf numFmtId="165" fontId="4" fillId="10" borderId="8" xfId="3" applyNumberFormat="1" applyFont="1" applyFill="1" applyBorder="1" applyAlignment="1">
      <alignment horizontal="center" vertical="center" wrapText="1"/>
    </xf>
    <xf numFmtId="165" fontId="4" fillId="0" borderId="0" xfId="0" applyNumberFormat="1" applyFont="1" applyAlignment="1">
      <alignment horizontal="center" vertical="center" wrapText="1"/>
    </xf>
    <xf numFmtId="165" fontId="4" fillId="0" borderId="3" xfId="0" applyNumberFormat="1" applyFont="1" applyBorder="1" applyAlignment="1">
      <alignment horizontal="center" vertical="center" wrapText="1"/>
    </xf>
    <xf numFmtId="165" fontId="4" fillId="10" borderId="3" xfId="1" applyNumberFormat="1" applyFont="1" applyFill="1" applyBorder="1" applyAlignment="1">
      <alignment horizontal="center" vertical="center" wrapText="1"/>
    </xf>
    <xf numFmtId="165" fontId="4" fillId="11" borderId="5" xfId="3" applyNumberFormat="1" applyFont="1" applyFill="1" applyBorder="1" applyAlignment="1">
      <alignment horizontal="center" vertical="center" wrapText="1"/>
    </xf>
    <xf numFmtId="165" fontId="4" fillId="0" borderId="13" xfId="0" applyNumberFormat="1" applyFont="1" applyBorder="1" applyAlignment="1">
      <alignment horizontal="center" vertical="center" wrapText="1"/>
    </xf>
    <xf numFmtId="165" fontId="4" fillId="10" borderId="57" xfId="3" applyNumberFormat="1" applyFont="1" applyFill="1" applyBorder="1" applyAlignment="1">
      <alignment horizontal="center" vertical="center" wrapText="1"/>
    </xf>
    <xf numFmtId="165" fontId="4" fillId="11" borderId="8" xfId="0" applyNumberFormat="1" applyFont="1" applyFill="1" applyBorder="1" applyAlignment="1">
      <alignment horizontal="center" vertical="center" wrapText="1"/>
    </xf>
    <xf numFmtId="0" fontId="3" fillId="10" borderId="31" xfId="0" applyFont="1" applyFill="1" applyBorder="1" applyAlignment="1">
      <alignment horizontal="center" vertical="center" wrapText="1"/>
    </xf>
    <xf numFmtId="0" fontId="3" fillId="10" borderId="40" xfId="0" applyFont="1" applyFill="1" applyBorder="1" applyAlignment="1">
      <alignment horizontal="center" vertical="center" wrapText="1"/>
    </xf>
    <xf numFmtId="0" fontId="3" fillId="10" borderId="37" xfId="0" applyFont="1" applyFill="1" applyBorder="1" applyAlignment="1">
      <alignment horizontal="center" vertical="center" wrapText="1"/>
    </xf>
    <xf numFmtId="0" fontId="3" fillId="3" borderId="2" xfId="0" applyFont="1" applyFill="1" applyBorder="1" applyAlignment="1">
      <alignment horizontal="center" vertical="center" textRotation="90"/>
    </xf>
    <xf numFmtId="0" fontId="3" fillId="3" borderId="5" xfId="0" applyFont="1" applyFill="1" applyBorder="1" applyAlignment="1">
      <alignment horizontal="center" vertical="center" textRotation="90"/>
    </xf>
    <xf numFmtId="0" fontId="3" fillId="3" borderId="7" xfId="0" applyFont="1" applyFill="1" applyBorder="1" applyAlignment="1">
      <alignment horizontal="center" vertical="center" textRotation="90"/>
    </xf>
    <xf numFmtId="165" fontId="3" fillId="0" borderId="48" xfId="0" applyNumberFormat="1" applyFont="1" applyBorder="1" applyAlignment="1">
      <alignment horizontal="center" vertical="center" wrapText="1"/>
    </xf>
    <xf numFmtId="165" fontId="3" fillId="0" borderId="32" xfId="0" applyNumberFormat="1" applyFont="1" applyBorder="1" applyAlignment="1">
      <alignment horizontal="center" vertical="center" wrapText="1"/>
    </xf>
    <xf numFmtId="165" fontId="3" fillId="0" borderId="14" xfId="0" applyNumberFormat="1" applyFont="1" applyBorder="1" applyAlignment="1">
      <alignment horizontal="center" vertical="center" wrapText="1"/>
    </xf>
    <xf numFmtId="0" fontId="3" fillId="0" borderId="31"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20" xfId="0" applyFont="1" applyBorder="1" applyAlignment="1">
      <alignment horizontal="center" vertical="center"/>
    </xf>
    <xf numFmtId="0" fontId="3" fillId="0" borderId="42" xfId="0" applyFont="1" applyBorder="1" applyAlignment="1">
      <alignment horizontal="center" vertical="center"/>
    </xf>
    <xf numFmtId="0" fontId="3" fillId="0" borderId="36"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2" borderId="29" xfId="0" applyFont="1" applyFill="1" applyBorder="1" applyAlignment="1">
      <alignment horizontal="center" vertical="center"/>
    </xf>
    <xf numFmtId="0" fontId="2" fillId="2" borderId="23" xfId="0" applyFont="1" applyFill="1" applyBorder="1" applyAlignment="1">
      <alignment horizontal="center" vertical="center"/>
    </xf>
    <xf numFmtId="0" fontId="3" fillId="0" borderId="29" xfId="0" applyFont="1" applyBorder="1" applyAlignment="1">
      <alignment horizontal="center" vertical="center" wrapText="1"/>
    </xf>
    <xf numFmtId="0" fontId="3" fillId="0" borderId="23"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28" xfId="0" applyFont="1" applyBorder="1" applyAlignment="1">
      <alignment horizontal="center" vertical="center" wrapText="1"/>
    </xf>
    <xf numFmtId="0" fontId="3" fillId="12" borderId="18" xfId="0" applyFont="1" applyFill="1" applyBorder="1" applyAlignment="1">
      <alignment horizontal="center" vertical="center" wrapText="1"/>
    </xf>
    <xf numFmtId="0" fontId="3" fillId="12" borderId="41" xfId="0" applyFont="1" applyFill="1" applyBorder="1" applyAlignment="1">
      <alignment horizontal="center" vertical="center" wrapText="1"/>
    </xf>
    <xf numFmtId="0" fontId="3" fillId="11" borderId="31" xfId="0" applyFont="1" applyFill="1" applyBorder="1" applyAlignment="1">
      <alignment horizontal="center" vertical="center" wrapText="1"/>
    </xf>
    <xf numFmtId="0" fontId="3" fillId="11" borderId="40" xfId="0" applyFont="1" applyFill="1" applyBorder="1" applyAlignment="1">
      <alignment horizontal="center" vertical="center" wrapText="1"/>
    </xf>
    <xf numFmtId="0" fontId="3" fillId="11" borderId="37" xfId="0" applyFont="1" applyFill="1" applyBorder="1" applyAlignment="1">
      <alignment horizontal="center" vertical="center" wrapText="1"/>
    </xf>
    <xf numFmtId="0" fontId="2" fillId="4" borderId="2" xfId="0" applyFont="1" applyFill="1" applyBorder="1" applyAlignment="1">
      <alignment horizontal="center" vertical="center" textRotation="90"/>
    </xf>
    <xf numFmtId="0" fontId="2" fillId="4" borderId="5" xfId="0" applyFont="1" applyFill="1" applyBorder="1" applyAlignment="1">
      <alignment horizontal="center" vertical="center" textRotation="90"/>
    </xf>
    <xf numFmtId="0" fontId="2" fillId="4" borderId="7" xfId="0" applyFont="1" applyFill="1" applyBorder="1" applyAlignment="1">
      <alignment horizontal="center" vertical="center" textRotation="90"/>
    </xf>
    <xf numFmtId="0" fontId="3" fillId="12" borderId="19" xfId="0" applyFont="1" applyFill="1" applyBorder="1" applyAlignment="1">
      <alignment horizontal="center" vertical="center" wrapText="1"/>
    </xf>
    <xf numFmtId="0" fontId="3" fillId="7" borderId="5" xfId="0" applyFont="1" applyFill="1" applyBorder="1" applyAlignment="1">
      <alignment horizontal="center" vertical="center" textRotation="90" wrapText="1"/>
    </xf>
    <xf numFmtId="0" fontId="3" fillId="7" borderId="7" xfId="0" applyFont="1" applyFill="1" applyBorder="1" applyAlignment="1">
      <alignment horizontal="center" vertical="center" textRotation="90" wrapText="1"/>
    </xf>
    <xf numFmtId="0" fontId="2" fillId="0" borderId="35" xfId="0" applyFont="1" applyBorder="1" applyAlignment="1">
      <alignment horizontal="center" vertical="center"/>
    </xf>
    <xf numFmtId="0" fontId="2" fillId="2" borderId="38" xfId="0" applyFont="1" applyFill="1" applyBorder="1" applyAlignment="1">
      <alignment horizontal="center" vertical="center"/>
    </xf>
    <xf numFmtId="0" fontId="3" fillId="0" borderId="38" xfId="0" applyFont="1" applyBorder="1" applyAlignment="1">
      <alignment horizontal="center" vertical="center" wrapText="1"/>
    </xf>
    <xf numFmtId="0" fontId="2" fillId="0" borderId="30" xfId="0" applyFont="1" applyBorder="1" applyAlignment="1">
      <alignment horizontal="center" vertical="center" wrapText="1"/>
    </xf>
    <xf numFmtId="0" fontId="3" fillId="8" borderId="33" xfId="0" applyFont="1" applyFill="1" applyBorder="1" applyAlignment="1">
      <alignment horizontal="center" vertical="center" textRotation="90" wrapText="1"/>
    </xf>
    <xf numFmtId="0" fontId="3" fillId="8" borderId="34" xfId="0" applyFont="1" applyFill="1" applyBorder="1" applyAlignment="1">
      <alignment horizontal="center" vertical="center" textRotation="90" wrapText="1"/>
    </xf>
    <xf numFmtId="0" fontId="3" fillId="8" borderId="35" xfId="0" applyFont="1" applyFill="1" applyBorder="1" applyAlignment="1">
      <alignment horizontal="center" vertical="center" textRotation="90" wrapText="1"/>
    </xf>
    <xf numFmtId="0" fontId="3" fillId="8" borderId="20" xfId="0" applyFont="1" applyFill="1" applyBorder="1" applyAlignment="1">
      <alignment horizontal="center" vertical="center" textRotation="90" wrapText="1"/>
    </xf>
    <xf numFmtId="0" fontId="3" fillId="8" borderId="42" xfId="0" applyFont="1" applyFill="1" applyBorder="1" applyAlignment="1">
      <alignment horizontal="center" vertical="center" textRotation="90" wrapText="1"/>
    </xf>
    <xf numFmtId="0" fontId="3" fillId="8" borderId="49" xfId="0" applyFont="1" applyFill="1" applyBorder="1" applyAlignment="1">
      <alignment horizontal="center" vertical="center" textRotation="90" wrapText="1"/>
    </xf>
    <xf numFmtId="0" fontId="3" fillId="8" borderId="36" xfId="0" applyFont="1" applyFill="1" applyBorder="1" applyAlignment="1">
      <alignment horizontal="center" vertical="center" textRotation="90" wrapText="1"/>
    </xf>
    <xf numFmtId="165" fontId="3" fillId="0" borderId="31" xfId="0" applyNumberFormat="1" applyFont="1" applyBorder="1" applyAlignment="1">
      <alignment horizontal="center" vertical="center" wrapText="1"/>
    </xf>
    <xf numFmtId="165" fontId="3" fillId="0" borderId="40" xfId="0" applyNumberFormat="1" applyFont="1" applyBorder="1" applyAlignment="1">
      <alignment horizontal="center" vertical="center" wrapText="1"/>
    </xf>
    <xf numFmtId="165" fontId="3" fillId="0" borderId="27" xfId="0" applyNumberFormat="1" applyFont="1" applyBorder="1" applyAlignment="1">
      <alignment horizontal="center" vertical="center" wrapText="1"/>
    </xf>
    <xf numFmtId="0" fontId="3" fillId="10" borderId="52" xfId="0" applyFont="1" applyFill="1" applyBorder="1" applyAlignment="1">
      <alignment horizontal="center" vertical="center" wrapText="1"/>
    </xf>
  </cellXfs>
  <cellStyles count="4">
    <cellStyle name="Hipervínculo" xfId="1" builtinId="8"/>
    <cellStyle name="Hyperlink" xfId="3" xr:uid="{00000000-000B-0000-0000-000008000000}"/>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eetMetadata" Target="metadata.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12" Type="http://schemas.openxmlformats.org/officeDocument/2006/relationships/sharedStrings" Target="sharedStrings.xml"/><Relationship Id="rId17" Type="http://schemas.microsoft.com/office/2017/06/relationships/rdRichValueTypes" Target="richData/rdRichValueTypes.xml"/><Relationship Id="rId2" Type="http://schemas.openxmlformats.org/officeDocument/2006/relationships/worksheet" Target="worksheets/sheet2.xml"/><Relationship Id="rId16" Type="http://schemas.microsoft.com/office/2017/06/relationships/rdRichValueStructure" Target="richData/rdrichvaluestructure.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17/06/relationships/rdRichValue" Target="richData/rdrichvalue.xml"/><Relationship Id="rId10" Type="http://schemas.openxmlformats.org/officeDocument/2006/relationships/theme" Target="theme/theme1.xml"/><Relationship Id="rId19" Type="http://schemas.openxmlformats.org/officeDocument/2006/relationships/customXml" Target="../customXml/item1.xml"/><Relationship Id="rId4" Type="http://schemas.openxmlformats.org/officeDocument/2006/relationships/worksheet" Target="worksheets/sheet4.xml"/><Relationship Id="rId9" Type="http://customschemas.google.com/relationships/workbookmetadata" Target="metadata"/><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3" Type="http://schemas.openxmlformats.org/officeDocument/2006/relationships/image" Target="../media/image145.png"/><Relationship Id="rId2" Type="http://schemas.openxmlformats.org/officeDocument/2006/relationships/image" Target="../media/image144.png"/><Relationship Id="rId1" Type="http://schemas.openxmlformats.org/officeDocument/2006/relationships/image" Target="../media/image143.png"/><Relationship Id="rId5" Type="http://schemas.openxmlformats.org/officeDocument/2006/relationships/image" Target="../media/image147.png"/><Relationship Id="rId4" Type="http://schemas.openxmlformats.org/officeDocument/2006/relationships/image" Target="../media/image146.png"/></Relationships>
</file>

<file path=xl/drawings/drawing1.xml><?xml version="1.0" encoding="utf-8"?>
<xdr:wsDr xmlns:xdr="http://schemas.openxmlformats.org/drawingml/2006/spreadsheetDrawing" xmlns:a="http://schemas.openxmlformats.org/drawingml/2006/main">
  <xdr:twoCellAnchor editAs="oneCell">
    <xdr:from>
      <xdr:col>45</xdr:col>
      <xdr:colOff>28575</xdr:colOff>
      <xdr:row>28</xdr:row>
      <xdr:rowOff>190500</xdr:rowOff>
    </xdr:from>
    <xdr:to>
      <xdr:col>45</xdr:col>
      <xdr:colOff>895350</xdr:colOff>
      <xdr:row>28</xdr:row>
      <xdr:rowOff>1114425</xdr:rowOff>
    </xdr:to>
    <xdr:pic>
      <xdr:nvPicPr>
        <xdr:cNvPr id="11" name="Imagen 10">
          <a:extLst>
            <a:ext uri="{FF2B5EF4-FFF2-40B4-BE49-F238E27FC236}">
              <a16:creationId xmlns:a16="http://schemas.microsoft.com/office/drawing/2014/main" id="{ED9AF875-68A7-49FD-9D11-9B22E28B8282}"/>
            </a:ext>
          </a:extLst>
        </xdr:cNvPr>
        <xdr:cNvPicPr>
          <a:picLocks noChangeAspect="1"/>
        </xdr:cNvPicPr>
      </xdr:nvPicPr>
      <xdr:blipFill>
        <a:blip xmlns:r="http://schemas.openxmlformats.org/officeDocument/2006/relationships" r:embed="rId1"/>
        <a:stretch>
          <a:fillRect/>
        </a:stretch>
      </xdr:blipFill>
      <xdr:spPr>
        <a:xfrm>
          <a:off x="14306550" y="37004625"/>
          <a:ext cx="866775" cy="923925"/>
        </a:xfrm>
        <a:prstGeom prst="rect">
          <a:avLst/>
        </a:prstGeom>
      </xdr:spPr>
    </xdr:pic>
    <xdr:clientData/>
  </xdr:twoCellAnchor>
  <xdr:twoCellAnchor editAs="oneCell">
    <xdr:from>
      <xdr:col>45</xdr:col>
      <xdr:colOff>19050</xdr:colOff>
      <xdr:row>29</xdr:row>
      <xdr:rowOff>114300</xdr:rowOff>
    </xdr:from>
    <xdr:to>
      <xdr:col>45</xdr:col>
      <xdr:colOff>942975</xdr:colOff>
      <xdr:row>29</xdr:row>
      <xdr:rowOff>1038225</xdr:rowOff>
    </xdr:to>
    <xdr:pic>
      <xdr:nvPicPr>
        <xdr:cNvPr id="13" name="Imagen 12">
          <a:extLst>
            <a:ext uri="{FF2B5EF4-FFF2-40B4-BE49-F238E27FC236}">
              <a16:creationId xmlns:a16="http://schemas.microsoft.com/office/drawing/2014/main" id="{582558A3-C1EF-49F8-BFFA-E93C9A7BA316}"/>
            </a:ext>
            <a:ext uri="{147F2762-F138-4A5C-976F-8EAC2B608ADB}">
              <a16:predDERef xmlns:a16="http://schemas.microsoft.com/office/drawing/2014/main" pred="{ED9AF875-68A7-49FD-9D11-9B22E28B8282}"/>
            </a:ext>
          </a:extLst>
        </xdr:cNvPr>
        <xdr:cNvPicPr>
          <a:picLocks noChangeAspect="1"/>
        </xdr:cNvPicPr>
      </xdr:nvPicPr>
      <xdr:blipFill>
        <a:blip xmlns:r="http://schemas.openxmlformats.org/officeDocument/2006/relationships" r:embed="rId2"/>
        <a:stretch>
          <a:fillRect/>
        </a:stretch>
      </xdr:blipFill>
      <xdr:spPr>
        <a:xfrm>
          <a:off x="14297025" y="38471475"/>
          <a:ext cx="923925" cy="923925"/>
        </a:xfrm>
        <a:prstGeom prst="rect">
          <a:avLst/>
        </a:prstGeom>
      </xdr:spPr>
    </xdr:pic>
    <xdr:clientData/>
  </xdr:twoCellAnchor>
  <xdr:twoCellAnchor editAs="oneCell">
    <xdr:from>
      <xdr:col>45</xdr:col>
      <xdr:colOff>19050</xdr:colOff>
      <xdr:row>30</xdr:row>
      <xdr:rowOff>276225</xdr:rowOff>
    </xdr:from>
    <xdr:to>
      <xdr:col>45</xdr:col>
      <xdr:colOff>942975</xdr:colOff>
      <xdr:row>30</xdr:row>
      <xdr:rowOff>962025</xdr:rowOff>
    </xdr:to>
    <xdr:pic>
      <xdr:nvPicPr>
        <xdr:cNvPr id="14" name="Imagen 13">
          <a:extLst>
            <a:ext uri="{FF2B5EF4-FFF2-40B4-BE49-F238E27FC236}">
              <a16:creationId xmlns:a16="http://schemas.microsoft.com/office/drawing/2014/main" id="{62FDE651-523D-AD59-7E3C-73D7EEA75BC3}"/>
            </a:ext>
            <a:ext uri="{147F2762-F138-4A5C-976F-8EAC2B608ADB}">
              <a16:predDERef xmlns:a16="http://schemas.microsoft.com/office/drawing/2014/main" pred="{582558A3-C1EF-49F8-BFFA-E93C9A7BA316}"/>
            </a:ext>
          </a:extLst>
        </xdr:cNvPr>
        <xdr:cNvPicPr>
          <a:picLocks noChangeAspect="1"/>
        </xdr:cNvPicPr>
      </xdr:nvPicPr>
      <xdr:blipFill>
        <a:blip xmlns:r="http://schemas.openxmlformats.org/officeDocument/2006/relationships" r:embed="rId3"/>
        <a:stretch>
          <a:fillRect/>
        </a:stretch>
      </xdr:blipFill>
      <xdr:spPr>
        <a:xfrm>
          <a:off x="14297025" y="40090725"/>
          <a:ext cx="923925" cy="685800"/>
        </a:xfrm>
        <a:prstGeom prst="rect">
          <a:avLst/>
        </a:prstGeom>
      </xdr:spPr>
    </xdr:pic>
    <xdr:clientData/>
  </xdr:twoCellAnchor>
  <xdr:twoCellAnchor editAs="oneCell">
    <xdr:from>
      <xdr:col>45</xdr:col>
      <xdr:colOff>9525</xdr:colOff>
      <xdr:row>31</xdr:row>
      <xdr:rowOff>9525</xdr:rowOff>
    </xdr:from>
    <xdr:to>
      <xdr:col>45</xdr:col>
      <xdr:colOff>904875</xdr:colOff>
      <xdr:row>31</xdr:row>
      <xdr:rowOff>904875</xdr:rowOff>
    </xdr:to>
    <xdr:pic>
      <xdr:nvPicPr>
        <xdr:cNvPr id="15" name="Imagen 14">
          <a:extLst>
            <a:ext uri="{FF2B5EF4-FFF2-40B4-BE49-F238E27FC236}">
              <a16:creationId xmlns:a16="http://schemas.microsoft.com/office/drawing/2014/main" id="{7CBC1B26-8FBF-8403-D3F3-33DB2ABC37B0}"/>
            </a:ext>
            <a:ext uri="{147F2762-F138-4A5C-976F-8EAC2B608ADB}">
              <a16:predDERef xmlns:a16="http://schemas.microsoft.com/office/drawing/2014/main" pred="{62FDE651-523D-AD59-7E3C-73D7EEA75BC3}"/>
            </a:ext>
          </a:extLst>
        </xdr:cNvPr>
        <xdr:cNvPicPr>
          <a:picLocks noChangeAspect="1"/>
        </xdr:cNvPicPr>
      </xdr:nvPicPr>
      <xdr:blipFill>
        <a:blip xmlns:r="http://schemas.openxmlformats.org/officeDocument/2006/relationships" r:embed="rId4"/>
        <a:stretch>
          <a:fillRect/>
        </a:stretch>
      </xdr:blipFill>
      <xdr:spPr>
        <a:xfrm>
          <a:off x="14287500" y="41443275"/>
          <a:ext cx="895350" cy="895350"/>
        </a:xfrm>
        <a:prstGeom prst="rect">
          <a:avLst/>
        </a:prstGeom>
      </xdr:spPr>
    </xdr:pic>
    <xdr:clientData/>
  </xdr:twoCellAnchor>
  <xdr:twoCellAnchor editAs="oneCell">
    <xdr:from>
      <xdr:col>45</xdr:col>
      <xdr:colOff>47625</xdr:colOff>
      <xdr:row>33</xdr:row>
      <xdr:rowOff>76200</xdr:rowOff>
    </xdr:from>
    <xdr:to>
      <xdr:col>45</xdr:col>
      <xdr:colOff>847725</xdr:colOff>
      <xdr:row>33</xdr:row>
      <xdr:rowOff>1409700</xdr:rowOff>
    </xdr:to>
    <xdr:pic>
      <xdr:nvPicPr>
        <xdr:cNvPr id="18" name="Imagen 17">
          <a:extLst>
            <a:ext uri="{FF2B5EF4-FFF2-40B4-BE49-F238E27FC236}">
              <a16:creationId xmlns:a16="http://schemas.microsoft.com/office/drawing/2014/main" id="{4E4327FB-35B9-4599-B2B4-BCB17DECB47A}"/>
            </a:ext>
            <a:ext uri="{147F2762-F138-4A5C-976F-8EAC2B608ADB}">
              <a16:predDERef xmlns:a16="http://schemas.microsoft.com/office/drawing/2014/main" pred="{7CBC1B26-8FBF-8403-D3F3-33DB2ABC37B0}"/>
            </a:ext>
          </a:extLst>
        </xdr:cNvPr>
        <xdr:cNvPicPr>
          <a:picLocks noChangeAspect="1"/>
        </xdr:cNvPicPr>
      </xdr:nvPicPr>
      <xdr:blipFill>
        <a:blip xmlns:r="http://schemas.openxmlformats.org/officeDocument/2006/relationships" r:embed="rId5"/>
        <a:stretch>
          <a:fillRect/>
        </a:stretch>
      </xdr:blipFill>
      <xdr:spPr>
        <a:xfrm>
          <a:off x="14325600" y="44262675"/>
          <a:ext cx="800100" cy="1333500"/>
        </a:xfrm>
        <a:prstGeom prst="rect">
          <a:avLst/>
        </a:prstGeom>
      </xdr:spPr>
    </xdr:pic>
    <xdr:clientData/>
  </xdr:twoCellAnchor>
</xdr:wsDr>
</file>

<file path=xl/richData/_rels/richValueRel.xml.rels><?xml version="1.0" encoding="UTF-8" standalone="yes"?>
<Relationships xmlns="http://schemas.openxmlformats.org/package/2006/relationships"><Relationship Id="rId117" Type="http://schemas.openxmlformats.org/officeDocument/2006/relationships/image" Target="../media/image117.png"/><Relationship Id="rId21" Type="http://schemas.openxmlformats.org/officeDocument/2006/relationships/image" Target="../media/image21.png"/><Relationship Id="rId42" Type="http://schemas.openxmlformats.org/officeDocument/2006/relationships/image" Target="../media/image42.png"/><Relationship Id="rId63" Type="http://schemas.openxmlformats.org/officeDocument/2006/relationships/image" Target="../media/image63.png"/><Relationship Id="rId84" Type="http://schemas.openxmlformats.org/officeDocument/2006/relationships/image" Target="../media/image84.png"/><Relationship Id="rId138" Type="http://schemas.openxmlformats.org/officeDocument/2006/relationships/image" Target="../media/image138.png"/><Relationship Id="rId107" Type="http://schemas.openxmlformats.org/officeDocument/2006/relationships/image" Target="../media/image107.pn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png"/><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png"/><Relationship Id="rId79" Type="http://schemas.openxmlformats.org/officeDocument/2006/relationships/image" Target="../media/image79.png"/><Relationship Id="rId102" Type="http://schemas.openxmlformats.org/officeDocument/2006/relationships/image" Target="../media/image102.png"/><Relationship Id="rId123" Type="http://schemas.openxmlformats.org/officeDocument/2006/relationships/image" Target="../media/image123.png"/><Relationship Id="rId128" Type="http://schemas.openxmlformats.org/officeDocument/2006/relationships/image" Target="../media/image128.png"/><Relationship Id="rId5" Type="http://schemas.openxmlformats.org/officeDocument/2006/relationships/image" Target="../media/image5.png"/><Relationship Id="rId90" Type="http://schemas.openxmlformats.org/officeDocument/2006/relationships/image" Target="../media/image90.png"/><Relationship Id="rId95" Type="http://schemas.openxmlformats.org/officeDocument/2006/relationships/image" Target="../media/image95.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png"/><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113" Type="http://schemas.openxmlformats.org/officeDocument/2006/relationships/image" Target="../media/image113.png"/><Relationship Id="rId118" Type="http://schemas.openxmlformats.org/officeDocument/2006/relationships/image" Target="../media/image118.png"/><Relationship Id="rId134" Type="http://schemas.openxmlformats.org/officeDocument/2006/relationships/image" Target="../media/image134.png"/><Relationship Id="rId139" Type="http://schemas.openxmlformats.org/officeDocument/2006/relationships/image" Target="../media/image139.png"/><Relationship Id="rId80" Type="http://schemas.openxmlformats.org/officeDocument/2006/relationships/image" Target="../media/image80.png"/><Relationship Id="rId85" Type="http://schemas.openxmlformats.org/officeDocument/2006/relationships/image" Target="../media/image85.png"/><Relationship Id="rId12" Type="http://schemas.openxmlformats.org/officeDocument/2006/relationships/image" Target="../media/image12.png"/><Relationship Id="rId17" Type="http://schemas.openxmlformats.org/officeDocument/2006/relationships/image" Target="../media/image17.png"/><Relationship Id="rId33" Type="http://schemas.openxmlformats.org/officeDocument/2006/relationships/image" Target="../media/image33.png"/><Relationship Id="rId38" Type="http://schemas.openxmlformats.org/officeDocument/2006/relationships/image" Target="../media/image38.png"/><Relationship Id="rId59" Type="http://schemas.openxmlformats.org/officeDocument/2006/relationships/image" Target="../media/image59.png"/><Relationship Id="rId103" Type="http://schemas.openxmlformats.org/officeDocument/2006/relationships/image" Target="../media/image103.png"/><Relationship Id="rId108" Type="http://schemas.openxmlformats.org/officeDocument/2006/relationships/image" Target="../media/image108.png"/><Relationship Id="rId124" Type="http://schemas.openxmlformats.org/officeDocument/2006/relationships/image" Target="../media/image124.png"/><Relationship Id="rId129" Type="http://schemas.openxmlformats.org/officeDocument/2006/relationships/image" Target="../media/image129.png"/><Relationship Id="rId54" Type="http://schemas.openxmlformats.org/officeDocument/2006/relationships/image" Target="../media/image54.png"/><Relationship Id="rId70" Type="http://schemas.openxmlformats.org/officeDocument/2006/relationships/image" Target="../media/image70.png"/><Relationship Id="rId75" Type="http://schemas.openxmlformats.org/officeDocument/2006/relationships/image" Target="../media/image75.png"/><Relationship Id="rId91" Type="http://schemas.openxmlformats.org/officeDocument/2006/relationships/image" Target="../media/image91.png"/><Relationship Id="rId96" Type="http://schemas.openxmlformats.org/officeDocument/2006/relationships/image" Target="../media/image96.png"/><Relationship Id="rId140" Type="http://schemas.openxmlformats.org/officeDocument/2006/relationships/image" Target="../media/image140.png"/><Relationship Id="rId1" Type="http://schemas.openxmlformats.org/officeDocument/2006/relationships/image" Target="../media/image1.png"/><Relationship Id="rId6" Type="http://schemas.openxmlformats.org/officeDocument/2006/relationships/image" Target="../media/image6.png"/><Relationship Id="rId23" Type="http://schemas.openxmlformats.org/officeDocument/2006/relationships/image" Target="../media/image23.png"/><Relationship Id="rId28" Type="http://schemas.openxmlformats.org/officeDocument/2006/relationships/image" Target="../media/image28.png"/><Relationship Id="rId49" Type="http://schemas.openxmlformats.org/officeDocument/2006/relationships/image" Target="../media/image49.png"/><Relationship Id="rId114" Type="http://schemas.openxmlformats.org/officeDocument/2006/relationships/image" Target="../media/image114.png"/><Relationship Id="rId119" Type="http://schemas.openxmlformats.org/officeDocument/2006/relationships/image" Target="../media/image119.png"/><Relationship Id="rId44" Type="http://schemas.openxmlformats.org/officeDocument/2006/relationships/image" Target="../media/image44.png"/><Relationship Id="rId60" Type="http://schemas.openxmlformats.org/officeDocument/2006/relationships/image" Target="../media/image60.png"/><Relationship Id="rId65" Type="http://schemas.openxmlformats.org/officeDocument/2006/relationships/image" Target="../media/image65.png"/><Relationship Id="rId81" Type="http://schemas.openxmlformats.org/officeDocument/2006/relationships/image" Target="../media/image81.png"/><Relationship Id="rId86" Type="http://schemas.openxmlformats.org/officeDocument/2006/relationships/image" Target="../media/image86.png"/><Relationship Id="rId130" Type="http://schemas.openxmlformats.org/officeDocument/2006/relationships/image" Target="../media/image130.png"/><Relationship Id="rId135" Type="http://schemas.openxmlformats.org/officeDocument/2006/relationships/image" Target="../media/image135.pn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png"/><Relationship Id="rId109" Type="http://schemas.openxmlformats.org/officeDocument/2006/relationships/image" Target="../media/image109.png"/><Relationship Id="rId34" Type="http://schemas.openxmlformats.org/officeDocument/2006/relationships/image" Target="../media/image34.png"/><Relationship Id="rId50" Type="http://schemas.openxmlformats.org/officeDocument/2006/relationships/image" Target="../media/image50.png"/><Relationship Id="rId55" Type="http://schemas.openxmlformats.org/officeDocument/2006/relationships/image" Target="../media/image55.png"/><Relationship Id="rId76" Type="http://schemas.openxmlformats.org/officeDocument/2006/relationships/image" Target="../media/image76.png"/><Relationship Id="rId97" Type="http://schemas.openxmlformats.org/officeDocument/2006/relationships/image" Target="../media/image97.png"/><Relationship Id="rId104" Type="http://schemas.openxmlformats.org/officeDocument/2006/relationships/image" Target="../media/image104.png"/><Relationship Id="rId120" Type="http://schemas.openxmlformats.org/officeDocument/2006/relationships/image" Target="../media/image120.png"/><Relationship Id="rId125" Type="http://schemas.openxmlformats.org/officeDocument/2006/relationships/image" Target="../media/image125.png"/><Relationship Id="rId141" Type="http://schemas.openxmlformats.org/officeDocument/2006/relationships/image" Target="../media/image141.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png"/><Relationship Id="rId40" Type="http://schemas.openxmlformats.org/officeDocument/2006/relationships/image" Target="../media/image40.png"/><Relationship Id="rId45" Type="http://schemas.openxmlformats.org/officeDocument/2006/relationships/image" Target="../media/image45.png"/><Relationship Id="rId66" Type="http://schemas.openxmlformats.org/officeDocument/2006/relationships/image" Target="../media/image66.png"/><Relationship Id="rId87" Type="http://schemas.openxmlformats.org/officeDocument/2006/relationships/image" Target="../media/image87.png"/><Relationship Id="rId110" Type="http://schemas.openxmlformats.org/officeDocument/2006/relationships/image" Target="../media/image110.png"/><Relationship Id="rId115" Type="http://schemas.openxmlformats.org/officeDocument/2006/relationships/image" Target="../media/image115.png"/><Relationship Id="rId131" Type="http://schemas.openxmlformats.org/officeDocument/2006/relationships/image" Target="../media/image131.png"/><Relationship Id="rId136" Type="http://schemas.openxmlformats.org/officeDocument/2006/relationships/image" Target="../media/image136.png"/><Relationship Id="rId61" Type="http://schemas.openxmlformats.org/officeDocument/2006/relationships/image" Target="../media/image61.png"/><Relationship Id="rId82" Type="http://schemas.openxmlformats.org/officeDocument/2006/relationships/image" Target="../media/image82.png"/><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png"/><Relationship Id="rId56" Type="http://schemas.openxmlformats.org/officeDocument/2006/relationships/image" Target="../media/image56.png"/><Relationship Id="rId77" Type="http://schemas.openxmlformats.org/officeDocument/2006/relationships/image" Target="../media/image77.png"/><Relationship Id="rId100" Type="http://schemas.openxmlformats.org/officeDocument/2006/relationships/image" Target="../media/image100.png"/><Relationship Id="rId105" Type="http://schemas.openxmlformats.org/officeDocument/2006/relationships/image" Target="../media/image105.png"/><Relationship Id="rId126" Type="http://schemas.openxmlformats.org/officeDocument/2006/relationships/image" Target="../media/image126.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93" Type="http://schemas.openxmlformats.org/officeDocument/2006/relationships/image" Target="../media/image93.png"/><Relationship Id="rId98" Type="http://schemas.openxmlformats.org/officeDocument/2006/relationships/image" Target="../media/image98.png"/><Relationship Id="rId121" Type="http://schemas.openxmlformats.org/officeDocument/2006/relationships/image" Target="../media/image121.png"/><Relationship Id="rId142" Type="http://schemas.openxmlformats.org/officeDocument/2006/relationships/image" Target="../media/image142.png"/><Relationship Id="rId3" Type="http://schemas.openxmlformats.org/officeDocument/2006/relationships/image" Target="../media/image3.png"/><Relationship Id="rId25" Type="http://schemas.openxmlformats.org/officeDocument/2006/relationships/image" Target="../media/image25.png"/><Relationship Id="rId46" Type="http://schemas.openxmlformats.org/officeDocument/2006/relationships/image" Target="../media/image46.png"/><Relationship Id="rId67" Type="http://schemas.openxmlformats.org/officeDocument/2006/relationships/image" Target="../media/image67.png"/><Relationship Id="rId116" Type="http://schemas.openxmlformats.org/officeDocument/2006/relationships/image" Target="../media/image116.png"/><Relationship Id="rId137" Type="http://schemas.openxmlformats.org/officeDocument/2006/relationships/image" Target="../media/image137.png"/><Relationship Id="rId20" Type="http://schemas.openxmlformats.org/officeDocument/2006/relationships/image" Target="../media/image20.png"/><Relationship Id="rId41" Type="http://schemas.openxmlformats.org/officeDocument/2006/relationships/image" Target="../media/image41.png"/><Relationship Id="rId62" Type="http://schemas.openxmlformats.org/officeDocument/2006/relationships/image" Target="../media/image62.png"/><Relationship Id="rId83" Type="http://schemas.openxmlformats.org/officeDocument/2006/relationships/image" Target="../media/image83.png"/><Relationship Id="rId88" Type="http://schemas.openxmlformats.org/officeDocument/2006/relationships/image" Target="../media/image88.png"/><Relationship Id="rId111" Type="http://schemas.openxmlformats.org/officeDocument/2006/relationships/image" Target="../media/image111.png"/><Relationship Id="rId132" Type="http://schemas.openxmlformats.org/officeDocument/2006/relationships/image" Target="../media/image132.png"/><Relationship Id="rId15" Type="http://schemas.openxmlformats.org/officeDocument/2006/relationships/image" Target="../media/image15.png"/><Relationship Id="rId36" Type="http://schemas.openxmlformats.org/officeDocument/2006/relationships/image" Target="../media/image36.png"/><Relationship Id="rId57" Type="http://schemas.openxmlformats.org/officeDocument/2006/relationships/image" Target="../media/image57.png"/><Relationship Id="rId106" Type="http://schemas.openxmlformats.org/officeDocument/2006/relationships/image" Target="../media/image106.png"/><Relationship Id="rId127" Type="http://schemas.openxmlformats.org/officeDocument/2006/relationships/image" Target="../media/image127.png"/><Relationship Id="rId10" Type="http://schemas.openxmlformats.org/officeDocument/2006/relationships/image" Target="../media/image10.png"/><Relationship Id="rId31" Type="http://schemas.openxmlformats.org/officeDocument/2006/relationships/image" Target="../media/image31.png"/><Relationship Id="rId52" Type="http://schemas.openxmlformats.org/officeDocument/2006/relationships/image" Target="../media/image52.png"/><Relationship Id="rId73" Type="http://schemas.openxmlformats.org/officeDocument/2006/relationships/image" Target="../media/image73.png"/><Relationship Id="rId78" Type="http://schemas.openxmlformats.org/officeDocument/2006/relationships/image" Target="../media/image78.gif"/><Relationship Id="rId94" Type="http://schemas.openxmlformats.org/officeDocument/2006/relationships/image" Target="../media/image94.png"/><Relationship Id="rId99" Type="http://schemas.openxmlformats.org/officeDocument/2006/relationships/image" Target="../media/image99.png"/><Relationship Id="rId101" Type="http://schemas.openxmlformats.org/officeDocument/2006/relationships/image" Target="../media/image101.png"/><Relationship Id="rId122" Type="http://schemas.openxmlformats.org/officeDocument/2006/relationships/image" Target="../media/image122.png"/><Relationship Id="rId4" Type="http://schemas.openxmlformats.org/officeDocument/2006/relationships/image" Target="../media/image4.png"/><Relationship Id="rId9" Type="http://schemas.openxmlformats.org/officeDocument/2006/relationships/image" Target="../media/image9.png"/><Relationship Id="rId26" Type="http://schemas.openxmlformats.org/officeDocument/2006/relationships/image" Target="../media/image26.png"/><Relationship Id="rId47" Type="http://schemas.openxmlformats.org/officeDocument/2006/relationships/image" Target="../media/image47.png"/><Relationship Id="rId68" Type="http://schemas.openxmlformats.org/officeDocument/2006/relationships/image" Target="../media/image68.png"/><Relationship Id="rId89" Type="http://schemas.openxmlformats.org/officeDocument/2006/relationships/image" Target="../media/image89.png"/><Relationship Id="rId112" Type="http://schemas.openxmlformats.org/officeDocument/2006/relationships/image" Target="../media/image112.png"/><Relationship Id="rId133" Type="http://schemas.openxmlformats.org/officeDocument/2006/relationships/image" Target="../media/image133.png"/><Relationship Id="rId16" Type="http://schemas.openxmlformats.org/officeDocument/2006/relationships/image" Target="../media/image16.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42">
  <rv s="0">
    <v>0</v>
    <v>5</v>
  </rv>
  <rv s="0">
    <v>1</v>
    <v>5</v>
  </rv>
  <rv s="0">
    <v>2</v>
    <v>5</v>
  </rv>
  <rv s="0">
    <v>3</v>
    <v>5</v>
  </rv>
  <rv s="0">
    <v>4</v>
    <v>5</v>
  </rv>
  <rv s="0">
    <v>5</v>
    <v>5</v>
  </rv>
  <rv s="0">
    <v>6</v>
    <v>5</v>
  </rv>
  <rv s="1">
    <v>7</v>
    <v>5</v>
    <v>Guitarra de juguete lila con estrella de Kids Concept | Jugaia</v>
  </rv>
  <rv s="0">
    <v>8</v>
    <v>5</v>
  </rv>
  <rv s="0">
    <v>9</v>
    <v>5</v>
  </rv>
  <rv s="0">
    <v>10</v>
    <v>5</v>
  </rv>
  <rv s="0">
    <v>11</v>
    <v>5</v>
  </rv>
  <rv s="0">
    <v>12</v>
    <v>5</v>
  </rv>
  <rv s="0">
    <v>13</v>
    <v>5</v>
  </rv>
  <rv s="0">
    <v>14</v>
    <v>5</v>
  </rv>
  <rv s="0">
    <v>15</v>
    <v>5</v>
  </rv>
  <rv s="0">
    <v>16</v>
    <v>5</v>
  </rv>
  <rv s="0">
    <v>17</v>
    <v>5</v>
  </rv>
  <rv s="0">
    <v>18</v>
    <v>5</v>
  </rv>
  <rv s="0">
    <v>19</v>
    <v>5</v>
  </rv>
  <rv s="0">
    <v>20</v>
    <v>5</v>
  </rv>
  <rv s="0">
    <v>21</v>
    <v>5</v>
  </rv>
  <rv s="1">
    <v>22</v>
    <v>5</v>
    <v>Chaleco de vestir para ayudante comunitario de 10 piezas, ropa para niños,  chaleco para carrera, cosplay, ocupación, juego de simulación, disfraz –  Yaxa Store</v>
  </rv>
  <rv s="1">
    <v>23</v>
    <v>5</v>
    <v>Juego de comida de madera para niños, 42 piezas, juguetes de madera con  cesta de almacenamiento, juego de accesorios de cocina de madera para ...</v>
  </rv>
  <rv s="0">
    <v>24</v>
    <v>5</v>
  </rv>
  <rv s="0">
    <v>25</v>
    <v>5</v>
  </rv>
  <rv s="0">
    <v>26</v>
    <v>5</v>
  </rv>
  <rv s="0">
    <v>27</v>
    <v>5</v>
  </rv>
  <rv s="0">
    <v>28</v>
    <v>5</v>
  </rv>
  <rv s="0">
    <v>29</v>
    <v>5</v>
  </rv>
  <rv s="0">
    <v>30</v>
    <v>5</v>
  </rv>
  <rv s="0">
    <v>31</v>
    <v>5</v>
  </rv>
  <rv s="0">
    <v>32</v>
    <v>5</v>
  </rv>
  <rv s="0">
    <v>33</v>
    <v>5</v>
  </rv>
  <rv s="0">
    <v>34</v>
    <v>5</v>
  </rv>
  <rv s="0">
    <v>35</v>
    <v>5</v>
  </rv>
  <rv s="0">
    <v>36</v>
    <v>5</v>
  </rv>
  <rv s="0">
    <v>37</v>
    <v>5</v>
  </rv>
  <rv s="0">
    <v>38</v>
    <v>5</v>
  </rv>
  <rv s="0">
    <v>39</v>
    <v>5</v>
  </rv>
  <rv s="0">
    <v>40</v>
    <v>5</v>
  </rv>
  <rv s="0">
    <v>41</v>
    <v>5</v>
  </rv>
  <rv s="0">
    <v>42</v>
    <v>5</v>
  </rv>
  <rv s="0">
    <v>43</v>
    <v>5</v>
  </rv>
  <rv s="0">
    <v>44</v>
    <v>5</v>
  </rv>
  <rv s="0">
    <v>45</v>
    <v>5</v>
  </rv>
  <rv s="0">
    <v>46</v>
    <v>5</v>
  </rv>
  <rv s="0">
    <v>47</v>
    <v>5</v>
  </rv>
  <rv s="0">
    <v>48</v>
    <v>5</v>
  </rv>
  <rv s="0">
    <v>49</v>
    <v>5</v>
  </rv>
  <rv s="0">
    <v>50</v>
    <v>5</v>
  </rv>
  <rv s="0">
    <v>51</v>
    <v>5</v>
  </rv>
  <rv s="0">
    <v>52</v>
    <v>5</v>
  </rv>
  <rv s="0">
    <v>53</v>
    <v>5</v>
  </rv>
  <rv s="0">
    <v>54</v>
    <v>5</v>
  </rv>
  <rv s="0">
    <v>55</v>
    <v>5</v>
  </rv>
  <rv s="0">
    <v>56</v>
    <v>5</v>
  </rv>
  <rv s="0">
    <v>57</v>
    <v>5</v>
  </rv>
  <rv s="0">
    <v>58</v>
    <v>5</v>
  </rv>
  <rv s="0">
    <v>59</v>
    <v>5</v>
  </rv>
  <rv s="0">
    <v>60</v>
    <v>5</v>
  </rv>
  <rv s="0">
    <v>61</v>
    <v>5</v>
  </rv>
  <rv s="0">
    <v>62</v>
    <v>5</v>
  </rv>
  <rv s="0">
    <v>63</v>
    <v>5</v>
  </rv>
  <rv s="0">
    <v>64</v>
    <v>5</v>
  </rv>
  <rv s="0">
    <v>65</v>
    <v>5</v>
  </rv>
  <rv s="0">
    <v>66</v>
    <v>5</v>
  </rv>
  <rv s="1">
    <v>67</v>
    <v>5</v>
    <v>Resultado de imagen para espejo rectangular</v>
  </rv>
  <rv s="0">
    <v>68</v>
    <v>5</v>
  </rv>
  <rv s="1">
    <v>69</v>
    <v>5</v>
    <v>Mesa trapezoidal infantil polipropileno - Edumobiliario</v>
  </rv>
  <rv s="1">
    <v>70</v>
    <v>5</v>
    <v>RIMAX - Silla de Comer para Bebe Rimax Multicolor | Ofertitas</v>
  </rv>
  <rv s="1">
    <v>71</v>
    <v>5</v>
    <v>Mostrando IMG_20170131_134617549.jpg</v>
  </rv>
  <rv s="0">
    <v>72</v>
    <v>5</v>
  </rv>
  <rv s="0">
    <v>73</v>
    <v>5</v>
  </rv>
  <rv s="0">
    <v>74</v>
    <v>5</v>
  </rv>
  <rv s="0">
    <v>75</v>
    <v>5</v>
  </rv>
  <rv s="0">
    <v>76</v>
    <v>5</v>
  </rv>
  <rv s="1">
    <v>77</v>
    <v>5</v>
    <v>Resultado de imagen para reloj de pared</v>
  </rv>
  <rv s="0">
    <v>78</v>
    <v>5</v>
  </rv>
  <rv s="0">
    <v>79</v>
    <v>5</v>
  </rv>
  <rv s="1">
    <v>80</v>
    <v>5</v>
    <v>Resultado de imagen para gramera</v>
  </rv>
  <rv s="0">
    <v>81</v>
    <v>5</v>
  </rv>
  <rv s="0">
    <v>82</v>
    <v>5</v>
  </rv>
  <rv s="0">
    <v>83</v>
    <v>5</v>
  </rv>
  <rv s="0">
    <v>84</v>
    <v>5</v>
  </rv>
  <rv s="0">
    <v>85</v>
    <v>5</v>
  </rv>
  <rv s="0">
    <v>86</v>
    <v>5</v>
  </rv>
  <rv s="0">
    <v>87</v>
    <v>5</v>
  </rv>
  <rv s="0">
    <v>88</v>
    <v>5</v>
  </rv>
  <rv s="0">
    <v>89</v>
    <v>5</v>
  </rv>
  <rv s="0">
    <v>90</v>
    <v>5</v>
  </rv>
  <rv s="0">
    <v>91</v>
    <v>5</v>
  </rv>
  <rv s="0">
    <v>92</v>
    <v>5</v>
  </rv>
  <rv s="1">
    <v>93</v>
    <v>5</v>
    <v>Resultado de imagen para espumadera</v>
  </rv>
  <rv s="0">
    <v>94</v>
    <v>5</v>
  </rv>
  <rv s="1">
    <v>95</v>
    <v>5</v>
    <v>Resultado de imagen para coladores</v>
  </rv>
  <rv s="1">
    <v>96</v>
    <v>5</v>
    <v>Resultado de imagen para rallador</v>
  </rv>
  <rv s="0">
    <v>97</v>
    <v>5</v>
  </rv>
  <rv s="1">
    <v>98</v>
    <v>5</v>
    <v>Imagen relacionada</v>
  </rv>
  <rv s="0">
    <v>99</v>
    <v>5</v>
  </rv>
  <rv s="0">
    <v>100</v>
    <v>5</v>
  </rv>
  <rv s="0">
    <v>101</v>
    <v>5</v>
  </rv>
  <rv s="0">
    <v>102</v>
    <v>5</v>
  </rv>
  <rv s="0">
    <v>103</v>
    <v>5</v>
  </rv>
  <rv s="0">
    <v>104</v>
    <v>5</v>
  </rv>
  <rv s="0">
    <v>105</v>
    <v>5</v>
  </rv>
  <rv s="0">
    <v>106</v>
    <v>5</v>
  </rv>
  <rv s="0">
    <v>107</v>
    <v>5</v>
  </rv>
  <rv s="0">
    <v>108</v>
    <v>5</v>
  </rv>
  <rv s="0">
    <v>109</v>
    <v>5</v>
  </rv>
  <rv s="0">
    <v>110</v>
    <v>5</v>
  </rv>
  <rv s="1">
    <v>111</v>
    <v>5</v>
    <v>Imagen relacionada</v>
  </rv>
  <rv s="0">
    <v>112</v>
    <v>5</v>
  </rv>
  <rv s="0">
    <v>113</v>
    <v>5</v>
  </rv>
  <rv s="1">
    <v>114</v>
    <v>5</v>
    <v>Juego 4 Recipientes para ConservaciÃ³n de Alimentos Munchkin Bol/Tapa + 2 Cucharas multicolor</v>
  </rv>
  <rv s="0">
    <v>115</v>
    <v>5</v>
  </rv>
  <rv s="1">
    <v>116</v>
    <v>5</v>
    <v>Resultado de imagen para ponchera 18 lts</v>
  </rv>
  <rv s="0">
    <v>117</v>
    <v>5</v>
  </rv>
  <rv s="1">
    <v>118</v>
    <v>5</v>
    <v>Resultado de imagen para papelera verde y roja</v>
  </rv>
  <rv s="0">
    <v>119</v>
    <v>5</v>
  </rv>
  <rv s="0">
    <v>120</v>
    <v>5</v>
  </rv>
  <rv s="0">
    <v>121</v>
    <v>5</v>
  </rv>
  <rv s="0">
    <v>122</v>
    <v>5</v>
  </rv>
  <rv s="0">
    <v>123</v>
    <v>5</v>
  </rv>
  <rv s="0">
    <v>124</v>
    <v>5</v>
  </rv>
  <rv s="0">
    <v>125</v>
    <v>5</v>
  </rv>
  <rv s="0">
    <v>126</v>
    <v>5</v>
  </rv>
  <rv s="0">
    <v>127</v>
    <v>5</v>
  </rv>
  <rv s="0">
    <v>128</v>
    <v>5</v>
  </rv>
  <rv s="0">
    <v>129</v>
    <v>5</v>
  </rv>
  <rv s="0">
    <v>130</v>
    <v>5</v>
  </rv>
  <rv s="0">
    <v>131</v>
    <v>5</v>
  </rv>
  <rv s="0">
    <v>132</v>
    <v>5</v>
  </rv>
  <rv s="0">
    <v>133</v>
    <v>5</v>
  </rv>
  <rv s="0">
    <v>134</v>
    <v>5</v>
  </rv>
  <rv s="0">
    <v>135</v>
    <v>5</v>
  </rv>
  <rv s="0">
    <v>136</v>
    <v>5</v>
  </rv>
  <rv s="0">
    <v>137</v>
    <v>5</v>
  </rv>
  <rv s="0">
    <v>138</v>
    <v>5</v>
  </rv>
  <rv s="0">
    <v>139</v>
    <v>5</v>
  </rv>
  <rv s="0">
    <v>140</v>
    <v>5</v>
  </rv>
  <rv s="0">
    <v>141</v>
    <v>5</v>
  </rv>
</rvData>
</file>

<file path=xl/richData/rdrichvaluestructure.xml><?xml version="1.0" encoding="utf-8"?>
<rvStructures xmlns="http://schemas.microsoft.com/office/spreadsheetml/2017/richdata" count="2">
  <s t="_localImage">
    <k n="_rvRel:LocalImageIdentifier" t="i"/>
    <k n="CalcOrigin" t="i"/>
  </s>
  <s t="_localImage">
    <k n="_rvRel:LocalImageIdentifier" t="i"/>
    <k n="CalcOrigin" t="i"/>
    <k n="Text" t="s"/>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el r:id="rId29"/>
  <rel r:id="rId30"/>
  <rel r:id="rId31"/>
  <rel r:id="rId32"/>
  <rel r:id="rId33"/>
  <rel r:id="rId34"/>
  <rel r:id="rId35"/>
  <rel r:id="rId36"/>
  <rel r:id="rId37"/>
  <rel r:id="rId38"/>
  <rel r:id="rId39"/>
  <rel r:id="rId40"/>
  <rel r:id="rId41"/>
  <rel r:id="rId42"/>
  <rel r:id="rId43"/>
  <rel r:id="rId44"/>
  <rel r:id="rId45"/>
  <rel r:id="rId46"/>
  <rel r:id="rId47"/>
  <rel r:id="rId48"/>
  <rel r:id="rId49"/>
  <rel r:id="rId50"/>
  <rel r:id="rId51"/>
  <rel r:id="rId52"/>
  <rel r:id="rId53"/>
  <rel r:id="rId54"/>
  <rel r:id="rId55"/>
  <rel r:id="rId56"/>
  <rel r:id="rId57"/>
  <rel r:id="rId58"/>
  <rel r:id="rId59"/>
  <rel r:id="rId60"/>
  <rel r:id="rId61"/>
  <rel r:id="rId62"/>
  <rel r:id="rId63"/>
  <rel r:id="rId64"/>
  <rel r:id="rId65"/>
  <rel r:id="rId66"/>
  <rel r:id="rId67"/>
  <rel r:id="rId68"/>
  <rel r:id="rId69"/>
  <rel r:id="rId70"/>
  <rel r:id="rId71"/>
  <rel r:id="rId72"/>
  <rel r:id="rId73"/>
  <rel r:id="rId74"/>
  <rel r:id="rId75"/>
  <rel r:id="rId76"/>
  <rel r:id="rId77"/>
  <rel r:id="rId78"/>
  <rel r:id="rId79"/>
  <rel r:id="rId80"/>
  <rel r:id="rId81"/>
  <rel r:id="rId82"/>
  <rel r:id="rId83"/>
  <rel r:id="rId84"/>
  <rel r:id="rId85"/>
  <rel r:id="rId86"/>
  <rel r:id="rId87"/>
  <rel r:id="rId88"/>
  <rel r:id="rId89"/>
  <rel r:id="rId90"/>
  <rel r:id="rId91"/>
  <rel r:id="rId92"/>
  <rel r:id="rId93"/>
  <rel r:id="rId94"/>
  <rel r:id="rId95"/>
  <rel r:id="rId96"/>
  <rel r:id="rId97"/>
  <rel r:id="rId98"/>
  <rel r:id="rId99"/>
  <rel r:id="rId100"/>
  <rel r:id="rId101"/>
  <rel r:id="rId102"/>
  <rel r:id="rId103"/>
  <rel r:id="rId104"/>
  <rel r:id="rId105"/>
  <rel r:id="rId106"/>
  <rel r:id="rId107"/>
  <rel r:id="rId108"/>
  <rel r:id="rId109"/>
  <rel r:id="rId110"/>
  <rel r:id="rId111"/>
  <rel r:id="rId112"/>
  <rel r:id="rId113"/>
  <rel r:id="rId114"/>
  <rel r:id="rId115"/>
  <rel r:id="rId116"/>
  <rel r:id="rId117"/>
  <rel r:id="rId118"/>
  <rel r:id="rId119"/>
  <rel r:id="rId120"/>
  <rel r:id="rId121"/>
  <rel r:id="rId122"/>
  <rel r:id="rId123"/>
  <rel r:id="rId124"/>
  <rel r:id="rId125"/>
  <rel r:id="rId126"/>
  <rel r:id="rId127"/>
  <rel r:id="rId128"/>
  <rel r:id="rId129"/>
  <rel r:id="rId130"/>
  <rel r:id="rId131"/>
  <rel r:id="rId132"/>
  <rel r:id="rId133"/>
  <rel r:id="rId134"/>
  <rel r:id="rId135"/>
  <rel r:id="rId136"/>
  <rel r:id="rId137"/>
  <rel r:id="rId138"/>
  <rel r:id="rId139"/>
  <rel r:id="rId140"/>
  <rel r:id="rId141"/>
  <rel r:id="rId142"/>
</richValueRel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COTIZACIONES\4%20BUEN%20COMIENZO%20LOYOLA.pdf" TargetMode="External"/><Relationship Id="rId21" Type="http://schemas.openxmlformats.org/officeDocument/2006/relationships/hyperlink" Target="COTIZACIONES\FE2439.pdf" TargetMode="External"/><Relationship Id="rId42" Type="http://schemas.openxmlformats.org/officeDocument/2006/relationships/hyperlink" Target="COTIZACIONES\2_168_202503072119410000001926649221.pdf" TargetMode="External"/><Relationship Id="rId63" Type="http://schemas.openxmlformats.org/officeDocument/2006/relationships/hyperlink" Target="COTIZACIONES\4%20BUEN%20COMIENZO%20LOYOLA.pdf" TargetMode="External"/><Relationship Id="rId84" Type="http://schemas.openxmlformats.org/officeDocument/2006/relationships/hyperlink" Target="COTIZACIONES\4%20BUEN%20COMIENZO%20LOYOLA.pdf" TargetMode="External"/><Relationship Id="rId138" Type="http://schemas.openxmlformats.org/officeDocument/2006/relationships/hyperlink" Target="COTIZACIONES\Oferta%20Comite%20Pan%20Marzo%207-2025.pdf" TargetMode="External"/><Relationship Id="rId159" Type="http://schemas.openxmlformats.org/officeDocument/2006/relationships/hyperlink" Target="https://medellingovco-my.sharepoint.com/:b:/g/personal/42828314_medellin_gov_co/EbvHGiNdw4RJhTP6Y_OTtGUBscTd3J9_L4T9-Zhu8EokGg?e=br6dpx" TargetMode="External"/><Relationship Id="rId170" Type="http://schemas.openxmlformats.org/officeDocument/2006/relationships/hyperlink" Target="https://medellingovco-my.sharepoint.com/:b:/g/personal/42828314_medellin_gov_co/EU1PqYxzf9pPslUlJbryPjABgHE8KBizOxrb8co-skr7pg?e=GC0Okn" TargetMode="External"/><Relationship Id="rId191" Type="http://schemas.openxmlformats.org/officeDocument/2006/relationships/hyperlink" Target="https://medellingovco-my.sharepoint.com/:b:/g/personal/42828314_medellin_gov_co/EQBHSt7S8T9KheF_lDI0qrQBV9R2BQ821ihcqxWLcZOH3w?e=nGBpWV" TargetMode="External"/><Relationship Id="rId205" Type="http://schemas.openxmlformats.org/officeDocument/2006/relationships/printerSettings" Target="../printerSettings/printerSettings1.bin"/><Relationship Id="rId107" Type="http://schemas.openxmlformats.org/officeDocument/2006/relationships/hyperlink" Target="../../../../../../../:b:/g/personal/42828314_medellin_gov_co/EQMjm7-yB4hGmq7SJVCzA70B6lHWRQuVIwnf3B4W74OGHQ?e=66lTfx" TargetMode="External"/><Relationship Id="rId11" Type="http://schemas.openxmlformats.org/officeDocument/2006/relationships/hyperlink" Target="COTIZACIONES\FE2433.pdf" TargetMode="External"/><Relationship Id="rId32" Type="http://schemas.openxmlformats.org/officeDocument/2006/relationships/hyperlink" Target="COTIZACIONES\2_168_202503072119410000001926649221.pdf" TargetMode="External"/><Relationship Id="rId53" Type="http://schemas.openxmlformats.org/officeDocument/2006/relationships/hyperlink" Target="COTIZACIONES\2_168_202503072119410000001926649221.pdf" TargetMode="External"/><Relationship Id="rId74" Type="http://schemas.openxmlformats.org/officeDocument/2006/relationships/hyperlink" Target="COTIZACIONES\4%20BUEN%20COMIENZO%20LOYOLA.pdf" TargetMode="External"/><Relationship Id="rId128" Type="http://schemas.openxmlformats.org/officeDocument/2006/relationships/hyperlink" Target="COTIZACIONES\FE2497.pdf" TargetMode="External"/><Relationship Id="rId149" Type="http://schemas.openxmlformats.org/officeDocument/2006/relationships/hyperlink" Target="COTIZACIONES\FE2558%20-%20CAMPANILLAS.pdf" TargetMode="External"/><Relationship Id="rId5" Type="http://schemas.openxmlformats.org/officeDocument/2006/relationships/hyperlink" Target="COTIZACIONES\FE2425.pdf" TargetMode="External"/><Relationship Id="rId95" Type="http://schemas.openxmlformats.org/officeDocument/2006/relationships/hyperlink" Target="COTIZACIONES/4%20BUEN%20COMIENZO%20LOYOLA.pdf" TargetMode="External"/><Relationship Id="rId160" Type="http://schemas.openxmlformats.org/officeDocument/2006/relationships/hyperlink" Target="https://medellingovco-my.sharepoint.com/:b:/g/personal/42828314_medellin_gov_co/EcVytq4A9dJGj6eK8JR8fX0B7O8-gTlRkXqCg0FVEOVYlQ?e=ZPFYVR" TargetMode="External"/><Relationship Id="rId181" Type="http://schemas.openxmlformats.org/officeDocument/2006/relationships/hyperlink" Target="https://colombia.yaxa.co/products/patifeed-arcilla-de-modelar-para-ninos-kit-de-arcilla-seca-al-aire-de-28-colores-kit-de-manualidades-de-arcilla-magica-con-herramientas-kits-de/?srsltid=AfmBOopl8HotspPwM3NCD_LB0FqMuvHk8rwaJSXxmu5vI6-geF3gkzJO" TargetMode="External"/><Relationship Id="rId22" Type="http://schemas.openxmlformats.org/officeDocument/2006/relationships/hyperlink" Target="COTIZACIONES\VARIAS%20MARZO.pdf" TargetMode="External"/><Relationship Id="rId43" Type="http://schemas.openxmlformats.org/officeDocument/2006/relationships/hyperlink" Target="COTIZACIONES\2_168_202503072119410000001926649221.pdf" TargetMode="External"/><Relationship Id="rId64" Type="http://schemas.openxmlformats.org/officeDocument/2006/relationships/hyperlink" Target="COTIZACIONES\2_168_202503072119410000001926649221.pdf" TargetMode="External"/><Relationship Id="rId118" Type="http://schemas.openxmlformats.org/officeDocument/2006/relationships/hyperlink" Target="COTIZACIONES\4%20BUEN%20COMIENZO%20LOYOLA.pdf" TargetMode="External"/><Relationship Id="rId139" Type="http://schemas.openxmlformats.org/officeDocument/2006/relationships/hyperlink" Target="COTIZACIONES\Oferta%20Comite%20Pan%20Marzo%207-2025.pdf" TargetMode="External"/><Relationship Id="rId85" Type="http://schemas.openxmlformats.org/officeDocument/2006/relationships/hyperlink" Target="COTIZACIONES\4%20BUEN%20COMIENZO%20LOYOLA.pdf" TargetMode="External"/><Relationship Id="rId150" Type="http://schemas.openxmlformats.org/officeDocument/2006/relationships/hyperlink" Target="COTIZACIONES\MUSICAL%201.pdf" TargetMode="External"/><Relationship Id="rId171" Type="http://schemas.openxmlformats.org/officeDocument/2006/relationships/hyperlink" Target="https://medellingovco-my.sharepoint.com/:b:/g/personal/42828314_medellin_gov_co/EZiPlqajh3xMvq0s0ZT-4g0BanYPzqcH35bLa80A4M6fhw?e=qy3MNr" TargetMode="External"/><Relationship Id="rId192" Type="http://schemas.openxmlformats.org/officeDocument/2006/relationships/hyperlink" Target="COTIZACIONES\4%20BUEN%20COMIENZO%20LOYOLA.pdf" TargetMode="External"/><Relationship Id="rId12" Type="http://schemas.openxmlformats.org/officeDocument/2006/relationships/hyperlink" Target="COTIZACIONES\FEV8353.pdf" TargetMode="External"/><Relationship Id="rId33" Type="http://schemas.openxmlformats.org/officeDocument/2006/relationships/hyperlink" Target="COTIZACIONES\2_168_202503072119410000001926649221.pdf" TargetMode="External"/><Relationship Id="rId108" Type="http://schemas.openxmlformats.org/officeDocument/2006/relationships/hyperlink" Target="COTIZACIONES\4%20BUEN%20COMIENZO%20LOYOLA.pdf" TargetMode="External"/><Relationship Id="rId129" Type="http://schemas.openxmlformats.org/officeDocument/2006/relationships/hyperlink" Target="COTIZACIONES\FE2438.pdf" TargetMode="External"/><Relationship Id="rId54" Type="http://schemas.openxmlformats.org/officeDocument/2006/relationships/hyperlink" Target="COTIZACIONES\2_168_202503072119410000001926649221.pdf" TargetMode="External"/><Relationship Id="rId75" Type="http://schemas.openxmlformats.org/officeDocument/2006/relationships/hyperlink" Target="COTIZACIONES\4%20BUEN%20COMIENZO%20LOYOLA.pdf" TargetMode="External"/><Relationship Id="rId96" Type="http://schemas.openxmlformats.org/officeDocument/2006/relationships/hyperlink" Target="COTIZACIONES\4%20BUEN%20COMIENZO%20LOYOLA.pdf" TargetMode="External"/><Relationship Id="rId140" Type="http://schemas.openxmlformats.org/officeDocument/2006/relationships/hyperlink" Target="COTIZACIONES\Oferta%20Comite%20Pan%20Marzo%207-2025.pdf" TargetMode="External"/><Relationship Id="rId161" Type="http://schemas.openxmlformats.org/officeDocument/2006/relationships/hyperlink" Target="https://medellingovco-my.sharepoint.com/:b:/g/personal/42828314_medellin_gov_co/EXLvmusPohdLjhC6pTul1AMBorByFEEvGDawla0M6YYKBA?e=l5Dw60" TargetMode="External"/><Relationship Id="rId182" Type="http://schemas.openxmlformats.org/officeDocument/2006/relationships/hyperlink" Target="../../../../../../../:b:/g/personal/42828314_medellin_gov_co/EUayC-LBVohLpy2sLiwBTqcBeogO-zVWEGw2qaKaoHFC6g?e=RzdWLD" TargetMode="External"/><Relationship Id="rId6" Type="http://schemas.openxmlformats.org/officeDocument/2006/relationships/hyperlink" Target="COTIZACIONES\FE2425.pdf" TargetMode="External"/><Relationship Id="rId23" Type="http://schemas.openxmlformats.org/officeDocument/2006/relationships/hyperlink" Target="../../../../../../../:b:/g/personal/42828314_medellin_gov_co/ERmV9B3mY55Fnbj8IczaN2kBdol9bG8UntAAzMZstqwSYw?e=9KIhlO" TargetMode="External"/><Relationship Id="rId119" Type="http://schemas.openxmlformats.org/officeDocument/2006/relationships/hyperlink" Target="COTIZACIONES\Oferta%20Comite%20Pan%20Marzo%207-2025.pdf" TargetMode="External"/><Relationship Id="rId44" Type="http://schemas.openxmlformats.org/officeDocument/2006/relationships/hyperlink" Target="COTIZACIONES\2_168_202503072119410000001926649221.pdf" TargetMode="External"/><Relationship Id="rId65" Type="http://schemas.openxmlformats.org/officeDocument/2006/relationships/hyperlink" Target="COTIZACIONES\4%20BUEN%20COMIENZO%20LOYOLA.pdf" TargetMode="External"/><Relationship Id="rId86" Type="http://schemas.openxmlformats.org/officeDocument/2006/relationships/hyperlink" Target="COTIZACIONES\4%20BUEN%20COMIENZO%20LOYOLA.pdf" TargetMode="External"/><Relationship Id="rId130" Type="http://schemas.openxmlformats.org/officeDocument/2006/relationships/hyperlink" Target="COTIZACIONES\FE2425.pdf" TargetMode="External"/><Relationship Id="rId151" Type="http://schemas.openxmlformats.org/officeDocument/2006/relationships/hyperlink" Target="COTIZACIONES\MUSICAL%202.pdf" TargetMode="External"/><Relationship Id="rId172" Type="http://schemas.openxmlformats.org/officeDocument/2006/relationships/hyperlink" Target="https://medellingovco-my.sharepoint.com/:b:/g/personal/42828314_medellin_gov_co/EYErGppdhT1CqBk-0aeuC1YBFaxBT7-k8Bx5z9A-ndJrtQ?e=6574Ac" TargetMode="External"/><Relationship Id="rId193" Type="http://schemas.openxmlformats.org/officeDocument/2006/relationships/hyperlink" Target="COTIZACIONES\4%20BUEN%20COMIENZO%20LOYOLA.pdf" TargetMode="External"/><Relationship Id="rId13" Type="http://schemas.openxmlformats.org/officeDocument/2006/relationships/hyperlink" Target="../../../../../../../:b:/g/personal/42828314_medellin_gov_co/EZadYFxNY7ZEoR5msYMPruUBzpnZJ6KxizAWu21uGXkO7A?e=wEQjsR" TargetMode="External"/><Relationship Id="rId109" Type="http://schemas.openxmlformats.org/officeDocument/2006/relationships/hyperlink" Target="COTIZACIONES\4%20BUEN%20COMIENZO%20LOYOLA.pdf" TargetMode="External"/><Relationship Id="rId34" Type="http://schemas.openxmlformats.org/officeDocument/2006/relationships/hyperlink" Target="COTIZACIONES\2_168_202503072119410000001926649221.pdf" TargetMode="External"/><Relationship Id="rId55" Type="http://schemas.openxmlformats.org/officeDocument/2006/relationships/hyperlink" Target="COTIZACIONES\2_168_202503072119410000001926649221.pdf" TargetMode="External"/><Relationship Id="rId76" Type="http://schemas.openxmlformats.org/officeDocument/2006/relationships/hyperlink" Target="COTIZACIONES\4%20BUEN%20COMIENZO%20LOYOLA.pdf" TargetMode="External"/><Relationship Id="rId97" Type="http://schemas.openxmlformats.org/officeDocument/2006/relationships/hyperlink" Target="COTIZACIONES\4%20BUEN%20COMIENZO%20LOYOLA.pdf" TargetMode="External"/><Relationship Id="rId120" Type="http://schemas.openxmlformats.org/officeDocument/2006/relationships/hyperlink" Target="COTIZACIONES\Oferta%20Comite%20Pan%20Marzo%207-2025.pdf" TargetMode="External"/><Relationship Id="rId141" Type="http://schemas.openxmlformats.org/officeDocument/2006/relationships/hyperlink" Target="COTIZACIONES\Oferta%20Comite%20Pan%20Marzo%207-2025.pdf" TargetMode="External"/><Relationship Id="rId7" Type="http://schemas.openxmlformats.org/officeDocument/2006/relationships/hyperlink" Target="COTIZACIONES\FE2429.pdf" TargetMode="External"/><Relationship Id="rId162" Type="http://schemas.openxmlformats.org/officeDocument/2006/relationships/hyperlink" Target="https://medellingovco-my.sharepoint.com/:b:/g/personal/42828314_medellin_gov_co/EZgWOKkUVR1LhzzkSbRlwTQBIg8tTZnBcVXY4XD3F-AtlA?e=wOaNjk" TargetMode="External"/><Relationship Id="rId183" Type="http://schemas.openxmlformats.org/officeDocument/2006/relationships/hyperlink" Target="https://colombia.yaxa.co/products/juego-de-arpa-de-lira-16-cuerdas-arpa-de-lira-de-caoba-con-llave-de-afinacion-y-bolsa-negra-para-ninos-adultos-instrumento-profesional/?amp=1&amp;srsltid=AfmBOoqtNBuTV9RfRYM0-JGIfdga5EWa9zPZi36TaqoKbTucY5KlBkm6" TargetMode="External"/><Relationship Id="rId24" Type="http://schemas.openxmlformats.org/officeDocument/2006/relationships/hyperlink" Target="COTIZACIONES\FE2497.pdf" TargetMode="External"/><Relationship Id="rId40" Type="http://schemas.openxmlformats.org/officeDocument/2006/relationships/hyperlink" Target="COTIZACIONES\2_168_202503072119410000001926649221.pdf" TargetMode="External"/><Relationship Id="rId45" Type="http://schemas.openxmlformats.org/officeDocument/2006/relationships/hyperlink" Target="COTIZACIONES\2_168_202503072119410000001926649221.pdf" TargetMode="External"/><Relationship Id="rId66" Type="http://schemas.openxmlformats.org/officeDocument/2006/relationships/hyperlink" Target="COTIZACIONES\4%20BUEN%20COMIENZO%20LOYOLA.pdf" TargetMode="External"/><Relationship Id="rId87" Type="http://schemas.openxmlformats.org/officeDocument/2006/relationships/hyperlink" Target="COTIZACIONES\4%20BUEN%20COMIENZO%20LOYOLA.pdf" TargetMode="External"/><Relationship Id="rId110" Type="http://schemas.openxmlformats.org/officeDocument/2006/relationships/hyperlink" Target="COTIZACIONES\4%20BUEN%20COMIENZO%20LOYOLA.pdf" TargetMode="External"/><Relationship Id="rId115" Type="http://schemas.openxmlformats.org/officeDocument/2006/relationships/hyperlink" Target="../../../../../../../:b:/g/personal/42828314_medellin_gov_co/Ef5Q2dY9oBhDuCcGTUGUFkIBxDSqOOYRFhI6Fnd-47N2YA?e=W6WZpg" TargetMode="External"/><Relationship Id="rId131" Type="http://schemas.openxmlformats.org/officeDocument/2006/relationships/hyperlink" Target="COTIZACIONES\2_168_202503072119410000001926649221.pdf" TargetMode="External"/><Relationship Id="rId136" Type="http://schemas.openxmlformats.org/officeDocument/2006/relationships/hyperlink" Target="COTIZACIONES\4%20BUEN%20COMIENZO%20LOYOLA.pdf" TargetMode="External"/><Relationship Id="rId157" Type="http://schemas.openxmlformats.org/officeDocument/2006/relationships/hyperlink" Target="https://medellingovco-my.sharepoint.com/:b:/g/personal/42828314_medellin_gov_co/EU__HZ-9e0FHrav2Rf6XwEkB4yVWkCjQUUKnFeY09AqUPA?e=ng9HnO" TargetMode="External"/><Relationship Id="rId178" Type="http://schemas.openxmlformats.org/officeDocument/2006/relationships/hyperlink" Target="https://medellingovco-my.sharepoint.com/:b:/g/personal/42828314_medellin_gov_co/EU6lstat4wtIhF4TLi9YDvgBX4yGN54B2R_Ni3A98SKNtw?e=rxGeEb" TargetMode="External"/><Relationship Id="rId61" Type="http://schemas.openxmlformats.org/officeDocument/2006/relationships/hyperlink" Target="COTIZACIONES\4%20BUEN%20COMIENZO%20LOYOLA.pdf" TargetMode="External"/><Relationship Id="rId82" Type="http://schemas.openxmlformats.org/officeDocument/2006/relationships/hyperlink" Target="COTIZACIONES/4%20BUEN%20COMIENZO%20LOYOLA.pdf" TargetMode="External"/><Relationship Id="rId152" Type="http://schemas.openxmlformats.org/officeDocument/2006/relationships/hyperlink" Target="COTIZACIONES\DIDACTICO%201.pdf" TargetMode="External"/><Relationship Id="rId173" Type="http://schemas.openxmlformats.org/officeDocument/2006/relationships/hyperlink" Target="https://medellingovco-my.sharepoint.com/:b:/g/personal/42828314_medellin_gov_co/EeFn7RLX-p5OpSrks4OSDGIBaUskDxtKESLzzTRoUFWpRw?e=TSgGh8" TargetMode="External"/><Relationship Id="rId194" Type="http://schemas.openxmlformats.org/officeDocument/2006/relationships/hyperlink" Target="https://medellingovco-my.sharepoint.com/:b:/g/personal/42828314_medellin_gov_co/EZPOYnWkxg5Ot4gfZb2xNdAB-ezfd3wwqyHF1dXcku1z6Q?e=b3smOS" TargetMode="External"/><Relationship Id="rId199" Type="http://schemas.openxmlformats.org/officeDocument/2006/relationships/hyperlink" Target="../../../../../../../:b:/g/personal/42828314_medellin_gov_co/EegaCOyNx-NMpXJ7vppspHQBu-t8A8vKBjGLgqq2QmOG9A?e=BMJcZW" TargetMode="External"/><Relationship Id="rId203" Type="http://schemas.openxmlformats.org/officeDocument/2006/relationships/hyperlink" Target="COTIZACIONES\FEV8353.pdf" TargetMode="External"/><Relationship Id="rId19" Type="http://schemas.openxmlformats.org/officeDocument/2006/relationships/hyperlink" Target="COTIZACIONES\FE2428.pdf" TargetMode="External"/><Relationship Id="rId14" Type="http://schemas.openxmlformats.org/officeDocument/2006/relationships/hyperlink" Target="../../../../../../../:b:/g/personal/42828314_medellin_gov_co/EecTDFrFJs9JtSC025L3g70BrlC6S6jE2RtW8DXTpP8JvA?e=Jjnr1x" TargetMode="External"/><Relationship Id="rId30" Type="http://schemas.openxmlformats.org/officeDocument/2006/relationships/hyperlink" Target="COTIZACIONES\FEV1883.pdf" TargetMode="External"/><Relationship Id="rId35" Type="http://schemas.openxmlformats.org/officeDocument/2006/relationships/hyperlink" Target="COTIZACIONES\2_168_202503072119410000001926649221.pdf" TargetMode="External"/><Relationship Id="rId56" Type="http://schemas.openxmlformats.org/officeDocument/2006/relationships/hyperlink" Target="COTIZACIONES\2_168_202503072119410000001926649221.pdf" TargetMode="External"/><Relationship Id="rId77" Type="http://schemas.openxmlformats.org/officeDocument/2006/relationships/hyperlink" Target="COTIZACIONES\4%20BUEN%20COMIENZO%20LOYOLA.pdf" TargetMode="External"/><Relationship Id="rId100" Type="http://schemas.openxmlformats.org/officeDocument/2006/relationships/hyperlink" Target="COTIZACIONES\4%20BUEN%20COMIENZO%20LOYOLA.pdf" TargetMode="External"/><Relationship Id="rId105" Type="http://schemas.openxmlformats.org/officeDocument/2006/relationships/hyperlink" Target="COTIZACIONES\4%20BUEN%20COMIENZO%20LOYOLA.pdf" TargetMode="External"/><Relationship Id="rId126" Type="http://schemas.openxmlformats.org/officeDocument/2006/relationships/hyperlink" Target="COTIZACIONES\Oferta%20Comite%20Pan%20Marzo%207-2025.pdf" TargetMode="External"/><Relationship Id="rId147" Type="http://schemas.openxmlformats.org/officeDocument/2006/relationships/hyperlink" Target="COTIZACIONES\FE2554%20-%20SAN%20JOSE%20DE%20LA%20CIMA.pdf" TargetMode="External"/><Relationship Id="rId168" Type="http://schemas.openxmlformats.org/officeDocument/2006/relationships/hyperlink" Target="https://medellingovco-my.sharepoint.com/:b:/g/personal/42828314_medellin_gov_co/EfFtiSpU5D5LoCg7x-l8cHABmoa6_nTwXh3ketniltEPNQ?e=zEbAYZ" TargetMode="External"/><Relationship Id="rId8" Type="http://schemas.openxmlformats.org/officeDocument/2006/relationships/hyperlink" Target="COTIZACIONES\FE2429.pdf" TargetMode="External"/><Relationship Id="rId51" Type="http://schemas.openxmlformats.org/officeDocument/2006/relationships/hyperlink" Target="COTIZACIONES\2_168_202503072119410000001926649221.pdf" TargetMode="External"/><Relationship Id="rId72" Type="http://schemas.openxmlformats.org/officeDocument/2006/relationships/hyperlink" Target="COTIZACIONES\4%20BUEN%20COMIENZO%20LOYOLA.pdf" TargetMode="External"/><Relationship Id="rId93" Type="http://schemas.openxmlformats.org/officeDocument/2006/relationships/hyperlink" Target="COTIZACIONES\4%20BUEN%20COMIENZO%20LOYOLA.pdf" TargetMode="External"/><Relationship Id="rId98" Type="http://schemas.openxmlformats.org/officeDocument/2006/relationships/hyperlink" Target="COTIZACIONES\4%20BUEN%20COMIENZO%20LOYOLA.pdf" TargetMode="External"/><Relationship Id="rId121" Type="http://schemas.openxmlformats.org/officeDocument/2006/relationships/hyperlink" Target="COTIZACIONES\Oferta%20Comite%20Pan%20Marzo%207-2025.pdf" TargetMode="External"/><Relationship Id="rId142" Type="http://schemas.openxmlformats.org/officeDocument/2006/relationships/hyperlink" Target="COTIZACIONES\Oferta%20Comite%20Pan%20Marzo%207-2025.pdf" TargetMode="External"/><Relationship Id="rId163" Type="http://schemas.openxmlformats.org/officeDocument/2006/relationships/hyperlink" Target="https://medellingovco-my.sharepoint.com/:b:/g/personal/42828314_medellin_gov_co/EfTxbcOW79pIgroB6Bl6U_MBbO8Fx99TosYdWb6ykVSUWQ?e=Qhrhb3" TargetMode="External"/><Relationship Id="rId184" Type="http://schemas.openxmlformats.org/officeDocument/2006/relationships/hyperlink" Target="COTIZACIONES\4%20BUEN%20COMIENZO%20LOYOLA.pdf" TargetMode="External"/><Relationship Id="rId189" Type="http://schemas.openxmlformats.org/officeDocument/2006/relationships/hyperlink" Target="https://medellingovco-my.sharepoint.com/:b:/g/personal/42828314_medellin_gov_co/EbJq832k5uRDv4sxmaU70LkB9XAZIP4igw27E0DyLsu5sg?e=J3cW73" TargetMode="External"/><Relationship Id="rId3" Type="http://schemas.openxmlformats.org/officeDocument/2006/relationships/hyperlink" Target="COTIZACIONES\FE2436.pdf" TargetMode="External"/><Relationship Id="rId25" Type="http://schemas.openxmlformats.org/officeDocument/2006/relationships/hyperlink" Target="COTIZACIONES\FE2497.pdf" TargetMode="External"/><Relationship Id="rId46" Type="http://schemas.openxmlformats.org/officeDocument/2006/relationships/hyperlink" Target="COTIZACIONES\2_168_202503072119410000001926649221.pdf" TargetMode="External"/><Relationship Id="rId67" Type="http://schemas.openxmlformats.org/officeDocument/2006/relationships/hyperlink" Target="COTIZACIONES\4%20BUEN%20COMIENZO%20LOYOLA.pdf" TargetMode="External"/><Relationship Id="rId116" Type="http://schemas.openxmlformats.org/officeDocument/2006/relationships/hyperlink" Target="COTIZACIONES/4%20BUEN%20COMIENZO%20LOYOLA.pdf" TargetMode="External"/><Relationship Id="rId137" Type="http://schemas.openxmlformats.org/officeDocument/2006/relationships/hyperlink" Target="COTIZACIONES\Oferta%20Comite%20Pan%20Marzo%207-2025.pdf" TargetMode="External"/><Relationship Id="rId158" Type="http://schemas.openxmlformats.org/officeDocument/2006/relationships/hyperlink" Target="../../../../../../../:b:/g/personal/42828314_medellin_gov_co/ETNYcRru0ydLpqeurq5vqLwBDLcZjmAjPqeCgckJuG9Fug?e=jbl4Ci" TargetMode="External"/><Relationship Id="rId20" Type="http://schemas.openxmlformats.org/officeDocument/2006/relationships/hyperlink" Target="../../../../../../../:b:/g/personal/42828314_medellin_gov_co/ETTXoXTthm5GkOuxP9YQGUgBT284wUeYtgRyYRqb5Z8pww?e=Ynr84M" TargetMode="External"/><Relationship Id="rId41" Type="http://schemas.openxmlformats.org/officeDocument/2006/relationships/hyperlink" Target="COTIZACIONES\2_168_202503072119410000001926649221.pdf" TargetMode="External"/><Relationship Id="rId62" Type="http://schemas.openxmlformats.org/officeDocument/2006/relationships/hyperlink" Target="COTIZACIONES\4%20BUEN%20COMIENZO%20LOYOLA.pdf" TargetMode="External"/><Relationship Id="rId83" Type="http://schemas.openxmlformats.org/officeDocument/2006/relationships/hyperlink" Target="COTIZACIONES\4%20BUEN%20COMIENZO%20LOYOLA.pdf" TargetMode="External"/><Relationship Id="rId88" Type="http://schemas.openxmlformats.org/officeDocument/2006/relationships/hyperlink" Target="COTIZACIONES\4%20BUEN%20COMIENZO%20LOYOLA.pdf" TargetMode="External"/><Relationship Id="rId111" Type="http://schemas.openxmlformats.org/officeDocument/2006/relationships/hyperlink" Target="COTIZACIONES\4%20BUEN%20COMIENZO%20LOYOLA.pdf" TargetMode="External"/><Relationship Id="rId132" Type="http://schemas.openxmlformats.org/officeDocument/2006/relationships/hyperlink" Target="../../../../../../../:b:/g/personal/42828314_medellin_gov_co/EahFrVV9i4tBluHjQ-oOXjsB3JOZWF9RVmhlR6U1cW7rWw?e=buMzkF" TargetMode="External"/><Relationship Id="rId153" Type="http://schemas.openxmlformats.org/officeDocument/2006/relationships/hyperlink" Target="COTIZACIONES" TargetMode="External"/><Relationship Id="rId174" Type="http://schemas.openxmlformats.org/officeDocument/2006/relationships/hyperlink" Target="https://medellingovco-my.sharepoint.com/:b:/g/personal/42828314_medellin_gov_co/EVWWVD5pfMlFs3XW5e_nm60BeuCesSXkxpffLky3m7SO8Q?e=6IRmFL" TargetMode="External"/><Relationship Id="rId179" Type="http://schemas.openxmlformats.org/officeDocument/2006/relationships/hyperlink" Target="https://medellingovco-my.sharepoint.com/:b:/g/personal/42828314_medellin_gov_co/EcVytq4A9dJGj6eK8JR8fX0B7O8-gTlRkXqCg0FVEOVYlQ?e=klFUwE" TargetMode="External"/><Relationship Id="rId195" Type="http://schemas.openxmlformats.org/officeDocument/2006/relationships/hyperlink" Target="COTIZACIONES\FEV8353.pdf" TargetMode="External"/><Relationship Id="rId190" Type="http://schemas.openxmlformats.org/officeDocument/2006/relationships/hyperlink" Target="https://medellingovco-my.sharepoint.com/:b:/g/personal/42828314_medellin_gov_co/EWaE_p-YflxDsrdXhuc22RUBVam_xRzTvj4zXpdWqRBGbA?e=FNsNSO" TargetMode="External"/><Relationship Id="rId204" Type="http://schemas.openxmlformats.org/officeDocument/2006/relationships/hyperlink" Target="https://medellingovco-my.sharepoint.com/:b:/g/personal/42828314_medellin_gov_co/EWdB3reMC3NEiBkM2fdOIZIBMnvfc1e-OWvj_AcCk8907Q?e=VRsait" TargetMode="External"/><Relationship Id="rId15" Type="http://schemas.openxmlformats.org/officeDocument/2006/relationships/hyperlink" Target="COTIZACIONES\FE2402.pdf" TargetMode="External"/><Relationship Id="rId36" Type="http://schemas.openxmlformats.org/officeDocument/2006/relationships/hyperlink" Target="COTIZACIONES/2_168_202503072119410000001926649221.pdf" TargetMode="External"/><Relationship Id="rId57" Type="http://schemas.openxmlformats.org/officeDocument/2006/relationships/hyperlink" Target="COTIZACIONES\2_168_202503072119410000001926649221.pdf" TargetMode="External"/><Relationship Id="rId106" Type="http://schemas.openxmlformats.org/officeDocument/2006/relationships/hyperlink" Target="COTIZACIONES\4%20BUEN%20COMIENZO%20LOYOLA.pdf" TargetMode="External"/><Relationship Id="rId127" Type="http://schemas.openxmlformats.org/officeDocument/2006/relationships/hyperlink" Target="COTIZACIONES\Oferta%20Comite%20Pan%20Marzo%207-2025.pdf" TargetMode="External"/><Relationship Id="rId10" Type="http://schemas.openxmlformats.org/officeDocument/2006/relationships/hyperlink" Target="COTIZACIONES\FE2433.pdf" TargetMode="External"/><Relationship Id="rId31" Type="http://schemas.openxmlformats.org/officeDocument/2006/relationships/hyperlink" Target="COTIZACIONES\2_168_202503072119410000001926649221.pdf" TargetMode="External"/><Relationship Id="rId52" Type="http://schemas.openxmlformats.org/officeDocument/2006/relationships/hyperlink" Target="COTIZACIONES\2_168_202503072119410000001926649221.pdf" TargetMode="External"/><Relationship Id="rId73" Type="http://schemas.openxmlformats.org/officeDocument/2006/relationships/hyperlink" Target="COTIZACIONES\4%20BUEN%20COMIENZO%20LOYOLA.pdf" TargetMode="External"/><Relationship Id="rId78" Type="http://schemas.openxmlformats.org/officeDocument/2006/relationships/hyperlink" Target="COTIZACIONES/4%20BUEN%20COMIENZO%20LOYOLA.pdf" TargetMode="External"/><Relationship Id="rId94" Type="http://schemas.openxmlformats.org/officeDocument/2006/relationships/hyperlink" Target="COTIZACIONES\4%20BUEN%20COMIENZO%20LOYOLA.pdf" TargetMode="External"/><Relationship Id="rId99" Type="http://schemas.openxmlformats.org/officeDocument/2006/relationships/hyperlink" Target="COTIZACIONES\4%20BUEN%20COMIENZO%20LOYOLA.pdf" TargetMode="External"/><Relationship Id="rId101" Type="http://schemas.openxmlformats.org/officeDocument/2006/relationships/hyperlink" Target="COTIZACIONES\4%20BUEN%20COMIENZO%20LOYOLA.pdf" TargetMode="External"/><Relationship Id="rId122" Type="http://schemas.openxmlformats.org/officeDocument/2006/relationships/hyperlink" Target="COTIZACIONES\Oferta%20Comite%20Pan%20Marzo%207-2025.pdf" TargetMode="External"/><Relationship Id="rId143" Type="http://schemas.openxmlformats.org/officeDocument/2006/relationships/hyperlink" Target="COTIZACIONES\FE2547%20-%20EXPLORADORES.pdf" TargetMode="External"/><Relationship Id="rId148" Type="http://schemas.openxmlformats.org/officeDocument/2006/relationships/hyperlink" Target="COTIZACIONES\FE2554%20-%20SAN%20JOSE%20DE%20LA%20CIMA.pdf" TargetMode="External"/><Relationship Id="rId164" Type="http://schemas.openxmlformats.org/officeDocument/2006/relationships/hyperlink" Target="https://www.miche.com.co/collections/coleccion-de-instrumentos-musicales-para-ninos/products/acordeon-miche-para-ninos-color-verde" TargetMode="External"/><Relationship Id="rId169" Type="http://schemas.openxmlformats.org/officeDocument/2006/relationships/hyperlink" Target="https://medellingovco-my.sharepoint.com/:b:/g/personal/42828314_medellin_gov_co/EUcJZUKGqU9Imgjxlh8GkVIBK3nRx-loEeZooUZHgrmE2Q?e=gwxhj9" TargetMode="External"/><Relationship Id="rId185" Type="http://schemas.openxmlformats.org/officeDocument/2006/relationships/hyperlink" Target="COTIZACIONES\2_168_202503072119410000001926649221.pdf" TargetMode="External"/><Relationship Id="rId4" Type="http://schemas.openxmlformats.org/officeDocument/2006/relationships/hyperlink" Target="COTIZACIONES\FE2436.pdf" TargetMode="External"/><Relationship Id="rId9" Type="http://schemas.openxmlformats.org/officeDocument/2006/relationships/hyperlink" Target="COTIZACIONES\FE2429.pdf" TargetMode="External"/><Relationship Id="rId180" Type="http://schemas.openxmlformats.org/officeDocument/2006/relationships/hyperlink" Target="COTIZACIONES\4%20BUEN%20COMIENZO%20LOYOLA.pdf" TargetMode="External"/><Relationship Id="rId26" Type="http://schemas.openxmlformats.org/officeDocument/2006/relationships/hyperlink" Target="COTIZACIONES\FE2497.pdf" TargetMode="External"/><Relationship Id="rId47" Type="http://schemas.openxmlformats.org/officeDocument/2006/relationships/hyperlink" Target="../../../../../../../:b:/g/personal/42828314_medellin_gov_co/EdersJNItzZAh3iVfUyHaAABiIM_G-8E3tkUcKajXoru7A?e=tG4GL0" TargetMode="External"/><Relationship Id="rId68" Type="http://schemas.openxmlformats.org/officeDocument/2006/relationships/hyperlink" Target="COTIZACIONES\4%20BUEN%20COMIENZO%20LOYOLA.pdf" TargetMode="External"/><Relationship Id="rId89" Type="http://schemas.openxmlformats.org/officeDocument/2006/relationships/hyperlink" Target="COTIZACIONES\4%20BUEN%20COMIENZO%20LOYOLA.pdf" TargetMode="External"/><Relationship Id="rId112" Type="http://schemas.openxmlformats.org/officeDocument/2006/relationships/hyperlink" Target="COTIZACIONES\4%20BUEN%20COMIENZO%20LOYOLA.pdf" TargetMode="External"/><Relationship Id="rId133" Type="http://schemas.openxmlformats.org/officeDocument/2006/relationships/hyperlink" Target="COTIZACIONES\2_168_202503072119410000001926649221.pdf" TargetMode="External"/><Relationship Id="rId154" Type="http://schemas.openxmlformats.org/officeDocument/2006/relationships/hyperlink" Target="https://medellingovco-my.sharepoint.com/:b:/g/personal/42828314_medellin_gov_co/Eakyqo5gqjxBjWcSR1jl2x0BgkJnfIu8UDhWZelMSOaDnw?e=rlY2Dr" TargetMode="External"/><Relationship Id="rId175" Type="http://schemas.openxmlformats.org/officeDocument/2006/relationships/hyperlink" Target="https://medellingovco-my.sharepoint.com/:b:/g/personal/42828314_medellin_gov_co/EdBzDNdlR2VIi38ciR3ZJWMBl0Uuye-Wjr_PIkDM0lKa-g?e=Vie7Ox" TargetMode="External"/><Relationship Id="rId196" Type="http://schemas.openxmlformats.org/officeDocument/2006/relationships/hyperlink" Target="https://medellingovco-my.sharepoint.com/:b:/g/personal/42828314_medellin_gov_co/EZgfh_-sIh5BgLXabpx-Jo8BFBnUq2ptfd5KOYRRQZWTzg?e=ahPAcH" TargetMode="External"/><Relationship Id="rId200" Type="http://schemas.openxmlformats.org/officeDocument/2006/relationships/hyperlink" Target="COTIZACIONES\4%20BUEN%20COMIENZO%20LOYOLA.pdf" TargetMode="External"/><Relationship Id="rId16" Type="http://schemas.openxmlformats.org/officeDocument/2006/relationships/hyperlink" Target="COTIZACIONES\FE2428.pdf" TargetMode="External"/><Relationship Id="rId37" Type="http://schemas.openxmlformats.org/officeDocument/2006/relationships/hyperlink" Target="COTIZACIONES\2_168_202503072119410000001926649221.pdf" TargetMode="External"/><Relationship Id="rId58" Type="http://schemas.openxmlformats.org/officeDocument/2006/relationships/hyperlink" Target="COTIZACIONES\2_168_202503072119410000001926649221.pdf" TargetMode="External"/><Relationship Id="rId79" Type="http://schemas.openxmlformats.org/officeDocument/2006/relationships/hyperlink" Target="COTIZACIONES\4%20BUEN%20COMIENZO%20LOYOLA.pdf" TargetMode="External"/><Relationship Id="rId102" Type="http://schemas.openxmlformats.org/officeDocument/2006/relationships/hyperlink" Target="../../../../../../../:b:/g/personal/42828314_medellin_gov_co/EWjflpknT2REvF6jeby2i5ABVYl7FlNZeUDLBcS00jTEEw?e=35vPmB" TargetMode="External"/><Relationship Id="rId123" Type="http://schemas.openxmlformats.org/officeDocument/2006/relationships/hyperlink" Target="COTIZACIONES\Oferta%20Comite%20Pan%20Marzo%207-2025.pdf" TargetMode="External"/><Relationship Id="rId144" Type="http://schemas.openxmlformats.org/officeDocument/2006/relationships/hyperlink" Target="COTIZACIONES\FE2549%20-%20LAZOS.pdf" TargetMode="External"/><Relationship Id="rId90" Type="http://schemas.openxmlformats.org/officeDocument/2006/relationships/hyperlink" Target="COTIZACIONES\4%20BUEN%20COMIENZO%20LOYOLA.pdf" TargetMode="External"/><Relationship Id="rId165" Type="http://schemas.openxmlformats.org/officeDocument/2006/relationships/hyperlink" Target="https://medellingovco-my.sharepoint.com/:b:/g/personal/42828314_medellin_gov_co/EeYCSkXRP1dFlmuzLNZBFy0BpbWrxAMYvqgziAWdi6kBsA?e=cJebol" TargetMode="External"/><Relationship Id="rId186" Type="http://schemas.openxmlformats.org/officeDocument/2006/relationships/hyperlink" Target="https://medellingovco-my.sharepoint.com/:b:/g/personal/42828314_medellin_gov_co/ESsfv16pN4JKgHsEBsynGGsBOBB8A9huYyrTiqzD2UxnuA?e=zNRQeZ" TargetMode="External"/><Relationship Id="rId27" Type="http://schemas.openxmlformats.org/officeDocument/2006/relationships/hyperlink" Target="COTIZACIONES\FE2497.pdf" TargetMode="External"/><Relationship Id="rId48" Type="http://schemas.openxmlformats.org/officeDocument/2006/relationships/hyperlink" Target="COTIZACIONES\2_168_202503072119410000001926649221.pdf" TargetMode="External"/><Relationship Id="rId69" Type="http://schemas.openxmlformats.org/officeDocument/2006/relationships/hyperlink" Target="COTIZACIONES\4%20BUEN%20COMIENZO%20LOYOLA.pdf" TargetMode="External"/><Relationship Id="rId113" Type="http://schemas.openxmlformats.org/officeDocument/2006/relationships/hyperlink" Target="COTIZACIONES\4%20BUEN%20COMIENZO%20LOYOLA.pdf" TargetMode="External"/><Relationship Id="rId134" Type="http://schemas.openxmlformats.org/officeDocument/2006/relationships/hyperlink" Target="COTIZACIONES\4%20BUEN%20COMIENZO%20LOYOLA.pdf" TargetMode="External"/><Relationship Id="rId80" Type="http://schemas.openxmlformats.org/officeDocument/2006/relationships/hyperlink" Target="COTIZACIONES\4%20BUEN%20COMIENZO%20LOYOLA.pdf" TargetMode="External"/><Relationship Id="rId155" Type="http://schemas.openxmlformats.org/officeDocument/2006/relationships/hyperlink" Target="https://medellingovco-my.sharepoint.com/:b:/g/personal/42828314_medellin_gov_co/Ec9HQXMeaLVHr0eGAKuyZVkBmUgm__HU_SSKbqdY00Il9g?e=2YrPrE" TargetMode="External"/><Relationship Id="rId176" Type="http://schemas.openxmlformats.org/officeDocument/2006/relationships/hyperlink" Target="https://medellingovco-my.sharepoint.com/:b:/g/personal/42828314_medellin_gov_co/EZqxwLTNexNGtMESVlIqnR0BoIYXUpWWecc1vt5iGo7oyg?e=4I0zge" TargetMode="External"/><Relationship Id="rId197" Type="http://schemas.openxmlformats.org/officeDocument/2006/relationships/hyperlink" Target="../../../../../../../:b:/g/personal/42828314_medellin_gov_co/EV_R40f0tMhEhPMc0o9b7ogBnZcpYvmrpIZXtpmMGJVYfA?e=QSFz0I" TargetMode="External"/><Relationship Id="rId201" Type="http://schemas.openxmlformats.org/officeDocument/2006/relationships/hyperlink" Target="https://www.sysdidacticos.com/product-page/espejo-acr%C3%ADlico-koala" TargetMode="External"/><Relationship Id="rId17" Type="http://schemas.openxmlformats.org/officeDocument/2006/relationships/hyperlink" Target="COTIZACIONES\FE2428.pdf" TargetMode="External"/><Relationship Id="rId38" Type="http://schemas.openxmlformats.org/officeDocument/2006/relationships/hyperlink" Target="COTIZACIONES\2_168_202503072119410000001926649221.pdf" TargetMode="External"/><Relationship Id="rId59" Type="http://schemas.openxmlformats.org/officeDocument/2006/relationships/hyperlink" Target="COTIZACIONES\2_168_202503072119410000001926649221.pdf" TargetMode="External"/><Relationship Id="rId103" Type="http://schemas.openxmlformats.org/officeDocument/2006/relationships/hyperlink" Target="COTIZACIONES\4%20BUEN%20COMIENZO%20LOYOLA.pdf" TargetMode="External"/><Relationship Id="rId124" Type="http://schemas.openxmlformats.org/officeDocument/2006/relationships/hyperlink" Target="COTIZACIONES\Oferta%20Comite%20Pan%20Marzo%207-2025.pdf" TargetMode="External"/><Relationship Id="rId70" Type="http://schemas.openxmlformats.org/officeDocument/2006/relationships/hyperlink" Target="COTIZACIONES\4%20BUEN%20COMIENZO%20LOYOLA.pdf" TargetMode="External"/><Relationship Id="rId91" Type="http://schemas.openxmlformats.org/officeDocument/2006/relationships/hyperlink" Target="COTIZACIONES\4%20BUEN%20COMIENZO%20LOYOLA.pdf" TargetMode="External"/><Relationship Id="rId145" Type="http://schemas.openxmlformats.org/officeDocument/2006/relationships/hyperlink" Target="COTIZACIONES\FE2559%20-%20MONTECARLO.pdf" TargetMode="External"/><Relationship Id="rId166" Type="http://schemas.openxmlformats.org/officeDocument/2006/relationships/hyperlink" Target="https://medellingovco-my.sharepoint.com/:b:/g/personal/42828314_medellin_gov_co/EdkJ8z5bXUZAva9IO6FBHfMB1o40fFLfyqEgJoGWWQIJ0A?e=PkWvhp" TargetMode="External"/><Relationship Id="rId187" Type="http://schemas.openxmlformats.org/officeDocument/2006/relationships/hyperlink" Target="https://medellingovco-my.sharepoint.com/:b:/g/personal/42828314_medellin_gov_co/EWYRzfr1YNhIgqsxMrMARu0BrRz_Ia3q-WCie8gVDqZP8A?e=KNBSen" TargetMode="External"/><Relationship Id="rId1" Type="http://schemas.openxmlformats.org/officeDocument/2006/relationships/hyperlink" Target="COTIZACIONES\FE2428.pdf" TargetMode="External"/><Relationship Id="rId28" Type="http://schemas.openxmlformats.org/officeDocument/2006/relationships/hyperlink" Target="COTIZACIONES\FE2497.pdf" TargetMode="External"/><Relationship Id="rId49" Type="http://schemas.openxmlformats.org/officeDocument/2006/relationships/hyperlink" Target="COTIZACIONES\2_168_202503072119410000001926649221.pdf" TargetMode="External"/><Relationship Id="rId114" Type="http://schemas.openxmlformats.org/officeDocument/2006/relationships/hyperlink" Target="../../../../../../../:b:/g/personal/42828314_medellin_gov_co/EWIDQiQkHzFOlEdIKG1lmRcByCyQXP09HkPBQ7zBZcPxog?e=hGTlEA" TargetMode="External"/><Relationship Id="rId60" Type="http://schemas.openxmlformats.org/officeDocument/2006/relationships/hyperlink" Target="COTIZACIONES\4%20BUEN%20COMIENZO%20LOYOLA.pdf" TargetMode="External"/><Relationship Id="rId81" Type="http://schemas.openxmlformats.org/officeDocument/2006/relationships/hyperlink" Target="COTIZACIONES/4%20BUEN%20COMIENZO%20LOYOLA.pdf" TargetMode="External"/><Relationship Id="rId135" Type="http://schemas.openxmlformats.org/officeDocument/2006/relationships/hyperlink" Target="COTIZACIONES\4%20BUEN%20COMIENZO%20LOYOLA.pdf" TargetMode="External"/><Relationship Id="rId156" Type="http://schemas.openxmlformats.org/officeDocument/2006/relationships/hyperlink" Target="https://medellingovco-my.sharepoint.com/:b:/g/personal/42828314_medellin_gov_co/EVVrN_2j1YtMmzMp9qAXli0BMSm9bxBlV0RN6eu7VVamJw?e=gBh2i4" TargetMode="External"/><Relationship Id="rId177" Type="http://schemas.openxmlformats.org/officeDocument/2006/relationships/hyperlink" Target="https://medellingovco-my.sharepoint.com/:b:/g/personal/42828314_medellin_gov_co/ERlib7P3s9NBrnom-dvzT8QB96-vqQBxOYbAtRA90ocqlA?e=Tstmns" TargetMode="External"/><Relationship Id="rId198" Type="http://schemas.openxmlformats.org/officeDocument/2006/relationships/hyperlink" Target="../../../../../../../:b:/g/personal/42828314_medellin_gov_co/EWUoyTm-ly5DlZo6oHh1eIsBPvIZyjOf53IId4QmpIgnkw?e=rWG4vE" TargetMode="External"/><Relationship Id="rId202" Type="http://schemas.openxmlformats.org/officeDocument/2006/relationships/hyperlink" Target="COTIZACIONES\4%20BUEN%20COMIENZO%20LOYOLA.pdf" TargetMode="External"/><Relationship Id="rId18" Type="http://schemas.openxmlformats.org/officeDocument/2006/relationships/hyperlink" Target="COTIZACIONES\FE2428.pdf" TargetMode="External"/><Relationship Id="rId39" Type="http://schemas.openxmlformats.org/officeDocument/2006/relationships/hyperlink" Target="COTIZACIONES\2_168_202503072119410000001926649221.pdf" TargetMode="External"/><Relationship Id="rId50" Type="http://schemas.openxmlformats.org/officeDocument/2006/relationships/hyperlink" Target="COTIZACIONES\2_168_202503072119410000001926649221.pdf" TargetMode="External"/><Relationship Id="rId104" Type="http://schemas.openxmlformats.org/officeDocument/2006/relationships/hyperlink" Target="COTIZACIONES\4%20BUEN%20COMIENZO%20LOYOLA.pdf" TargetMode="External"/><Relationship Id="rId125" Type="http://schemas.openxmlformats.org/officeDocument/2006/relationships/hyperlink" Target="COTIZACIONES\Oferta%20Comite%20Pan%20Marzo%207-2025.pdf" TargetMode="External"/><Relationship Id="rId146" Type="http://schemas.openxmlformats.org/officeDocument/2006/relationships/hyperlink" Target="COTIZACIONES\FE2559%20-%20MONTECARLO.pdf" TargetMode="External"/><Relationship Id="rId167" Type="http://schemas.openxmlformats.org/officeDocument/2006/relationships/hyperlink" Target="https://medellingovco-my.sharepoint.com/:b:/g/personal/42828314_medellin_gov_co/EUTLc6lYOo1OmhIBYS0uAIcBlAgsq1fvzAh93S657lKiUA?e=htPNLa" TargetMode="External"/><Relationship Id="rId188" Type="http://schemas.openxmlformats.org/officeDocument/2006/relationships/hyperlink" Target="https://medellingovco-my.sharepoint.com/:b:/g/personal/42828314_medellin_gov_co/EYErGppdhT1CqBk-0aeuC1YBFaxBT7-k8Bx5z9A-ndJrtQ?e=2OUwQZ" TargetMode="External"/><Relationship Id="rId71" Type="http://schemas.openxmlformats.org/officeDocument/2006/relationships/hyperlink" Target="COTIZACIONES\4%20BUEN%20COMIENZO%20LOYOLA.pdf" TargetMode="External"/><Relationship Id="rId92" Type="http://schemas.openxmlformats.org/officeDocument/2006/relationships/hyperlink" Target="COTIZACIONES\4%20BUEN%20COMIENZO%20LOYOLA.pdf" TargetMode="External"/><Relationship Id="rId2" Type="http://schemas.openxmlformats.org/officeDocument/2006/relationships/hyperlink" Target="COTIZACIONES\FE2436.pdf" TargetMode="External"/><Relationship Id="rId29" Type="http://schemas.openxmlformats.org/officeDocument/2006/relationships/hyperlink" Target="COTIZACIONES\FEV1883.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COTIZACIONES\4%20BUEN%20COMIENZO%20LOYOLA.pdf" TargetMode="External"/><Relationship Id="rId13" Type="http://schemas.openxmlformats.org/officeDocument/2006/relationships/hyperlink" Target="https://medellingovco-my.sharepoint.com/:b:/g/personal/42828314_medellin_gov_co/Ea3c3Eb0WqNPph9Ab2j3W2cBkYcPmTJF5VQeb12cEvPW1g?e=QrNDrJ" TargetMode="External"/><Relationship Id="rId18" Type="http://schemas.openxmlformats.org/officeDocument/2006/relationships/hyperlink" Target="https://medellingovco-my.sharepoint.com/:b:/g/personal/42828314_medellin_gov_co/EYMaARVbYs9Ckq_60hJJmAYBbEsOT4ZFwgtQiKhw6jk7vQ?e=VJZ5EF" TargetMode="External"/><Relationship Id="rId3" Type="http://schemas.openxmlformats.org/officeDocument/2006/relationships/hyperlink" Target="../../../../../../../:b:/g/personal/42828314_medellin_gov_co/EQINdLJ1uLdBp15_4EeAC_4BbfsnWzvcj86lwWYTHgeJIg?e=ssCTHh" TargetMode="External"/><Relationship Id="rId21" Type="http://schemas.openxmlformats.org/officeDocument/2006/relationships/hyperlink" Target="https://medellingovco-my.sharepoint.com/:b:/g/personal/42828314_medellin_gov_co/EXsJojlAvmxGskH5tdXHOnAB1UYKQIen9gvEi5Oydy8Kwg?e=Qgub39" TargetMode="External"/><Relationship Id="rId7" Type="http://schemas.openxmlformats.org/officeDocument/2006/relationships/hyperlink" Target="COTIZACIONES/MEMY7016.pdf" TargetMode="External"/><Relationship Id="rId12" Type="http://schemas.openxmlformats.org/officeDocument/2006/relationships/hyperlink" Target="../../../../../../../:b:/g/personal/42828314_medellin_gov_co/EZ6k9KAtasREqApgdm0ncUYBZX0KOT3RqF3-zraWRq8XDA?e=Nvky1H" TargetMode="External"/><Relationship Id="rId17" Type="http://schemas.openxmlformats.org/officeDocument/2006/relationships/hyperlink" Target="https://medellingovco-my.sharepoint.com/:b:/g/personal/42828314_medellin_gov_co/Eavkire8BVxFh530lw2GimcB55af-Upt3Q0WF7srutc6FA?e=WpGS0o" TargetMode="External"/><Relationship Id="rId2" Type="http://schemas.openxmlformats.org/officeDocument/2006/relationships/hyperlink" Target="COTIZACIONES/FE2456.pdf" TargetMode="External"/><Relationship Id="rId16" Type="http://schemas.openxmlformats.org/officeDocument/2006/relationships/hyperlink" Target="https://medellingovco-my.sharepoint.com/:b:/g/personal/42828314_medellin_gov_co/EXndl5ceAYZBlhRwQ7vV_a0BrV5St45ceOcrCqYMTWQdpQ?e=quXJ8l" TargetMode="External"/><Relationship Id="rId20" Type="http://schemas.openxmlformats.org/officeDocument/2006/relationships/hyperlink" Target="COTIZACIONES\4%20BUEN%20COMIENZO%20LOYOLA.pdf" TargetMode="External"/><Relationship Id="rId1" Type="http://schemas.openxmlformats.org/officeDocument/2006/relationships/hyperlink" Target="COTIZACIONES/FEV8352.pdf" TargetMode="External"/><Relationship Id="rId6" Type="http://schemas.openxmlformats.org/officeDocument/2006/relationships/hyperlink" Target="../../../../../../../:b:/g/personal/42828314_medellin_gov_co/EQuEAcqGXHRPmp5-37-t6BwBUTcY0nXF0ZHmPB9bzKRf1Q?e=fOK3ri" TargetMode="External"/><Relationship Id="rId11" Type="http://schemas.openxmlformats.org/officeDocument/2006/relationships/hyperlink" Target="https://medellingovco-my.sharepoint.com/:b:/g/personal/42828314_medellin_gov_co/Ea86Zmr2j_NGsW48yrwxq70BkoSW6xGReYFbj0tekmeYKg?e=uajR8h" TargetMode="External"/><Relationship Id="rId5" Type="http://schemas.openxmlformats.org/officeDocument/2006/relationships/hyperlink" Target="COTIZACIONES/FEV-1008982.pdf" TargetMode="External"/><Relationship Id="rId15" Type="http://schemas.openxmlformats.org/officeDocument/2006/relationships/hyperlink" Target="https://medellingovco-my.sharepoint.com/:b:/g/personal/42828314_medellin_gov_co/Ee5rhk12JD1NhpcMguPSZg0BJ16WadQnnl4Y-HcmjC1sEA?e=7zL1Zb" TargetMode="External"/><Relationship Id="rId10" Type="http://schemas.openxmlformats.org/officeDocument/2006/relationships/hyperlink" Target="https://medellingovco-my.sharepoint.com/:b:/g/personal/42828314_medellin_gov_co/EXS6FBXOhkZKrpth-BoDx_oBLAg26xa3JeFsTOgQNkap8w?e=HvlvVF" TargetMode="External"/><Relationship Id="rId19" Type="http://schemas.openxmlformats.org/officeDocument/2006/relationships/hyperlink" Target="https://medellingovco-my.sharepoint.com/:b:/g/personal/42828314_medellin_gov_co/EX4Gy-0SLNtFu7b9P4qRqgkBKG_W67d7RVgyALG0cTw5QA?e=sJDHeh" TargetMode="External"/><Relationship Id="rId4" Type="http://schemas.openxmlformats.org/officeDocument/2006/relationships/hyperlink" Target="COTIZACIONES/LCDS762.pdf" TargetMode="External"/><Relationship Id="rId9" Type="http://schemas.openxmlformats.org/officeDocument/2006/relationships/hyperlink" Target="https://medellingovco-my.sharepoint.com/:b:/g/personal/42828314_medellin_gov_co/Ea-PemE6t9RGtYcmaEC0ANcB4EAUyW6s0ZfToTJ53s3lVw?e=yj8vKk" TargetMode="External"/><Relationship Id="rId14" Type="http://schemas.openxmlformats.org/officeDocument/2006/relationships/hyperlink" Target="https://medellingovco-my.sharepoint.com/:b:/g/personal/42828314_medellin_gov_co/Ea-vjBH_9uFAkEAa64BPMVkBnRXfYzypOpYm9MpTzemtqw?e=hibxry" TargetMode="External"/><Relationship Id="rId22"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hyperlink" Target="https://medellingovco-my.sharepoint.com/:b:/g/personal/42828314_medellin_gov_co/EZ4PG1EHKu1GuHGFz_eYoOoBB01BbtoNXzWAhGVp3lR_Mw?e=KTy1zA" TargetMode="External"/><Relationship Id="rId18" Type="http://schemas.openxmlformats.org/officeDocument/2006/relationships/hyperlink" Target="https://medellingovco-my.sharepoint.com/:b:/g/personal/42828314_medellin_gov_co/Eb4JIaIJ70FMs7s0wyggM00BgexUeYze50N-5yCJ1QhDhg?e=FRkPgF" TargetMode="External"/><Relationship Id="rId26" Type="http://schemas.openxmlformats.org/officeDocument/2006/relationships/hyperlink" Target="https://medellingovco-my.sharepoint.com/:b:/g/personal/42828314_medellin_gov_co/EQt6beczDwNMtwB-Ijhj_ZQB_WTKETmTjOpvnIztQXWz5Q?e=iXvaTx" TargetMode="External"/><Relationship Id="rId3" Type="http://schemas.openxmlformats.org/officeDocument/2006/relationships/hyperlink" Target="https://medellingovco-my.sharepoint.com/:b:/g/personal/42828314_medellin_gov_co/ESj4hsJPL1lMua1msrrcYboBo8A18c3LmZDlQ6ohqJ3niQ?e=ycwghw" TargetMode="External"/><Relationship Id="rId21" Type="http://schemas.openxmlformats.org/officeDocument/2006/relationships/hyperlink" Target="../../../../../../../:b:/g/personal/42828314_medellin_gov_co/EYG14g-QVvxIi5xfU_pbh7MBEf0sj_aN4Bwg9sALerA9xg?e=aDoxiU" TargetMode="External"/><Relationship Id="rId7" Type="http://schemas.openxmlformats.org/officeDocument/2006/relationships/hyperlink" Target="https://medellingovco-my.sharepoint.com/:b:/g/personal/42828314_medellin_gov_co/ERcSlTAHee9Luaram_nQ4xoBJCU_A5dFouzmYjOqGLF_IQ?e=nuqO0C" TargetMode="External"/><Relationship Id="rId12" Type="http://schemas.openxmlformats.org/officeDocument/2006/relationships/hyperlink" Target="https://medellingovco-my.sharepoint.com/:b:/g/personal/42828314_medellin_gov_co/EbvHH_DwBalCpfBOWDVJkbQB73H0_ao21iMzNTK8AZxRYw?e=Ffi8MP" TargetMode="External"/><Relationship Id="rId17" Type="http://schemas.openxmlformats.org/officeDocument/2006/relationships/hyperlink" Target="https://medellingovco-my.sharepoint.com/:b:/g/personal/42828314_medellin_gov_co/EYSU9XctGClBjZuwSa0fFo4BKajDx8et8lEkSn3G_0Auig?e=W3jLga" TargetMode="External"/><Relationship Id="rId25" Type="http://schemas.openxmlformats.org/officeDocument/2006/relationships/hyperlink" Target="https://medellingovco-my.sharepoint.com/:b:/g/personal/42828314_medellin_gov_co/EYfE4PlkUPlOrG2eBBJVL-cBBsN-W4zUZbNXnfmCugdYKA?e=xPQuwz" TargetMode="External"/><Relationship Id="rId33" Type="http://schemas.openxmlformats.org/officeDocument/2006/relationships/comments" Target="../comments1.xml"/><Relationship Id="rId2" Type="http://schemas.openxmlformats.org/officeDocument/2006/relationships/hyperlink" Target="https://medellingovco-my.sharepoint.com/:b:/g/personal/42828314_medellin_gov_co/ESj4hsJPL1lMua1msrrcYboBo8A18c3LmZDlQ6ohqJ3niQ?e=3tgWfo" TargetMode="External"/><Relationship Id="rId16" Type="http://schemas.openxmlformats.org/officeDocument/2006/relationships/hyperlink" Target="https://medellingovco-my.sharepoint.com/:b:/g/personal/42828314_medellin_gov_co/EfZtBvfJDmZPtAUO32XbpDYB1gbBc_8aSoQEKEFNeBxC5Q?e=CPhnTj" TargetMode="External"/><Relationship Id="rId20" Type="http://schemas.openxmlformats.org/officeDocument/2006/relationships/hyperlink" Target="https://medellingovco-my.sharepoint.com/:b:/g/personal/42828314_medellin_gov_co/EV9WfLAo--NMjXdxRRI1iZkBRawVGjzGUnuk_RCAO8mujA?e=g6Xzn8" TargetMode="External"/><Relationship Id="rId29" Type="http://schemas.openxmlformats.org/officeDocument/2006/relationships/hyperlink" Target="https://medellingovco-my.sharepoint.com/:b:/g/personal/42828314_medellin_gov_co/EQPJ09sqUhdFnAexNopFU4oBweH2NTgtNIKQEWWaLngxAw?e=PofBcM" TargetMode="External"/><Relationship Id="rId1" Type="http://schemas.openxmlformats.org/officeDocument/2006/relationships/hyperlink" Target="https://medellingovco-my.sharepoint.com/:b:/g/personal/42828314_medellin_gov_co/EavKIqdqS1pJnsNsEdTN_W0BR0KNLmdu8reZW8jIJeJDxw?e=fbtjl2" TargetMode="External"/><Relationship Id="rId6" Type="http://schemas.openxmlformats.org/officeDocument/2006/relationships/hyperlink" Target="../../../../../../../:b:/g/personal/42828314_medellin_gov_co/ESkViNrRgF5AnLnrwkRf4XQBMdL2SC5KH6ixgFvLygLmxA?e=FodiQ4" TargetMode="External"/><Relationship Id="rId11" Type="http://schemas.openxmlformats.org/officeDocument/2006/relationships/hyperlink" Target="https://medellingovco-my.sharepoint.com/:b:/g/personal/42828314_medellin_gov_co/EZf1tejj0IhCnpdxCP61v6kB2u7fVbvLE00hp7aKFX_CdQ?e=FzQ1OI" TargetMode="External"/><Relationship Id="rId24" Type="http://schemas.openxmlformats.org/officeDocument/2006/relationships/hyperlink" Target="https://medellingovco-my.sharepoint.com/:b:/g/personal/42828314_medellin_gov_co/EYqAecjNcOlOgqJCABxy5ZEBZXn3HnaDpdPvLk7Azwnp-w?e=NJzzTJ" TargetMode="External"/><Relationship Id="rId32" Type="http://schemas.openxmlformats.org/officeDocument/2006/relationships/vmlDrawing" Target="../drawings/vmlDrawing1.vml"/><Relationship Id="rId5" Type="http://schemas.openxmlformats.org/officeDocument/2006/relationships/hyperlink" Target="https://medellingovco-my.sharepoint.com/:b:/g/personal/42828314_medellin_gov_co/ERcSlTAHee9Luaram_nQ4xoBJCU_A5dFouzmYjOqGLF_IQ?e=nuqO0C" TargetMode="External"/><Relationship Id="rId15" Type="http://schemas.openxmlformats.org/officeDocument/2006/relationships/hyperlink" Target="https://medellingovco-my.sharepoint.com/:b:/g/personal/42828314_medellin_gov_co/EQeBV3lEpL1NoUJIY_uk19oBC8lEEt5pe7Vfqty-bRQBHQ?e=rZqNXp" TargetMode="External"/><Relationship Id="rId23" Type="http://schemas.openxmlformats.org/officeDocument/2006/relationships/hyperlink" Target="https://medellingovco-my.sharepoint.com/:b:/g/personal/42828314_medellin_gov_co/EWQ4KNrYcxxOiVS85fHokhIBbSCjTuZCDFzycb8OhwUjqA?e=diVm9K" TargetMode="External"/><Relationship Id="rId28" Type="http://schemas.openxmlformats.org/officeDocument/2006/relationships/hyperlink" Target="https://medellingovco-my.sharepoint.com/:b:/g/personal/42828314_medellin_gov_co/EX11xwomTnNGnmIQGUxWg78BbTEdfOkZLhvF1Ut_IfcAyQ?e=iMgEZG" TargetMode="External"/><Relationship Id="rId10" Type="http://schemas.openxmlformats.org/officeDocument/2006/relationships/hyperlink" Target="https://medellingovco-my.sharepoint.com/:b:/g/personal/42828314_medellin_gov_co/ERcSlTAHee9Luaram_nQ4xoBJCU_A5dFouzmYjOqGLF_IQ?e=nuqO0C" TargetMode="External"/><Relationship Id="rId19" Type="http://schemas.openxmlformats.org/officeDocument/2006/relationships/hyperlink" Target="https://medellingovco-my.sharepoint.com/:b:/g/personal/42828314_medellin_gov_co/EfqilHzQNmZIluqnnoElMn0BuN5yokCPxdkqC54v2lrVPA?e=Z4Kv6T" TargetMode="External"/><Relationship Id="rId31" Type="http://schemas.openxmlformats.org/officeDocument/2006/relationships/printerSettings" Target="../printerSettings/printerSettings3.bin"/><Relationship Id="rId4" Type="http://schemas.openxmlformats.org/officeDocument/2006/relationships/hyperlink" Target="COTIZACIONES/9.%20LUCAN_LU%203041.pdf" TargetMode="External"/><Relationship Id="rId9" Type="http://schemas.openxmlformats.org/officeDocument/2006/relationships/hyperlink" Target="https://medellingovco-my.sharepoint.com/:b:/g/personal/42828314_medellin_gov_co/EcRV3dHsUEVGpYyb8KRcUVoBbXiLabfIUnvGgGxpUOLOtw?e=jEufRJ" TargetMode="External"/><Relationship Id="rId14" Type="http://schemas.openxmlformats.org/officeDocument/2006/relationships/hyperlink" Target="https://medellingovco-my.sharepoint.com/:b:/g/personal/42828314_medellin_gov_co/EQeBV3lEpL1NoUJIY_uk19oBC8lEEt5pe7Vfqty-bRQBHQ?e=rZqNXp" TargetMode="External"/><Relationship Id="rId22" Type="http://schemas.openxmlformats.org/officeDocument/2006/relationships/hyperlink" Target="https://medellingovco-my.sharepoint.com/:b:/g/personal/42828314_medellin_gov_co/EXOxecVJsFVPv9g32i0xPWYBcoD7wenUcA3UpWbk78_GiA?e=TuUqhH" TargetMode="External"/><Relationship Id="rId27" Type="http://schemas.openxmlformats.org/officeDocument/2006/relationships/hyperlink" Target="https://medellingovco-my.sharepoint.com/:b:/g/personal/42828314_medellin_gov_co/EQt7WhW1r25PoVgIXchiE3gBZMNAikL_9B6GZucgQ4yPNA?e=Opq0WF" TargetMode="External"/><Relationship Id="rId30" Type="http://schemas.openxmlformats.org/officeDocument/2006/relationships/hyperlink" Target="https://medellingovco-my.sharepoint.com/:b:/g/personal/42828314_medellin_gov_co/EZ5Cqeys62BAgRRhq0agU9QBVzjQyLNkgdJGSlUF3qFlOQ?e=UjPRqw" TargetMode="External"/><Relationship Id="rId8" Type="http://schemas.openxmlformats.org/officeDocument/2006/relationships/hyperlink" Target="https://medellingovco-my.sharepoint.com/:b:/g/personal/42828314_medellin_gov_co/EYRE9E3EMpFEkCOUbx7zpngBC5odFRVjghhpKmW4bm6SZQ?e=RhRJg8"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COTIZACIONES\FE2414.pdf" TargetMode="External"/><Relationship Id="rId117" Type="http://schemas.openxmlformats.org/officeDocument/2006/relationships/hyperlink" Target="https://medellingovco-my.sharepoint.com/:b:/g/personal/42828314_medellin_gov_co/EX8pjqIWzcZOvqc1LrfdZUoB6npr367PZq2wDrmZ0KIwUA?e=qbuL49" TargetMode="External"/><Relationship Id="rId21" Type="http://schemas.openxmlformats.org/officeDocument/2006/relationships/hyperlink" Target="COTIZACIONES\FE2415.pdf" TargetMode="External"/><Relationship Id="rId42" Type="http://schemas.openxmlformats.org/officeDocument/2006/relationships/hyperlink" Target="COTIZACIONES\VARIAS_FEBRERO.pdf" TargetMode="External"/><Relationship Id="rId47" Type="http://schemas.openxmlformats.org/officeDocument/2006/relationships/hyperlink" Target="COTIZACIONES\VARIAS_FEBRERO.pdf" TargetMode="External"/><Relationship Id="rId63" Type="http://schemas.openxmlformats.org/officeDocument/2006/relationships/hyperlink" Target="COTIZACIONES\AB763.pdf" TargetMode="External"/><Relationship Id="rId68" Type="http://schemas.openxmlformats.org/officeDocument/2006/relationships/hyperlink" Target="COTIZACIONES\FEV2529.pdf" TargetMode="External"/><Relationship Id="rId84" Type="http://schemas.openxmlformats.org/officeDocument/2006/relationships/hyperlink" Target="COTIZACIONES\Cotizacion%20toscana%20Abakai.pdf" TargetMode="External"/><Relationship Id="rId89" Type="http://schemas.openxmlformats.org/officeDocument/2006/relationships/hyperlink" Target="COTIZACIONES\cotizacion-COMITE%20PRIVADO%20DE%20ATENCION%20A%20LA%20NI&#209;EZ.pdf" TargetMode="External"/><Relationship Id="rId112" Type="http://schemas.openxmlformats.org/officeDocument/2006/relationships/hyperlink" Target="https://medellingovco-my.sharepoint.com/:b:/g/personal/42828314_medellin_gov_co/EeTg7GWyyBNAqLHqJwYQVdIBqKJYyy47kCiiRU21ISlhQg?e=f6pc1I" TargetMode="External"/><Relationship Id="rId16" Type="http://schemas.openxmlformats.org/officeDocument/2006/relationships/hyperlink" Target="COTIZACIONES\FE2421.pdf" TargetMode="External"/><Relationship Id="rId107" Type="http://schemas.openxmlformats.org/officeDocument/2006/relationships/hyperlink" Target="../../../../../../../:b:/g/personal/42828314_medellin_gov_co/EeBh-JnJBGFIqeKmmHbj7y4BLO2QkT-TV1TGdJnm8iqthQ?e=PeMJyG" TargetMode="External"/><Relationship Id="rId11" Type="http://schemas.openxmlformats.org/officeDocument/2006/relationships/hyperlink" Target="COTIZACIONES\FE2421.pdf" TargetMode="External"/><Relationship Id="rId32" Type="http://schemas.openxmlformats.org/officeDocument/2006/relationships/hyperlink" Target="COTIZACIONES\FEGB10709.pdf" TargetMode="External"/><Relationship Id="rId37" Type="http://schemas.openxmlformats.org/officeDocument/2006/relationships/hyperlink" Target="COTIZACIONES\FE%2023665.pdf" TargetMode="External"/><Relationship Id="rId53" Type="http://schemas.openxmlformats.org/officeDocument/2006/relationships/hyperlink" Target="COTIZACIONES\VARIAS%20MARZO.pdf" TargetMode="External"/><Relationship Id="rId58" Type="http://schemas.openxmlformats.org/officeDocument/2006/relationships/hyperlink" Target="COTIZACIONES\FE4113100326059.pdf" TargetMode="External"/><Relationship Id="rId74" Type="http://schemas.openxmlformats.org/officeDocument/2006/relationships/hyperlink" Target="../../../../../../../:b:/g/personal/42828314_medellin_gov_co/EYQ5q6jTjJ1EgpW1Y8WSXjoBk91h3n-vnra8Iqff1D5L7Q?e=n16c08" TargetMode="External"/><Relationship Id="rId79" Type="http://schemas.openxmlformats.org/officeDocument/2006/relationships/hyperlink" Target="COTIZACIONES\Cotizacion%20toscana%20Abakai.pdf" TargetMode="External"/><Relationship Id="rId102" Type="http://schemas.openxmlformats.org/officeDocument/2006/relationships/hyperlink" Target="https://medellingovco-my.sharepoint.com/:b:/g/personal/42828314_medellin_gov_co/EVG8ysrLMLVPlTjC9Kb9UtcBJ-dRkTQBjngPA-dwaV4xIA?e=VMQ4T5" TargetMode="External"/><Relationship Id="rId123" Type="http://schemas.openxmlformats.org/officeDocument/2006/relationships/hyperlink" Target="https://medellingovco-my.sharepoint.com/:b:/g/personal/42828314_medellin_gov_co/EWsKz_Cevx9MjH_uiIJxxOsBSPvah9V8AeYDF2Cf4y3bmA?e=mXfx7B" TargetMode="External"/><Relationship Id="rId128" Type="http://schemas.openxmlformats.org/officeDocument/2006/relationships/drawing" Target="../drawings/drawing1.xml"/><Relationship Id="rId5" Type="http://schemas.openxmlformats.org/officeDocument/2006/relationships/hyperlink" Target="../../../../../../../:b:/g/personal/42828314_medellin_gov_co/EUm91MMbW19Nn7xvgv_6Q24BwDs0mWTh1VNY6lR5agPHYw?e=FkW25a" TargetMode="External"/><Relationship Id="rId90" Type="http://schemas.openxmlformats.org/officeDocument/2006/relationships/hyperlink" Target="COTIZACIONES\cotizacion-COMITE%20PRIVADO%20DE%20ATENCION%20A%20LA%20NI&#209;EZ.pdf" TargetMode="External"/><Relationship Id="rId95" Type="http://schemas.openxmlformats.org/officeDocument/2006/relationships/hyperlink" Target="COTIZACIONES\cotizacion-COMITE%20PRIVADO%20DE%20ATENCION%20A%20LA%20NI&#209;EZ.pdf" TargetMode="External"/><Relationship Id="rId22" Type="http://schemas.openxmlformats.org/officeDocument/2006/relationships/hyperlink" Target="COTIZACIONES\FE2415.pdf" TargetMode="External"/><Relationship Id="rId27" Type="http://schemas.openxmlformats.org/officeDocument/2006/relationships/hyperlink" Target="../../../../../../../:b:/g/personal/42828314_medellin_gov_co/EVh4y5eyufhLkP_HCSD5JsIBY9GuPdTlvMSKWYw2O9g8rg?e=Q6KVOR" TargetMode="External"/><Relationship Id="rId43" Type="http://schemas.openxmlformats.org/officeDocument/2006/relationships/hyperlink" Target="COTIZACIONES\VARIAS_FEBRERO.pdf" TargetMode="External"/><Relationship Id="rId48" Type="http://schemas.openxmlformats.org/officeDocument/2006/relationships/hyperlink" Target="COTIZACIONES\VARIAS_FEBRERO.pdf" TargetMode="External"/><Relationship Id="rId64" Type="http://schemas.openxmlformats.org/officeDocument/2006/relationships/hyperlink" Target="COTIZACIONES/FEV2529.pdf" TargetMode="External"/><Relationship Id="rId69" Type="http://schemas.openxmlformats.org/officeDocument/2006/relationships/hyperlink" Target="COTIZACIONES\FEV2529.pdf" TargetMode="External"/><Relationship Id="rId113" Type="http://schemas.openxmlformats.org/officeDocument/2006/relationships/hyperlink" Target="https://medellingovco-my.sharepoint.com/:b:/g/personal/42828314_medellin_gov_co/EezewuCKSA1Dr1lOwvDapFcBtXt-bklYnoDdGNwJy5rmKg?e=nexpUN" TargetMode="External"/><Relationship Id="rId118" Type="http://schemas.openxmlformats.org/officeDocument/2006/relationships/hyperlink" Target="https://medellingovco-my.sharepoint.com/:b:/g/personal/42828314_medellin_gov_co/Ec7rDAb-HmhMn8HP6ZHjbCgBTjw0vfsW_By_NEtdCSQKbA?e=scnq3L" TargetMode="External"/><Relationship Id="rId80" Type="http://schemas.openxmlformats.org/officeDocument/2006/relationships/hyperlink" Target="COTIZACIONES\Cotizacion%20toscana%20Abakai.pdf" TargetMode="External"/><Relationship Id="rId85" Type="http://schemas.openxmlformats.org/officeDocument/2006/relationships/hyperlink" Target="COTIZACIONES\Cotizacion%20toscana%20Abakai.pdf" TargetMode="External"/><Relationship Id="rId12" Type="http://schemas.openxmlformats.org/officeDocument/2006/relationships/hyperlink" Target="COTIZACIONES\FE2421.pdf" TargetMode="External"/><Relationship Id="rId17" Type="http://schemas.openxmlformats.org/officeDocument/2006/relationships/hyperlink" Target="COTIZACIONES\FE2403.pdf" TargetMode="External"/><Relationship Id="rId33" Type="http://schemas.openxmlformats.org/officeDocument/2006/relationships/hyperlink" Target="COTIZACIONES\FEGB10709.pdf" TargetMode="External"/><Relationship Id="rId38" Type="http://schemas.openxmlformats.org/officeDocument/2006/relationships/hyperlink" Target="COTIZACIONES\VARIAS_FEBRERO.pdf" TargetMode="External"/><Relationship Id="rId59" Type="http://schemas.openxmlformats.org/officeDocument/2006/relationships/hyperlink" Target="COTIZACIONES\MDPA42994.pdf" TargetMode="External"/><Relationship Id="rId103" Type="http://schemas.openxmlformats.org/officeDocument/2006/relationships/hyperlink" Target="https://medellingovco-my.sharepoint.com/:b:/g/personal/42828314_medellin_gov_co/EVG8ysrLMLVPlTjC9Kb9UtcBJ-dRkTQBjngPA-dwaV4xIA?e=VMQ4T5" TargetMode="External"/><Relationship Id="rId108" Type="http://schemas.openxmlformats.org/officeDocument/2006/relationships/hyperlink" Target="https://medellingovco-my.sharepoint.com/:b:/g/personal/42828314_medellin_gov_co/EUqze2fYl1NKk5NiikXZCJMBbj5WzB8sv_lB2fByGogMjA?e=vMslcY" TargetMode="External"/><Relationship Id="rId124" Type="http://schemas.openxmlformats.org/officeDocument/2006/relationships/hyperlink" Target="https://medellingovco-my.sharepoint.com/:b:/g/personal/42828314_medellin_gov_co/EfIyqWqpxJZAtmf9UYgN3z4B6CkX9A74V6-4mo6ZaKmdlA?e=eCFzw4" TargetMode="External"/><Relationship Id="rId54" Type="http://schemas.openxmlformats.org/officeDocument/2006/relationships/hyperlink" Target="COTIZACIONES\VARIAS%20MARZO.pdf" TargetMode="External"/><Relationship Id="rId70" Type="http://schemas.openxmlformats.org/officeDocument/2006/relationships/hyperlink" Target="COTIZACIONES\6.%20COMERCIALIZADORA%20CEI_FE2506.pdf" TargetMode="External"/><Relationship Id="rId75" Type="http://schemas.openxmlformats.org/officeDocument/2006/relationships/hyperlink" Target="COTIZACIONES\7.%20HOMECENTER_4112100349679.pdf" TargetMode="External"/><Relationship Id="rId91" Type="http://schemas.openxmlformats.org/officeDocument/2006/relationships/hyperlink" Target="COTIZACIONES\Menaje%20almacenes%20la%2013.pdf" TargetMode="External"/><Relationship Id="rId96" Type="http://schemas.openxmlformats.org/officeDocument/2006/relationships/hyperlink" Target="COTIZACIONES\cotizacion-COMITE%20PRIVADO%20DE%20ATENCION%20A%20LA%20NI&#209;EZ.pdf" TargetMode="External"/><Relationship Id="rId1" Type="http://schemas.openxmlformats.org/officeDocument/2006/relationships/hyperlink" Target="COTIZACIONES\FRA%205646.pdf" TargetMode="External"/><Relationship Id="rId6" Type="http://schemas.openxmlformats.org/officeDocument/2006/relationships/hyperlink" Target="COTIZACIONES\FE2423.pdf" TargetMode="External"/><Relationship Id="rId23" Type="http://schemas.openxmlformats.org/officeDocument/2006/relationships/hyperlink" Target="COTIZACIONES\FE2415.pdf" TargetMode="External"/><Relationship Id="rId28" Type="http://schemas.openxmlformats.org/officeDocument/2006/relationships/hyperlink" Target="COTIZACIONES\FE2407.pdf" TargetMode="External"/><Relationship Id="rId49" Type="http://schemas.openxmlformats.org/officeDocument/2006/relationships/hyperlink" Target="../../../../../../../:b:/g/personal/42828314_medellin_gov_co/EUEZl6iD2WhCtCO8yWj9eDgBgY9UroOXwtN2KTgZQEdNFw?e=4l5E0k" TargetMode="External"/><Relationship Id="rId114" Type="http://schemas.openxmlformats.org/officeDocument/2006/relationships/hyperlink" Target="https://medellingovco-my.sharepoint.com/:b:/g/personal/42828314_medellin_gov_co/EVgIctF8JpxKsQLtkUziaSYBMiObtnPyo-vW8XqLf568_A?e=HuTPbW" TargetMode="External"/><Relationship Id="rId119" Type="http://schemas.openxmlformats.org/officeDocument/2006/relationships/hyperlink" Target="https://medellingovco-my.sharepoint.com/:b:/g/personal/42828314_medellin_gov_co/EVHQLgJNZ39Hsag1I_1K_pYBMkDzw1AYrBy_grokD4vx7A?e=BRKajB" TargetMode="External"/><Relationship Id="rId44" Type="http://schemas.openxmlformats.org/officeDocument/2006/relationships/hyperlink" Target="COTIZACIONES\VARIAS_FEBRERO.pdf" TargetMode="External"/><Relationship Id="rId60" Type="http://schemas.openxmlformats.org/officeDocument/2006/relationships/hyperlink" Target="COTIZACIONES\MDPA42994.pdf" TargetMode="External"/><Relationship Id="rId65" Type="http://schemas.openxmlformats.org/officeDocument/2006/relationships/hyperlink" Target="COTIZACIONES\FEV2529.pdf" TargetMode="External"/><Relationship Id="rId81" Type="http://schemas.openxmlformats.org/officeDocument/2006/relationships/hyperlink" Target="COTIZACIONES\Cotizacion%20toscana%20Abakai.pdf" TargetMode="External"/><Relationship Id="rId86" Type="http://schemas.openxmlformats.org/officeDocument/2006/relationships/hyperlink" Target="COTIZACIONES\Cotizacion%20toscana%20Abakai.pdf" TargetMode="External"/><Relationship Id="rId13" Type="http://schemas.openxmlformats.org/officeDocument/2006/relationships/hyperlink" Target="COTIZACIONES\FE2421.pdf" TargetMode="External"/><Relationship Id="rId18" Type="http://schemas.openxmlformats.org/officeDocument/2006/relationships/hyperlink" Target="COTIZACIONES\FE2413.pdf" TargetMode="External"/><Relationship Id="rId39" Type="http://schemas.openxmlformats.org/officeDocument/2006/relationships/hyperlink" Target="COTIZACIONES\VARIAS_FEBRERO.pdf" TargetMode="External"/><Relationship Id="rId109" Type="http://schemas.openxmlformats.org/officeDocument/2006/relationships/hyperlink" Target="https://medellingovco-my.sharepoint.com/:b:/g/personal/42828314_medellin_gov_co/EeYM4ZV2o7BNiN1ZmVBAsl0BuBava9EnAKzNY3F4NRPXfw?e=abK1d4" TargetMode="External"/><Relationship Id="rId34" Type="http://schemas.openxmlformats.org/officeDocument/2006/relationships/hyperlink" Target="COTIZACIONES\FVE%2030357.pdf" TargetMode="External"/><Relationship Id="rId50" Type="http://schemas.openxmlformats.org/officeDocument/2006/relationships/hyperlink" Target="COTIZACIONES\VARIAS%20MARZO.pdf" TargetMode="External"/><Relationship Id="rId55" Type="http://schemas.openxmlformats.org/officeDocument/2006/relationships/hyperlink" Target="COTIZACIONES\VARIAS%20MARZO.pdf" TargetMode="External"/><Relationship Id="rId76" Type="http://schemas.openxmlformats.org/officeDocument/2006/relationships/hyperlink" Target="COTIZACIONES\8.%20LA%20GRAN%20BODEGA_FEGB11341_.pdf" TargetMode="External"/><Relationship Id="rId97" Type="http://schemas.openxmlformats.org/officeDocument/2006/relationships/hyperlink" Target="COTIZACIONES\cotizacion-COMITE%20PRIVADO%20DE%20ATENCION%20A%20LA%20NI&#209;EZ.pdf" TargetMode="External"/><Relationship Id="rId104" Type="http://schemas.openxmlformats.org/officeDocument/2006/relationships/hyperlink" Target="https://medellingovco-my.sharepoint.com/:b:/g/personal/42828314_medellin_gov_co/EYGA_f-FG9FBlld31m92IAIBjZ6WZExm1PmOsRY-iiMEsg?e=hd2Xgd" TargetMode="External"/><Relationship Id="rId120" Type="http://schemas.openxmlformats.org/officeDocument/2006/relationships/hyperlink" Target="../../../../../../../:b:/g/personal/42828314_medellin_gov_co/EcDexQ4GOCtCkhz5aJQxYscBfZBHQkxMIJQP4QJQ5fXkQQ?e=bYSwWx" TargetMode="External"/><Relationship Id="rId125" Type="http://schemas.openxmlformats.org/officeDocument/2006/relationships/hyperlink" Target="https://medellingovco-my.sharepoint.com/:b:/g/personal/42828314_medellin_gov_co/Ecajkb-Hn6hPgMs5SEs-kdcBGaP_dzGeZmZg3LDB01iaBQ?e=rcR5vY" TargetMode="External"/><Relationship Id="rId7" Type="http://schemas.openxmlformats.org/officeDocument/2006/relationships/hyperlink" Target="COTIZACIONES\FE2423.pdf" TargetMode="External"/><Relationship Id="rId71" Type="http://schemas.openxmlformats.org/officeDocument/2006/relationships/hyperlink" Target="COTIZACIONES\6.%20COMERCIALIZADORA%20CEI_FE2506.pdf" TargetMode="External"/><Relationship Id="rId92" Type="http://schemas.openxmlformats.org/officeDocument/2006/relationships/hyperlink" Target="COTIZACIONES\Menaje%20almacenes%20la%2013.pdf" TargetMode="External"/><Relationship Id="rId2" Type="http://schemas.openxmlformats.org/officeDocument/2006/relationships/hyperlink" Target="COTIZACIONES\FRA%205646.pdf" TargetMode="External"/><Relationship Id="rId29" Type="http://schemas.openxmlformats.org/officeDocument/2006/relationships/hyperlink" Target="COTIZACIONES\FEM110347.pdf" TargetMode="External"/><Relationship Id="rId24" Type="http://schemas.openxmlformats.org/officeDocument/2006/relationships/hyperlink" Target="COTIZACIONES\FE2419.pdf" TargetMode="External"/><Relationship Id="rId40" Type="http://schemas.openxmlformats.org/officeDocument/2006/relationships/hyperlink" Target="COTIZACIONES\VARIAS_FEBRERO.pdf" TargetMode="External"/><Relationship Id="rId45" Type="http://schemas.openxmlformats.org/officeDocument/2006/relationships/hyperlink" Target="COTIZACIONES\VARIAS_FEBRERO.pdf" TargetMode="External"/><Relationship Id="rId66" Type="http://schemas.openxmlformats.org/officeDocument/2006/relationships/hyperlink" Target="COTIZACIONES\FEV2529.pdf" TargetMode="External"/><Relationship Id="rId87" Type="http://schemas.openxmlformats.org/officeDocument/2006/relationships/hyperlink" Target="COTIZACIONES\Cotizacion%20toscana%20Abakai.pdf" TargetMode="External"/><Relationship Id="rId110" Type="http://schemas.openxmlformats.org/officeDocument/2006/relationships/hyperlink" Target="https://www.almacenesla13.com/products/paila-aluminio-23-lt-profesional-imusa?srsltid=AfmBOoovjPRK4DbJs8_mvU_bCWu15dBMztjTLgBCq8LrLY7dMtERBzC6" TargetMode="External"/><Relationship Id="rId115" Type="http://schemas.openxmlformats.org/officeDocument/2006/relationships/hyperlink" Target="https://medellingovco-my.sharepoint.com/:b:/g/personal/42828314_medellin_gov_co/EU25lh2K4iNNskHBUV0pQwYBiHTaa_pBTGxN5Xy3jT4S7g?e=nls8Fu" TargetMode="External"/><Relationship Id="rId61" Type="http://schemas.openxmlformats.org/officeDocument/2006/relationships/hyperlink" Target="COTIZACIONES\MDPA42994.pdf" TargetMode="External"/><Relationship Id="rId82" Type="http://schemas.openxmlformats.org/officeDocument/2006/relationships/hyperlink" Target="COTIZACIONES\Cotizacion%20toscana%20Abakai.pdf" TargetMode="External"/><Relationship Id="rId19" Type="http://schemas.openxmlformats.org/officeDocument/2006/relationships/hyperlink" Target="COTIZACIONES\FE2413.pdf" TargetMode="External"/><Relationship Id="rId14" Type="http://schemas.openxmlformats.org/officeDocument/2006/relationships/hyperlink" Target="COTIZACIONES\FE2421.pdf" TargetMode="External"/><Relationship Id="rId30" Type="http://schemas.openxmlformats.org/officeDocument/2006/relationships/hyperlink" Target="COTIZACIONES\FEGB10709.pdf" TargetMode="External"/><Relationship Id="rId35" Type="http://schemas.openxmlformats.org/officeDocument/2006/relationships/hyperlink" Target="COTIZACIONES\FE%2023665.pdf" TargetMode="External"/><Relationship Id="rId56" Type="http://schemas.openxmlformats.org/officeDocument/2006/relationships/hyperlink" Target="COTIZACIONES\VARIAS%20MARZO.pdf" TargetMode="External"/><Relationship Id="rId77" Type="http://schemas.openxmlformats.org/officeDocument/2006/relationships/hyperlink" Target="COTIZACIONES/Cotizacion%20toscana%20Abakai.pdf" TargetMode="External"/><Relationship Id="rId100" Type="http://schemas.openxmlformats.org/officeDocument/2006/relationships/hyperlink" Target="https://medellingovco-my.sharepoint.com/:b:/g/personal/42828314_medellin_gov_co/ER-VfrIGqHdOhkW3AHONdwYBQ9a6JrPHZMH3a1j8MfKa_Q?e=5RzD49" TargetMode="External"/><Relationship Id="rId105" Type="http://schemas.openxmlformats.org/officeDocument/2006/relationships/hyperlink" Target="https://medellingovco-my.sharepoint.com/:b:/g/personal/42828314_medellin_gov_co/EdVnPIwSwXVOrm4gfr3tVhMBIdG-GjO_1p2NQDvWP4tjIg?e=thiwcI" TargetMode="External"/><Relationship Id="rId126" Type="http://schemas.openxmlformats.org/officeDocument/2006/relationships/hyperlink" Target="COTIZACIONES\Cotizacion%20toscana%20Abakai.pdf" TargetMode="External"/><Relationship Id="rId8" Type="http://schemas.openxmlformats.org/officeDocument/2006/relationships/hyperlink" Target="COTIZACIONES\FE2423.pdf" TargetMode="External"/><Relationship Id="rId51" Type="http://schemas.openxmlformats.org/officeDocument/2006/relationships/hyperlink" Target="COTIZACIONES\VARIAS%20MARZO.pdf" TargetMode="External"/><Relationship Id="rId72" Type="http://schemas.openxmlformats.org/officeDocument/2006/relationships/hyperlink" Target="COTIZACIONES\6.%20COMERCIALIZADORA%20CEI_FE2506.pdf" TargetMode="External"/><Relationship Id="rId93" Type="http://schemas.openxmlformats.org/officeDocument/2006/relationships/hyperlink" Target="COTIZACIONES\Menaje%20almacenes%20la%2013.pdf" TargetMode="External"/><Relationship Id="rId98" Type="http://schemas.openxmlformats.org/officeDocument/2006/relationships/hyperlink" Target="https://medellingovco-my.sharepoint.com/:b:/g/personal/42828314_medellin_gov_co/EZUcy8XUgk5Mt0WF03vPBhgBUug69X_01SYc977wZ13Xrw?e=epVcaA" TargetMode="External"/><Relationship Id="rId121" Type="http://schemas.openxmlformats.org/officeDocument/2006/relationships/hyperlink" Target="https://medellingovco-my.sharepoint.com/:b:/g/personal/42828314_medellin_gov_co/Edu75cKtPvdNnosQrjIL2Y4Bt9WwZlB1f2RNy4bPr0B5cA?e=Oy0gfq" TargetMode="External"/><Relationship Id="rId3" Type="http://schemas.openxmlformats.org/officeDocument/2006/relationships/hyperlink" Target="COTIZACIONES\FEV1187.pdf" TargetMode="External"/><Relationship Id="rId25" Type="http://schemas.openxmlformats.org/officeDocument/2006/relationships/hyperlink" Target="COTIZACIONES\FE2414.pdf" TargetMode="External"/><Relationship Id="rId46" Type="http://schemas.openxmlformats.org/officeDocument/2006/relationships/hyperlink" Target="COTIZACIONES\VARIAS_FEBRERO.pdf" TargetMode="External"/><Relationship Id="rId67" Type="http://schemas.openxmlformats.org/officeDocument/2006/relationships/hyperlink" Target="COTIZACIONES\FEV2529.pdf" TargetMode="External"/><Relationship Id="rId116" Type="http://schemas.openxmlformats.org/officeDocument/2006/relationships/hyperlink" Target="https://medellingovco-my.sharepoint.com/:b:/g/personal/42828314_medellin_gov_co/EbY0g_aa089MgPlCZboN550B9OY351v-7_YdxqPkHD1QbQ?e=QxmEbY" TargetMode="External"/><Relationship Id="rId20" Type="http://schemas.openxmlformats.org/officeDocument/2006/relationships/hyperlink" Target="COTIZACIONES\FE2412.pdf" TargetMode="External"/><Relationship Id="rId41" Type="http://schemas.openxmlformats.org/officeDocument/2006/relationships/hyperlink" Target="COTIZACIONES\VARIAS_FEBRERO.pdf" TargetMode="External"/><Relationship Id="rId62" Type="http://schemas.openxmlformats.org/officeDocument/2006/relationships/hyperlink" Target="COTIZACIONES\FE4113100326061.pdf" TargetMode="External"/><Relationship Id="rId83" Type="http://schemas.openxmlformats.org/officeDocument/2006/relationships/hyperlink" Target="COTIZACIONES\Cotizacion%20toscana%20Abakai.pdf" TargetMode="External"/><Relationship Id="rId88" Type="http://schemas.openxmlformats.org/officeDocument/2006/relationships/hyperlink" Target="COTIZACIONES\cotizacion-COMITE%20PRIVADO%20DE%20ATENCION%20A%20LA%20NI&#209;EZ.pdf" TargetMode="External"/><Relationship Id="rId111" Type="http://schemas.openxmlformats.org/officeDocument/2006/relationships/hyperlink" Target="https://medellingovco-my.sharepoint.com/:b:/g/personal/42828314_medellin_gov_co/EThAKRCo0utGrfp61-ApnFIBk2ORPaS1Hx1ZvIHcu2Z9Sg?e=544Iae" TargetMode="External"/><Relationship Id="rId15" Type="http://schemas.openxmlformats.org/officeDocument/2006/relationships/hyperlink" Target="COTIZACIONES\FE2421.pdf" TargetMode="External"/><Relationship Id="rId36" Type="http://schemas.openxmlformats.org/officeDocument/2006/relationships/hyperlink" Target="COTIZACIONES\FE%2023665.pdf" TargetMode="External"/><Relationship Id="rId57" Type="http://schemas.openxmlformats.org/officeDocument/2006/relationships/hyperlink" Target="COTIZACIONES\VARIAS%20MARZO.pdf" TargetMode="External"/><Relationship Id="rId106" Type="http://schemas.openxmlformats.org/officeDocument/2006/relationships/hyperlink" Target="https://mueblesdummi.com/product/olla-caldero-50-30-en-aluminio/" TargetMode="External"/><Relationship Id="rId127" Type="http://schemas.openxmlformats.org/officeDocument/2006/relationships/printerSettings" Target="../printerSettings/printerSettings4.bin"/><Relationship Id="rId10" Type="http://schemas.openxmlformats.org/officeDocument/2006/relationships/hyperlink" Target="../../../../../../../:b:/g/personal/42828314_medellin_gov_co/EamKsq5mggpHhUqTNYbS9H8BJP_-8H6mcf5KcrRXbaTysg?e=Rw3v1Q" TargetMode="External"/><Relationship Id="rId31" Type="http://schemas.openxmlformats.org/officeDocument/2006/relationships/hyperlink" Target="COTIZACIONES\FEGB10709.pdf" TargetMode="External"/><Relationship Id="rId52" Type="http://schemas.openxmlformats.org/officeDocument/2006/relationships/hyperlink" Target="COTIZACIONES\VARIAS%20MARZO.pdf" TargetMode="External"/><Relationship Id="rId73" Type="http://schemas.openxmlformats.org/officeDocument/2006/relationships/hyperlink" Target="COTIZACIONES\6.%20COMERCIALIZADORA%20CEI_FE2506.pdf" TargetMode="External"/><Relationship Id="rId78" Type="http://schemas.openxmlformats.org/officeDocument/2006/relationships/hyperlink" Target="COTIZACIONES\Cotizacion%20toscana%20Abakai.pdf" TargetMode="External"/><Relationship Id="rId94" Type="http://schemas.openxmlformats.org/officeDocument/2006/relationships/hyperlink" Target="COTIZACIONES\Menaje%20almacenes%20la%2013.pdf" TargetMode="External"/><Relationship Id="rId99" Type="http://schemas.openxmlformats.org/officeDocument/2006/relationships/hyperlink" Target="https://medellingovco-my.sharepoint.com/:b:/g/personal/42828314_medellin_gov_co/EbjB-xxolyBJu9iALs4QXuUBm5pMdOIRAiSkJbeBg77-Ag?e=QOC4BU" TargetMode="External"/><Relationship Id="rId101" Type="http://schemas.openxmlformats.org/officeDocument/2006/relationships/hyperlink" Target="https://medellingovco-my.sharepoint.com/:b:/g/personal/42828314_medellin_gov_co/Ed-00nnnng1MvJPQlYrOy4cBpwPn_urEEndQ6HS3V1Ze2A?e=LaLbO8" TargetMode="External"/><Relationship Id="rId122" Type="http://schemas.openxmlformats.org/officeDocument/2006/relationships/hyperlink" Target="../../../../../../../:b:/g/personal/42828314_medellin_gov_co/ESky61jiB61HrlvlebT010kBjh4_-Jf_EH0eBRh0ugHP1w?e=nyVmGJ" TargetMode="External"/><Relationship Id="rId4" Type="http://schemas.openxmlformats.org/officeDocument/2006/relationships/hyperlink" Target="COTIZACIONES\FE2405.pdf" TargetMode="External"/><Relationship Id="rId9" Type="http://schemas.openxmlformats.org/officeDocument/2006/relationships/hyperlink" Target="COTIZACIONES\FE2421.pdf"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b:/g/personal/42828314_medellin_gov_co/EX9SDoQhPIpFmtVckZJLPWIBRlUey4mOR2rsG0XxCABqWA?e=3mm1WP" TargetMode="External"/><Relationship Id="rId13" Type="http://schemas.openxmlformats.org/officeDocument/2006/relationships/hyperlink" Target="COTIZACIONES\FE2386.pdf" TargetMode="External"/><Relationship Id="rId18" Type="http://schemas.openxmlformats.org/officeDocument/2006/relationships/hyperlink" Target="https://medellingovco-my.sharepoint.com/:b:/g/personal/42828314_medellin_gov_co/EWQ9tswa1hhCtSF2CvYti-YBS3EpfWVhapvuXOe16FP4eQ?e=rBYFwd" TargetMode="External"/><Relationship Id="rId3" Type="http://schemas.openxmlformats.org/officeDocument/2006/relationships/hyperlink" Target="COTIZACIONES\FE2414.pdf" TargetMode="External"/><Relationship Id="rId21" Type="http://schemas.openxmlformats.org/officeDocument/2006/relationships/hyperlink" Target="https://medellingovco-my.sharepoint.com/:b:/g/personal/42828314_medellin_gov_co/ETonWn_HRZdMuOSe4IbzKwIB5WqPkpFTc863YUCGAKmWdQ?e=DfqLW3" TargetMode="External"/><Relationship Id="rId7" Type="http://schemas.openxmlformats.org/officeDocument/2006/relationships/hyperlink" Target="COTIZACIONES\FE68250247.pdf" TargetMode="External"/><Relationship Id="rId12" Type="http://schemas.openxmlformats.org/officeDocument/2006/relationships/hyperlink" Target="COTIZACIONES\6.%20COMERCIALIZADORA%20CEI_FE2506.pdf" TargetMode="External"/><Relationship Id="rId17" Type="http://schemas.openxmlformats.org/officeDocument/2006/relationships/hyperlink" Target="https://medellingovco-my.sharepoint.com/:b:/g/personal/42828314_medellin_gov_co/EVnvFoYYKSxOuA-ID99H6nQBaUjkvI8eh6jcLTkFc6fn9Q?e=1fcNYb" TargetMode="External"/><Relationship Id="rId25" Type="http://schemas.openxmlformats.org/officeDocument/2006/relationships/printerSettings" Target="../printerSettings/printerSettings5.bin"/><Relationship Id="rId2" Type="http://schemas.openxmlformats.org/officeDocument/2006/relationships/hyperlink" Target="../../../../../../../:b:/g/personal/42828314_medellin_gov_co/ETQ7gJ7jbg9HifriCejsdZABgrxnpkHh3lscDdgAJB__8Q?e=4FdRky" TargetMode="External"/><Relationship Id="rId16" Type="http://schemas.openxmlformats.org/officeDocument/2006/relationships/hyperlink" Target="https://medellingovco-my.sharepoint.com/:b:/g/personal/42828314_medellin_gov_co/EQi3EAjbYhpAg8oTEfaVZR4BFioZRjZTdM7-qTWGO352BA?e=YqGcEs" TargetMode="External"/><Relationship Id="rId20" Type="http://schemas.openxmlformats.org/officeDocument/2006/relationships/hyperlink" Target="../../../../../../../:b:/g/personal/42828314_medellin_gov_co/Ed2hMQP3SBlJrtKnBxrxfxABD1EL4uDy7BVFbPqFNPf77w?e=AG6eFN" TargetMode="External"/><Relationship Id="rId1" Type="http://schemas.openxmlformats.org/officeDocument/2006/relationships/hyperlink" Target="COTIZACIONES\FE2397.pdf" TargetMode="External"/><Relationship Id="rId6" Type="http://schemas.openxmlformats.org/officeDocument/2006/relationships/hyperlink" Target="../../../../../../../:b:/g/personal/42828314_medellin_gov_co/EY_fMkb6mmpJujGSwkBekDQBarjUU01CI7znPvMFJAbYKA?e=bU5Eno" TargetMode="External"/><Relationship Id="rId11" Type="http://schemas.openxmlformats.org/officeDocument/2006/relationships/hyperlink" Target="COTIZACIONES\FE2373.pdf" TargetMode="External"/><Relationship Id="rId24" Type="http://schemas.openxmlformats.org/officeDocument/2006/relationships/hyperlink" Target="https://medellingovco-my.sharepoint.com/:b:/g/personal/42828314_medellin_gov_co/EcKKHzWfoENLkcYAxZwhRtwBflddYNMMVMiHr5PMUfrRtA?e=1eCXJ5" TargetMode="External"/><Relationship Id="rId5" Type="http://schemas.openxmlformats.org/officeDocument/2006/relationships/hyperlink" Target="COTIZACIONES\FE35723.pdf" TargetMode="External"/><Relationship Id="rId15" Type="http://schemas.openxmlformats.org/officeDocument/2006/relationships/hyperlink" Target="https://medellingovco-my.sharepoint.com/:b:/g/personal/42828314_medellin_gov_co/EdvEFSTnoxVCk0Lcx9F9QVgB2JMtZ0cms4EAQvHaLVzO9Q?e=f32paR" TargetMode="External"/><Relationship Id="rId23" Type="http://schemas.openxmlformats.org/officeDocument/2006/relationships/hyperlink" Target="https://medellingovco-my.sharepoint.com/:b:/g/personal/42828314_medellin_gov_co/ERj_nc-YY4xFn_uHGP9hUM0BXi5s-DxJIcayiSkuaOJ7ug?e=fKyMUW" TargetMode="External"/><Relationship Id="rId10" Type="http://schemas.openxmlformats.org/officeDocument/2006/relationships/hyperlink" Target="COTIZACIONES\ELEC2376.pdf" TargetMode="External"/><Relationship Id="rId19" Type="http://schemas.openxmlformats.org/officeDocument/2006/relationships/hyperlink" Target="https://medellingovco-my.sharepoint.com/:b:/g/personal/42828314_medellin_gov_co/EdBdioEagSlCkusrKXMMQrAB3yOxBgV_KL0Bw8_XgZWvfg?e=JCVHut" TargetMode="External"/><Relationship Id="rId4" Type="http://schemas.openxmlformats.org/officeDocument/2006/relationships/hyperlink" Target="COTIZACIONES\FE2460.pdf" TargetMode="External"/><Relationship Id="rId9" Type="http://schemas.openxmlformats.org/officeDocument/2006/relationships/hyperlink" Target="COTIZACIONES\FM%2083355.pdf" TargetMode="External"/><Relationship Id="rId14" Type="http://schemas.openxmlformats.org/officeDocument/2006/relationships/hyperlink" Target="https://medellingovco-my.sharepoint.com/:b:/g/personal/42828314_medellin_gov_co/EdfyOZWFMtJKiSaIq_e_HdUB5lmAWzEBt_ug7QCYw_lDGQ?e=OBRsGp" TargetMode="External"/><Relationship Id="rId22" Type="http://schemas.openxmlformats.org/officeDocument/2006/relationships/hyperlink" Target="https://medellingovco-my.sharepoint.com/:b:/g/personal/42828314_medellin_gov_co/EaGPbVgJ3YVMpqvP9XLQ1YIBPQgnXjYyR6buTvopOPGyyA?e=Y97W6T" TargetMode="External"/></Relationships>
</file>

<file path=xl/worksheets/_rels/sheet6.xml.rels><?xml version="1.0" encoding="UTF-8" standalone="yes"?>
<Relationships xmlns="http://schemas.openxmlformats.org/package/2006/relationships"><Relationship Id="rId13" Type="http://schemas.openxmlformats.org/officeDocument/2006/relationships/hyperlink" Target="COTIZACIONES\COMITE%20PRIVADO%20DE%20ASISTENCIA%20A%20LA%20NI&#195;_EZ%20PAN%201065300.pdf" TargetMode="External"/><Relationship Id="rId18" Type="http://schemas.openxmlformats.org/officeDocument/2006/relationships/hyperlink" Target="../../../../../../../:b:/g/personal/42828314_medellin_gov_co/ETjDAR_EiS9NijXVkU6P0scBQZyhtgyAN_IdBoSlVWnWIw?e=Im2jH7" TargetMode="External"/><Relationship Id="rId26" Type="http://schemas.openxmlformats.org/officeDocument/2006/relationships/hyperlink" Target="https://medellingovco-my.sharepoint.com/:b:/g/personal/42828314_medellin_gov_co/EfEAhB2e-VVItYN0n6CZAqABWkOeuznchMR-ih648bvRCw?e=5hbV5J" TargetMode="External"/><Relationship Id="rId39" Type="http://schemas.openxmlformats.org/officeDocument/2006/relationships/hyperlink" Target="https://medellingovco-my.sharepoint.com/:b:/g/personal/42828314_medellin_gov_co/ESRG-Bn5vzZKmnYm9IxuhTwBXBOneLg0TfA3mEUtMnVMuQ?e=jRuhXf" TargetMode="External"/><Relationship Id="rId21" Type="http://schemas.openxmlformats.org/officeDocument/2006/relationships/hyperlink" Target="https://medellingovco-my.sharepoint.com/:b:/g/personal/42828314_medellin_gov_co/EVzPmjIjE2RNnfeWqYZAEEwBSr8tJZ3uCbeQIIvYGQk9mg?e=TzgR3i" TargetMode="External"/><Relationship Id="rId34" Type="http://schemas.openxmlformats.org/officeDocument/2006/relationships/hyperlink" Target="https://medellingovco-my.sharepoint.com/:b:/g/personal/42828314_medellin_gov_co/EV4O5d0GbQRHq6qk2NV_G-sBnEchGrYeaDlhAagGmb6tpA?e=Mf4PvL" TargetMode="External"/><Relationship Id="rId42" Type="http://schemas.openxmlformats.org/officeDocument/2006/relationships/hyperlink" Target="../../../../../../../:b:/g/personal/42828314_medellin_gov_co/EdyfOyXAygBJjORskDnMhQsBoy8z8W4efIKovyytHAmFJQ?e=EqB4RN" TargetMode="External"/><Relationship Id="rId7" Type="http://schemas.openxmlformats.org/officeDocument/2006/relationships/hyperlink" Target="COTIZACIONES\LU2961.pdf" TargetMode="External"/><Relationship Id="rId2" Type="http://schemas.openxmlformats.org/officeDocument/2006/relationships/hyperlink" Target="COTIZACIONES\FE4391.pdf" TargetMode="External"/><Relationship Id="rId16" Type="http://schemas.openxmlformats.org/officeDocument/2006/relationships/hyperlink" Target="https://medellingovco-my.sharepoint.com/:b:/g/personal/42828314_medellin_gov_co/EXQgGvnqamNOkbo90Nn5CrIB4BGDI9GISYk4EqJy8Y3g3Q?e=8c8lCd" TargetMode="External"/><Relationship Id="rId29" Type="http://schemas.openxmlformats.org/officeDocument/2006/relationships/hyperlink" Target="https://medellingovco-my.sharepoint.com/:b:/g/personal/42828314_medellin_gov_co/EQyP0-ZerVdIr-J5uXMLiokBgul1RrTPtZTySPIkHIoihw?e=AZTdnV" TargetMode="External"/><Relationship Id="rId1" Type="http://schemas.openxmlformats.org/officeDocument/2006/relationships/hyperlink" Target="COTIZACIONES\FE2416.pdf" TargetMode="External"/><Relationship Id="rId6" Type="http://schemas.openxmlformats.org/officeDocument/2006/relationships/hyperlink" Target="COTIZACIONES\FEV630.pdf" TargetMode="External"/><Relationship Id="rId11" Type="http://schemas.openxmlformats.org/officeDocument/2006/relationships/hyperlink" Target="COTIZACIONES\Cotizaci&#243;n%20Antropom&#233;tricos%20ABAKAI%20(1).pdf" TargetMode="External"/><Relationship Id="rId24" Type="http://schemas.openxmlformats.org/officeDocument/2006/relationships/hyperlink" Target="https://medellingovco-my.sharepoint.com/:b:/g/personal/42828314_medellin_gov_co/Ef07U8NXtb5LuE6uPIg6OLoB6NtOWYn7HMLv378KdHYdbg?e=9k3BeY" TargetMode="External"/><Relationship Id="rId32" Type="http://schemas.openxmlformats.org/officeDocument/2006/relationships/hyperlink" Target="https://medellingovco-my.sharepoint.com/:b:/g/personal/42828314_medellin_gov_co/EV8iSP_QNQBGi3EiuQ_lhKABt3EKmZ4riUX5s0o7m2e7yw?e=DpHXaj" TargetMode="External"/><Relationship Id="rId37" Type="http://schemas.openxmlformats.org/officeDocument/2006/relationships/hyperlink" Target="https://medellingovco-my.sharepoint.com/:b:/g/personal/42828314_medellin_gov_co/Ec68QgVaz6pOrxBIq4bd-h4BSc3139IA52J7-ImD_3bW7Q?e=u1avDB" TargetMode="External"/><Relationship Id="rId40" Type="http://schemas.openxmlformats.org/officeDocument/2006/relationships/hyperlink" Target="https://medellingovco-my.sharepoint.com/:b:/g/personal/42828314_medellin_gov_co/ERW7G3iK5yZLmG07f8g9uGMBJmm1X8Rkisdd0uE7yhSOyg?e=VW4KJY" TargetMode="External"/><Relationship Id="rId45" Type="http://schemas.openxmlformats.org/officeDocument/2006/relationships/hyperlink" Target="https://medellingovco-my.sharepoint.com/:b:/g/personal/42828314_medellin_gov_co/EY8nMfFqjcpJrqsCdNcn5cgBIm7MWfJom2Fp5Lvgsv6H_A?e=RgFuOw" TargetMode="External"/><Relationship Id="rId5" Type="http://schemas.openxmlformats.org/officeDocument/2006/relationships/hyperlink" Target="COTIZACIONES\LU2964.pdf" TargetMode="External"/><Relationship Id="rId15" Type="http://schemas.openxmlformats.org/officeDocument/2006/relationships/hyperlink" Target="https://medellingovco-my.sharepoint.com/:b:/g/personal/42828314_medellin_gov_co/EcPft0Xz88lIgQ3aRN3M138BXxrPu6sU6poLSHMloEucoA?e=7oJHsS" TargetMode="External"/><Relationship Id="rId23" Type="http://schemas.openxmlformats.org/officeDocument/2006/relationships/hyperlink" Target="https://medellingovco-my.sharepoint.com/:b:/g/personal/42828314_medellin_gov_co/ERQVT9mpzsJLqmDeEDdh3ukBASVNcrOX34gf5_imqx4xYA?e=vp4Bi5" TargetMode="External"/><Relationship Id="rId28" Type="http://schemas.openxmlformats.org/officeDocument/2006/relationships/hyperlink" Target="https://medellingovco-my.sharepoint.com/:b:/g/personal/42828314_medellin_gov_co/EXM_CI7lS6pOl5T5NZClho4BoMeUUZJE1-Pjd5wJd9u5jw?e=54WB6U" TargetMode="External"/><Relationship Id="rId36" Type="http://schemas.openxmlformats.org/officeDocument/2006/relationships/hyperlink" Target="../../../../../../../:b:/g/personal/42828314_medellin_gov_co/EYPHXAg0FFJIpbmDYXTeMnsB4aBdIc91rSAGusUlEydXEA?e=u5qIS3" TargetMode="External"/><Relationship Id="rId10" Type="http://schemas.openxmlformats.org/officeDocument/2006/relationships/hyperlink" Target="COTIZACIONES\Cotizaci&#243;n%20Antropom&#233;tricos%20ABAKAI%20(1).pdf" TargetMode="External"/><Relationship Id="rId19" Type="http://schemas.openxmlformats.org/officeDocument/2006/relationships/hyperlink" Target="https://medellingovco-my.sharepoint.com/:b:/g/personal/42828314_medellin_gov_co/EbnGOE3h9XlKql0A78mAbIUB-WBpgjOVOt349PtoxK8tig?e=fm5EF5" TargetMode="External"/><Relationship Id="rId31" Type="http://schemas.openxmlformats.org/officeDocument/2006/relationships/hyperlink" Target="https://medellingovco-my.sharepoint.com/:b:/g/personal/42828314_medellin_gov_co/ERUc5oKw1VhHicLrNjLayQIBAc4k5C8kHhsf5h2Qwefwnw?e=jPWgeA" TargetMode="External"/><Relationship Id="rId44" Type="http://schemas.openxmlformats.org/officeDocument/2006/relationships/hyperlink" Target="https://medellingovco-my.sharepoint.com/:b:/g/personal/42828314_medellin_gov_co/EQiGsChpT71DqP2Nkht-nGsBDyJbgxbsHK9ughAK2wX0vw?e=lGgCx7" TargetMode="External"/><Relationship Id="rId4" Type="http://schemas.openxmlformats.org/officeDocument/2006/relationships/hyperlink" Target="COTIZACIONES\FV19617.pdf" TargetMode="External"/><Relationship Id="rId9" Type="http://schemas.openxmlformats.org/officeDocument/2006/relationships/hyperlink" Target="COTIZACIONES\Presupuesto%20-%20CT6289.pdf" TargetMode="External"/><Relationship Id="rId14" Type="http://schemas.openxmlformats.org/officeDocument/2006/relationships/hyperlink" Target="https://medellingovco-my.sharepoint.com/:b:/g/personal/42828314_medellin_gov_co/EdfdY2eXWUBIgohtt5gqtKEBh3H7v8h39QcehwtwdQOnZg?e=lXYn4w" TargetMode="External"/><Relationship Id="rId22" Type="http://schemas.openxmlformats.org/officeDocument/2006/relationships/hyperlink" Target="https://medellingovco-my.sharepoint.com/:b:/g/personal/42828314_medellin_gov_co/EdQcS6BQn9hBo4XO_mz6LoUBlcuceTc9TGqVfBV2QX7zwA?e=ysDTRc" TargetMode="External"/><Relationship Id="rId27" Type="http://schemas.openxmlformats.org/officeDocument/2006/relationships/hyperlink" Target="https://medellingovco-my.sharepoint.com/:b:/g/personal/42828314_medellin_gov_co/EcSZf9ADkdlCklUgNNK7JNoByMp-B_qxP1N6QRZDGstsUw?e=r83hpe" TargetMode="External"/><Relationship Id="rId30" Type="http://schemas.openxmlformats.org/officeDocument/2006/relationships/hyperlink" Target="https://medellingovco-my.sharepoint.com/:b:/g/personal/42828314_medellin_gov_co/Ecxj11sVbUlHm5X3EpVFnQwBn89pxu7vod2_JMm_aYoWmA?e=MbQ2ns" TargetMode="External"/><Relationship Id="rId35" Type="http://schemas.openxmlformats.org/officeDocument/2006/relationships/hyperlink" Target="https://medellingovco-my.sharepoint.com/:b:/g/personal/42828314_medellin_gov_co/ET7MbIc7EKNFvV_zuZynpUEBs5ZkHNL-Rqcel5RWyvH8uA?e=WMs6Mf" TargetMode="External"/><Relationship Id="rId43" Type="http://schemas.openxmlformats.org/officeDocument/2006/relationships/hyperlink" Target="https://medellingovco-my.sharepoint.com/:b:/g/personal/42828314_medellin_gov_co/EVn_84Tf1ktCp4IsxIYpdegBnXSRmOie1ns5vt3mMF7hjw?e=rVFMk2" TargetMode="External"/><Relationship Id="rId8" Type="http://schemas.openxmlformats.org/officeDocument/2006/relationships/hyperlink" Target="COTIZACIONES\Presupuesto%20-%20CT6289.pdf" TargetMode="External"/><Relationship Id="rId3" Type="http://schemas.openxmlformats.org/officeDocument/2006/relationships/hyperlink" Target="COTIZACIONES\FE4391.pdf" TargetMode="External"/><Relationship Id="rId12" Type="http://schemas.openxmlformats.org/officeDocument/2006/relationships/hyperlink" Target="COTIZACIONES\COMITE%20PRIVADO%20DE%20ASISTENCIA%20A%20LA%20NI&#195;_EZ%20PAN%201065300.pdf" TargetMode="External"/><Relationship Id="rId17" Type="http://schemas.openxmlformats.org/officeDocument/2006/relationships/hyperlink" Target="https://medellingovco-my.sharepoint.com/:b:/g/personal/42828314_medellin_gov_co/ETObnY0S1jZCikM8nP07ea0BkA63era7BzaMkokZrBt1qQ?e=ILfqv3" TargetMode="External"/><Relationship Id="rId25" Type="http://schemas.openxmlformats.org/officeDocument/2006/relationships/hyperlink" Target="https://medellingovco-my.sharepoint.com/:b:/g/personal/42828314_medellin_gov_co/Ece9hb8o3VtBteg0v-gVGbMBUzkVGFFoec3OEtUw3cDkbQ?e=ECEMnB" TargetMode="External"/><Relationship Id="rId33" Type="http://schemas.openxmlformats.org/officeDocument/2006/relationships/hyperlink" Target="https://medellingovco-my.sharepoint.com/:b:/g/personal/42828314_medellin_gov_co/ETPOufyWTPRHuKquCD1btFoBnBLvpf6xrYJlMXvLri2nvw?e=0giBsj" TargetMode="External"/><Relationship Id="rId38" Type="http://schemas.openxmlformats.org/officeDocument/2006/relationships/hyperlink" Target="https://medellingovco-my.sharepoint.com/:b:/g/personal/42828314_medellin_gov_co/EdVey-HcwwtJtJSCyG8OViwB5ajzhej1NeFKGldJpbb_Qg?e=fmcwJ4" TargetMode="External"/><Relationship Id="rId46" Type="http://schemas.openxmlformats.org/officeDocument/2006/relationships/printerSettings" Target="../printerSettings/printerSettings6.bin"/><Relationship Id="rId20" Type="http://schemas.openxmlformats.org/officeDocument/2006/relationships/hyperlink" Target="../../../../../../../:b:/g/personal/42828314_medellin_gov_co/EdCqULFMvQdMiRQlY2GwtTsBu_jhGKoBY-m0iIUTXVqQPQ?e=68J0Z2" TargetMode="External"/><Relationship Id="rId41" Type="http://schemas.openxmlformats.org/officeDocument/2006/relationships/hyperlink" Target="https://medellingovco-my.sharepoint.com/:b:/g/personal/42828314_medellin_gov_co/EZ8cgob2B1lHqEX5Wh0mtisB5WN4O0dh5wMWJ_D5UWfv7w?e=INbKaj"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2CCA3-5998-48E6-8091-F8AF336A27AC}">
  <dimension ref="A1:AT989"/>
  <sheetViews>
    <sheetView tabSelected="1" topLeftCell="A73" zoomScale="77" zoomScaleNormal="77" workbookViewId="0">
      <selection activeCell="AS74" sqref="AS74"/>
    </sheetView>
  </sheetViews>
  <sheetFormatPr defaultColWidth="14.42578125" defaultRowHeight="15" customHeight="1"/>
  <cols>
    <col min="1" max="1" width="3.28515625" customWidth="1"/>
    <col min="2" max="2" width="17.5703125" customWidth="1"/>
    <col min="3" max="3" width="21.7109375" style="4" customWidth="1"/>
    <col min="4" max="4" width="51.28515625" hidden="1" customWidth="1"/>
    <col min="5" max="5" width="10.7109375" hidden="1" customWidth="1"/>
    <col min="6" max="12" width="17.7109375" style="40" hidden="1" customWidth="1"/>
    <col min="13" max="13" width="18.7109375" style="22" hidden="1" customWidth="1"/>
    <col min="14" max="14" width="14.28515625" style="4" hidden="1" customWidth="1"/>
    <col min="15" max="16" width="18.7109375" style="22" hidden="1" customWidth="1"/>
    <col min="17" max="17" width="14.28515625" style="4" hidden="1" customWidth="1"/>
    <col min="18" max="19" width="18.7109375" style="22" hidden="1" customWidth="1"/>
    <col min="20" max="20" width="14.28515625" style="4" hidden="1" customWidth="1"/>
    <col min="21" max="22" width="18.7109375" style="22" hidden="1" customWidth="1"/>
    <col min="23" max="23" width="14.28515625" style="4" hidden="1" customWidth="1"/>
    <col min="24" max="25" width="18.7109375" style="22" hidden="1" customWidth="1"/>
    <col min="26" max="26" width="14.28515625" style="4" hidden="1" customWidth="1"/>
    <col min="27" max="28" width="18.7109375" style="22" hidden="1" customWidth="1"/>
    <col min="29" max="29" width="14.28515625" style="4" hidden="1" customWidth="1"/>
    <col min="30" max="31" width="18.7109375" style="22" hidden="1" customWidth="1"/>
    <col min="32" max="32" width="14.28515625" style="4" hidden="1" customWidth="1"/>
    <col min="33" max="34" width="18.7109375" style="22" hidden="1" customWidth="1"/>
    <col min="35" max="35" width="14.28515625" style="4" hidden="1" customWidth="1"/>
    <col min="36" max="37" width="18.7109375" style="22" hidden="1" customWidth="1"/>
    <col min="38" max="38" width="14.28515625" style="4" hidden="1" customWidth="1"/>
    <col min="39" max="40" width="18.7109375" style="22" hidden="1" customWidth="1"/>
    <col min="41" max="41" width="14.28515625" style="4" customWidth="1"/>
    <col min="42" max="42" width="17.5703125" style="4" customWidth="1"/>
    <col min="43" max="43" width="21.85546875" style="4" customWidth="1"/>
    <col min="44" max="44" width="18.7109375" style="22" customWidth="1"/>
    <col min="45" max="45" width="23.7109375" style="22" customWidth="1"/>
    <col min="46" max="46" width="29.140625" style="4" customWidth="1"/>
  </cols>
  <sheetData>
    <row r="1" spans="1:46" ht="15" customHeight="1" thickBot="1"/>
    <row r="2" spans="1:46" ht="30" customHeight="1" thickBot="1">
      <c r="B2" s="217" t="s">
        <v>0</v>
      </c>
      <c r="C2" s="219" t="s">
        <v>1</v>
      </c>
      <c r="D2" s="221" t="s">
        <v>2</v>
      </c>
      <c r="E2" s="223" t="s">
        <v>3</v>
      </c>
      <c r="F2" s="225" t="s">
        <v>4</v>
      </c>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5"/>
      <c r="AO2" s="225"/>
      <c r="AP2" s="225"/>
      <c r="AQ2" s="225"/>
      <c r="AR2" s="225"/>
      <c r="AS2" s="225"/>
      <c r="AT2" s="226"/>
    </row>
    <row r="3" spans="1:46" ht="30" customHeight="1">
      <c r="B3" s="218"/>
      <c r="C3" s="220"/>
      <c r="D3" s="222"/>
      <c r="E3" s="224"/>
      <c r="F3" s="202" t="s">
        <v>5</v>
      </c>
      <c r="G3" s="203"/>
      <c r="H3" s="203"/>
      <c r="I3" s="203"/>
      <c r="J3" s="203"/>
      <c r="K3" s="203"/>
      <c r="L3" s="203"/>
      <c r="M3" s="204"/>
      <c r="N3" s="202" t="s">
        <v>6</v>
      </c>
      <c r="O3" s="203"/>
      <c r="P3" s="204"/>
      <c r="Q3" s="227" t="s">
        <v>7</v>
      </c>
      <c r="R3" s="228"/>
      <c r="S3" s="229"/>
      <c r="T3" s="227" t="s">
        <v>8</v>
      </c>
      <c r="U3" s="228"/>
      <c r="V3" s="229"/>
      <c r="W3" s="227" t="s">
        <v>9</v>
      </c>
      <c r="X3" s="228"/>
      <c r="Y3" s="229"/>
      <c r="Z3" s="202" t="s">
        <v>10</v>
      </c>
      <c r="AA3" s="203"/>
      <c r="AB3" s="204"/>
      <c r="AC3" s="202" t="s">
        <v>11</v>
      </c>
      <c r="AD3" s="203"/>
      <c r="AE3" s="204"/>
      <c r="AF3" s="202" t="s">
        <v>12</v>
      </c>
      <c r="AG3" s="203"/>
      <c r="AH3" s="204"/>
      <c r="AI3" s="202" t="s">
        <v>13</v>
      </c>
      <c r="AJ3" s="203"/>
      <c r="AK3" s="204"/>
      <c r="AL3" s="211" t="s">
        <v>14</v>
      </c>
      <c r="AM3" s="212"/>
      <c r="AN3" s="213"/>
      <c r="AO3" s="211" t="s">
        <v>15</v>
      </c>
      <c r="AP3" s="212"/>
      <c r="AQ3" s="212"/>
      <c r="AR3" s="212"/>
      <c r="AS3" s="213"/>
      <c r="AT3" s="214" t="s">
        <v>16</v>
      </c>
    </row>
    <row r="4" spans="1:46" ht="30" customHeight="1">
      <c r="B4" s="218"/>
      <c r="C4" s="220"/>
      <c r="D4" s="222"/>
      <c r="E4" s="224"/>
      <c r="F4" s="208" t="s">
        <v>17</v>
      </c>
      <c r="G4" s="209"/>
      <c r="H4" s="209"/>
      <c r="I4" s="209"/>
      <c r="J4" s="209"/>
      <c r="K4" s="210"/>
      <c r="L4" s="80" t="s">
        <v>18</v>
      </c>
      <c r="M4" s="84" t="s">
        <v>18</v>
      </c>
      <c r="N4" s="12" t="s">
        <v>19</v>
      </c>
      <c r="O4" s="23" t="s">
        <v>18</v>
      </c>
      <c r="P4" s="28" t="s">
        <v>20</v>
      </c>
      <c r="Q4" s="12" t="s">
        <v>19</v>
      </c>
      <c r="R4" s="23" t="s">
        <v>18</v>
      </c>
      <c r="S4" s="28" t="s">
        <v>20</v>
      </c>
      <c r="T4" s="12" t="s">
        <v>19</v>
      </c>
      <c r="U4" s="23" t="s">
        <v>18</v>
      </c>
      <c r="V4" s="28" t="s">
        <v>20</v>
      </c>
      <c r="W4" s="12" t="s">
        <v>19</v>
      </c>
      <c r="X4" s="23" t="s">
        <v>18</v>
      </c>
      <c r="Y4" s="28" t="s">
        <v>20</v>
      </c>
      <c r="Z4" s="12" t="s">
        <v>19</v>
      </c>
      <c r="AA4" s="23" t="s">
        <v>18</v>
      </c>
      <c r="AB4" s="28" t="s">
        <v>20</v>
      </c>
      <c r="AC4" s="12" t="s">
        <v>21</v>
      </c>
      <c r="AD4" s="23" t="s">
        <v>18</v>
      </c>
      <c r="AE4" s="28" t="s">
        <v>20</v>
      </c>
      <c r="AF4" s="12" t="s">
        <v>21</v>
      </c>
      <c r="AG4" s="23" t="s">
        <v>18</v>
      </c>
      <c r="AH4" s="28" t="s">
        <v>20</v>
      </c>
      <c r="AI4" s="12" t="s">
        <v>21</v>
      </c>
      <c r="AJ4" s="23" t="s">
        <v>18</v>
      </c>
      <c r="AK4" s="28" t="s">
        <v>20</v>
      </c>
      <c r="AL4" s="12" t="s">
        <v>21</v>
      </c>
      <c r="AM4" s="23" t="s">
        <v>18</v>
      </c>
      <c r="AN4" s="28" t="s">
        <v>20</v>
      </c>
      <c r="AO4" s="12" t="s">
        <v>21</v>
      </c>
      <c r="AP4" s="23" t="s">
        <v>22</v>
      </c>
      <c r="AQ4" s="80" t="s">
        <v>23</v>
      </c>
      <c r="AR4" s="79" t="s">
        <v>24</v>
      </c>
      <c r="AS4" s="28" t="s">
        <v>25</v>
      </c>
      <c r="AT4" s="215"/>
    </row>
    <row r="5" spans="1:46" ht="30" customHeight="1" thickBot="1">
      <c r="B5" s="218"/>
      <c r="C5" s="220"/>
      <c r="D5" s="222"/>
      <c r="E5" s="224"/>
      <c r="F5" s="107" t="s">
        <v>26</v>
      </c>
      <c r="G5" s="63" t="s">
        <v>27</v>
      </c>
      <c r="H5" s="110" t="s">
        <v>28</v>
      </c>
      <c r="I5" s="63" t="s">
        <v>27</v>
      </c>
      <c r="J5" s="110" t="s">
        <v>29</v>
      </c>
      <c r="K5" s="63" t="s">
        <v>27</v>
      </c>
      <c r="L5" s="86" t="s">
        <v>30</v>
      </c>
      <c r="M5" s="66" t="s">
        <v>31</v>
      </c>
      <c r="N5" s="65">
        <v>50</v>
      </c>
      <c r="O5" s="64" t="s">
        <v>32</v>
      </c>
      <c r="P5" s="66"/>
      <c r="Q5" s="65">
        <v>50</v>
      </c>
      <c r="R5" s="64" t="s">
        <v>32</v>
      </c>
      <c r="S5" s="66"/>
      <c r="T5" s="68" t="s">
        <v>33</v>
      </c>
      <c r="U5" s="64" t="s">
        <v>32</v>
      </c>
      <c r="V5" s="66"/>
      <c r="W5" s="68" t="s">
        <v>33</v>
      </c>
      <c r="X5" s="64" t="s">
        <v>32</v>
      </c>
      <c r="Y5" s="66"/>
      <c r="Z5" s="68" t="s">
        <v>33</v>
      </c>
      <c r="AA5" s="64" t="s">
        <v>32</v>
      </c>
      <c r="AB5" s="66"/>
      <c r="AC5" s="68" t="s">
        <v>34</v>
      </c>
      <c r="AD5" s="64" t="s">
        <v>32</v>
      </c>
      <c r="AE5" s="66"/>
      <c r="AF5" s="68" t="s">
        <v>34</v>
      </c>
      <c r="AG5" s="64" t="s">
        <v>32</v>
      </c>
      <c r="AH5" s="66"/>
      <c r="AI5" s="68" t="s">
        <v>34</v>
      </c>
      <c r="AJ5" s="64" t="s">
        <v>32</v>
      </c>
      <c r="AK5" s="66"/>
      <c r="AL5" s="68" t="s">
        <v>35</v>
      </c>
      <c r="AM5" s="64" t="s">
        <v>32</v>
      </c>
      <c r="AN5" s="66"/>
      <c r="AO5" s="68"/>
      <c r="AP5" s="67"/>
      <c r="AQ5" s="67"/>
      <c r="AR5" s="64" t="s">
        <v>32</v>
      </c>
      <c r="AS5" s="66"/>
      <c r="AT5" s="216"/>
    </row>
    <row r="6" spans="1:46" ht="123" customHeight="1">
      <c r="B6" s="205" t="s">
        <v>36</v>
      </c>
      <c r="C6" s="16" t="s">
        <v>37</v>
      </c>
      <c r="D6" s="21" t="s">
        <v>38</v>
      </c>
      <c r="E6" s="45" t="s">
        <v>39</v>
      </c>
      <c r="F6" s="108">
        <f>289000</f>
        <v>289000</v>
      </c>
      <c r="G6" s="87">
        <f>F6*1.19</f>
        <v>343910</v>
      </c>
      <c r="H6" s="115">
        <v>300000</v>
      </c>
      <c r="I6" s="87">
        <f t="shared" ref="I6:I73" si="0">H6*1.19</f>
        <v>357000</v>
      </c>
      <c r="J6" s="115">
        <v>289200</v>
      </c>
      <c r="K6" s="87">
        <f>J6*1.19</f>
        <v>344148</v>
      </c>
      <c r="L6" s="88">
        <f>AVERAGE(F6,H6,J6)</f>
        <v>292733.33333333331</v>
      </c>
      <c r="M6" s="31">
        <f>AVERAGE(G6,I6,K6)</f>
        <v>348352.66666666669</v>
      </c>
      <c r="N6" s="42">
        <v>1</v>
      </c>
      <c r="O6" s="39">
        <f>$M6</f>
        <v>348352.66666666669</v>
      </c>
      <c r="P6" s="31">
        <f t="shared" ref="P6:P64" si="1">N6*O6</f>
        <v>348352.66666666669</v>
      </c>
      <c r="Q6" s="42">
        <v>1</v>
      </c>
      <c r="R6" s="39">
        <f>$M6</f>
        <v>348352.66666666669</v>
      </c>
      <c r="S6" s="31">
        <f t="shared" ref="S6:S63" si="2">Q6*R6</f>
        <v>348352.66666666669</v>
      </c>
      <c r="T6" s="42">
        <v>1</v>
      </c>
      <c r="U6" s="39">
        <f>$M6</f>
        <v>348352.66666666669</v>
      </c>
      <c r="V6" s="31">
        <f t="shared" ref="V6:V63" si="3">T6*U6</f>
        <v>348352.66666666669</v>
      </c>
      <c r="W6" s="42">
        <v>1</v>
      </c>
      <c r="X6" s="39">
        <f>$M6</f>
        <v>348352.66666666669</v>
      </c>
      <c r="Y6" s="31">
        <f t="shared" ref="Y6:Y63" si="4">W6*X6</f>
        <v>348352.66666666669</v>
      </c>
      <c r="Z6" s="42">
        <v>1</v>
      </c>
      <c r="AA6" s="39">
        <f>$M6</f>
        <v>348352.66666666669</v>
      </c>
      <c r="AB6" s="31">
        <f t="shared" ref="AB6:AB63" si="5">Z6*AA6</f>
        <v>348352.66666666669</v>
      </c>
      <c r="AC6" s="42">
        <v>1</v>
      </c>
      <c r="AD6" s="39">
        <f>$M6</f>
        <v>348352.66666666669</v>
      </c>
      <c r="AE6" s="31">
        <f t="shared" ref="AE6:AE63" si="6">AC6*AD6</f>
        <v>348352.66666666669</v>
      </c>
      <c r="AF6" s="42">
        <v>1</v>
      </c>
      <c r="AG6" s="39">
        <f>$M6</f>
        <v>348352.66666666669</v>
      </c>
      <c r="AH6" s="31">
        <f t="shared" ref="AH6:AH63" si="7">AF6*AG6</f>
        <v>348352.66666666669</v>
      </c>
      <c r="AI6" s="42">
        <v>1</v>
      </c>
      <c r="AJ6" s="39">
        <f>$M6</f>
        <v>348352.66666666669</v>
      </c>
      <c r="AK6" s="31">
        <f t="shared" ref="AK6:AK63" si="8">AI6*AJ6</f>
        <v>348352.66666666669</v>
      </c>
      <c r="AL6" s="42">
        <v>0</v>
      </c>
      <c r="AM6" s="39">
        <f>$M6</f>
        <v>348352.66666666669</v>
      </c>
      <c r="AN6" s="31">
        <f>AL6*AM6</f>
        <v>0</v>
      </c>
      <c r="AO6" s="42">
        <f>N6+$Q6+$T6+$W6+$Z6+$AC6+$AF6+$AI6+$AL6</f>
        <v>8</v>
      </c>
      <c r="AP6" s="77">
        <f>$L6</f>
        <v>292733.33333333331</v>
      </c>
      <c r="AQ6" s="77">
        <f>AO6*AP6</f>
        <v>2341866.6666666665</v>
      </c>
      <c r="AR6" s="39">
        <f>$M6</f>
        <v>348352.66666666669</v>
      </c>
      <c r="AS6" s="31">
        <f t="shared" ref="AS6:AS37" si="9">AO6*AR6</f>
        <v>2786821.3333333335</v>
      </c>
      <c r="AT6" s="174" t="e" vm="1">
        <v>#VALUE!</v>
      </c>
    </row>
    <row r="7" spans="1:46" ht="121.5" customHeight="1">
      <c r="B7" s="206"/>
      <c r="C7" s="5" t="s">
        <v>40</v>
      </c>
      <c r="D7" s="7" t="s">
        <v>41</v>
      </c>
      <c r="E7" s="46" t="s">
        <v>39</v>
      </c>
      <c r="F7" s="109">
        <v>27000</v>
      </c>
      <c r="G7" s="41">
        <f t="shared" ref="G7:G73" si="10">F7*1.19</f>
        <v>32130</v>
      </c>
      <c r="H7" s="116">
        <v>20800</v>
      </c>
      <c r="I7" s="41">
        <f t="shared" si="0"/>
        <v>24752</v>
      </c>
      <c r="J7" s="116">
        <v>27150</v>
      </c>
      <c r="K7" s="41">
        <f t="shared" ref="K7:K73" si="11">J7*1.19</f>
        <v>32308.5</v>
      </c>
      <c r="L7" s="88">
        <f t="shared" ref="L7:L70" si="12">AVERAGE(F7,H7,J7)</f>
        <v>24983.333333333332</v>
      </c>
      <c r="M7" s="31">
        <f t="shared" ref="M7:M70" si="13">AVERAGE(G7,I7,K7)</f>
        <v>29730.166666666668</v>
      </c>
      <c r="N7" s="13">
        <v>5</v>
      </c>
      <c r="O7" s="26">
        <f t="shared" ref="O7:O67" si="14">$M7</f>
        <v>29730.166666666668</v>
      </c>
      <c r="P7" s="37">
        <f t="shared" si="1"/>
        <v>148650.83333333334</v>
      </c>
      <c r="Q7" s="13">
        <v>5</v>
      </c>
      <c r="R7" s="26">
        <f t="shared" ref="R7:R67" si="15">$M7</f>
        <v>29730.166666666668</v>
      </c>
      <c r="S7" s="37">
        <f t="shared" si="2"/>
        <v>148650.83333333334</v>
      </c>
      <c r="T7" s="13">
        <v>15</v>
      </c>
      <c r="U7" s="26">
        <f t="shared" ref="U7:U67" si="16">$M7</f>
        <v>29730.166666666668</v>
      </c>
      <c r="V7" s="37">
        <f t="shared" si="3"/>
        <v>445952.5</v>
      </c>
      <c r="W7" s="13">
        <v>15</v>
      </c>
      <c r="X7" s="26">
        <f t="shared" ref="X7:X67" si="17">$M7</f>
        <v>29730.166666666668</v>
      </c>
      <c r="Y7" s="37">
        <f t="shared" si="4"/>
        <v>445952.5</v>
      </c>
      <c r="Z7" s="13">
        <v>15</v>
      </c>
      <c r="AA7" s="26">
        <f t="shared" ref="AA7:AA67" si="18">$M7</f>
        <v>29730.166666666668</v>
      </c>
      <c r="AB7" s="37">
        <f t="shared" si="5"/>
        <v>445952.5</v>
      </c>
      <c r="AC7" s="13">
        <v>25</v>
      </c>
      <c r="AD7" s="26">
        <f t="shared" ref="AD7:AD67" si="19">$M7</f>
        <v>29730.166666666668</v>
      </c>
      <c r="AE7" s="37">
        <f t="shared" si="6"/>
        <v>743254.16666666674</v>
      </c>
      <c r="AF7" s="13">
        <v>25</v>
      </c>
      <c r="AG7" s="26">
        <f t="shared" ref="AG7:AG67" si="20">$M7</f>
        <v>29730.166666666668</v>
      </c>
      <c r="AH7" s="37">
        <f t="shared" si="7"/>
        <v>743254.16666666674</v>
      </c>
      <c r="AI7" s="13">
        <v>25</v>
      </c>
      <c r="AJ7" s="26">
        <f t="shared" ref="AJ7:AJ67" si="21">$M7</f>
        <v>29730.166666666668</v>
      </c>
      <c r="AK7" s="37">
        <f t="shared" si="8"/>
        <v>743254.16666666674</v>
      </c>
      <c r="AL7" s="13">
        <v>0</v>
      </c>
      <c r="AM7" s="26">
        <f t="shared" ref="AM7:AM67" si="22">$M7</f>
        <v>29730.166666666668</v>
      </c>
      <c r="AN7" s="37">
        <f t="shared" ref="AN7:AN63" si="23">AL7*AM7</f>
        <v>0</v>
      </c>
      <c r="AO7" s="13">
        <f t="shared" ref="AO7:AO65" si="24">N7+$Q7+$T7+$W7+$Z7+$AC7+$AF7+$AI7+$AL7</f>
        <v>130</v>
      </c>
      <c r="AP7" s="77">
        <f t="shared" ref="AP7:AP70" si="25">$L7</f>
        <v>24983.333333333332</v>
      </c>
      <c r="AQ7" s="77">
        <f>AO7*AP7</f>
        <v>3247833.333333333</v>
      </c>
      <c r="AR7" s="26">
        <f t="shared" ref="AR7:AR67" si="26">$M7</f>
        <v>29730.166666666668</v>
      </c>
      <c r="AS7" s="37">
        <f t="shared" si="9"/>
        <v>3864921.666666667</v>
      </c>
      <c r="AT7" s="56" t="e" vm="2">
        <v>#VALUE!</v>
      </c>
    </row>
    <row r="8" spans="1:46" ht="121.5" customHeight="1">
      <c r="B8" s="206"/>
      <c r="C8" s="5" t="s">
        <v>42</v>
      </c>
      <c r="D8" s="6" t="s">
        <v>43</v>
      </c>
      <c r="E8" s="46" t="s">
        <v>39</v>
      </c>
      <c r="F8" s="117">
        <v>30000</v>
      </c>
      <c r="G8" s="41">
        <f t="shared" si="10"/>
        <v>35700</v>
      </c>
      <c r="H8" s="116">
        <v>22400</v>
      </c>
      <c r="I8" s="41">
        <f t="shared" si="0"/>
        <v>26656</v>
      </c>
      <c r="J8" s="126">
        <v>12850</v>
      </c>
      <c r="K8" s="125">
        <f t="shared" si="11"/>
        <v>15291.5</v>
      </c>
      <c r="L8" s="88">
        <f t="shared" si="12"/>
        <v>21750</v>
      </c>
      <c r="M8" s="31">
        <f t="shared" si="13"/>
        <v>25882.5</v>
      </c>
      <c r="N8" s="13">
        <v>5</v>
      </c>
      <c r="O8" s="26">
        <f t="shared" si="14"/>
        <v>25882.5</v>
      </c>
      <c r="P8" s="37">
        <f t="shared" si="1"/>
        <v>129412.5</v>
      </c>
      <c r="Q8" s="13">
        <v>5</v>
      </c>
      <c r="R8" s="26">
        <f t="shared" si="15"/>
        <v>25882.5</v>
      </c>
      <c r="S8" s="37">
        <f t="shared" si="2"/>
        <v>129412.5</v>
      </c>
      <c r="T8" s="13">
        <v>15</v>
      </c>
      <c r="U8" s="26">
        <f t="shared" si="16"/>
        <v>25882.5</v>
      </c>
      <c r="V8" s="37">
        <f t="shared" si="3"/>
        <v>388237.5</v>
      </c>
      <c r="W8" s="13">
        <v>15</v>
      </c>
      <c r="X8" s="26">
        <f t="shared" si="17"/>
        <v>25882.5</v>
      </c>
      <c r="Y8" s="37">
        <f t="shared" si="4"/>
        <v>388237.5</v>
      </c>
      <c r="Z8" s="13">
        <v>25</v>
      </c>
      <c r="AA8" s="26">
        <f t="shared" si="18"/>
        <v>25882.5</v>
      </c>
      <c r="AB8" s="37">
        <f t="shared" si="5"/>
        <v>647062.5</v>
      </c>
      <c r="AC8" s="13">
        <v>25</v>
      </c>
      <c r="AD8" s="26">
        <f t="shared" si="19"/>
        <v>25882.5</v>
      </c>
      <c r="AE8" s="37">
        <f t="shared" si="6"/>
        <v>647062.5</v>
      </c>
      <c r="AF8" s="13">
        <v>25</v>
      </c>
      <c r="AG8" s="26">
        <f t="shared" si="20"/>
        <v>25882.5</v>
      </c>
      <c r="AH8" s="37">
        <f t="shared" si="7"/>
        <v>647062.5</v>
      </c>
      <c r="AI8" s="13">
        <v>25</v>
      </c>
      <c r="AJ8" s="26">
        <f t="shared" si="21"/>
        <v>25882.5</v>
      </c>
      <c r="AK8" s="37">
        <f t="shared" si="8"/>
        <v>647062.5</v>
      </c>
      <c r="AL8" s="13">
        <v>0</v>
      </c>
      <c r="AM8" s="26">
        <f t="shared" si="22"/>
        <v>25882.5</v>
      </c>
      <c r="AN8" s="37">
        <f t="shared" si="23"/>
        <v>0</v>
      </c>
      <c r="AO8" s="13">
        <f t="shared" si="24"/>
        <v>140</v>
      </c>
      <c r="AP8" s="77">
        <f t="shared" si="25"/>
        <v>21750</v>
      </c>
      <c r="AQ8" s="77">
        <f>AO8*AP8</f>
        <v>3045000</v>
      </c>
      <c r="AR8" s="26">
        <f t="shared" si="26"/>
        <v>25882.5</v>
      </c>
      <c r="AS8" s="37">
        <f t="shared" si="9"/>
        <v>3623550</v>
      </c>
      <c r="AT8" s="56" t="e" vm="3">
        <v>#VALUE!</v>
      </c>
    </row>
    <row r="9" spans="1:46" ht="121.5" customHeight="1">
      <c r="B9" s="206"/>
      <c r="C9" s="8" t="s">
        <v>44</v>
      </c>
      <c r="D9" s="6" t="s">
        <v>45</v>
      </c>
      <c r="E9" s="46" t="s">
        <v>39</v>
      </c>
      <c r="F9" s="117">
        <v>90000</v>
      </c>
      <c r="G9" s="41">
        <f t="shared" si="10"/>
        <v>107100</v>
      </c>
      <c r="H9" s="116">
        <v>82500</v>
      </c>
      <c r="I9" s="41">
        <f t="shared" si="0"/>
        <v>98175</v>
      </c>
      <c r="J9" s="126">
        <f>59900/1.19</f>
        <v>50336.134453781517</v>
      </c>
      <c r="K9" s="125">
        <f t="shared" si="11"/>
        <v>59900</v>
      </c>
      <c r="L9" s="88">
        <f t="shared" si="12"/>
        <v>74278.711484593849</v>
      </c>
      <c r="M9" s="31">
        <f t="shared" si="13"/>
        <v>88391.666666666672</v>
      </c>
      <c r="N9" s="13">
        <v>1</v>
      </c>
      <c r="O9" s="26">
        <f t="shared" si="14"/>
        <v>88391.666666666672</v>
      </c>
      <c r="P9" s="37">
        <f t="shared" si="1"/>
        <v>88391.666666666672</v>
      </c>
      <c r="Q9" s="13">
        <v>1</v>
      </c>
      <c r="R9" s="26">
        <f t="shared" si="15"/>
        <v>88391.666666666672</v>
      </c>
      <c r="S9" s="37">
        <f t="shared" si="2"/>
        <v>88391.666666666672</v>
      </c>
      <c r="T9" s="13">
        <v>1</v>
      </c>
      <c r="U9" s="26">
        <f t="shared" si="16"/>
        <v>88391.666666666672</v>
      </c>
      <c r="V9" s="37">
        <f t="shared" si="3"/>
        <v>88391.666666666672</v>
      </c>
      <c r="W9" s="13">
        <v>1</v>
      </c>
      <c r="X9" s="26">
        <f t="shared" si="17"/>
        <v>88391.666666666672</v>
      </c>
      <c r="Y9" s="37">
        <f t="shared" si="4"/>
        <v>88391.666666666672</v>
      </c>
      <c r="Z9" s="13">
        <v>1</v>
      </c>
      <c r="AA9" s="26">
        <f t="shared" si="18"/>
        <v>88391.666666666672</v>
      </c>
      <c r="AB9" s="37">
        <f t="shared" si="5"/>
        <v>88391.666666666672</v>
      </c>
      <c r="AC9" s="13">
        <v>1</v>
      </c>
      <c r="AD9" s="26">
        <f t="shared" si="19"/>
        <v>88391.666666666672</v>
      </c>
      <c r="AE9" s="37">
        <f t="shared" si="6"/>
        <v>88391.666666666672</v>
      </c>
      <c r="AF9" s="13">
        <v>1</v>
      </c>
      <c r="AG9" s="26">
        <f t="shared" si="20"/>
        <v>88391.666666666672</v>
      </c>
      <c r="AH9" s="37">
        <f t="shared" si="7"/>
        <v>88391.666666666672</v>
      </c>
      <c r="AI9" s="13">
        <v>1</v>
      </c>
      <c r="AJ9" s="26">
        <f t="shared" si="21"/>
        <v>88391.666666666672</v>
      </c>
      <c r="AK9" s="37">
        <f t="shared" si="8"/>
        <v>88391.666666666672</v>
      </c>
      <c r="AL9" s="13">
        <v>0</v>
      </c>
      <c r="AM9" s="26">
        <f t="shared" si="22"/>
        <v>88391.666666666672</v>
      </c>
      <c r="AN9" s="37">
        <f t="shared" si="23"/>
        <v>0</v>
      </c>
      <c r="AO9" s="13">
        <f t="shared" si="24"/>
        <v>8</v>
      </c>
      <c r="AP9" s="77">
        <f t="shared" si="25"/>
        <v>74278.711484593849</v>
      </c>
      <c r="AQ9" s="77">
        <f>AO9*AP9</f>
        <v>594229.69187675079</v>
      </c>
      <c r="AR9" s="26">
        <f t="shared" si="26"/>
        <v>88391.666666666672</v>
      </c>
      <c r="AS9" s="37">
        <f t="shared" si="9"/>
        <v>707133.33333333337</v>
      </c>
      <c r="AT9" s="56" t="e" vm="4">
        <v>#VALUE!</v>
      </c>
    </row>
    <row r="10" spans="1:46" ht="121.5" customHeight="1">
      <c r="B10" s="206"/>
      <c r="C10" s="5" t="s">
        <v>46</v>
      </c>
      <c r="D10" s="6" t="s">
        <v>47</v>
      </c>
      <c r="E10" s="46" t="s">
        <v>39</v>
      </c>
      <c r="F10" s="124">
        <v>13500</v>
      </c>
      <c r="G10" s="125">
        <f t="shared" si="10"/>
        <v>16065</v>
      </c>
      <c r="H10" s="116">
        <v>24500</v>
      </c>
      <c r="I10" s="41">
        <f t="shared" si="0"/>
        <v>29155</v>
      </c>
      <c r="J10" s="116">
        <v>24000</v>
      </c>
      <c r="K10" s="41">
        <f t="shared" si="11"/>
        <v>28560</v>
      </c>
      <c r="L10" s="88">
        <f t="shared" si="12"/>
        <v>20666.666666666668</v>
      </c>
      <c r="M10" s="31">
        <f t="shared" si="13"/>
        <v>24593.333333333332</v>
      </c>
      <c r="N10" s="13">
        <v>5</v>
      </c>
      <c r="O10" s="26">
        <f t="shared" si="14"/>
        <v>24593.333333333332</v>
      </c>
      <c r="P10" s="37">
        <f t="shared" si="1"/>
        <v>122966.66666666666</v>
      </c>
      <c r="Q10" s="13">
        <v>5</v>
      </c>
      <c r="R10" s="26">
        <f t="shared" si="15"/>
        <v>24593.333333333332</v>
      </c>
      <c r="S10" s="37">
        <f t="shared" si="2"/>
        <v>122966.66666666666</v>
      </c>
      <c r="T10" s="13">
        <v>15</v>
      </c>
      <c r="U10" s="26">
        <f t="shared" si="16"/>
        <v>24593.333333333332</v>
      </c>
      <c r="V10" s="37">
        <f t="shared" si="3"/>
        <v>368900</v>
      </c>
      <c r="W10" s="13">
        <v>15</v>
      </c>
      <c r="X10" s="26">
        <f t="shared" si="17"/>
        <v>24593.333333333332</v>
      </c>
      <c r="Y10" s="37">
        <f t="shared" si="4"/>
        <v>368900</v>
      </c>
      <c r="Z10" s="13">
        <v>12</v>
      </c>
      <c r="AA10" s="26">
        <f t="shared" si="18"/>
        <v>24593.333333333332</v>
      </c>
      <c r="AB10" s="37">
        <f t="shared" si="5"/>
        <v>295120</v>
      </c>
      <c r="AC10" s="13">
        <v>12</v>
      </c>
      <c r="AD10" s="26">
        <f t="shared" si="19"/>
        <v>24593.333333333332</v>
      </c>
      <c r="AE10" s="37">
        <f t="shared" si="6"/>
        <v>295120</v>
      </c>
      <c r="AF10" s="13">
        <v>12</v>
      </c>
      <c r="AG10" s="26">
        <f t="shared" si="20"/>
        <v>24593.333333333332</v>
      </c>
      <c r="AH10" s="37">
        <f t="shared" si="7"/>
        <v>295120</v>
      </c>
      <c r="AI10" s="13">
        <v>12</v>
      </c>
      <c r="AJ10" s="26">
        <f t="shared" si="21"/>
        <v>24593.333333333332</v>
      </c>
      <c r="AK10" s="37">
        <f t="shared" si="8"/>
        <v>295120</v>
      </c>
      <c r="AL10" s="13">
        <v>0</v>
      </c>
      <c r="AM10" s="26">
        <f t="shared" si="22"/>
        <v>24593.333333333332</v>
      </c>
      <c r="AN10" s="37">
        <f t="shared" si="23"/>
        <v>0</v>
      </c>
      <c r="AO10" s="13">
        <f t="shared" si="24"/>
        <v>88</v>
      </c>
      <c r="AP10" s="77">
        <f t="shared" si="25"/>
        <v>20666.666666666668</v>
      </c>
      <c r="AQ10" s="77">
        <f t="shared" ref="AQ10:AQ70" si="27">AO10*AP10</f>
        <v>1818666.6666666667</v>
      </c>
      <c r="AR10" s="26">
        <f t="shared" si="26"/>
        <v>24593.333333333332</v>
      </c>
      <c r="AS10" s="37">
        <f t="shared" si="9"/>
        <v>2164213.333333333</v>
      </c>
      <c r="AT10" s="56" t="e" vm="5">
        <v>#VALUE!</v>
      </c>
    </row>
    <row r="11" spans="1:46" ht="121.5" customHeight="1">
      <c r="B11" s="206"/>
      <c r="C11" s="5" t="s">
        <v>48</v>
      </c>
      <c r="D11" s="6" t="s">
        <v>49</v>
      </c>
      <c r="E11" s="46" t="s">
        <v>39</v>
      </c>
      <c r="F11" s="117">
        <v>100000</v>
      </c>
      <c r="G11" s="41">
        <f t="shared" si="10"/>
        <v>119000</v>
      </c>
      <c r="H11" s="116">
        <f>133700/1.19</f>
        <v>112352.94117647059</v>
      </c>
      <c r="I11" s="41">
        <f t="shared" si="0"/>
        <v>133700</v>
      </c>
      <c r="J11" s="116">
        <f>161300/1.19</f>
        <v>135546.21848739497</v>
      </c>
      <c r="K11" s="41">
        <f t="shared" si="11"/>
        <v>161300</v>
      </c>
      <c r="L11" s="88">
        <f t="shared" si="12"/>
        <v>115966.38655462186</v>
      </c>
      <c r="M11" s="31">
        <f t="shared" si="13"/>
        <v>138000</v>
      </c>
      <c r="N11" s="13">
        <v>1</v>
      </c>
      <c r="O11" s="26">
        <f t="shared" si="14"/>
        <v>138000</v>
      </c>
      <c r="P11" s="37">
        <f t="shared" si="1"/>
        <v>138000</v>
      </c>
      <c r="Q11" s="13">
        <v>1</v>
      </c>
      <c r="R11" s="26">
        <f t="shared" si="15"/>
        <v>138000</v>
      </c>
      <c r="S11" s="37">
        <f t="shared" si="2"/>
        <v>138000</v>
      </c>
      <c r="T11" s="13">
        <v>1</v>
      </c>
      <c r="U11" s="26">
        <f t="shared" si="16"/>
        <v>138000</v>
      </c>
      <c r="V11" s="37">
        <f t="shared" si="3"/>
        <v>138000</v>
      </c>
      <c r="W11" s="13">
        <v>1</v>
      </c>
      <c r="X11" s="26">
        <f t="shared" si="17"/>
        <v>138000</v>
      </c>
      <c r="Y11" s="37">
        <f t="shared" si="4"/>
        <v>138000</v>
      </c>
      <c r="Z11" s="13">
        <v>2</v>
      </c>
      <c r="AA11" s="26">
        <f t="shared" si="18"/>
        <v>138000</v>
      </c>
      <c r="AB11" s="37">
        <f t="shared" si="5"/>
        <v>276000</v>
      </c>
      <c r="AC11" s="13">
        <v>2</v>
      </c>
      <c r="AD11" s="26">
        <f t="shared" si="19"/>
        <v>138000</v>
      </c>
      <c r="AE11" s="37">
        <f t="shared" si="6"/>
        <v>276000</v>
      </c>
      <c r="AF11" s="13">
        <v>2</v>
      </c>
      <c r="AG11" s="26">
        <f t="shared" si="20"/>
        <v>138000</v>
      </c>
      <c r="AH11" s="37">
        <f t="shared" si="7"/>
        <v>276000</v>
      </c>
      <c r="AI11" s="13">
        <v>2</v>
      </c>
      <c r="AJ11" s="26">
        <f t="shared" si="21"/>
        <v>138000</v>
      </c>
      <c r="AK11" s="37">
        <f t="shared" si="8"/>
        <v>276000</v>
      </c>
      <c r="AL11" s="13">
        <v>0</v>
      </c>
      <c r="AM11" s="26">
        <f t="shared" si="22"/>
        <v>138000</v>
      </c>
      <c r="AN11" s="37">
        <f t="shared" si="23"/>
        <v>0</v>
      </c>
      <c r="AO11" s="13">
        <f t="shared" si="24"/>
        <v>12</v>
      </c>
      <c r="AP11" s="77">
        <f t="shared" si="25"/>
        <v>115966.38655462186</v>
      </c>
      <c r="AQ11" s="77">
        <f t="shared" si="27"/>
        <v>1391596.6386554623</v>
      </c>
      <c r="AR11" s="26">
        <f t="shared" si="26"/>
        <v>138000</v>
      </c>
      <c r="AS11" s="37">
        <f t="shared" si="9"/>
        <v>1656000</v>
      </c>
      <c r="AT11" s="56" t="e" vm="6">
        <v>#VALUE!</v>
      </c>
    </row>
    <row r="12" spans="1:46" ht="121.5" customHeight="1">
      <c r="B12" s="206"/>
      <c r="C12" s="8" t="s">
        <v>50</v>
      </c>
      <c r="D12" s="6" t="s">
        <v>51</v>
      </c>
      <c r="E12" s="46" t="s">
        <v>39</v>
      </c>
      <c r="F12" s="109">
        <v>180252</v>
      </c>
      <c r="G12" s="41">
        <f t="shared" si="10"/>
        <v>214499.88</v>
      </c>
      <c r="H12" s="116">
        <v>150000</v>
      </c>
      <c r="I12" s="41">
        <f t="shared" si="0"/>
        <v>178500</v>
      </c>
      <c r="J12" s="116">
        <f>151900/1.19</f>
        <v>127647.05882352941</v>
      </c>
      <c r="K12" s="41">
        <f t="shared" si="11"/>
        <v>151900</v>
      </c>
      <c r="L12" s="88">
        <f t="shared" si="12"/>
        <v>152633.01960784313</v>
      </c>
      <c r="M12" s="31">
        <f t="shared" si="13"/>
        <v>181633.29333333333</v>
      </c>
      <c r="N12" s="13">
        <v>3</v>
      </c>
      <c r="O12" s="26">
        <f t="shared" si="14"/>
        <v>181633.29333333333</v>
      </c>
      <c r="P12" s="37">
        <f t="shared" si="1"/>
        <v>544899.88</v>
      </c>
      <c r="Q12" s="13">
        <v>3</v>
      </c>
      <c r="R12" s="26">
        <f t="shared" si="15"/>
        <v>181633.29333333333</v>
      </c>
      <c r="S12" s="37">
        <f t="shared" si="2"/>
        <v>544899.88</v>
      </c>
      <c r="T12" s="13">
        <v>5</v>
      </c>
      <c r="U12" s="26">
        <f t="shared" si="16"/>
        <v>181633.29333333333</v>
      </c>
      <c r="V12" s="37">
        <f t="shared" si="3"/>
        <v>908166.46666666667</v>
      </c>
      <c r="W12" s="13">
        <v>5</v>
      </c>
      <c r="X12" s="26">
        <f t="shared" si="17"/>
        <v>181633.29333333333</v>
      </c>
      <c r="Y12" s="37">
        <f t="shared" si="4"/>
        <v>908166.46666666667</v>
      </c>
      <c r="Z12" s="13">
        <v>15</v>
      </c>
      <c r="AA12" s="26">
        <f t="shared" si="18"/>
        <v>181633.29333333333</v>
      </c>
      <c r="AB12" s="37">
        <f t="shared" si="5"/>
        <v>2724499.4</v>
      </c>
      <c r="AC12" s="13">
        <v>15</v>
      </c>
      <c r="AD12" s="26">
        <f t="shared" si="19"/>
        <v>181633.29333333333</v>
      </c>
      <c r="AE12" s="37">
        <f t="shared" si="6"/>
        <v>2724499.4</v>
      </c>
      <c r="AF12" s="13">
        <v>15</v>
      </c>
      <c r="AG12" s="26">
        <f t="shared" si="20"/>
        <v>181633.29333333333</v>
      </c>
      <c r="AH12" s="37">
        <f t="shared" si="7"/>
        <v>2724499.4</v>
      </c>
      <c r="AI12" s="13">
        <v>15</v>
      </c>
      <c r="AJ12" s="26">
        <f t="shared" si="21"/>
        <v>181633.29333333333</v>
      </c>
      <c r="AK12" s="37">
        <f t="shared" si="8"/>
        <v>2724499.4</v>
      </c>
      <c r="AL12" s="13">
        <v>0</v>
      </c>
      <c r="AM12" s="26">
        <f t="shared" si="22"/>
        <v>181633.29333333333</v>
      </c>
      <c r="AN12" s="37">
        <f t="shared" si="23"/>
        <v>0</v>
      </c>
      <c r="AO12" s="13">
        <f t="shared" si="24"/>
        <v>76</v>
      </c>
      <c r="AP12" s="77">
        <f t="shared" si="25"/>
        <v>152633.01960784313</v>
      </c>
      <c r="AQ12" s="77">
        <f t="shared" si="27"/>
        <v>11600109.490196079</v>
      </c>
      <c r="AR12" s="26">
        <f t="shared" si="26"/>
        <v>181633.29333333333</v>
      </c>
      <c r="AS12" s="37">
        <f t="shared" si="9"/>
        <v>13804130.293333333</v>
      </c>
      <c r="AT12" s="56" t="e" vm="7">
        <v>#VALUE!</v>
      </c>
    </row>
    <row r="13" spans="1:46" ht="126.75" customHeight="1">
      <c r="B13" s="206"/>
      <c r="C13" s="8" t="s">
        <v>52</v>
      </c>
      <c r="D13" s="6" t="s">
        <v>53</v>
      </c>
      <c r="E13" s="46" t="s">
        <v>39</v>
      </c>
      <c r="F13" s="124">
        <v>183371</v>
      </c>
      <c r="G13" s="125">
        <f t="shared" si="10"/>
        <v>218211.49</v>
      </c>
      <c r="H13" s="116">
        <v>71400</v>
      </c>
      <c r="I13" s="41">
        <f t="shared" si="0"/>
        <v>84966</v>
      </c>
      <c r="J13" s="116">
        <f>59900/1.19</f>
        <v>50336.134453781517</v>
      </c>
      <c r="K13" s="41">
        <f t="shared" si="11"/>
        <v>59900</v>
      </c>
      <c r="L13" s="88">
        <f t="shared" si="12"/>
        <v>101702.37815126051</v>
      </c>
      <c r="M13" s="31">
        <f t="shared" si="13"/>
        <v>121025.83</v>
      </c>
      <c r="N13" s="13">
        <v>5</v>
      </c>
      <c r="O13" s="26">
        <f t="shared" si="14"/>
        <v>121025.83</v>
      </c>
      <c r="P13" s="37">
        <f t="shared" si="1"/>
        <v>605129.15</v>
      </c>
      <c r="Q13" s="13">
        <v>5</v>
      </c>
      <c r="R13" s="26">
        <f t="shared" si="15"/>
        <v>121025.83</v>
      </c>
      <c r="S13" s="37">
        <f t="shared" si="2"/>
        <v>605129.15</v>
      </c>
      <c r="T13" s="13">
        <v>15</v>
      </c>
      <c r="U13" s="26">
        <f t="shared" si="16"/>
        <v>121025.83</v>
      </c>
      <c r="V13" s="37">
        <f t="shared" si="3"/>
        <v>1815387.45</v>
      </c>
      <c r="W13" s="13">
        <v>15</v>
      </c>
      <c r="X13" s="26">
        <f t="shared" si="17"/>
        <v>121025.83</v>
      </c>
      <c r="Y13" s="37">
        <f t="shared" si="4"/>
        <v>1815387.45</v>
      </c>
      <c r="Z13" s="13">
        <v>25</v>
      </c>
      <c r="AA13" s="26">
        <f t="shared" si="18"/>
        <v>121025.83</v>
      </c>
      <c r="AB13" s="37">
        <f t="shared" si="5"/>
        <v>3025645.75</v>
      </c>
      <c r="AC13" s="13">
        <v>25</v>
      </c>
      <c r="AD13" s="26">
        <f t="shared" si="19"/>
        <v>121025.83</v>
      </c>
      <c r="AE13" s="37">
        <f t="shared" si="6"/>
        <v>3025645.75</v>
      </c>
      <c r="AF13" s="13">
        <v>25</v>
      </c>
      <c r="AG13" s="26">
        <f t="shared" si="20"/>
        <v>121025.83</v>
      </c>
      <c r="AH13" s="37">
        <f t="shared" si="7"/>
        <v>3025645.75</v>
      </c>
      <c r="AI13" s="13">
        <v>25</v>
      </c>
      <c r="AJ13" s="26">
        <f t="shared" si="21"/>
        <v>121025.83</v>
      </c>
      <c r="AK13" s="37">
        <f t="shared" si="8"/>
        <v>3025645.75</v>
      </c>
      <c r="AL13" s="13">
        <v>0</v>
      </c>
      <c r="AM13" s="26">
        <f t="shared" si="22"/>
        <v>121025.83</v>
      </c>
      <c r="AN13" s="37">
        <f t="shared" si="23"/>
        <v>0</v>
      </c>
      <c r="AO13" s="13">
        <f t="shared" si="24"/>
        <v>140</v>
      </c>
      <c r="AP13" s="77">
        <f t="shared" si="25"/>
        <v>101702.37815126051</v>
      </c>
      <c r="AQ13" s="77">
        <f t="shared" si="27"/>
        <v>14238332.94117647</v>
      </c>
      <c r="AR13" s="26">
        <f t="shared" si="26"/>
        <v>121025.83</v>
      </c>
      <c r="AS13" s="37">
        <f t="shared" si="9"/>
        <v>16943616.199999999</v>
      </c>
      <c r="AT13" s="73" t="e" vm="8">
        <v>#VALUE!</v>
      </c>
    </row>
    <row r="14" spans="1:46" ht="114.75" customHeight="1">
      <c r="B14" s="206"/>
      <c r="C14" s="8" t="s">
        <v>54</v>
      </c>
      <c r="D14" s="7" t="s">
        <v>55</v>
      </c>
      <c r="E14" s="46" t="s">
        <v>39</v>
      </c>
      <c r="F14" s="124">
        <v>200000</v>
      </c>
      <c r="G14" s="125">
        <f t="shared" si="10"/>
        <v>238000</v>
      </c>
      <c r="H14" s="116">
        <f>190900/1.19</f>
        <v>160420.16806722688</v>
      </c>
      <c r="I14" s="41">
        <f t="shared" si="0"/>
        <v>190899.99999999997</v>
      </c>
      <c r="J14" s="116">
        <f>193000/1.19</f>
        <v>162184.87394957984</v>
      </c>
      <c r="K14" s="41">
        <f t="shared" si="11"/>
        <v>193000</v>
      </c>
      <c r="L14" s="88">
        <f t="shared" si="12"/>
        <v>174201.68067226891</v>
      </c>
      <c r="M14" s="31">
        <f t="shared" si="13"/>
        <v>207300</v>
      </c>
      <c r="N14" s="13">
        <v>1</v>
      </c>
      <c r="O14" s="26">
        <f t="shared" si="14"/>
        <v>207300</v>
      </c>
      <c r="P14" s="37">
        <f t="shared" si="1"/>
        <v>207300</v>
      </c>
      <c r="Q14" s="13">
        <v>1</v>
      </c>
      <c r="R14" s="26">
        <f t="shared" si="15"/>
        <v>207300</v>
      </c>
      <c r="S14" s="37">
        <f t="shared" si="2"/>
        <v>207300</v>
      </c>
      <c r="T14" s="13">
        <v>1</v>
      </c>
      <c r="U14" s="26">
        <f t="shared" si="16"/>
        <v>207300</v>
      </c>
      <c r="V14" s="37">
        <f t="shared" si="3"/>
        <v>207300</v>
      </c>
      <c r="W14" s="13">
        <v>1</v>
      </c>
      <c r="X14" s="26">
        <f t="shared" si="17"/>
        <v>207300</v>
      </c>
      <c r="Y14" s="37">
        <f t="shared" si="4"/>
        <v>207300</v>
      </c>
      <c r="Z14" s="13">
        <v>1</v>
      </c>
      <c r="AA14" s="26">
        <f t="shared" si="18"/>
        <v>207300</v>
      </c>
      <c r="AB14" s="37">
        <f t="shared" si="5"/>
        <v>207300</v>
      </c>
      <c r="AC14" s="13">
        <v>1</v>
      </c>
      <c r="AD14" s="26">
        <f t="shared" si="19"/>
        <v>207300</v>
      </c>
      <c r="AE14" s="37">
        <f t="shared" si="6"/>
        <v>207300</v>
      </c>
      <c r="AF14" s="13">
        <v>1</v>
      </c>
      <c r="AG14" s="26">
        <f t="shared" si="20"/>
        <v>207300</v>
      </c>
      <c r="AH14" s="37">
        <f t="shared" si="7"/>
        <v>207300</v>
      </c>
      <c r="AI14" s="13">
        <v>1</v>
      </c>
      <c r="AJ14" s="26">
        <f t="shared" si="21"/>
        <v>207300</v>
      </c>
      <c r="AK14" s="37">
        <f t="shared" si="8"/>
        <v>207300</v>
      </c>
      <c r="AL14" s="13">
        <v>0</v>
      </c>
      <c r="AM14" s="26">
        <f t="shared" si="22"/>
        <v>207300</v>
      </c>
      <c r="AN14" s="37">
        <f t="shared" si="23"/>
        <v>0</v>
      </c>
      <c r="AO14" s="13">
        <f t="shared" si="24"/>
        <v>8</v>
      </c>
      <c r="AP14" s="77">
        <f t="shared" si="25"/>
        <v>174201.68067226891</v>
      </c>
      <c r="AQ14" s="77">
        <f t="shared" si="27"/>
        <v>1393613.4453781513</v>
      </c>
      <c r="AR14" s="26">
        <f t="shared" si="26"/>
        <v>207300</v>
      </c>
      <c r="AS14" s="37">
        <f t="shared" si="9"/>
        <v>1658400</v>
      </c>
      <c r="AT14" s="56" t="e" vm="9">
        <v>#VALUE!</v>
      </c>
    </row>
    <row r="15" spans="1:46" ht="114.75" customHeight="1">
      <c r="B15" s="206"/>
      <c r="C15" s="8" t="s">
        <v>56</v>
      </c>
      <c r="D15" s="7" t="s">
        <v>57</v>
      </c>
      <c r="E15" s="46" t="s">
        <v>39</v>
      </c>
      <c r="F15" s="124">
        <v>150000</v>
      </c>
      <c r="G15" s="125">
        <f t="shared" si="10"/>
        <v>178500</v>
      </c>
      <c r="H15" s="116">
        <f>119000/1.19</f>
        <v>100000</v>
      </c>
      <c r="I15" s="41">
        <f t="shared" si="0"/>
        <v>119000</v>
      </c>
      <c r="J15" s="116">
        <v>100000</v>
      </c>
      <c r="K15" s="41">
        <f t="shared" si="11"/>
        <v>119000</v>
      </c>
      <c r="L15" s="88">
        <f t="shared" si="12"/>
        <v>116666.66666666667</v>
      </c>
      <c r="M15" s="31">
        <f t="shared" si="13"/>
        <v>138833.33333333334</v>
      </c>
      <c r="N15" s="13">
        <v>3</v>
      </c>
      <c r="O15" s="26">
        <f t="shared" si="14"/>
        <v>138833.33333333334</v>
      </c>
      <c r="P15" s="37">
        <f t="shared" si="1"/>
        <v>416500</v>
      </c>
      <c r="Q15" s="13">
        <v>3</v>
      </c>
      <c r="R15" s="26">
        <f t="shared" si="15"/>
        <v>138833.33333333334</v>
      </c>
      <c r="S15" s="37">
        <f t="shared" si="2"/>
        <v>416500</v>
      </c>
      <c r="T15" s="13">
        <v>5</v>
      </c>
      <c r="U15" s="26">
        <f t="shared" si="16"/>
        <v>138833.33333333334</v>
      </c>
      <c r="V15" s="37">
        <f t="shared" si="3"/>
        <v>694166.66666666674</v>
      </c>
      <c r="W15" s="13">
        <v>5</v>
      </c>
      <c r="X15" s="26">
        <f t="shared" si="17"/>
        <v>138833.33333333334</v>
      </c>
      <c r="Y15" s="37">
        <f t="shared" si="4"/>
        <v>694166.66666666674</v>
      </c>
      <c r="Z15" s="13">
        <v>15</v>
      </c>
      <c r="AA15" s="26">
        <f t="shared" si="18"/>
        <v>138833.33333333334</v>
      </c>
      <c r="AB15" s="37">
        <f t="shared" si="5"/>
        <v>2082500.0000000002</v>
      </c>
      <c r="AC15" s="13">
        <v>15</v>
      </c>
      <c r="AD15" s="26">
        <f t="shared" si="19"/>
        <v>138833.33333333334</v>
      </c>
      <c r="AE15" s="37">
        <f t="shared" si="6"/>
        <v>2082500.0000000002</v>
      </c>
      <c r="AF15" s="13">
        <v>15</v>
      </c>
      <c r="AG15" s="26">
        <f t="shared" si="20"/>
        <v>138833.33333333334</v>
      </c>
      <c r="AH15" s="37">
        <f t="shared" si="7"/>
        <v>2082500.0000000002</v>
      </c>
      <c r="AI15" s="13">
        <v>15</v>
      </c>
      <c r="AJ15" s="26">
        <f t="shared" si="21"/>
        <v>138833.33333333334</v>
      </c>
      <c r="AK15" s="37">
        <f t="shared" si="8"/>
        <v>2082500.0000000002</v>
      </c>
      <c r="AL15" s="13">
        <v>0</v>
      </c>
      <c r="AM15" s="26">
        <f t="shared" si="22"/>
        <v>138833.33333333334</v>
      </c>
      <c r="AN15" s="37">
        <f t="shared" si="23"/>
        <v>0</v>
      </c>
      <c r="AO15" s="13">
        <f t="shared" si="24"/>
        <v>76</v>
      </c>
      <c r="AP15" s="77">
        <f t="shared" si="25"/>
        <v>116666.66666666667</v>
      </c>
      <c r="AQ15" s="77">
        <f t="shared" si="27"/>
        <v>8866666.6666666679</v>
      </c>
      <c r="AR15" s="26">
        <f t="shared" si="26"/>
        <v>138833.33333333334</v>
      </c>
      <c r="AS15" s="37">
        <f t="shared" si="9"/>
        <v>10551333.333333334</v>
      </c>
      <c r="AT15" s="56" t="e" vm="10">
        <v>#VALUE!</v>
      </c>
    </row>
    <row r="16" spans="1:46" ht="127.5" customHeight="1">
      <c r="A16" t="s">
        <v>58</v>
      </c>
      <c r="B16" s="206"/>
      <c r="C16" s="8" t="s">
        <v>59</v>
      </c>
      <c r="D16" s="7" t="s">
        <v>60</v>
      </c>
      <c r="E16" s="46" t="s">
        <v>39</v>
      </c>
      <c r="F16" s="127">
        <v>255750</v>
      </c>
      <c r="G16" s="125">
        <f t="shared" si="10"/>
        <v>304342.5</v>
      </c>
      <c r="H16" s="116">
        <v>170000</v>
      </c>
      <c r="I16" s="41">
        <f t="shared" si="0"/>
        <v>202300</v>
      </c>
      <c r="J16" s="116">
        <f>210900/1.19</f>
        <v>177226.89075630254</v>
      </c>
      <c r="K16" s="41">
        <f t="shared" si="11"/>
        <v>210900.00000000003</v>
      </c>
      <c r="L16" s="88">
        <f t="shared" si="12"/>
        <v>200992.2969187675</v>
      </c>
      <c r="M16" s="31">
        <f t="shared" si="13"/>
        <v>239180.83333333334</v>
      </c>
      <c r="N16" s="13">
        <v>3</v>
      </c>
      <c r="O16" s="26">
        <f t="shared" si="14"/>
        <v>239180.83333333334</v>
      </c>
      <c r="P16" s="37">
        <f t="shared" si="1"/>
        <v>717542.5</v>
      </c>
      <c r="Q16" s="13">
        <v>3</v>
      </c>
      <c r="R16" s="26">
        <f t="shared" si="15"/>
        <v>239180.83333333334</v>
      </c>
      <c r="S16" s="37">
        <f t="shared" si="2"/>
        <v>717542.5</v>
      </c>
      <c r="T16" s="13">
        <v>5</v>
      </c>
      <c r="U16" s="26">
        <f t="shared" si="16"/>
        <v>239180.83333333334</v>
      </c>
      <c r="V16" s="37">
        <f t="shared" si="3"/>
        <v>1195904.1666666667</v>
      </c>
      <c r="W16" s="13">
        <v>5</v>
      </c>
      <c r="X16" s="26">
        <f t="shared" si="17"/>
        <v>239180.83333333334</v>
      </c>
      <c r="Y16" s="37">
        <f t="shared" si="4"/>
        <v>1195904.1666666667</v>
      </c>
      <c r="Z16" s="13">
        <v>15</v>
      </c>
      <c r="AA16" s="26">
        <f t="shared" si="18"/>
        <v>239180.83333333334</v>
      </c>
      <c r="AB16" s="37">
        <f t="shared" si="5"/>
        <v>3587712.5</v>
      </c>
      <c r="AC16" s="13">
        <v>15</v>
      </c>
      <c r="AD16" s="26">
        <f t="shared" si="19"/>
        <v>239180.83333333334</v>
      </c>
      <c r="AE16" s="37">
        <f t="shared" si="6"/>
        <v>3587712.5</v>
      </c>
      <c r="AF16" s="13">
        <v>15</v>
      </c>
      <c r="AG16" s="26">
        <f t="shared" si="20"/>
        <v>239180.83333333334</v>
      </c>
      <c r="AH16" s="37">
        <f t="shared" si="7"/>
        <v>3587712.5</v>
      </c>
      <c r="AI16" s="13">
        <v>15</v>
      </c>
      <c r="AJ16" s="26">
        <f t="shared" si="21"/>
        <v>239180.83333333334</v>
      </c>
      <c r="AK16" s="37">
        <f t="shared" si="8"/>
        <v>3587712.5</v>
      </c>
      <c r="AL16" s="13">
        <v>0</v>
      </c>
      <c r="AM16" s="26">
        <f t="shared" si="22"/>
        <v>239180.83333333334</v>
      </c>
      <c r="AN16" s="37">
        <f t="shared" si="23"/>
        <v>0</v>
      </c>
      <c r="AO16" s="13">
        <f t="shared" si="24"/>
        <v>76</v>
      </c>
      <c r="AP16" s="77">
        <f t="shared" si="25"/>
        <v>200992.2969187675</v>
      </c>
      <c r="AQ16" s="77">
        <f t="shared" si="27"/>
        <v>15275414.56582633</v>
      </c>
      <c r="AR16" s="26">
        <f t="shared" si="26"/>
        <v>239180.83333333334</v>
      </c>
      <c r="AS16" s="37">
        <f t="shared" si="9"/>
        <v>18177743.333333336</v>
      </c>
      <c r="AT16" s="56" t="e" vm="11">
        <v>#VALUE!</v>
      </c>
    </row>
    <row r="17" spans="2:46" ht="95.25" customHeight="1">
      <c r="B17" s="206"/>
      <c r="C17" s="8" t="s">
        <v>61</v>
      </c>
      <c r="D17" s="6" t="s">
        <v>62</v>
      </c>
      <c r="E17" s="46" t="s">
        <v>39</v>
      </c>
      <c r="F17" s="117">
        <v>45000</v>
      </c>
      <c r="G17" s="41">
        <f t="shared" si="10"/>
        <v>53550</v>
      </c>
      <c r="H17" s="126">
        <f>40000/1.19</f>
        <v>33613.445378151264</v>
      </c>
      <c r="I17" s="125">
        <f t="shared" si="0"/>
        <v>40000</v>
      </c>
      <c r="J17" s="116">
        <f>55000/1.19</f>
        <v>46218.487394957985</v>
      </c>
      <c r="K17" s="41">
        <f t="shared" si="11"/>
        <v>55000</v>
      </c>
      <c r="L17" s="88">
        <f t="shared" si="12"/>
        <v>41610.644257703076</v>
      </c>
      <c r="M17" s="31">
        <f t="shared" si="13"/>
        <v>49516.666666666664</v>
      </c>
      <c r="N17" s="13">
        <v>3</v>
      </c>
      <c r="O17" s="26">
        <f t="shared" si="14"/>
        <v>49516.666666666664</v>
      </c>
      <c r="P17" s="37">
        <f t="shared" si="1"/>
        <v>148550</v>
      </c>
      <c r="Q17" s="13">
        <v>3</v>
      </c>
      <c r="R17" s="26">
        <f t="shared" si="15"/>
        <v>49516.666666666664</v>
      </c>
      <c r="S17" s="37">
        <f t="shared" si="2"/>
        <v>148550</v>
      </c>
      <c r="T17" s="13">
        <v>5</v>
      </c>
      <c r="U17" s="26">
        <f t="shared" si="16"/>
        <v>49516.666666666664</v>
      </c>
      <c r="V17" s="37">
        <f t="shared" si="3"/>
        <v>247583.33333333331</v>
      </c>
      <c r="W17" s="13">
        <v>5</v>
      </c>
      <c r="X17" s="26">
        <f t="shared" si="17"/>
        <v>49516.666666666664</v>
      </c>
      <c r="Y17" s="37">
        <f t="shared" si="4"/>
        <v>247583.33333333331</v>
      </c>
      <c r="Z17" s="13">
        <v>15</v>
      </c>
      <c r="AA17" s="26">
        <f t="shared" si="18"/>
        <v>49516.666666666664</v>
      </c>
      <c r="AB17" s="37">
        <f t="shared" si="5"/>
        <v>742750</v>
      </c>
      <c r="AC17" s="13">
        <v>15</v>
      </c>
      <c r="AD17" s="26">
        <f t="shared" si="19"/>
        <v>49516.666666666664</v>
      </c>
      <c r="AE17" s="37">
        <f t="shared" si="6"/>
        <v>742750</v>
      </c>
      <c r="AF17" s="13">
        <v>15</v>
      </c>
      <c r="AG17" s="26">
        <f t="shared" si="20"/>
        <v>49516.666666666664</v>
      </c>
      <c r="AH17" s="37">
        <f t="shared" si="7"/>
        <v>742750</v>
      </c>
      <c r="AI17" s="13">
        <v>15</v>
      </c>
      <c r="AJ17" s="26">
        <f t="shared" si="21"/>
        <v>49516.666666666664</v>
      </c>
      <c r="AK17" s="37">
        <f t="shared" si="8"/>
        <v>742750</v>
      </c>
      <c r="AL17" s="13">
        <v>0</v>
      </c>
      <c r="AM17" s="26">
        <f t="shared" si="22"/>
        <v>49516.666666666664</v>
      </c>
      <c r="AN17" s="37">
        <f t="shared" si="23"/>
        <v>0</v>
      </c>
      <c r="AO17" s="13">
        <f t="shared" si="24"/>
        <v>76</v>
      </c>
      <c r="AP17" s="77">
        <f t="shared" si="25"/>
        <v>41610.644257703076</v>
      </c>
      <c r="AQ17" s="77">
        <f t="shared" si="27"/>
        <v>3162408.9635854336</v>
      </c>
      <c r="AR17" s="26">
        <f t="shared" si="26"/>
        <v>49516.666666666664</v>
      </c>
      <c r="AS17" s="37">
        <f t="shared" si="9"/>
        <v>3763266.6666666665</v>
      </c>
      <c r="AT17" s="56" t="e" vm="12">
        <v>#VALUE!</v>
      </c>
    </row>
    <row r="18" spans="2:46" ht="123" customHeight="1">
      <c r="B18" s="206"/>
      <c r="C18" s="8" t="s">
        <v>63</v>
      </c>
      <c r="D18" s="6" t="s">
        <v>64</v>
      </c>
      <c r="E18" s="46" t="s">
        <v>39</v>
      </c>
      <c r="F18" s="117">
        <v>140000</v>
      </c>
      <c r="G18" s="41">
        <f t="shared" si="10"/>
        <v>166600</v>
      </c>
      <c r="H18" s="116">
        <f>118000/1.19</f>
        <v>99159.663865546216</v>
      </c>
      <c r="I18" s="41">
        <f t="shared" si="0"/>
        <v>117999.99999999999</v>
      </c>
      <c r="J18" s="116">
        <f>136900/1.19</f>
        <v>115042.01680672269</v>
      </c>
      <c r="K18" s="41">
        <f t="shared" si="11"/>
        <v>136900</v>
      </c>
      <c r="L18" s="88">
        <f t="shared" si="12"/>
        <v>118067.2268907563</v>
      </c>
      <c r="M18" s="31">
        <f t="shared" si="13"/>
        <v>140500</v>
      </c>
      <c r="N18" s="13">
        <v>5</v>
      </c>
      <c r="O18" s="26">
        <f t="shared" si="14"/>
        <v>140500</v>
      </c>
      <c r="P18" s="37">
        <f t="shared" si="1"/>
        <v>702500</v>
      </c>
      <c r="Q18" s="13">
        <v>5</v>
      </c>
      <c r="R18" s="26">
        <f t="shared" si="15"/>
        <v>140500</v>
      </c>
      <c r="S18" s="37">
        <f t="shared" si="2"/>
        <v>702500</v>
      </c>
      <c r="T18" s="13">
        <v>15</v>
      </c>
      <c r="U18" s="26">
        <f t="shared" si="16"/>
        <v>140500</v>
      </c>
      <c r="V18" s="37">
        <f t="shared" si="3"/>
        <v>2107500</v>
      </c>
      <c r="W18" s="13">
        <v>15</v>
      </c>
      <c r="X18" s="26">
        <f t="shared" si="17"/>
        <v>140500</v>
      </c>
      <c r="Y18" s="37">
        <f t="shared" si="4"/>
        <v>2107500</v>
      </c>
      <c r="Z18" s="13">
        <v>25</v>
      </c>
      <c r="AA18" s="26">
        <f t="shared" si="18"/>
        <v>140500</v>
      </c>
      <c r="AB18" s="37">
        <f t="shared" si="5"/>
        <v>3512500</v>
      </c>
      <c r="AC18" s="13">
        <v>25</v>
      </c>
      <c r="AD18" s="26">
        <f t="shared" si="19"/>
        <v>140500</v>
      </c>
      <c r="AE18" s="37">
        <f t="shared" si="6"/>
        <v>3512500</v>
      </c>
      <c r="AF18" s="13">
        <v>25</v>
      </c>
      <c r="AG18" s="26">
        <f t="shared" si="20"/>
        <v>140500</v>
      </c>
      <c r="AH18" s="37">
        <f t="shared" si="7"/>
        <v>3512500</v>
      </c>
      <c r="AI18" s="13">
        <v>25</v>
      </c>
      <c r="AJ18" s="26">
        <f t="shared" si="21"/>
        <v>140500</v>
      </c>
      <c r="AK18" s="37">
        <f t="shared" si="8"/>
        <v>3512500</v>
      </c>
      <c r="AL18" s="13">
        <v>0</v>
      </c>
      <c r="AM18" s="26">
        <f t="shared" si="22"/>
        <v>140500</v>
      </c>
      <c r="AN18" s="37">
        <f t="shared" si="23"/>
        <v>0</v>
      </c>
      <c r="AO18" s="13">
        <f t="shared" si="24"/>
        <v>140</v>
      </c>
      <c r="AP18" s="77">
        <f t="shared" si="25"/>
        <v>118067.2268907563</v>
      </c>
      <c r="AQ18" s="77">
        <f t="shared" si="27"/>
        <v>16529411.764705881</v>
      </c>
      <c r="AR18" s="26">
        <f t="shared" si="26"/>
        <v>140500</v>
      </c>
      <c r="AS18" s="37">
        <f t="shared" si="9"/>
        <v>19670000</v>
      </c>
      <c r="AT18" s="56" t="e" vm="13">
        <v>#VALUE!</v>
      </c>
    </row>
    <row r="19" spans="2:46" ht="114.75" customHeight="1">
      <c r="B19" s="206"/>
      <c r="C19" s="8" t="s">
        <v>65</v>
      </c>
      <c r="D19" s="6" t="s">
        <v>66</v>
      </c>
      <c r="E19" s="46" t="s">
        <v>39</v>
      </c>
      <c r="F19" s="117">
        <v>25000</v>
      </c>
      <c r="G19" s="41">
        <f t="shared" si="10"/>
        <v>29750</v>
      </c>
      <c r="H19" s="116">
        <v>16000</v>
      </c>
      <c r="I19" s="41">
        <f t="shared" si="0"/>
        <v>19040</v>
      </c>
      <c r="J19" s="116">
        <f>22000/1.19</f>
        <v>18487.394957983193</v>
      </c>
      <c r="K19" s="41">
        <f t="shared" si="11"/>
        <v>22000</v>
      </c>
      <c r="L19" s="88">
        <f t="shared" si="12"/>
        <v>19829.131652661064</v>
      </c>
      <c r="M19" s="31">
        <f t="shared" si="13"/>
        <v>23596.666666666668</v>
      </c>
      <c r="N19" s="13">
        <v>5</v>
      </c>
      <c r="O19" s="26">
        <f t="shared" si="14"/>
        <v>23596.666666666668</v>
      </c>
      <c r="P19" s="37">
        <f t="shared" si="1"/>
        <v>117983.33333333334</v>
      </c>
      <c r="Q19" s="13">
        <v>5</v>
      </c>
      <c r="R19" s="26">
        <f t="shared" si="15"/>
        <v>23596.666666666668</v>
      </c>
      <c r="S19" s="37">
        <f t="shared" si="2"/>
        <v>117983.33333333334</v>
      </c>
      <c r="T19" s="13">
        <v>15</v>
      </c>
      <c r="U19" s="26">
        <f t="shared" si="16"/>
        <v>23596.666666666668</v>
      </c>
      <c r="V19" s="37">
        <f t="shared" si="3"/>
        <v>353950</v>
      </c>
      <c r="W19" s="13">
        <v>15</v>
      </c>
      <c r="X19" s="26">
        <f t="shared" si="17"/>
        <v>23596.666666666668</v>
      </c>
      <c r="Y19" s="37">
        <f t="shared" si="4"/>
        <v>353950</v>
      </c>
      <c r="Z19" s="13">
        <v>25</v>
      </c>
      <c r="AA19" s="26">
        <f t="shared" si="18"/>
        <v>23596.666666666668</v>
      </c>
      <c r="AB19" s="37">
        <f t="shared" si="5"/>
        <v>589916.66666666674</v>
      </c>
      <c r="AC19" s="13">
        <v>25</v>
      </c>
      <c r="AD19" s="26">
        <f t="shared" si="19"/>
        <v>23596.666666666668</v>
      </c>
      <c r="AE19" s="37">
        <f t="shared" si="6"/>
        <v>589916.66666666674</v>
      </c>
      <c r="AF19" s="13">
        <v>25</v>
      </c>
      <c r="AG19" s="26">
        <f t="shared" si="20"/>
        <v>23596.666666666668</v>
      </c>
      <c r="AH19" s="37">
        <f t="shared" si="7"/>
        <v>589916.66666666674</v>
      </c>
      <c r="AI19" s="13">
        <v>25</v>
      </c>
      <c r="AJ19" s="26">
        <f t="shared" si="21"/>
        <v>23596.666666666668</v>
      </c>
      <c r="AK19" s="37">
        <f t="shared" si="8"/>
        <v>589916.66666666674</v>
      </c>
      <c r="AL19" s="13">
        <v>0</v>
      </c>
      <c r="AM19" s="26">
        <f t="shared" si="22"/>
        <v>23596.666666666668</v>
      </c>
      <c r="AN19" s="37">
        <f t="shared" si="23"/>
        <v>0</v>
      </c>
      <c r="AO19" s="13">
        <f t="shared" si="24"/>
        <v>140</v>
      </c>
      <c r="AP19" s="77">
        <f t="shared" si="25"/>
        <v>19829.131652661064</v>
      </c>
      <c r="AQ19" s="77">
        <f t="shared" si="27"/>
        <v>2776078.4313725489</v>
      </c>
      <c r="AR19" s="26">
        <f t="shared" si="26"/>
        <v>23596.666666666668</v>
      </c>
      <c r="AS19" s="37">
        <f t="shared" si="9"/>
        <v>3303533.3333333335</v>
      </c>
      <c r="AT19" s="56" t="e" vm="14">
        <v>#VALUE!</v>
      </c>
    </row>
    <row r="20" spans="2:46" ht="114" customHeight="1">
      <c r="B20" s="206"/>
      <c r="C20" s="8" t="s">
        <v>67</v>
      </c>
      <c r="D20" s="6" t="s">
        <v>68</v>
      </c>
      <c r="E20" s="46" t="s">
        <v>39</v>
      </c>
      <c r="F20" s="124">
        <v>20800</v>
      </c>
      <c r="G20" s="125">
        <f t="shared" si="10"/>
        <v>24752</v>
      </c>
      <c r="H20" s="116">
        <v>29200</v>
      </c>
      <c r="I20" s="41">
        <f t="shared" si="0"/>
        <v>34748</v>
      </c>
      <c r="J20" s="116">
        <v>31535</v>
      </c>
      <c r="K20" s="41">
        <f t="shared" si="11"/>
        <v>37526.65</v>
      </c>
      <c r="L20" s="88">
        <f t="shared" si="12"/>
        <v>27178.333333333332</v>
      </c>
      <c r="M20" s="31">
        <f t="shared" si="13"/>
        <v>32342.216666666664</v>
      </c>
      <c r="N20" s="13">
        <v>5</v>
      </c>
      <c r="O20" s="26">
        <f t="shared" si="14"/>
        <v>32342.216666666664</v>
      </c>
      <c r="P20" s="37">
        <f t="shared" si="1"/>
        <v>161711.08333333331</v>
      </c>
      <c r="Q20" s="13">
        <v>5</v>
      </c>
      <c r="R20" s="26">
        <f t="shared" si="15"/>
        <v>32342.216666666664</v>
      </c>
      <c r="S20" s="37">
        <f t="shared" si="2"/>
        <v>161711.08333333331</v>
      </c>
      <c r="T20" s="13">
        <v>15</v>
      </c>
      <c r="U20" s="26">
        <f t="shared" si="16"/>
        <v>32342.216666666664</v>
      </c>
      <c r="V20" s="37">
        <f t="shared" si="3"/>
        <v>485133.24999999994</v>
      </c>
      <c r="W20" s="13">
        <v>15</v>
      </c>
      <c r="X20" s="26">
        <f t="shared" si="17"/>
        <v>32342.216666666664</v>
      </c>
      <c r="Y20" s="37">
        <f t="shared" si="4"/>
        <v>485133.24999999994</v>
      </c>
      <c r="Z20" s="13">
        <v>25</v>
      </c>
      <c r="AA20" s="26">
        <f t="shared" si="18"/>
        <v>32342.216666666664</v>
      </c>
      <c r="AB20" s="37">
        <f t="shared" si="5"/>
        <v>808555.41666666663</v>
      </c>
      <c r="AC20" s="13">
        <v>25</v>
      </c>
      <c r="AD20" s="26">
        <f t="shared" si="19"/>
        <v>32342.216666666664</v>
      </c>
      <c r="AE20" s="37">
        <f t="shared" si="6"/>
        <v>808555.41666666663</v>
      </c>
      <c r="AF20" s="13">
        <v>25</v>
      </c>
      <c r="AG20" s="26">
        <f t="shared" si="20"/>
        <v>32342.216666666664</v>
      </c>
      <c r="AH20" s="37">
        <f t="shared" si="7"/>
        <v>808555.41666666663</v>
      </c>
      <c r="AI20" s="13">
        <v>25</v>
      </c>
      <c r="AJ20" s="26">
        <f t="shared" si="21"/>
        <v>32342.216666666664</v>
      </c>
      <c r="AK20" s="37">
        <f t="shared" si="8"/>
        <v>808555.41666666663</v>
      </c>
      <c r="AL20" s="13">
        <v>0</v>
      </c>
      <c r="AM20" s="26">
        <f t="shared" si="22"/>
        <v>32342.216666666664</v>
      </c>
      <c r="AN20" s="37">
        <f t="shared" si="23"/>
        <v>0</v>
      </c>
      <c r="AO20" s="13">
        <f t="shared" si="24"/>
        <v>140</v>
      </c>
      <c r="AP20" s="77">
        <f t="shared" si="25"/>
        <v>27178.333333333332</v>
      </c>
      <c r="AQ20" s="77">
        <f t="shared" si="27"/>
        <v>3804966.6666666665</v>
      </c>
      <c r="AR20" s="26">
        <f t="shared" si="26"/>
        <v>32342.216666666664</v>
      </c>
      <c r="AS20" s="37">
        <f t="shared" si="9"/>
        <v>4527910.333333333</v>
      </c>
      <c r="AT20" s="56" t="e" vm="15">
        <v>#VALUE!</v>
      </c>
    </row>
    <row r="21" spans="2:46" s="2" customFormat="1" ht="113.25" customHeight="1">
      <c r="B21" s="206"/>
      <c r="C21" s="8" t="s">
        <v>69</v>
      </c>
      <c r="D21" s="6" t="s">
        <v>70</v>
      </c>
      <c r="E21" s="46" t="s">
        <v>39</v>
      </c>
      <c r="F21" s="117">
        <v>144000</v>
      </c>
      <c r="G21" s="41">
        <f t="shared" si="10"/>
        <v>171360</v>
      </c>
      <c r="H21" s="116">
        <f>149900/1.19</f>
        <v>125966.38655462186</v>
      </c>
      <c r="I21" s="41">
        <f t="shared" si="0"/>
        <v>149900</v>
      </c>
      <c r="J21" s="116">
        <f>130000/1.19</f>
        <v>109243.6974789916</v>
      </c>
      <c r="K21" s="41">
        <f t="shared" si="11"/>
        <v>130000</v>
      </c>
      <c r="L21" s="88">
        <f t="shared" si="12"/>
        <v>126403.36134453781</v>
      </c>
      <c r="M21" s="31">
        <f t="shared" si="13"/>
        <v>150420</v>
      </c>
      <c r="N21" s="13">
        <v>1</v>
      </c>
      <c r="O21" s="26">
        <f t="shared" si="14"/>
        <v>150420</v>
      </c>
      <c r="P21" s="37">
        <f t="shared" si="1"/>
        <v>150420</v>
      </c>
      <c r="Q21" s="13">
        <v>1</v>
      </c>
      <c r="R21" s="26">
        <f t="shared" si="15"/>
        <v>150420</v>
      </c>
      <c r="S21" s="37">
        <f t="shared" si="2"/>
        <v>150420</v>
      </c>
      <c r="T21" s="13">
        <v>1</v>
      </c>
      <c r="U21" s="26">
        <f t="shared" si="16"/>
        <v>150420</v>
      </c>
      <c r="V21" s="37">
        <f t="shared" si="3"/>
        <v>150420</v>
      </c>
      <c r="W21" s="13">
        <v>1</v>
      </c>
      <c r="X21" s="26">
        <f t="shared" si="17"/>
        <v>150420</v>
      </c>
      <c r="Y21" s="37">
        <f t="shared" si="4"/>
        <v>150420</v>
      </c>
      <c r="Z21" s="13">
        <v>1</v>
      </c>
      <c r="AA21" s="26">
        <f t="shared" si="18"/>
        <v>150420</v>
      </c>
      <c r="AB21" s="37">
        <f t="shared" si="5"/>
        <v>150420</v>
      </c>
      <c r="AC21" s="13">
        <v>1</v>
      </c>
      <c r="AD21" s="26">
        <f t="shared" si="19"/>
        <v>150420</v>
      </c>
      <c r="AE21" s="37">
        <f t="shared" si="6"/>
        <v>150420</v>
      </c>
      <c r="AF21" s="13">
        <v>1</v>
      </c>
      <c r="AG21" s="26">
        <f t="shared" si="20"/>
        <v>150420</v>
      </c>
      <c r="AH21" s="37">
        <f t="shared" si="7"/>
        <v>150420</v>
      </c>
      <c r="AI21" s="13">
        <v>1</v>
      </c>
      <c r="AJ21" s="26">
        <f t="shared" si="21"/>
        <v>150420</v>
      </c>
      <c r="AK21" s="37">
        <f t="shared" si="8"/>
        <v>150420</v>
      </c>
      <c r="AL21" s="13">
        <v>0</v>
      </c>
      <c r="AM21" s="26">
        <f t="shared" si="22"/>
        <v>150420</v>
      </c>
      <c r="AN21" s="37">
        <f t="shared" si="23"/>
        <v>0</v>
      </c>
      <c r="AO21" s="13">
        <f t="shared" si="24"/>
        <v>8</v>
      </c>
      <c r="AP21" s="77">
        <f t="shared" si="25"/>
        <v>126403.36134453781</v>
      </c>
      <c r="AQ21" s="77">
        <f t="shared" si="27"/>
        <v>1011226.8907563025</v>
      </c>
      <c r="AR21" s="26">
        <f t="shared" si="26"/>
        <v>150420</v>
      </c>
      <c r="AS21" s="37">
        <f t="shared" si="9"/>
        <v>1203360</v>
      </c>
      <c r="AT21" s="56" t="e" vm="16">
        <v>#VALUE!</v>
      </c>
    </row>
    <row r="22" spans="2:46" s="2" customFormat="1" ht="108.75" customHeight="1">
      <c r="B22" s="206"/>
      <c r="C22" s="8" t="s">
        <v>71</v>
      </c>
      <c r="D22" s="6" t="s">
        <v>72</v>
      </c>
      <c r="E22" s="46" t="s">
        <v>39</v>
      </c>
      <c r="F22" s="117">
        <v>42000</v>
      </c>
      <c r="G22" s="41">
        <f t="shared" si="10"/>
        <v>49980</v>
      </c>
      <c r="H22" s="116">
        <f>50000/1.19</f>
        <v>42016.806722689078</v>
      </c>
      <c r="I22" s="41">
        <f t="shared" si="0"/>
        <v>50000</v>
      </c>
      <c r="J22" s="126">
        <f>35000/1.19</f>
        <v>29411.764705882353</v>
      </c>
      <c r="K22" s="125">
        <f t="shared" si="11"/>
        <v>35000</v>
      </c>
      <c r="L22" s="88">
        <f t="shared" si="12"/>
        <v>37809.523809523809</v>
      </c>
      <c r="M22" s="31">
        <f t="shared" si="13"/>
        <v>44993.333333333336</v>
      </c>
      <c r="N22" s="13">
        <v>2</v>
      </c>
      <c r="O22" s="26">
        <f t="shared" si="14"/>
        <v>44993.333333333336</v>
      </c>
      <c r="P22" s="37">
        <f t="shared" si="1"/>
        <v>89986.666666666672</v>
      </c>
      <c r="Q22" s="13">
        <v>2</v>
      </c>
      <c r="R22" s="26">
        <f t="shared" si="15"/>
        <v>44993.333333333336</v>
      </c>
      <c r="S22" s="37">
        <f t="shared" si="2"/>
        <v>89986.666666666672</v>
      </c>
      <c r="T22" s="13">
        <v>2</v>
      </c>
      <c r="U22" s="26">
        <f t="shared" si="16"/>
        <v>44993.333333333336</v>
      </c>
      <c r="V22" s="37">
        <f t="shared" si="3"/>
        <v>89986.666666666672</v>
      </c>
      <c r="W22" s="13">
        <v>2</v>
      </c>
      <c r="X22" s="26">
        <f t="shared" si="17"/>
        <v>44993.333333333336</v>
      </c>
      <c r="Y22" s="37">
        <f t="shared" si="4"/>
        <v>89986.666666666672</v>
      </c>
      <c r="Z22" s="13">
        <v>10</v>
      </c>
      <c r="AA22" s="26">
        <f t="shared" si="18"/>
        <v>44993.333333333336</v>
      </c>
      <c r="AB22" s="37">
        <f t="shared" si="5"/>
        <v>449933.33333333337</v>
      </c>
      <c r="AC22" s="13">
        <v>10</v>
      </c>
      <c r="AD22" s="26">
        <f t="shared" si="19"/>
        <v>44993.333333333336</v>
      </c>
      <c r="AE22" s="37">
        <f t="shared" si="6"/>
        <v>449933.33333333337</v>
      </c>
      <c r="AF22" s="13">
        <v>10</v>
      </c>
      <c r="AG22" s="26">
        <f t="shared" si="20"/>
        <v>44993.333333333336</v>
      </c>
      <c r="AH22" s="37">
        <f t="shared" si="7"/>
        <v>449933.33333333337</v>
      </c>
      <c r="AI22" s="13">
        <v>10</v>
      </c>
      <c r="AJ22" s="26">
        <f t="shared" si="21"/>
        <v>44993.333333333336</v>
      </c>
      <c r="AK22" s="37">
        <f t="shared" si="8"/>
        <v>449933.33333333337</v>
      </c>
      <c r="AL22" s="13">
        <v>0</v>
      </c>
      <c r="AM22" s="26">
        <f t="shared" si="22"/>
        <v>44993.333333333336</v>
      </c>
      <c r="AN22" s="37">
        <f t="shared" si="23"/>
        <v>0</v>
      </c>
      <c r="AO22" s="13">
        <f t="shared" si="24"/>
        <v>48</v>
      </c>
      <c r="AP22" s="77">
        <f t="shared" si="25"/>
        <v>37809.523809523809</v>
      </c>
      <c r="AQ22" s="77">
        <f t="shared" si="27"/>
        <v>1814857.1428571427</v>
      </c>
      <c r="AR22" s="26">
        <f t="shared" si="26"/>
        <v>44993.333333333336</v>
      </c>
      <c r="AS22" s="37">
        <f t="shared" si="9"/>
        <v>2159680</v>
      </c>
      <c r="AT22" s="56" t="e" vm="17">
        <v>#VALUE!</v>
      </c>
    </row>
    <row r="23" spans="2:46" s="2" customFormat="1" ht="108.75" customHeight="1">
      <c r="B23" s="206"/>
      <c r="C23" s="8" t="s">
        <v>73</v>
      </c>
      <c r="D23" s="6" t="s">
        <v>74</v>
      </c>
      <c r="E23" s="46" t="s">
        <v>39</v>
      </c>
      <c r="F23" s="124">
        <v>75000</v>
      </c>
      <c r="G23" s="125">
        <f t="shared" si="10"/>
        <v>89250</v>
      </c>
      <c r="H23" s="116">
        <f>73489/1.19</f>
        <v>61755.462184873955</v>
      </c>
      <c r="I23" s="41">
        <f t="shared" si="0"/>
        <v>73489</v>
      </c>
      <c r="J23" s="116">
        <f>84778/1.19</f>
        <v>71242.016806722691</v>
      </c>
      <c r="K23" s="41">
        <f t="shared" si="11"/>
        <v>84778</v>
      </c>
      <c r="L23" s="88">
        <f t="shared" si="12"/>
        <v>69332.492997198889</v>
      </c>
      <c r="M23" s="31">
        <f t="shared" si="13"/>
        <v>82505.666666666672</v>
      </c>
      <c r="N23" s="13">
        <v>1</v>
      </c>
      <c r="O23" s="26">
        <f t="shared" si="14"/>
        <v>82505.666666666672</v>
      </c>
      <c r="P23" s="37">
        <f t="shared" si="1"/>
        <v>82505.666666666672</v>
      </c>
      <c r="Q23" s="13">
        <v>1</v>
      </c>
      <c r="R23" s="26">
        <f t="shared" si="15"/>
        <v>82505.666666666672</v>
      </c>
      <c r="S23" s="37">
        <f t="shared" si="2"/>
        <v>82505.666666666672</v>
      </c>
      <c r="T23" s="13">
        <v>1</v>
      </c>
      <c r="U23" s="26">
        <f t="shared" si="16"/>
        <v>82505.666666666672</v>
      </c>
      <c r="V23" s="37">
        <f t="shared" si="3"/>
        <v>82505.666666666672</v>
      </c>
      <c r="W23" s="13">
        <v>1</v>
      </c>
      <c r="X23" s="26">
        <f t="shared" si="17"/>
        <v>82505.666666666672</v>
      </c>
      <c r="Y23" s="37">
        <f t="shared" si="4"/>
        <v>82505.666666666672</v>
      </c>
      <c r="Z23" s="13">
        <v>2</v>
      </c>
      <c r="AA23" s="26">
        <f t="shared" si="18"/>
        <v>82505.666666666672</v>
      </c>
      <c r="AB23" s="37">
        <f t="shared" si="5"/>
        <v>165011.33333333334</v>
      </c>
      <c r="AC23" s="13">
        <v>2</v>
      </c>
      <c r="AD23" s="26">
        <f t="shared" si="19"/>
        <v>82505.666666666672</v>
      </c>
      <c r="AE23" s="37">
        <f t="shared" si="6"/>
        <v>165011.33333333334</v>
      </c>
      <c r="AF23" s="13">
        <v>2</v>
      </c>
      <c r="AG23" s="26">
        <f t="shared" si="20"/>
        <v>82505.666666666672</v>
      </c>
      <c r="AH23" s="37">
        <f t="shared" si="7"/>
        <v>165011.33333333334</v>
      </c>
      <c r="AI23" s="13">
        <v>2</v>
      </c>
      <c r="AJ23" s="26">
        <f t="shared" si="21"/>
        <v>82505.666666666672</v>
      </c>
      <c r="AK23" s="37">
        <f t="shared" si="8"/>
        <v>165011.33333333334</v>
      </c>
      <c r="AL23" s="13">
        <v>0</v>
      </c>
      <c r="AM23" s="26">
        <f t="shared" si="22"/>
        <v>82505.666666666672</v>
      </c>
      <c r="AN23" s="37">
        <f t="shared" si="23"/>
        <v>0</v>
      </c>
      <c r="AO23" s="13">
        <f t="shared" si="24"/>
        <v>12</v>
      </c>
      <c r="AP23" s="77">
        <f t="shared" si="25"/>
        <v>69332.492997198889</v>
      </c>
      <c r="AQ23" s="77">
        <f t="shared" si="27"/>
        <v>831989.91596638667</v>
      </c>
      <c r="AR23" s="26">
        <f t="shared" si="26"/>
        <v>82505.666666666672</v>
      </c>
      <c r="AS23" s="37">
        <f t="shared" si="9"/>
        <v>990068</v>
      </c>
      <c r="AT23" s="56" t="e" vm="18">
        <v>#VALUE!</v>
      </c>
    </row>
    <row r="24" spans="2:46" s="2" customFormat="1" ht="108.75" customHeight="1">
      <c r="B24" s="206"/>
      <c r="C24" s="8" t="s">
        <v>75</v>
      </c>
      <c r="D24" s="6" t="s">
        <v>76</v>
      </c>
      <c r="E24" s="46" t="s">
        <v>39</v>
      </c>
      <c r="F24" s="124">
        <v>500000</v>
      </c>
      <c r="G24" s="125">
        <f t="shared" si="10"/>
        <v>595000</v>
      </c>
      <c r="H24" s="116">
        <f>411000/1.19</f>
        <v>345378.15126050421</v>
      </c>
      <c r="I24" s="41">
        <f t="shared" si="0"/>
        <v>411000</v>
      </c>
      <c r="J24" s="141">
        <f>319011/1.19</f>
        <v>268076.4705882353</v>
      </c>
      <c r="K24" s="41">
        <f t="shared" si="11"/>
        <v>319011</v>
      </c>
      <c r="L24" s="88">
        <f t="shared" si="12"/>
        <v>371151.54061624658</v>
      </c>
      <c r="M24" s="31">
        <f t="shared" si="13"/>
        <v>441670.33333333331</v>
      </c>
      <c r="N24" s="13">
        <v>1</v>
      </c>
      <c r="O24" s="26">
        <f t="shared" si="14"/>
        <v>441670.33333333331</v>
      </c>
      <c r="P24" s="37">
        <f t="shared" si="1"/>
        <v>441670.33333333331</v>
      </c>
      <c r="Q24" s="13">
        <v>1</v>
      </c>
      <c r="R24" s="26">
        <f t="shared" si="15"/>
        <v>441670.33333333331</v>
      </c>
      <c r="S24" s="37">
        <f t="shared" si="2"/>
        <v>441670.33333333331</v>
      </c>
      <c r="T24" s="13">
        <v>1</v>
      </c>
      <c r="U24" s="26">
        <f t="shared" si="16"/>
        <v>441670.33333333331</v>
      </c>
      <c r="V24" s="37">
        <f t="shared" si="3"/>
        <v>441670.33333333331</v>
      </c>
      <c r="W24" s="13">
        <v>1</v>
      </c>
      <c r="X24" s="26">
        <f t="shared" si="17"/>
        <v>441670.33333333331</v>
      </c>
      <c r="Y24" s="37">
        <f t="shared" si="4"/>
        <v>441670.33333333331</v>
      </c>
      <c r="Z24" s="13">
        <v>2</v>
      </c>
      <c r="AA24" s="26">
        <f t="shared" si="18"/>
        <v>441670.33333333331</v>
      </c>
      <c r="AB24" s="37">
        <f t="shared" si="5"/>
        <v>883340.66666666663</v>
      </c>
      <c r="AC24" s="13">
        <v>2</v>
      </c>
      <c r="AD24" s="26">
        <f t="shared" si="19"/>
        <v>441670.33333333331</v>
      </c>
      <c r="AE24" s="37">
        <f t="shared" si="6"/>
        <v>883340.66666666663</v>
      </c>
      <c r="AF24" s="13">
        <v>2</v>
      </c>
      <c r="AG24" s="26">
        <f t="shared" si="20"/>
        <v>441670.33333333331</v>
      </c>
      <c r="AH24" s="37">
        <f t="shared" si="7"/>
        <v>883340.66666666663</v>
      </c>
      <c r="AI24" s="13">
        <v>2</v>
      </c>
      <c r="AJ24" s="26">
        <f t="shared" si="21"/>
        <v>441670.33333333331</v>
      </c>
      <c r="AK24" s="37">
        <f t="shared" si="8"/>
        <v>883340.66666666663</v>
      </c>
      <c r="AL24" s="13">
        <v>0</v>
      </c>
      <c r="AM24" s="26">
        <f t="shared" si="22"/>
        <v>441670.33333333331</v>
      </c>
      <c r="AN24" s="37">
        <f t="shared" si="23"/>
        <v>0</v>
      </c>
      <c r="AO24" s="13">
        <f t="shared" si="24"/>
        <v>12</v>
      </c>
      <c r="AP24" s="77">
        <f t="shared" si="25"/>
        <v>371151.54061624658</v>
      </c>
      <c r="AQ24" s="77">
        <f t="shared" si="27"/>
        <v>4453818.4873949587</v>
      </c>
      <c r="AR24" s="26">
        <f t="shared" si="26"/>
        <v>441670.33333333331</v>
      </c>
      <c r="AS24" s="37">
        <f t="shared" si="9"/>
        <v>5300044</v>
      </c>
      <c r="AT24" s="56" t="e" vm="19">
        <v>#VALUE!</v>
      </c>
    </row>
    <row r="25" spans="2:46" s="2" customFormat="1" ht="108.75" customHeight="1">
      <c r="B25" s="206"/>
      <c r="C25" s="8" t="s">
        <v>77</v>
      </c>
      <c r="D25" s="6" t="s">
        <v>78</v>
      </c>
      <c r="E25" s="46" t="s">
        <v>39</v>
      </c>
      <c r="F25" s="117">
        <v>22400</v>
      </c>
      <c r="G25" s="41">
        <f t="shared" si="10"/>
        <v>26656</v>
      </c>
      <c r="H25" s="116">
        <v>20000</v>
      </c>
      <c r="I25" s="41">
        <f t="shared" si="0"/>
        <v>23800</v>
      </c>
      <c r="J25" s="116">
        <f>26000/1.19</f>
        <v>21848.73949579832</v>
      </c>
      <c r="K25" s="41">
        <f t="shared" si="11"/>
        <v>26000</v>
      </c>
      <c r="L25" s="88">
        <f t="shared" si="12"/>
        <v>21416.246498599441</v>
      </c>
      <c r="M25" s="31">
        <f t="shared" si="13"/>
        <v>25485.333333333332</v>
      </c>
      <c r="N25" s="13">
        <v>5</v>
      </c>
      <c r="O25" s="26">
        <f t="shared" si="14"/>
        <v>25485.333333333332</v>
      </c>
      <c r="P25" s="37">
        <f t="shared" si="1"/>
        <v>127426.66666666666</v>
      </c>
      <c r="Q25" s="13">
        <v>5</v>
      </c>
      <c r="R25" s="26">
        <f t="shared" si="15"/>
        <v>25485.333333333332</v>
      </c>
      <c r="S25" s="37">
        <f t="shared" si="2"/>
        <v>127426.66666666666</v>
      </c>
      <c r="T25" s="13">
        <v>15</v>
      </c>
      <c r="U25" s="26">
        <f t="shared" si="16"/>
        <v>25485.333333333332</v>
      </c>
      <c r="V25" s="37">
        <f t="shared" si="3"/>
        <v>382280</v>
      </c>
      <c r="W25" s="13">
        <v>15</v>
      </c>
      <c r="X25" s="26">
        <f t="shared" si="17"/>
        <v>25485.333333333332</v>
      </c>
      <c r="Y25" s="37">
        <f t="shared" si="4"/>
        <v>382280</v>
      </c>
      <c r="Z25" s="13">
        <v>25</v>
      </c>
      <c r="AA25" s="26">
        <f t="shared" si="18"/>
        <v>25485.333333333332</v>
      </c>
      <c r="AB25" s="37">
        <f t="shared" si="5"/>
        <v>637133.33333333326</v>
      </c>
      <c r="AC25" s="13">
        <v>25</v>
      </c>
      <c r="AD25" s="26">
        <f t="shared" si="19"/>
        <v>25485.333333333332</v>
      </c>
      <c r="AE25" s="37">
        <f t="shared" si="6"/>
        <v>637133.33333333326</v>
      </c>
      <c r="AF25" s="13">
        <v>25</v>
      </c>
      <c r="AG25" s="26">
        <f t="shared" si="20"/>
        <v>25485.333333333332</v>
      </c>
      <c r="AH25" s="37">
        <f t="shared" si="7"/>
        <v>637133.33333333326</v>
      </c>
      <c r="AI25" s="13">
        <v>25</v>
      </c>
      <c r="AJ25" s="26">
        <f t="shared" si="21"/>
        <v>25485.333333333332</v>
      </c>
      <c r="AK25" s="37">
        <f t="shared" si="8"/>
        <v>637133.33333333326</v>
      </c>
      <c r="AL25" s="13">
        <v>0</v>
      </c>
      <c r="AM25" s="26">
        <f t="shared" si="22"/>
        <v>25485.333333333332</v>
      </c>
      <c r="AN25" s="37">
        <f t="shared" si="23"/>
        <v>0</v>
      </c>
      <c r="AO25" s="13">
        <f t="shared" si="24"/>
        <v>140</v>
      </c>
      <c r="AP25" s="77">
        <f t="shared" si="25"/>
        <v>21416.246498599441</v>
      </c>
      <c r="AQ25" s="77">
        <f t="shared" si="27"/>
        <v>2998274.5098039219</v>
      </c>
      <c r="AR25" s="26">
        <f t="shared" si="26"/>
        <v>25485.333333333332</v>
      </c>
      <c r="AS25" s="37">
        <f t="shared" si="9"/>
        <v>3567946.6666666665</v>
      </c>
      <c r="AT25" s="56" t="e" vm="20">
        <v>#VALUE!</v>
      </c>
    </row>
    <row r="26" spans="2:46" s="2" customFormat="1" ht="96" customHeight="1">
      <c r="B26" s="206"/>
      <c r="C26" s="8" t="s">
        <v>79</v>
      </c>
      <c r="D26" s="6" t="s">
        <v>80</v>
      </c>
      <c r="E26" s="46" t="s">
        <v>39</v>
      </c>
      <c r="F26" s="117">
        <v>24000</v>
      </c>
      <c r="G26" s="41">
        <f t="shared" si="10"/>
        <v>28560</v>
      </c>
      <c r="H26" s="116">
        <v>25000</v>
      </c>
      <c r="I26" s="41">
        <f t="shared" si="0"/>
        <v>29750</v>
      </c>
      <c r="J26" s="126">
        <v>51500</v>
      </c>
      <c r="K26" s="125">
        <f t="shared" si="11"/>
        <v>61285</v>
      </c>
      <c r="L26" s="88">
        <f t="shared" si="12"/>
        <v>33500</v>
      </c>
      <c r="M26" s="31">
        <f t="shared" si="13"/>
        <v>39865</v>
      </c>
      <c r="N26" s="13">
        <v>5</v>
      </c>
      <c r="O26" s="26">
        <f t="shared" si="14"/>
        <v>39865</v>
      </c>
      <c r="P26" s="37">
        <f t="shared" si="1"/>
        <v>199325</v>
      </c>
      <c r="Q26" s="13">
        <v>5</v>
      </c>
      <c r="R26" s="26">
        <f t="shared" si="15"/>
        <v>39865</v>
      </c>
      <c r="S26" s="37">
        <f t="shared" si="2"/>
        <v>199325</v>
      </c>
      <c r="T26" s="13">
        <v>15</v>
      </c>
      <c r="U26" s="26">
        <f t="shared" si="16"/>
        <v>39865</v>
      </c>
      <c r="V26" s="37">
        <f t="shared" si="3"/>
        <v>597975</v>
      </c>
      <c r="W26" s="13">
        <v>15</v>
      </c>
      <c r="X26" s="26">
        <f t="shared" si="17"/>
        <v>39865</v>
      </c>
      <c r="Y26" s="37">
        <f t="shared" si="4"/>
        <v>597975</v>
      </c>
      <c r="Z26" s="13">
        <v>25</v>
      </c>
      <c r="AA26" s="26">
        <f t="shared" si="18"/>
        <v>39865</v>
      </c>
      <c r="AB26" s="37">
        <f t="shared" si="5"/>
        <v>996625</v>
      </c>
      <c r="AC26" s="13">
        <v>25</v>
      </c>
      <c r="AD26" s="26">
        <f t="shared" si="19"/>
        <v>39865</v>
      </c>
      <c r="AE26" s="37">
        <f t="shared" si="6"/>
        <v>996625</v>
      </c>
      <c r="AF26" s="13">
        <v>25</v>
      </c>
      <c r="AG26" s="26">
        <f t="shared" si="20"/>
        <v>39865</v>
      </c>
      <c r="AH26" s="37">
        <f t="shared" si="7"/>
        <v>996625</v>
      </c>
      <c r="AI26" s="13">
        <v>25</v>
      </c>
      <c r="AJ26" s="26">
        <f t="shared" si="21"/>
        <v>39865</v>
      </c>
      <c r="AK26" s="37">
        <f t="shared" si="8"/>
        <v>996625</v>
      </c>
      <c r="AL26" s="13">
        <v>0</v>
      </c>
      <c r="AM26" s="26">
        <f t="shared" si="22"/>
        <v>39865</v>
      </c>
      <c r="AN26" s="37">
        <f t="shared" si="23"/>
        <v>0</v>
      </c>
      <c r="AO26" s="13">
        <f t="shared" si="24"/>
        <v>140</v>
      </c>
      <c r="AP26" s="77">
        <f t="shared" si="25"/>
        <v>33500</v>
      </c>
      <c r="AQ26" s="77">
        <f t="shared" si="27"/>
        <v>4690000</v>
      </c>
      <c r="AR26" s="26">
        <f t="shared" si="26"/>
        <v>39865</v>
      </c>
      <c r="AS26" s="37">
        <f t="shared" si="9"/>
        <v>5581100</v>
      </c>
      <c r="AT26" s="56" t="e" vm="21">
        <v>#VALUE!</v>
      </c>
    </row>
    <row r="27" spans="2:46" s="2" customFormat="1" ht="120.75" customHeight="1">
      <c r="B27" s="206"/>
      <c r="C27" s="8" t="s">
        <v>81</v>
      </c>
      <c r="D27" s="6" t="s">
        <v>82</v>
      </c>
      <c r="E27" s="46" t="s">
        <v>39</v>
      </c>
      <c r="F27" s="117">
        <v>300000</v>
      </c>
      <c r="G27" s="41">
        <f t="shared" si="10"/>
        <v>357000</v>
      </c>
      <c r="H27" s="116">
        <f>409777/1.19</f>
        <v>344350.42016806727</v>
      </c>
      <c r="I27" s="41">
        <f t="shared" si="0"/>
        <v>409777.00000000006</v>
      </c>
      <c r="J27" s="116">
        <v>300000</v>
      </c>
      <c r="K27" s="41">
        <f t="shared" si="11"/>
        <v>357000</v>
      </c>
      <c r="L27" s="88">
        <f t="shared" si="12"/>
        <v>314783.47338935576</v>
      </c>
      <c r="M27" s="31">
        <f t="shared" si="13"/>
        <v>374592.33333333331</v>
      </c>
      <c r="N27" s="13">
        <v>1</v>
      </c>
      <c r="O27" s="26">
        <f t="shared" si="14"/>
        <v>374592.33333333331</v>
      </c>
      <c r="P27" s="37">
        <f t="shared" si="1"/>
        <v>374592.33333333331</v>
      </c>
      <c r="Q27" s="13">
        <v>1</v>
      </c>
      <c r="R27" s="26">
        <f t="shared" si="15"/>
        <v>374592.33333333331</v>
      </c>
      <c r="S27" s="37">
        <f t="shared" si="2"/>
        <v>374592.33333333331</v>
      </c>
      <c r="T27" s="13">
        <v>1</v>
      </c>
      <c r="U27" s="26">
        <f t="shared" si="16"/>
        <v>374592.33333333331</v>
      </c>
      <c r="V27" s="37">
        <f t="shared" si="3"/>
        <v>374592.33333333331</v>
      </c>
      <c r="W27" s="13">
        <v>1</v>
      </c>
      <c r="X27" s="26">
        <f t="shared" si="17"/>
        <v>374592.33333333331</v>
      </c>
      <c r="Y27" s="37">
        <f t="shared" si="4"/>
        <v>374592.33333333331</v>
      </c>
      <c r="Z27" s="13">
        <v>3</v>
      </c>
      <c r="AA27" s="26">
        <f t="shared" si="18"/>
        <v>374592.33333333331</v>
      </c>
      <c r="AB27" s="37">
        <f t="shared" si="5"/>
        <v>1123777</v>
      </c>
      <c r="AC27" s="13">
        <v>3</v>
      </c>
      <c r="AD27" s="26">
        <f t="shared" si="19"/>
        <v>374592.33333333331</v>
      </c>
      <c r="AE27" s="37">
        <f t="shared" si="6"/>
        <v>1123777</v>
      </c>
      <c r="AF27" s="13">
        <v>3</v>
      </c>
      <c r="AG27" s="26">
        <f t="shared" si="20"/>
        <v>374592.33333333331</v>
      </c>
      <c r="AH27" s="37">
        <f t="shared" si="7"/>
        <v>1123777</v>
      </c>
      <c r="AI27" s="13">
        <v>3</v>
      </c>
      <c r="AJ27" s="26">
        <f t="shared" si="21"/>
        <v>374592.33333333331</v>
      </c>
      <c r="AK27" s="37">
        <f t="shared" si="8"/>
        <v>1123777</v>
      </c>
      <c r="AL27" s="13">
        <v>0</v>
      </c>
      <c r="AM27" s="26">
        <f t="shared" si="22"/>
        <v>374592.33333333331</v>
      </c>
      <c r="AN27" s="37">
        <f t="shared" si="23"/>
        <v>0</v>
      </c>
      <c r="AO27" s="13">
        <f t="shared" si="24"/>
        <v>16</v>
      </c>
      <c r="AP27" s="77">
        <f t="shared" si="25"/>
        <v>314783.47338935576</v>
      </c>
      <c r="AQ27" s="77">
        <f t="shared" si="27"/>
        <v>5036535.5742296921</v>
      </c>
      <c r="AR27" s="26">
        <f t="shared" si="26"/>
        <v>374592.33333333331</v>
      </c>
      <c r="AS27" s="37">
        <f t="shared" si="9"/>
        <v>5993477.333333333</v>
      </c>
      <c r="AT27" s="56" t="e" vm="22">
        <v>#VALUE!</v>
      </c>
    </row>
    <row r="28" spans="2:46" s="2" customFormat="1" ht="291" customHeight="1">
      <c r="B28" s="206"/>
      <c r="C28" s="5" t="s">
        <v>83</v>
      </c>
      <c r="D28" s="10" t="s">
        <v>84</v>
      </c>
      <c r="E28" s="46" t="s">
        <v>39</v>
      </c>
      <c r="F28" s="117">
        <v>384000</v>
      </c>
      <c r="G28" s="41">
        <f t="shared" si="10"/>
        <v>456960</v>
      </c>
      <c r="H28" s="116">
        <v>350000</v>
      </c>
      <c r="I28" s="41">
        <f t="shared" si="0"/>
        <v>416500</v>
      </c>
      <c r="J28" s="126">
        <v>297200</v>
      </c>
      <c r="K28" s="125">
        <f t="shared" si="11"/>
        <v>353668</v>
      </c>
      <c r="L28" s="88">
        <f t="shared" si="12"/>
        <v>343733.33333333331</v>
      </c>
      <c r="M28" s="31">
        <f t="shared" si="13"/>
        <v>409042.66666666669</v>
      </c>
      <c r="N28" s="13">
        <v>2</v>
      </c>
      <c r="O28" s="26">
        <f t="shared" si="14"/>
        <v>409042.66666666669</v>
      </c>
      <c r="P28" s="37">
        <f t="shared" si="1"/>
        <v>818085.33333333337</v>
      </c>
      <c r="Q28" s="13">
        <v>2</v>
      </c>
      <c r="R28" s="26">
        <f t="shared" si="15"/>
        <v>409042.66666666669</v>
      </c>
      <c r="S28" s="37">
        <f t="shared" si="2"/>
        <v>818085.33333333337</v>
      </c>
      <c r="T28" s="13">
        <v>6</v>
      </c>
      <c r="U28" s="26">
        <f t="shared" si="16"/>
        <v>409042.66666666669</v>
      </c>
      <c r="V28" s="37">
        <f t="shared" si="3"/>
        <v>2454256</v>
      </c>
      <c r="W28" s="13">
        <v>6</v>
      </c>
      <c r="X28" s="26">
        <f t="shared" si="17"/>
        <v>409042.66666666669</v>
      </c>
      <c r="Y28" s="37">
        <f t="shared" si="4"/>
        <v>2454256</v>
      </c>
      <c r="Z28" s="13">
        <v>10</v>
      </c>
      <c r="AA28" s="26">
        <f t="shared" si="18"/>
        <v>409042.66666666669</v>
      </c>
      <c r="AB28" s="37">
        <f t="shared" si="5"/>
        <v>4090426.666666667</v>
      </c>
      <c r="AC28" s="13">
        <v>10</v>
      </c>
      <c r="AD28" s="26">
        <f t="shared" si="19"/>
        <v>409042.66666666669</v>
      </c>
      <c r="AE28" s="37">
        <f t="shared" si="6"/>
        <v>4090426.666666667</v>
      </c>
      <c r="AF28" s="13">
        <v>10</v>
      </c>
      <c r="AG28" s="26">
        <f t="shared" si="20"/>
        <v>409042.66666666669</v>
      </c>
      <c r="AH28" s="37">
        <f t="shared" si="7"/>
        <v>4090426.666666667</v>
      </c>
      <c r="AI28" s="13">
        <v>10</v>
      </c>
      <c r="AJ28" s="26">
        <f t="shared" si="21"/>
        <v>409042.66666666669</v>
      </c>
      <c r="AK28" s="37">
        <f t="shared" si="8"/>
        <v>4090426.666666667</v>
      </c>
      <c r="AL28" s="13">
        <v>0</v>
      </c>
      <c r="AM28" s="26">
        <f t="shared" si="22"/>
        <v>409042.66666666669</v>
      </c>
      <c r="AN28" s="37">
        <f t="shared" si="23"/>
        <v>0</v>
      </c>
      <c r="AO28" s="13">
        <f t="shared" si="24"/>
        <v>56</v>
      </c>
      <c r="AP28" s="77">
        <f t="shared" si="25"/>
        <v>343733.33333333331</v>
      </c>
      <c r="AQ28" s="77">
        <f t="shared" si="27"/>
        <v>19249066.666666664</v>
      </c>
      <c r="AR28" s="26">
        <f t="shared" si="26"/>
        <v>409042.66666666669</v>
      </c>
      <c r="AS28" s="37">
        <f t="shared" si="9"/>
        <v>22906389.333333336</v>
      </c>
      <c r="AT28" s="56" t="e" vm="23">
        <v>#VALUE!</v>
      </c>
    </row>
    <row r="29" spans="2:46" s="2" customFormat="1" ht="226.15" customHeight="1">
      <c r="B29" s="206"/>
      <c r="C29" s="8" t="s">
        <v>85</v>
      </c>
      <c r="D29" s="6" t="s">
        <v>86</v>
      </c>
      <c r="E29" s="46" t="s">
        <v>39</v>
      </c>
      <c r="F29" s="118">
        <v>149900</v>
      </c>
      <c r="G29" s="41">
        <f t="shared" si="10"/>
        <v>178381</v>
      </c>
      <c r="H29" s="126">
        <v>250000</v>
      </c>
      <c r="I29" s="125">
        <f t="shared" si="0"/>
        <v>297500</v>
      </c>
      <c r="J29" s="116">
        <v>185000</v>
      </c>
      <c r="K29" s="41">
        <f t="shared" si="11"/>
        <v>220150</v>
      </c>
      <c r="L29" s="88">
        <f t="shared" si="12"/>
        <v>194966.66666666666</v>
      </c>
      <c r="M29" s="31">
        <f t="shared" si="13"/>
        <v>232010.33333333334</v>
      </c>
      <c r="N29" s="13">
        <v>2</v>
      </c>
      <c r="O29" s="26">
        <f t="shared" si="14"/>
        <v>232010.33333333334</v>
      </c>
      <c r="P29" s="37">
        <f t="shared" si="1"/>
        <v>464020.66666666669</v>
      </c>
      <c r="Q29" s="13">
        <v>2</v>
      </c>
      <c r="R29" s="26">
        <f t="shared" si="15"/>
        <v>232010.33333333334</v>
      </c>
      <c r="S29" s="37">
        <f t="shared" si="2"/>
        <v>464020.66666666669</v>
      </c>
      <c r="T29" s="13">
        <v>6</v>
      </c>
      <c r="U29" s="26">
        <f t="shared" si="16"/>
        <v>232010.33333333334</v>
      </c>
      <c r="V29" s="37">
        <f t="shared" si="3"/>
        <v>1392062</v>
      </c>
      <c r="W29" s="13">
        <v>6</v>
      </c>
      <c r="X29" s="26">
        <f t="shared" si="17"/>
        <v>232010.33333333334</v>
      </c>
      <c r="Y29" s="37">
        <f t="shared" si="4"/>
        <v>1392062</v>
      </c>
      <c r="Z29" s="13">
        <v>10</v>
      </c>
      <c r="AA29" s="26">
        <f t="shared" si="18"/>
        <v>232010.33333333334</v>
      </c>
      <c r="AB29" s="37">
        <f t="shared" si="5"/>
        <v>2320103.3333333335</v>
      </c>
      <c r="AC29" s="13">
        <v>10</v>
      </c>
      <c r="AD29" s="26">
        <f t="shared" si="19"/>
        <v>232010.33333333334</v>
      </c>
      <c r="AE29" s="37">
        <f t="shared" si="6"/>
        <v>2320103.3333333335</v>
      </c>
      <c r="AF29" s="13">
        <v>10</v>
      </c>
      <c r="AG29" s="26">
        <f t="shared" si="20"/>
        <v>232010.33333333334</v>
      </c>
      <c r="AH29" s="37">
        <f t="shared" si="7"/>
        <v>2320103.3333333335</v>
      </c>
      <c r="AI29" s="13">
        <v>10</v>
      </c>
      <c r="AJ29" s="26">
        <f t="shared" si="21"/>
        <v>232010.33333333334</v>
      </c>
      <c r="AK29" s="37">
        <f t="shared" si="8"/>
        <v>2320103.3333333335</v>
      </c>
      <c r="AL29" s="13">
        <v>0</v>
      </c>
      <c r="AM29" s="26">
        <f t="shared" si="22"/>
        <v>232010.33333333334</v>
      </c>
      <c r="AN29" s="37">
        <f t="shared" si="23"/>
        <v>0</v>
      </c>
      <c r="AO29" s="13">
        <f t="shared" si="24"/>
        <v>56</v>
      </c>
      <c r="AP29" s="77">
        <f t="shared" si="25"/>
        <v>194966.66666666666</v>
      </c>
      <c r="AQ29" s="77">
        <f t="shared" si="27"/>
        <v>10918133.333333332</v>
      </c>
      <c r="AR29" s="26">
        <f t="shared" si="26"/>
        <v>232010.33333333334</v>
      </c>
      <c r="AS29" s="37">
        <f t="shared" si="9"/>
        <v>12992578.666666668</v>
      </c>
      <c r="AT29" s="56" t="e" vm="24">
        <v>#VALUE!</v>
      </c>
    </row>
    <row r="30" spans="2:46" s="2" customFormat="1" ht="148.5" customHeight="1">
      <c r="B30" s="206"/>
      <c r="C30" s="8" t="s">
        <v>87</v>
      </c>
      <c r="D30" s="6" t="s">
        <v>88</v>
      </c>
      <c r="E30" s="46" t="s">
        <v>39</v>
      </c>
      <c r="F30" s="118">
        <f>51046/1.19</f>
        <v>42895.798319327732</v>
      </c>
      <c r="G30" s="41">
        <f t="shared" si="10"/>
        <v>51046</v>
      </c>
      <c r="H30" s="116">
        <v>40000</v>
      </c>
      <c r="I30" s="41">
        <f t="shared" si="0"/>
        <v>47600</v>
      </c>
      <c r="J30" s="126">
        <v>70000</v>
      </c>
      <c r="K30" s="125">
        <f t="shared" si="11"/>
        <v>83300</v>
      </c>
      <c r="L30" s="88">
        <f t="shared" si="12"/>
        <v>50965.266106442577</v>
      </c>
      <c r="M30" s="31">
        <f t="shared" si="13"/>
        <v>60648.666666666664</v>
      </c>
      <c r="N30" s="13">
        <v>2</v>
      </c>
      <c r="O30" s="26">
        <f t="shared" si="14"/>
        <v>60648.666666666664</v>
      </c>
      <c r="P30" s="37">
        <f t="shared" si="1"/>
        <v>121297.33333333333</v>
      </c>
      <c r="Q30" s="13">
        <v>2</v>
      </c>
      <c r="R30" s="26">
        <f t="shared" si="15"/>
        <v>60648.666666666664</v>
      </c>
      <c r="S30" s="37">
        <f t="shared" si="2"/>
        <v>121297.33333333333</v>
      </c>
      <c r="T30" s="13">
        <v>6</v>
      </c>
      <c r="U30" s="26">
        <f t="shared" si="16"/>
        <v>60648.666666666664</v>
      </c>
      <c r="V30" s="37">
        <f t="shared" si="3"/>
        <v>363892</v>
      </c>
      <c r="W30" s="13">
        <v>6</v>
      </c>
      <c r="X30" s="26">
        <f t="shared" si="17"/>
        <v>60648.666666666664</v>
      </c>
      <c r="Y30" s="37">
        <f t="shared" si="4"/>
        <v>363892</v>
      </c>
      <c r="Z30" s="13">
        <v>10</v>
      </c>
      <c r="AA30" s="26">
        <f t="shared" si="18"/>
        <v>60648.666666666664</v>
      </c>
      <c r="AB30" s="37">
        <f t="shared" si="5"/>
        <v>606486.66666666663</v>
      </c>
      <c r="AC30" s="13">
        <v>10</v>
      </c>
      <c r="AD30" s="26">
        <f t="shared" si="19"/>
        <v>60648.666666666664</v>
      </c>
      <c r="AE30" s="37">
        <f t="shared" si="6"/>
        <v>606486.66666666663</v>
      </c>
      <c r="AF30" s="13">
        <v>10</v>
      </c>
      <c r="AG30" s="26">
        <f t="shared" si="20"/>
        <v>60648.666666666664</v>
      </c>
      <c r="AH30" s="37">
        <f t="shared" si="7"/>
        <v>606486.66666666663</v>
      </c>
      <c r="AI30" s="13">
        <v>10</v>
      </c>
      <c r="AJ30" s="26">
        <f t="shared" si="21"/>
        <v>60648.666666666664</v>
      </c>
      <c r="AK30" s="37">
        <f t="shared" si="8"/>
        <v>606486.66666666663</v>
      </c>
      <c r="AL30" s="13">
        <v>0</v>
      </c>
      <c r="AM30" s="26">
        <f t="shared" si="22"/>
        <v>60648.666666666664</v>
      </c>
      <c r="AN30" s="37">
        <f t="shared" si="23"/>
        <v>0</v>
      </c>
      <c r="AO30" s="13">
        <f t="shared" si="24"/>
        <v>56</v>
      </c>
      <c r="AP30" s="77">
        <f t="shared" si="25"/>
        <v>50965.266106442577</v>
      </c>
      <c r="AQ30" s="77">
        <f t="shared" si="27"/>
        <v>2854054.9019607846</v>
      </c>
      <c r="AR30" s="26">
        <f t="shared" si="26"/>
        <v>60648.666666666664</v>
      </c>
      <c r="AS30" s="37">
        <f t="shared" si="9"/>
        <v>3396325.333333333</v>
      </c>
      <c r="AT30" s="56" t="e" vm="25">
        <v>#VALUE!</v>
      </c>
    </row>
    <row r="31" spans="2:46" s="2" customFormat="1" ht="124.5" customHeight="1">
      <c r="B31" s="206"/>
      <c r="C31" s="8" t="s">
        <v>89</v>
      </c>
      <c r="D31" s="6" t="s">
        <v>90</v>
      </c>
      <c r="E31" s="46" t="s">
        <v>39</v>
      </c>
      <c r="F31" s="118">
        <f>84900/1.19</f>
        <v>71344.537815126052</v>
      </c>
      <c r="G31" s="41">
        <f t="shared" si="10"/>
        <v>84900</v>
      </c>
      <c r="H31" s="126">
        <v>120000</v>
      </c>
      <c r="I31" s="125">
        <f t="shared" si="0"/>
        <v>142800</v>
      </c>
      <c r="J31" s="116">
        <v>66500</v>
      </c>
      <c r="K31" s="41">
        <f t="shared" si="11"/>
        <v>79135</v>
      </c>
      <c r="L31" s="88">
        <f t="shared" si="12"/>
        <v>85948.179271708694</v>
      </c>
      <c r="M31" s="31">
        <f t="shared" si="13"/>
        <v>102278.33333333333</v>
      </c>
      <c r="N31" s="13">
        <v>5</v>
      </c>
      <c r="O31" s="26">
        <f t="shared" si="14"/>
        <v>102278.33333333333</v>
      </c>
      <c r="P31" s="37">
        <f t="shared" si="1"/>
        <v>511391.66666666663</v>
      </c>
      <c r="Q31" s="13">
        <v>5</v>
      </c>
      <c r="R31" s="26">
        <f t="shared" si="15"/>
        <v>102278.33333333333</v>
      </c>
      <c r="S31" s="37">
        <f t="shared" si="2"/>
        <v>511391.66666666663</v>
      </c>
      <c r="T31" s="13">
        <v>15</v>
      </c>
      <c r="U31" s="26">
        <f t="shared" si="16"/>
        <v>102278.33333333333</v>
      </c>
      <c r="V31" s="37">
        <f t="shared" si="3"/>
        <v>1534175</v>
      </c>
      <c r="W31" s="13">
        <v>15</v>
      </c>
      <c r="X31" s="26">
        <f t="shared" si="17"/>
        <v>102278.33333333333</v>
      </c>
      <c r="Y31" s="37">
        <f t="shared" si="4"/>
        <v>1534175</v>
      </c>
      <c r="Z31" s="13">
        <v>25</v>
      </c>
      <c r="AA31" s="26">
        <f t="shared" si="18"/>
        <v>102278.33333333333</v>
      </c>
      <c r="AB31" s="37">
        <f t="shared" si="5"/>
        <v>2556958.333333333</v>
      </c>
      <c r="AC31" s="13">
        <v>25</v>
      </c>
      <c r="AD31" s="26">
        <f t="shared" si="19"/>
        <v>102278.33333333333</v>
      </c>
      <c r="AE31" s="37">
        <f t="shared" si="6"/>
        <v>2556958.333333333</v>
      </c>
      <c r="AF31" s="13">
        <v>25</v>
      </c>
      <c r="AG31" s="26">
        <f t="shared" si="20"/>
        <v>102278.33333333333</v>
      </c>
      <c r="AH31" s="37">
        <f t="shared" si="7"/>
        <v>2556958.333333333</v>
      </c>
      <c r="AI31" s="13">
        <v>25</v>
      </c>
      <c r="AJ31" s="26">
        <f t="shared" si="21"/>
        <v>102278.33333333333</v>
      </c>
      <c r="AK31" s="37">
        <f t="shared" si="8"/>
        <v>2556958.333333333</v>
      </c>
      <c r="AL31" s="13">
        <v>0</v>
      </c>
      <c r="AM31" s="26">
        <f t="shared" si="22"/>
        <v>102278.33333333333</v>
      </c>
      <c r="AN31" s="37">
        <f t="shared" si="23"/>
        <v>0</v>
      </c>
      <c r="AO31" s="13">
        <f t="shared" si="24"/>
        <v>140</v>
      </c>
      <c r="AP31" s="77">
        <f t="shared" si="25"/>
        <v>85948.179271708694</v>
      </c>
      <c r="AQ31" s="77">
        <f t="shared" si="27"/>
        <v>12032745.098039217</v>
      </c>
      <c r="AR31" s="26">
        <f t="shared" si="26"/>
        <v>102278.33333333333</v>
      </c>
      <c r="AS31" s="37">
        <f t="shared" si="9"/>
        <v>14318966.666666666</v>
      </c>
      <c r="AT31" s="56" t="e" vm="26">
        <v>#VALUE!</v>
      </c>
    </row>
    <row r="32" spans="2:46" s="2" customFormat="1" ht="96.75" customHeight="1">
      <c r="B32" s="206"/>
      <c r="C32" s="8" t="s">
        <v>91</v>
      </c>
      <c r="D32" s="6" t="s">
        <v>92</v>
      </c>
      <c r="E32" s="46" t="s">
        <v>39</v>
      </c>
      <c r="F32" s="124">
        <v>66300</v>
      </c>
      <c r="G32" s="125">
        <f t="shared" si="10"/>
        <v>78897</v>
      </c>
      <c r="H32" s="116">
        <v>80356</v>
      </c>
      <c r="I32" s="41">
        <f t="shared" si="0"/>
        <v>95623.64</v>
      </c>
      <c r="J32" s="141">
        <f>109900/1.19</f>
        <v>92352.941176470587</v>
      </c>
      <c r="K32" s="41">
        <f>J32*1.19</f>
        <v>109900</v>
      </c>
      <c r="L32" s="88">
        <f t="shared" si="12"/>
        <v>79669.647058823539</v>
      </c>
      <c r="M32" s="31">
        <f t="shared" si="13"/>
        <v>94806.88</v>
      </c>
      <c r="N32" s="13">
        <v>10</v>
      </c>
      <c r="O32" s="26">
        <f t="shared" si="14"/>
        <v>94806.88</v>
      </c>
      <c r="P32" s="37">
        <f t="shared" si="1"/>
        <v>948068.8</v>
      </c>
      <c r="Q32" s="13">
        <v>10</v>
      </c>
      <c r="R32" s="26">
        <f t="shared" si="15"/>
        <v>94806.88</v>
      </c>
      <c r="S32" s="37">
        <f t="shared" si="2"/>
        <v>948068.8</v>
      </c>
      <c r="T32" s="13">
        <v>20</v>
      </c>
      <c r="U32" s="26">
        <f t="shared" si="16"/>
        <v>94806.88</v>
      </c>
      <c r="V32" s="37">
        <f t="shared" si="3"/>
        <v>1896137.6</v>
      </c>
      <c r="W32" s="13">
        <v>20</v>
      </c>
      <c r="X32" s="26">
        <f t="shared" si="17"/>
        <v>94806.88</v>
      </c>
      <c r="Y32" s="37">
        <f t="shared" si="4"/>
        <v>1896137.6</v>
      </c>
      <c r="Z32" s="13">
        <v>30</v>
      </c>
      <c r="AA32" s="26">
        <f t="shared" si="18"/>
        <v>94806.88</v>
      </c>
      <c r="AB32" s="37">
        <f t="shared" si="5"/>
        <v>2844206.4000000004</v>
      </c>
      <c r="AC32" s="13">
        <v>30</v>
      </c>
      <c r="AD32" s="26">
        <f t="shared" si="19"/>
        <v>94806.88</v>
      </c>
      <c r="AE32" s="37">
        <f t="shared" si="6"/>
        <v>2844206.4000000004</v>
      </c>
      <c r="AF32" s="13">
        <v>30</v>
      </c>
      <c r="AG32" s="26">
        <f t="shared" si="20"/>
        <v>94806.88</v>
      </c>
      <c r="AH32" s="37">
        <f t="shared" si="7"/>
        <v>2844206.4000000004</v>
      </c>
      <c r="AI32" s="13">
        <v>30</v>
      </c>
      <c r="AJ32" s="26">
        <f t="shared" si="21"/>
        <v>94806.88</v>
      </c>
      <c r="AK32" s="37">
        <f t="shared" si="8"/>
        <v>2844206.4000000004</v>
      </c>
      <c r="AL32" s="13">
        <v>0</v>
      </c>
      <c r="AM32" s="26">
        <f t="shared" si="22"/>
        <v>94806.88</v>
      </c>
      <c r="AN32" s="37">
        <f t="shared" si="23"/>
        <v>0</v>
      </c>
      <c r="AO32" s="13">
        <f t="shared" si="24"/>
        <v>180</v>
      </c>
      <c r="AP32" s="77">
        <f t="shared" si="25"/>
        <v>79669.647058823539</v>
      </c>
      <c r="AQ32" s="77">
        <f t="shared" si="27"/>
        <v>14340536.470588237</v>
      </c>
      <c r="AR32" s="26">
        <f t="shared" si="26"/>
        <v>94806.88</v>
      </c>
      <c r="AS32" s="37">
        <f t="shared" si="9"/>
        <v>17065238.400000002</v>
      </c>
      <c r="AT32" s="56" t="e" vm="27">
        <v>#VALUE!</v>
      </c>
    </row>
    <row r="33" spans="2:46" s="2" customFormat="1" ht="137.25" customHeight="1">
      <c r="B33" s="206"/>
      <c r="C33" s="8" t="s">
        <v>93</v>
      </c>
      <c r="D33" s="6" t="s">
        <v>94</v>
      </c>
      <c r="E33" s="46" t="s">
        <v>39</v>
      </c>
      <c r="F33" s="124">
        <v>35000</v>
      </c>
      <c r="G33" s="125">
        <f t="shared" si="10"/>
        <v>41650</v>
      </c>
      <c r="H33" s="116">
        <v>79695</v>
      </c>
      <c r="I33" s="41">
        <f t="shared" si="0"/>
        <v>94837.05</v>
      </c>
      <c r="J33" s="116">
        <v>69300</v>
      </c>
      <c r="K33" s="41">
        <f t="shared" si="11"/>
        <v>82467</v>
      </c>
      <c r="L33" s="88">
        <f t="shared" si="12"/>
        <v>61331.666666666664</v>
      </c>
      <c r="M33" s="31">
        <f t="shared" si="13"/>
        <v>72984.683333333334</v>
      </c>
      <c r="N33" s="13">
        <v>10</v>
      </c>
      <c r="O33" s="26">
        <f t="shared" si="14"/>
        <v>72984.683333333334</v>
      </c>
      <c r="P33" s="37">
        <f t="shared" si="1"/>
        <v>729846.83333333337</v>
      </c>
      <c r="Q33" s="13">
        <v>10</v>
      </c>
      <c r="R33" s="26">
        <f t="shared" si="15"/>
        <v>72984.683333333334</v>
      </c>
      <c r="S33" s="37">
        <f t="shared" si="2"/>
        <v>729846.83333333337</v>
      </c>
      <c r="T33" s="13">
        <v>20</v>
      </c>
      <c r="U33" s="26">
        <f t="shared" si="16"/>
        <v>72984.683333333334</v>
      </c>
      <c r="V33" s="37">
        <f t="shared" si="3"/>
        <v>1459693.6666666667</v>
      </c>
      <c r="W33" s="13">
        <v>20</v>
      </c>
      <c r="X33" s="26">
        <f t="shared" si="17"/>
        <v>72984.683333333334</v>
      </c>
      <c r="Y33" s="37">
        <f t="shared" si="4"/>
        <v>1459693.6666666667</v>
      </c>
      <c r="Z33" s="13">
        <v>30</v>
      </c>
      <c r="AA33" s="26">
        <f t="shared" si="18"/>
        <v>72984.683333333334</v>
      </c>
      <c r="AB33" s="37">
        <f t="shared" si="5"/>
        <v>2189540.5</v>
      </c>
      <c r="AC33" s="13">
        <v>30</v>
      </c>
      <c r="AD33" s="26">
        <f t="shared" si="19"/>
        <v>72984.683333333334</v>
      </c>
      <c r="AE33" s="37">
        <f t="shared" si="6"/>
        <v>2189540.5</v>
      </c>
      <c r="AF33" s="13">
        <v>30</v>
      </c>
      <c r="AG33" s="26">
        <f t="shared" si="20"/>
        <v>72984.683333333334</v>
      </c>
      <c r="AH33" s="37">
        <f t="shared" si="7"/>
        <v>2189540.5</v>
      </c>
      <c r="AI33" s="13">
        <v>30</v>
      </c>
      <c r="AJ33" s="26">
        <f t="shared" si="21"/>
        <v>72984.683333333334</v>
      </c>
      <c r="AK33" s="37">
        <f t="shared" si="8"/>
        <v>2189540.5</v>
      </c>
      <c r="AL33" s="13">
        <v>0</v>
      </c>
      <c r="AM33" s="26">
        <f t="shared" si="22"/>
        <v>72984.683333333334</v>
      </c>
      <c r="AN33" s="37">
        <f t="shared" si="23"/>
        <v>0</v>
      </c>
      <c r="AO33" s="13">
        <f t="shared" si="24"/>
        <v>180</v>
      </c>
      <c r="AP33" s="77">
        <f t="shared" si="25"/>
        <v>61331.666666666664</v>
      </c>
      <c r="AQ33" s="77">
        <f t="shared" si="27"/>
        <v>11039700</v>
      </c>
      <c r="AR33" s="26">
        <f t="shared" si="26"/>
        <v>72984.683333333334</v>
      </c>
      <c r="AS33" s="37">
        <f t="shared" si="9"/>
        <v>13137243</v>
      </c>
      <c r="AT33" s="56" t="e" vm="28">
        <v>#VALUE!</v>
      </c>
    </row>
    <row r="34" spans="2:46" s="2" customFormat="1" ht="143.25" customHeight="1">
      <c r="B34" s="206"/>
      <c r="C34" s="5" t="s">
        <v>95</v>
      </c>
      <c r="D34" s="6" t="s">
        <v>96</v>
      </c>
      <c r="E34" s="46" t="s">
        <v>39</v>
      </c>
      <c r="F34" s="109">
        <v>14400</v>
      </c>
      <c r="G34" s="41">
        <f t="shared" si="10"/>
        <v>17136</v>
      </c>
      <c r="H34" s="116">
        <v>9000</v>
      </c>
      <c r="I34" s="41">
        <f t="shared" si="0"/>
        <v>10710</v>
      </c>
      <c r="J34" s="116">
        <f>59900/1.19</f>
        <v>50336.134453781517</v>
      </c>
      <c r="K34" s="125">
        <f t="shared" si="11"/>
        <v>59900</v>
      </c>
      <c r="L34" s="88">
        <f t="shared" si="12"/>
        <v>24578.711484593838</v>
      </c>
      <c r="M34" s="31">
        <f t="shared" si="13"/>
        <v>29248.666666666668</v>
      </c>
      <c r="N34" s="13">
        <v>2</v>
      </c>
      <c r="O34" s="26">
        <f t="shared" si="14"/>
        <v>29248.666666666668</v>
      </c>
      <c r="P34" s="37">
        <f t="shared" si="1"/>
        <v>58497.333333333336</v>
      </c>
      <c r="Q34" s="13">
        <v>2</v>
      </c>
      <c r="R34" s="26">
        <f t="shared" si="15"/>
        <v>29248.666666666668</v>
      </c>
      <c r="S34" s="37">
        <f t="shared" si="2"/>
        <v>58497.333333333336</v>
      </c>
      <c r="T34" s="13">
        <v>6</v>
      </c>
      <c r="U34" s="26">
        <f t="shared" si="16"/>
        <v>29248.666666666668</v>
      </c>
      <c r="V34" s="37">
        <f t="shared" si="3"/>
        <v>175492</v>
      </c>
      <c r="W34" s="13">
        <v>6</v>
      </c>
      <c r="X34" s="26">
        <f t="shared" si="17"/>
        <v>29248.666666666668</v>
      </c>
      <c r="Y34" s="37">
        <f t="shared" si="4"/>
        <v>175492</v>
      </c>
      <c r="Z34" s="13">
        <v>10</v>
      </c>
      <c r="AA34" s="26">
        <f t="shared" si="18"/>
        <v>29248.666666666668</v>
      </c>
      <c r="AB34" s="37">
        <f t="shared" si="5"/>
        <v>292486.66666666669</v>
      </c>
      <c r="AC34" s="13">
        <v>10</v>
      </c>
      <c r="AD34" s="26">
        <f t="shared" si="19"/>
        <v>29248.666666666668</v>
      </c>
      <c r="AE34" s="37">
        <f t="shared" si="6"/>
        <v>292486.66666666669</v>
      </c>
      <c r="AF34" s="13">
        <v>10</v>
      </c>
      <c r="AG34" s="26">
        <f t="shared" si="20"/>
        <v>29248.666666666668</v>
      </c>
      <c r="AH34" s="37">
        <f t="shared" si="7"/>
        <v>292486.66666666669</v>
      </c>
      <c r="AI34" s="13">
        <v>10</v>
      </c>
      <c r="AJ34" s="26">
        <f t="shared" si="21"/>
        <v>29248.666666666668</v>
      </c>
      <c r="AK34" s="37">
        <f t="shared" si="8"/>
        <v>292486.66666666669</v>
      </c>
      <c r="AL34" s="13">
        <v>0</v>
      </c>
      <c r="AM34" s="26">
        <f t="shared" si="22"/>
        <v>29248.666666666668</v>
      </c>
      <c r="AN34" s="37">
        <f t="shared" si="23"/>
        <v>0</v>
      </c>
      <c r="AO34" s="13">
        <f t="shared" si="24"/>
        <v>56</v>
      </c>
      <c r="AP34" s="77">
        <f t="shared" si="25"/>
        <v>24578.711484593838</v>
      </c>
      <c r="AQ34" s="77">
        <f t="shared" si="27"/>
        <v>1376407.8431372549</v>
      </c>
      <c r="AR34" s="26">
        <f t="shared" si="26"/>
        <v>29248.666666666668</v>
      </c>
      <c r="AS34" s="37">
        <f t="shared" si="9"/>
        <v>1637925.3333333335</v>
      </c>
      <c r="AT34" s="56" t="e" vm="29">
        <v>#VALUE!</v>
      </c>
    </row>
    <row r="35" spans="2:46" s="2" customFormat="1" ht="147" customHeight="1">
      <c r="B35" s="206"/>
      <c r="C35" s="8" t="s">
        <v>97</v>
      </c>
      <c r="D35" s="6" t="s">
        <v>98</v>
      </c>
      <c r="E35" s="46" t="s">
        <v>39</v>
      </c>
      <c r="F35" s="117">
        <v>88000</v>
      </c>
      <c r="G35" s="41">
        <f t="shared" si="10"/>
        <v>104720</v>
      </c>
      <c r="H35" s="126">
        <v>30000</v>
      </c>
      <c r="I35" s="125">
        <f t="shared" si="0"/>
        <v>35700</v>
      </c>
      <c r="J35" s="116">
        <v>96400</v>
      </c>
      <c r="K35" s="41">
        <f t="shared" si="11"/>
        <v>114716</v>
      </c>
      <c r="L35" s="88">
        <f t="shared" si="12"/>
        <v>71466.666666666672</v>
      </c>
      <c r="M35" s="31">
        <f t="shared" si="13"/>
        <v>85045.333333333328</v>
      </c>
      <c r="N35" s="13">
        <v>3</v>
      </c>
      <c r="O35" s="26">
        <f t="shared" si="14"/>
        <v>85045.333333333328</v>
      </c>
      <c r="P35" s="37">
        <f t="shared" si="1"/>
        <v>255136</v>
      </c>
      <c r="Q35" s="13">
        <v>3</v>
      </c>
      <c r="R35" s="26">
        <f t="shared" si="15"/>
        <v>85045.333333333328</v>
      </c>
      <c r="S35" s="37">
        <f t="shared" si="2"/>
        <v>255136</v>
      </c>
      <c r="T35" s="13">
        <v>9</v>
      </c>
      <c r="U35" s="26">
        <f t="shared" si="16"/>
        <v>85045.333333333328</v>
      </c>
      <c r="V35" s="37">
        <f t="shared" si="3"/>
        <v>765408</v>
      </c>
      <c r="W35" s="13">
        <v>9</v>
      </c>
      <c r="X35" s="26">
        <f t="shared" si="17"/>
        <v>85045.333333333328</v>
      </c>
      <c r="Y35" s="37">
        <f t="shared" si="4"/>
        <v>765408</v>
      </c>
      <c r="Z35" s="13">
        <v>15</v>
      </c>
      <c r="AA35" s="26">
        <f t="shared" si="18"/>
        <v>85045.333333333328</v>
      </c>
      <c r="AB35" s="37">
        <f t="shared" si="5"/>
        <v>1275680</v>
      </c>
      <c r="AC35" s="13">
        <v>15</v>
      </c>
      <c r="AD35" s="26">
        <f t="shared" si="19"/>
        <v>85045.333333333328</v>
      </c>
      <c r="AE35" s="37">
        <f t="shared" si="6"/>
        <v>1275680</v>
      </c>
      <c r="AF35" s="13">
        <v>15</v>
      </c>
      <c r="AG35" s="26">
        <f t="shared" si="20"/>
        <v>85045.333333333328</v>
      </c>
      <c r="AH35" s="37">
        <f t="shared" si="7"/>
        <v>1275680</v>
      </c>
      <c r="AI35" s="13">
        <v>15</v>
      </c>
      <c r="AJ35" s="26">
        <f t="shared" si="21"/>
        <v>85045.333333333328</v>
      </c>
      <c r="AK35" s="37">
        <f t="shared" si="8"/>
        <v>1275680</v>
      </c>
      <c r="AL35" s="13">
        <v>0</v>
      </c>
      <c r="AM35" s="26">
        <f t="shared" si="22"/>
        <v>85045.333333333328</v>
      </c>
      <c r="AN35" s="37">
        <f t="shared" si="23"/>
        <v>0</v>
      </c>
      <c r="AO35" s="13">
        <f t="shared" si="24"/>
        <v>84</v>
      </c>
      <c r="AP35" s="77">
        <f t="shared" si="25"/>
        <v>71466.666666666672</v>
      </c>
      <c r="AQ35" s="77">
        <f t="shared" si="27"/>
        <v>6003200</v>
      </c>
      <c r="AR35" s="26">
        <f t="shared" si="26"/>
        <v>85045.333333333328</v>
      </c>
      <c r="AS35" s="37">
        <f t="shared" si="9"/>
        <v>7143808</v>
      </c>
      <c r="AT35" s="56" t="e" vm="30">
        <v>#VALUE!</v>
      </c>
    </row>
    <row r="36" spans="2:46" s="2" customFormat="1" ht="148.5" customHeight="1">
      <c r="B36" s="206"/>
      <c r="C36" s="9" t="s">
        <v>99</v>
      </c>
      <c r="D36" s="10" t="s">
        <v>100</v>
      </c>
      <c r="E36" s="46" t="s">
        <v>39</v>
      </c>
      <c r="F36" s="117">
        <v>40000</v>
      </c>
      <c r="G36" s="41">
        <f t="shared" si="10"/>
        <v>47600</v>
      </c>
      <c r="H36" s="116">
        <v>50000</v>
      </c>
      <c r="I36" s="41">
        <f t="shared" si="0"/>
        <v>59500</v>
      </c>
      <c r="J36" s="126">
        <f>32500/1.19</f>
        <v>27310.9243697479</v>
      </c>
      <c r="K36" s="125">
        <f t="shared" si="11"/>
        <v>32500</v>
      </c>
      <c r="L36" s="88">
        <f t="shared" si="12"/>
        <v>39103.641456582634</v>
      </c>
      <c r="M36" s="31">
        <f t="shared" si="13"/>
        <v>46533.333333333336</v>
      </c>
      <c r="N36" s="13">
        <v>10</v>
      </c>
      <c r="O36" s="26">
        <f t="shared" si="14"/>
        <v>46533.333333333336</v>
      </c>
      <c r="P36" s="37">
        <f t="shared" si="1"/>
        <v>465333.33333333337</v>
      </c>
      <c r="Q36" s="13">
        <v>10</v>
      </c>
      <c r="R36" s="26">
        <f t="shared" si="15"/>
        <v>46533.333333333336</v>
      </c>
      <c r="S36" s="37">
        <f t="shared" si="2"/>
        <v>465333.33333333337</v>
      </c>
      <c r="T36" s="13">
        <v>10</v>
      </c>
      <c r="U36" s="26">
        <f t="shared" si="16"/>
        <v>46533.333333333336</v>
      </c>
      <c r="V36" s="37">
        <f t="shared" si="3"/>
        <v>465333.33333333337</v>
      </c>
      <c r="W36" s="13">
        <v>10</v>
      </c>
      <c r="X36" s="26">
        <f t="shared" si="17"/>
        <v>46533.333333333336</v>
      </c>
      <c r="Y36" s="37">
        <f t="shared" si="4"/>
        <v>465333.33333333337</v>
      </c>
      <c r="Z36" s="13">
        <v>25</v>
      </c>
      <c r="AA36" s="26">
        <f t="shared" si="18"/>
        <v>46533.333333333336</v>
      </c>
      <c r="AB36" s="37">
        <f t="shared" si="5"/>
        <v>1163333.3333333335</v>
      </c>
      <c r="AC36" s="13">
        <v>25</v>
      </c>
      <c r="AD36" s="26">
        <f t="shared" si="19"/>
        <v>46533.333333333336</v>
      </c>
      <c r="AE36" s="37">
        <f t="shared" si="6"/>
        <v>1163333.3333333335</v>
      </c>
      <c r="AF36" s="13">
        <v>25</v>
      </c>
      <c r="AG36" s="26">
        <f t="shared" si="20"/>
        <v>46533.333333333336</v>
      </c>
      <c r="AH36" s="37">
        <f t="shared" si="7"/>
        <v>1163333.3333333335</v>
      </c>
      <c r="AI36" s="13">
        <v>25</v>
      </c>
      <c r="AJ36" s="26">
        <f t="shared" si="21"/>
        <v>46533.333333333336</v>
      </c>
      <c r="AK36" s="37">
        <f t="shared" si="8"/>
        <v>1163333.3333333335</v>
      </c>
      <c r="AL36" s="13">
        <v>0</v>
      </c>
      <c r="AM36" s="26">
        <f t="shared" si="22"/>
        <v>46533.333333333336</v>
      </c>
      <c r="AN36" s="37">
        <f t="shared" si="23"/>
        <v>0</v>
      </c>
      <c r="AO36" s="13">
        <f t="shared" si="24"/>
        <v>140</v>
      </c>
      <c r="AP36" s="77">
        <f t="shared" si="25"/>
        <v>39103.641456582634</v>
      </c>
      <c r="AQ36" s="77">
        <f t="shared" si="27"/>
        <v>5474509.8039215691</v>
      </c>
      <c r="AR36" s="26">
        <f t="shared" si="26"/>
        <v>46533.333333333336</v>
      </c>
      <c r="AS36" s="37">
        <f t="shared" si="9"/>
        <v>6514666.666666667</v>
      </c>
      <c r="AT36" s="56" t="e" vm="31">
        <v>#VALUE!</v>
      </c>
    </row>
    <row r="37" spans="2:46" s="2" customFormat="1" ht="150" customHeight="1">
      <c r="B37" s="206"/>
      <c r="C37" s="9" t="s">
        <v>101</v>
      </c>
      <c r="D37" s="10" t="s">
        <v>102</v>
      </c>
      <c r="E37" s="46" t="s">
        <v>39</v>
      </c>
      <c r="F37" s="117">
        <v>32000</v>
      </c>
      <c r="G37" s="41">
        <f t="shared" si="10"/>
        <v>38080</v>
      </c>
      <c r="H37" s="116">
        <v>36200</v>
      </c>
      <c r="I37" s="41">
        <f t="shared" si="0"/>
        <v>43078</v>
      </c>
      <c r="J37" s="116">
        <v>29500</v>
      </c>
      <c r="K37" s="41">
        <f t="shared" si="11"/>
        <v>35105</v>
      </c>
      <c r="L37" s="88">
        <f t="shared" si="12"/>
        <v>32566.666666666668</v>
      </c>
      <c r="M37" s="31">
        <f t="shared" si="13"/>
        <v>38754.333333333336</v>
      </c>
      <c r="N37" s="13">
        <v>10</v>
      </c>
      <c r="O37" s="26">
        <f t="shared" si="14"/>
        <v>38754.333333333336</v>
      </c>
      <c r="P37" s="37">
        <f t="shared" si="1"/>
        <v>387543.33333333337</v>
      </c>
      <c r="Q37" s="13">
        <v>10</v>
      </c>
      <c r="R37" s="26">
        <f t="shared" si="15"/>
        <v>38754.333333333336</v>
      </c>
      <c r="S37" s="37">
        <f t="shared" si="2"/>
        <v>387543.33333333337</v>
      </c>
      <c r="T37" s="13">
        <v>10</v>
      </c>
      <c r="U37" s="26">
        <f t="shared" si="16"/>
        <v>38754.333333333336</v>
      </c>
      <c r="V37" s="37">
        <f t="shared" si="3"/>
        <v>387543.33333333337</v>
      </c>
      <c r="W37" s="13">
        <v>10</v>
      </c>
      <c r="X37" s="26">
        <f t="shared" si="17"/>
        <v>38754.333333333336</v>
      </c>
      <c r="Y37" s="37">
        <f t="shared" si="4"/>
        <v>387543.33333333337</v>
      </c>
      <c r="Z37" s="13">
        <v>25</v>
      </c>
      <c r="AA37" s="26">
        <f t="shared" si="18"/>
        <v>38754.333333333336</v>
      </c>
      <c r="AB37" s="37">
        <f t="shared" si="5"/>
        <v>968858.33333333337</v>
      </c>
      <c r="AC37" s="13">
        <v>25</v>
      </c>
      <c r="AD37" s="26">
        <f t="shared" si="19"/>
        <v>38754.333333333336</v>
      </c>
      <c r="AE37" s="37">
        <f t="shared" si="6"/>
        <v>968858.33333333337</v>
      </c>
      <c r="AF37" s="13">
        <v>25</v>
      </c>
      <c r="AG37" s="26">
        <f t="shared" si="20"/>
        <v>38754.333333333336</v>
      </c>
      <c r="AH37" s="37">
        <f t="shared" si="7"/>
        <v>968858.33333333337</v>
      </c>
      <c r="AI37" s="13">
        <v>25</v>
      </c>
      <c r="AJ37" s="26">
        <f t="shared" si="21"/>
        <v>38754.333333333336</v>
      </c>
      <c r="AK37" s="37">
        <f t="shared" si="8"/>
        <v>968858.33333333337</v>
      </c>
      <c r="AL37" s="13">
        <v>0</v>
      </c>
      <c r="AM37" s="26">
        <f t="shared" si="22"/>
        <v>38754.333333333336</v>
      </c>
      <c r="AN37" s="37">
        <f t="shared" si="23"/>
        <v>0</v>
      </c>
      <c r="AO37" s="13">
        <f t="shared" si="24"/>
        <v>140</v>
      </c>
      <c r="AP37" s="77">
        <f t="shared" si="25"/>
        <v>32566.666666666668</v>
      </c>
      <c r="AQ37" s="77">
        <f t="shared" si="27"/>
        <v>4559333.333333334</v>
      </c>
      <c r="AR37" s="26">
        <f t="shared" si="26"/>
        <v>38754.333333333336</v>
      </c>
      <c r="AS37" s="37">
        <f t="shared" si="9"/>
        <v>5425606.666666667</v>
      </c>
      <c r="AT37" s="56" t="e" vm="32">
        <v>#VALUE!</v>
      </c>
    </row>
    <row r="38" spans="2:46" s="2" customFormat="1" ht="220.5" customHeight="1">
      <c r="B38" s="206"/>
      <c r="C38" s="9" t="s">
        <v>103</v>
      </c>
      <c r="D38" s="10" t="s">
        <v>104</v>
      </c>
      <c r="E38" s="46" t="s">
        <v>39</v>
      </c>
      <c r="F38" s="117">
        <v>32000</v>
      </c>
      <c r="G38" s="41">
        <f t="shared" si="10"/>
        <v>38080</v>
      </c>
      <c r="H38" s="116">
        <v>30000</v>
      </c>
      <c r="I38" s="41">
        <f t="shared" si="0"/>
        <v>35700</v>
      </c>
      <c r="J38" s="116">
        <f>31300/1.19</f>
        <v>26302.521008403364</v>
      </c>
      <c r="K38" s="41">
        <f t="shared" si="11"/>
        <v>31300.000000000004</v>
      </c>
      <c r="L38" s="88">
        <f t="shared" si="12"/>
        <v>29434.173669467786</v>
      </c>
      <c r="M38" s="31">
        <f t="shared" si="13"/>
        <v>35026.666666666664</v>
      </c>
      <c r="N38" s="13">
        <v>10</v>
      </c>
      <c r="O38" s="26">
        <f t="shared" si="14"/>
        <v>35026.666666666664</v>
      </c>
      <c r="P38" s="37">
        <f t="shared" si="1"/>
        <v>350266.66666666663</v>
      </c>
      <c r="Q38" s="13">
        <v>10</v>
      </c>
      <c r="R38" s="26">
        <f t="shared" si="15"/>
        <v>35026.666666666664</v>
      </c>
      <c r="S38" s="37">
        <f t="shared" si="2"/>
        <v>350266.66666666663</v>
      </c>
      <c r="T38" s="13">
        <v>10</v>
      </c>
      <c r="U38" s="26">
        <f t="shared" si="16"/>
        <v>35026.666666666664</v>
      </c>
      <c r="V38" s="37">
        <f t="shared" si="3"/>
        <v>350266.66666666663</v>
      </c>
      <c r="W38" s="13">
        <v>10</v>
      </c>
      <c r="X38" s="26">
        <f t="shared" si="17"/>
        <v>35026.666666666664</v>
      </c>
      <c r="Y38" s="37">
        <f t="shared" si="4"/>
        <v>350266.66666666663</v>
      </c>
      <c r="Z38" s="13">
        <v>25</v>
      </c>
      <c r="AA38" s="26">
        <f t="shared" si="18"/>
        <v>35026.666666666664</v>
      </c>
      <c r="AB38" s="37">
        <f t="shared" si="5"/>
        <v>875666.66666666663</v>
      </c>
      <c r="AC38" s="13">
        <v>25</v>
      </c>
      <c r="AD38" s="26">
        <f t="shared" si="19"/>
        <v>35026.666666666664</v>
      </c>
      <c r="AE38" s="37">
        <f t="shared" si="6"/>
        <v>875666.66666666663</v>
      </c>
      <c r="AF38" s="13">
        <v>25</v>
      </c>
      <c r="AG38" s="26">
        <f t="shared" si="20"/>
        <v>35026.666666666664</v>
      </c>
      <c r="AH38" s="37">
        <f t="shared" si="7"/>
        <v>875666.66666666663</v>
      </c>
      <c r="AI38" s="13">
        <v>25</v>
      </c>
      <c r="AJ38" s="26">
        <f t="shared" si="21"/>
        <v>35026.666666666664</v>
      </c>
      <c r="AK38" s="37">
        <f t="shared" si="8"/>
        <v>875666.66666666663</v>
      </c>
      <c r="AL38" s="13">
        <v>0</v>
      </c>
      <c r="AM38" s="26">
        <f t="shared" si="22"/>
        <v>35026.666666666664</v>
      </c>
      <c r="AN38" s="37">
        <f t="shared" si="23"/>
        <v>0</v>
      </c>
      <c r="AO38" s="13">
        <f t="shared" si="24"/>
        <v>140</v>
      </c>
      <c r="AP38" s="77">
        <f t="shared" si="25"/>
        <v>29434.173669467786</v>
      </c>
      <c r="AQ38" s="77">
        <f t="shared" si="27"/>
        <v>4120784.3137254901</v>
      </c>
      <c r="AR38" s="26">
        <f t="shared" si="26"/>
        <v>35026.666666666664</v>
      </c>
      <c r="AS38" s="37">
        <f t="shared" ref="AS38:AS69" si="28">AO38*AR38</f>
        <v>4903733.333333333</v>
      </c>
      <c r="AT38" s="56" t="e" vm="33">
        <v>#VALUE!</v>
      </c>
    </row>
    <row r="39" spans="2:46" s="2" customFormat="1" ht="113.25" customHeight="1">
      <c r="B39" s="206"/>
      <c r="C39" s="5" t="s">
        <v>105</v>
      </c>
      <c r="D39" s="6" t="s">
        <v>106</v>
      </c>
      <c r="E39" s="46" t="s">
        <v>39</v>
      </c>
      <c r="F39" s="109">
        <v>20104</v>
      </c>
      <c r="G39" s="41">
        <f t="shared" si="10"/>
        <v>23923.759999999998</v>
      </c>
      <c r="H39" s="126">
        <v>16000</v>
      </c>
      <c r="I39" s="125">
        <f t="shared" si="0"/>
        <v>19040</v>
      </c>
      <c r="J39" s="116">
        <v>20000</v>
      </c>
      <c r="K39" s="41">
        <f t="shared" si="11"/>
        <v>23800</v>
      </c>
      <c r="L39" s="88">
        <f t="shared" si="12"/>
        <v>18701.333333333332</v>
      </c>
      <c r="M39" s="31">
        <f t="shared" si="13"/>
        <v>22254.586666666666</v>
      </c>
      <c r="N39" s="13">
        <v>3</v>
      </c>
      <c r="O39" s="26">
        <f t="shared" si="14"/>
        <v>22254.586666666666</v>
      </c>
      <c r="P39" s="37">
        <f t="shared" si="1"/>
        <v>66763.759999999995</v>
      </c>
      <c r="Q39" s="13">
        <v>3</v>
      </c>
      <c r="R39" s="26">
        <f t="shared" si="15"/>
        <v>22254.586666666666</v>
      </c>
      <c r="S39" s="37">
        <f t="shared" si="2"/>
        <v>66763.759999999995</v>
      </c>
      <c r="T39" s="13">
        <v>9</v>
      </c>
      <c r="U39" s="26">
        <f t="shared" si="16"/>
        <v>22254.586666666666</v>
      </c>
      <c r="V39" s="37">
        <f t="shared" si="3"/>
        <v>200291.28</v>
      </c>
      <c r="W39" s="13">
        <v>9</v>
      </c>
      <c r="X39" s="26">
        <f t="shared" si="17"/>
        <v>22254.586666666666</v>
      </c>
      <c r="Y39" s="37">
        <f t="shared" si="4"/>
        <v>200291.28</v>
      </c>
      <c r="Z39" s="13">
        <v>15</v>
      </c>
      <c r="AA39" s="26">
        <f t="shared" si="18"/>
        <v>22254.586666666666</v>
      </c>
      <c r="AB39" s="37">
        <f t="shared" si="5"/>
        <v>333818.8</v>
      </c>
      <c r="AC39" s="13">
        <v>15</v>
      </c>
      <c r="AD39" s="26">
        <f t="shared" si="19"/>
        <v>22254.586666666666</v>
      </c>
      <c r="AE39" s="37">
        <f t="shared" si="6"/>
        <v>333818.8</v>
      </c>
      <c r="AF39" s="13">
        <v>15</v>
      </c>
      <c r="AG39" s="26">
        <f t="shared" si="20"/>
        <v>22254.586666666666</v>
      </c>
      <c r="AH39" s="37">
        <f t="shared" si="7"/>
        <v>333818.8</v>
      </c>
      <c r="AI39" s="13">
        <v>15</v>
      </c>
      <c r="AJ39" s="26">
        <f t="shared" si="21"/>
        <v>22254.586666666666</v>
      </c>
      <c r="AK39" s="37">
        <f t="shared" si="8"/>
        <v>333818.8</v>
      </c>
      <c r="AL39" s="13">
        <v>0</v>
      </c>
      <c r="AM39" s="26">
        <f t="shared" si="22"/>
        <v>22254.586666666666</v>
      </c>
      <c r="AN39" s="37">
        <f t="shared" si="23"/>
        <v>0</v>
      </c>
      <c r="AO39" s="13">
        <f t="shared" si="24"/>
        <v>84</v>
      </c>
      <c r="AP39" s="77">
        <f t="shared" si="25"/>
        <v>18701.333333333332</v>
      </c>
      <c r="AQ39" s="77">
        <f t="shared" si="27"/>
        <v>1570912</v>
      </c>
      <c r="AR39" s="26">
        <f t="shared" si="26"/>
        <v>22254.586666666666</v>
      </c>
      <c r="AS39" s="37">
        <f t="shared" si="28"/>
        <v>1869385.28</v>
      </c>
      <c r="AT39" s="56" t="e" vm="34">
        <v>#VALUE!</v>
      </c>
    </row>
    <row r="40" spans="2:46" s="2" customFormat="1" ht="97.5" customHeight="1">
      <c r="B40" s="206"/>
      <c r="C40" s="5" t="s">
        <v>107</v>
      </c>
      <c r="D40" s="6" t="s">
        <v>108</v>
      </c>
      <c r="E40" s="46" t="s">
        <v>39</v>
      </c>
      <c r="F40" s="109">
        <v>104684</v>
      </c>
      <c r="G40" s="41">
        <f t="shared" si="10"/>
        <v>124573.95999999999</v>
      </c>
      <c r="H40" s="116">
        <v>120387</v>
      </c>
      <c r="I40" s="41">
        <f t="shared" si="0"/>
        <v>143260.53</v>
      </c>
      <c r="J40" s="126">
        <v>72000</v>
      </c>
      <c r="K40" s="125">
        <f t="shared" si="11"/>
        <v>85680</v>
      </c>
      <c r="L40" s="88">
        <f t="shared" si="12"/>
        <v>99023.666666666672</v>
      </c>
      <c r="M40" s="31">
        <f t="shared" si="13"/>
        <v>117838.16333333333</v>
      </c>
      <c r="N40" s="13">
        <v>1</v>
      </c>
      <c r="O40" s="26">
        <f t="shared" si="14"/>
        <v>117838.16333333333</v>
      </c>
      <c r="P40" s="37">
        <f t="shared" si="1"/>
        <v>117838.16333333333</v>
      </c>
      <c r="Q40" s="13">
        <v>1</v>
      </c>
      <c r="R40" s="26">
        <f t="shared" si="15"/>
        <v>117838.16333333333</v>
      </c>
      <c r="S40" s="37">
        <f t="shared" si="2"/>
        <v>117838.16333333333</v>
      </c>
      <c r="T40" s="13">
        <v>2</v>
      </c>
      <c r="U40" s="26">
        <f t="shared" si="16"/>
        <v>117838.16333333333</v>
      </c>
      <c r="V40" s="37">
        <f t="shared" si="3"/>
        <v>235676.32666666666</v>
      </c>
      <c r="W40" s="13">
        <v>2</v>
      </c>
      <c r="X40" s="26">
        <f t="shared" si="17"/>
        <v>117838.16333333333</v>
      </c>
      <c r="Y40" s="37">
        <f t="shared" si="4"/>
        <v>235676.32666666666</v>
      </c>
      <c r="Z40" s="13">
        <v>4</v>
      </c>
      <c r="AA40" s="26">
        <f t="shared" si="18"/>
        <v>117838.16333333333</v>
      </c>
      <c r="AB40" s="37">
        <f t="shared" si="5"/>
        <v>471352.65333333332</v>
      </c>
      <c r="AC40" s="13">
        <v>4</v>
      </c>
      <c r="AD40" s="26">
        <f t="shared" si="19"/>
        <v>117838.16333333333</v>
      </c>
      <c r="AE40" s="37">
        <f t="shared" si="6"/>
        <v>471352.65333333332</v>
      </c>
      <c r="AF40" s="13">
        <v>4</v>
      </c>
      <c r="AG40" s="26">
        <f t="shared" si="20"/>
        <v>117838.16333333333</v>
      </c>
      <c r="AH40" s="37">
        <f t="shared" si="7"/>
        <v>471352.65333333332</v>
      </c>
      <c r="AI40" s="13">
        <v>4</v>
      </c>
      <c r="AJ40" s="26">
        <f t="shared" si="21"/>
        <v>117838.16333333333</v>
      </c>
      <c r="AK40" s="37">
        <f t="shared" si="8"/>
        <v>471352.65333333332</v>
      </c>
      <c r="AL40" s="13">
        <v>0</v>
      </c>
      <c r="AM40" s="26">
        <f t="shared" si="22"/>
        <v>117838.16333333333</v>
      </c>
      <c r="AN40" s="37">
        <f t="shared" si="23"/>
        <v>0</v>
      </c>
      <c r="AO40" s="13">
        <f t="shared" si="24"/>
        <v>22</v>
      </c>
      <c r="AP40" s="77">
        <f t="shared" si="25"/>
        <v>99023.666666666672</v>
      </c>
      <c r="AQ40" s="77">
        <f t="shared" si="27"/>
        <v>2178520.666666667</v>
      </c>
      <c r="AR40" s="26">
        <f t="shared" si="26"/>
        <v>117838.16333333333</v>
      </c>
      <c r="AS40" s="37">
        <f t="shared" si="28"/>
        <v>2592439.5933333333</v>
      </c>
      <c r="AT40" s="56" t="e" vm="35">
        <v>#VALUE!</v>
      </c>
    </row>
    <row r="41" spans="2:46" s="2" customFormat="1" ht="201" customHeight="1">
      <c r="B41" s="206"/>
      <c r="C41" s="8" t="s">
        <v>109</v>
      </c>
      <c r="D41" s="11" t="s">
        <v>110</v>
      </c>
      <c r="E41" s="46" t="s">
        <v>39</v>
      </c>
      <c r="F41" s="117">
        <v>150000</v>
      </c>
      <c r="G41" s="41">
        <f t="shared" si="10"/>
        <v>178500</v>
      </c>
      <c r="H41" s="126">
        <f>123777/1.19</f>
        <v>104014.28571428572</v>
      </c>
      <c r="I41" s="125">
        <f t="shared" si="0"/>
        <v>123777</v>
      </c>
      <c r="J41" s="116">
        <v>150000</v>
      </c>
      <c r="K41" s="41">
        <f t="shared" si="11"/>
        <v>178500</v>
      </c>
      <c r="L41" s="88">
        <f t="shared" si="12"/>
        <v>134671.42857142858</v>
      </c>
      <c r="M41" s="31">
        <f t="shared" si="13"/>
        <v>160259</v>
      </c>
      <c r="N41" s="13">
        <v>3</v>
      </c>
      <c r="O41" s="26">
        <f t="shared" si="14"/>
        <v>160259</v>
      </c>
      <c r="P41" s="37">
        <f t="shared" si="1"/>
        <v>480777</v>
      </c>
      <c r="Q41" s="13">
        <v>3</v>
      </c>
      <c r="R41" s="26">
        <f t="shared" si="15"/>
        <v>160259</v>
      </c>
      <c r="S41" s="37">
        <f t="shared" si="2"/>
        <v>480777</v>
      </c>
      <c r="T41" s="13">
        <v>9</v>
      </c>
      <c r="U41" s="26">
        <f t="shared" si="16"/>
        <v>160259</v>
      </c>
      <c r="V41" s="37">
        <f t="shared" si="3"/>
        <v>1442331</v>
      </c>
      <c r="W41" s="13">
        <v>9</v>
      </c>
      <c r="X41" s="26">
        <f t="shared" si="17"/>
        <v>160259</v>
      </c>
      <c r="Y41" s="37">
        <f t="shared" si="4"/>
        <v>1442331</v>
      </c>
      <c r="Z41" s="13">
        <v>15</v>
      </c>
      <c r="AA41" s="26">
        <f t="shared" si="18"/>
        <v>160259</v>
      </c>
      <c r="AB41" s="37">
        <f t="shared" si="5"/>
        <v>2403885</v>
      </c>
      <c r="AC41" s="13">
        <v>15</v>
      </c>
      <c r="AD41" s="26">
        <f t="shared" si="19"/>
        <v>160259</v>
      </c>
      <c r="AE41" s="37">
        <f t="shared" si="6"/>
        <v>2403885</v>
      </c>
      <c r="AF41" s="13">
        <v>15</v>
      </c>
      <c r="AG41" s="26">
        <f t="shared" si="20"/>
        <v>160259</v>
      </c>
      <c r="AH41" s="37">
        <f t="shared" si="7"/>
        <v>2403885</v>
      </c>
      <c r="AI41" s="13">
        <v>15</v>
      </c>
      <c r="AJ41" s="26">
        <f t="shared" si="21"/>
        <v>160259</v>
      </c>
      <c r="AK41" s="37">
        <f t="shared" si="8"/>
        <v>2403885</v>
      </c>
      <c r="AL41" s="13">
        <v>0</v>
      </c>
      <c r="AM41" s="26">
        <f t="shared" si="22"/>
        <v>160259</v>
      </c>
      <c r="AN41" s="37">
        <f t="shared" si="23"/>
        <v>0</v>
      </c>
      <c r="AO41" s="13">
        <f t="shared" si="24"/>
        <v>84</v>
      </c>
      <c r="AP41" s="77">
        <f t="shared" si="25"/>
        <v>134671.42857142858</v>
      </c>
      <c r="AQ41" s="77">
        <f t="shared" si="27"/>
        <v>11312400</v>
      </c>
      <c r="AR41" s="26">
        <f t="shared" si="26"/>
        <v>160259</v>
      </c>
      <c r="AS41" s="37">
        <f t="shared" si="28"/>
        <v>13461756</v>
      </c>
      <c r="AT41" s="56"/>
    </row>
    <row r="42" spans="2:46" s="2" customFormat="1" ht="125.25" customHeight="1">
      <c r="B42" s="206"/>
      <c r="C42" s="8" t="s">
        <v>111</v>
      </c>
      <c r="D42" s="6" t="s">
        <v>112</v>
      </c>
      <c r="E42" s="46" t="s">
        <v>39</v>
      </c>
      <c r="F42" s="109">
        <v>20799</v>
      </c>
      <c r="G42" s="41">
        <f t="shared" si="10"/>
        <v>24750.809999999998</v>
      </c>
      <c r="H42" s="116">
        <v>25000</v>
      </c>
      <c r="I42" s="41">
        <f t="shared" si="0"/>
        <v>29750</v>
      </c>
      <c r="J42" s="126">
        <v>45000</v>
      </c>
      <c r="K42" s="125">
        <f t="shared" si="11"/>
        <v>53550</v>
      </c>
      <c r="L42" s="88">
        <f t="shared" si="12"/>
        <v>30266.333333333332</v>
      </c>
      <c r="M42" s="31">
        <f t="shared" si="13"/>
        <v>36016.936666666668</v>
      </c>
      <c r="N42" s="13">
        <v>15</v>
      </c>
      <c r="O42" s="26">
        <f t="shared" si="14"/>
        <v>36016.936666666668</v>
      </c>
      <c r="P42" s="37">
        <f t="shared" si="1"/>
        <v>540254.05000000005</v>
      </c>
      <c r="Q42" s="13">
        <v>15</v>
      </c>
      <c r="R42" s="26">
        <f t="shared" si="15"/>
        <v>36016.936666666668</v>
      </c>
      <c r="S42" s="37">
        <f t="shared" si="2"/>
        <v>540254.05000000005</v>
      </c>
      <c r="T42" s="14">
        <v>25</v>
      </c>
      <c r="U42" s="26">
        <f t="shared" si="16"/>
        <v>36016.936666666668</v>
      </c>
      <c r="V42" s="37">
        <f t="shared" si="3"/>
        <v>900423.41666666674</v>
      </c>
      <c r="W42" s="14">
        <v>25</v>
      </c>
      <c r="X42" s="26">
        <f t="shared" si="17"/>
        <v>36016.936666666668</v>
      </c>
      <c r="Y42" s="37">
        <f t="shared" si="4"/>
        <v>900423.41666666674</v>
      </c>
      <c r="Z42" s="14">
        <v>30</v>
      </c>
      <c r="AA42" s="26">
        <f t="shared" si="18"/>
        <v>36016.936666666668</v>
      </c>
      <c r="AB42" s="37">
        <f t="shared" si="5"/>
        <v>1080508.1000000001</v>
      </c>
      <c r="AC42" s="14">
        <v>30</v>
      </c>
      <c r="AD42" s="26">
        <f t="shared" si="19"/>
        <v>36016.936666666668</v>
      </c>
      <c r="AE42" s="37">
        <f t="shared" si="6"/>
        <v>1080508.1000000001</v>
      </c>
      <c r="AF42" s="14">
        <v>30</v>
      </c>
      <c r="AG42" s="26">
        <f t="shared" si="20"/>
        <v>36016.936666666668</v>
      </c>
      <c r="AH42" s="37">
        <f t="shared" si="7"/>
        <v>1080508.1000000001</v>
      </c>
      <c r="AI42" s="14">
        <v>30</v>
      </c>
      <c r="AJ42" s="26">
        <f t="shared" si="21"/>
        <v>36016.936666666668</v>
      </c>
      <c r="AK42" s="37">
        <f t="shared" si="8"/>
        <v>1080508.1000000001</v>
      </c>
      <c r="AL42" s="13">
        <v>0</v>
      </c>
      <c r="AM42" s="26">
        <f t="shared" si="22"/>
        <v>36016.936666666668</v>
      </c>
      <c r="AN42" s="37">
        <f t="shared" si="23"/>
        <v>0</v>
      </c>
      <c r="AO42" s="13">
        <f t="shared" si="24"/>
        <v>200</v>
      </c>
      <c r="AP42" s="77">
        <f t="shared" si="25"/>
        <v>30266.333333333332</v>
      </c>
      <c r="AQ42" s="77">
        <f t="shared" si="27"/>
        <v>6053266.666666666</v>
      </c>
      <c r="AR42" s="26">
        <f t="shared" si="26"/>
        <v>36016.936666666668</v>
      </c>
      <c r="AS42" s="37">
        <f t="shared" si="28"/>
        <v>7203387.333333334</v>
      </c>
      <c r="AT42" s="56" t="e" vm="36">
        <v>#VALUE!</v>
      </c>
    </row>
    <row r="43" spans="2:46" s="2" customFormat="1" ht="138.75" customHeight="1">
      <c r="B43" s="206"/>
      <c r="C43" s="8" t="s">
        <v>113</v>
      </c>
      <c r="D43" s="6" t="s">
        <v>114</v>
      </c>
      <c r="E43" s="46" t="s">
        <v>39</v>
      </c>
      <c r="F43" s="117">
        <v>9000</v>
      </c>
      <c r="G43" s="41">
        <f t="shared" si="10"/>
        <v>10710</v>
      </c>
      <c r="H43" s="116">
        <v>11200</v>
      </c>
      <c r="I43" s="41">
        <f t="shared" si="0"/>
        <v>13328</v>
      </c>
      <c r="J43" s="116">
        <v>12000</v>
      </c>
      <c r="K43" s="41">
        <f t="shared" si="11"/>
        <v>14280</v>
      </c>
      <c r="L43" s="88">
        <f t="shared" si="12"/>
        <v>10733.333333333334</v>
      </c>
      <c r="M43" s="31">
        <f t="shared" si="13"/>
        <v>12772.666666666666</v>
      </c>
      <c r="N43" s="13">
        <v>3</v>
      </c>
      <c r="O43" s="26">
        <f t="shared" si="14"/>
        <v>12772.666666666666</v>
      </c>
      <c r="P43" s="37">
        <f t="shared" si="1"/>
        <v>38318</v>
      </c>
      <c r="Q43" s="13">
        <v>3</v>
      </c>
      <c r="R43" s="26">
        <f t="shared" si="15"/>
        <v>12772.666666666666</v>
      </c>
      <c r="S43" s="37">
        <f t="shared" si="2"/>
        <v>38318</v>
      </c>
      <c r="T43" s="13">
        <v>9</v>
      </c>
      <c r="U43" s="26">
        <f t="shared" si="16"/>
        <v>12772.666666666666</v>
      </c>
      <c r="V43" s="37">
        <f t="shared" si="3"/>
        <v>114954</v>
      </c>
      <c r="W43" s="13">
        <v>9</v>
      </c>
      <c r="X43" s="26">
        <f t="shared" si="17"/>
        <v>12772.666666666666</v>
      </c>
      <c r="Y43" s="37">
        <f t="shared" si="4"/>
        <v>114954</v>
      </c>
      <c r="Z43" s="13">
        <v>15</v>
      </c>
      <c r="AA43" s="26">
        <f t="shared" si="18"/>
        <v>12772.666666666666</v>
      </c>
      <c r="AB43" s="37">
        <f t="shared" si="5"/>
        <v>191590</v>
      </c>
      <c r="AC43" s="13">
        <v>15</v>
      </c>
      <c r="AD43" s="26">
        <f t="shared" si="19"/>
        <v>12772.666666666666</v>
      </c>
      <c r="AE43" s="37">
        <f t="shared" si="6"/>
        <v>191590</v>
      </c>
      <c r="AF43" s="13">
        <v>15</v>
      </c>
      <c r="AG43" s="26">
        <f t="shared" si="20"/>
        <v>12772.666666666666</v>
      </c>
      <c r="AH43" s="37">
        <f t="shared" si="7"/>
        <v>191590</v>
      </c>
      <c r="AI43" s="13">
        <v>15</v>
      </c>
      <c r="AJ43" s="26">
        <f t="shared" si="21"/>
        <v>12772.666666666666</v>
      </c>
      <c r="AK43" s="37">
        <f t="shared" si="8"/>
        <v>191590</v>
      </c>
      <c r="AL43" s="13">
        <v>0</v>
      </c>
      <c r="AM43" s="26">
        <f t="shared" si="22"/>
        <v>12772.666666666666</v>
      </c>
      <c r="AN43" s="37">
        <f t="shared" si="23"/>
        <v>0</v>
      </c>
      <c r="AO43" s="13">
        <f t="shared" si="24"/>
        <v>84</v>
      </c>
      <c r="AP43" s="77">
        <f t="shared" si="25"/>
        <v>10733.333333333334</v>
      </c>
      <c r="AQ43" s="77">
        <f t="shared" si="27"/>
        <v>901600</v>
      </c>
      <c r="AR43" s="26">
        <f t="shared" si="26"/>
        <v>12772.666666666666</v>
      </c>
      <c r="AS43" s="37">
        <f t="shared" si="28"/>
        <v>1072904</v>
      </c>
      <c r="AT43" s="56" t="e" vm="37">
        <v>#VALUE!</v>
      </c>
    </row>
    <row r="44" spans="2:46" s="2" customFormat="1" ht="137.25" customHeight="1">
      <c r="B44" s="206"/>
      <c r="C44" s="5" t="s">
        <v>115</v>
      </c>
      <c r="D44" s="6" t="s">
        <v>116</v>
      </c>
      <c r="E44" s="46" t="s">
        <v>39</v>
      </c>
      <c r="F44" s="109">
        <v>9000</v>
      </c>
      <c r="G44" s="41">
        <f t="shared" si="10"/>
        <v>10710</v>
      </c>
      <c r="H44" s="116">
        <v>15000</v>
      </c>
      <c r="I44" s="41">
        <f t="shared" si="0"/>
        <v>17850</v>
      </c>
      <c r="J44" s="116">
        <v>15000</v>
      </c>
      <c r="K44" s="41">
        <f t="shared" si="11"/>
        <v>17850</v>
      </c>
      <c r="L44" s="88">
        <f t="shared" si="12"/>
        <v>13000</v>
      </c>
      <c r="M44" s="31">
        <f t="shared" si="13"/>
        <v>15470</v>
      </c>
      <c r="N44" s="13">
        <v>4</v>
      </c>
      <c r="O44" s="26">
        <f t="shared" si="14"/>
        <v>15470</v>
      </c>
      <c r="P44" s="37">
        <f t="shared" si="1"/>
        <v>61880</v>
      </c>
      <c r="Q44" s="13">
        <v>4</v>
      </c>
      <c r="R44" s="26">
        <f t="shared" si="15"/>
        <v>15470</v>
      </c>
      <c r="S44" s="37">
        <f t="shared" si="2"/>
        <v>61880</v>
      </c>
      <c r="T44" s="13">
        <v>12</v>
      </c>
      <c r="U44" s="26">
        <f t="shared" si="16"/>
        <v>15470</v>
      </c>
      <c r="V44" s="37">
        <f t="shared" si="3"/>
        <v>185640</v>
      </c>
      <c r="W44" s="13">
        <v>12</v>
      </c>
      <c r="X44" s="26">
        <f t="shared" si="17"/>
        <v>15470</v>
      </c>
      <c r="Y44" s="37">
        <f t="shared" si="4"/>
        <v>185640</v>
      </c>
      <c r="Z44" s="13">
        <v>25</v>
      </c>
      <c r="AA44" s="26">
        <f t="shared" si="18"/>
        <v>15470</v>
      </c>
      <c r="AB44" s="37">
        <f t="shared" si="5"/>
        <v>386750</v>
      </c>
      <c r="AC44" s="13">
        <v>25</v>
      </c>
      <c r="AD44" s="26">
        <f t="shared" si="19"/>
        <v>15470</v>
      </c>
      <c r="AE44" s="37">
        <f t="shared" si="6"/>
        <v>386750</v>
      </c>
      <c r="AF44" s="13">
        <v>25</v>
      </c>
      <c r="AG44" s="26">
        <f t="shared" si="20"/>
        <v>15470</v>
      </c>
      <c r="AH44" s="37">
        <f t="shared" si="7"/>
        <v>386750</v>
      </c>
      <c r="AI44" s="13">
        <v>25</v>
      </c>
      <c r="AJ44" s="26">
        <f t="shared" si="21"/>
        <v>15470</v>
      </c>
      <c r="AK44" s="37">
        <f t="shared" si="8"/>
        <v>386750</v>
      </c>
      <c r="AL44" s="13">
        <v>0</v>
      </c>
      <c r="AM44" s="26">
        <f t="shared" si="22"/>
        <v>15470</v>
      </c>
      <c r="AN44" s="37">
        <f t="shared" si="23"/>
        <v>0</v>
      </c>
      <c r="AO44" s="13">
        <f t="shared" si="24"/>
        <v>132</v>
      </c>
      <c r="AP44" s="77">
        <f t="shared" si="25"/>
        <v>13000</v>
      </c>
      <c r="AQ44" s="77">
        <f t="shared" si="27"/>
        <v>1716000</v>
      </c>
      <c r="AR44" s="26">
        <f t="shared" si="26"/>
        <v>15470</v>
      </c>
      <c r="AS44" s="37">
        <f t="shared" si="28"/>
        <v>2042040</v>
      </c>
      <c r="AT44" s="56" t="e" vm="38">
        <v>#VALUE!</v>
      </c>
    </row>
    <row r="45" spans="2:46" s="2" customFormat="1" ht="123.75" customHeight="1">
      <c r="B45" s="206"/>
      <c r="C45" s="8" t="s">
        <v>117</v>
      </c>
      <c r="D45" s="6" t="s">
        <v>118</v>
      </c>
      <c r="E45" s="46" t="s">
        <v>39</v>
      </c>
      <c r="F45" s="124">
        <v>10000</v>
      </c>
      <c r="G45" s="125">
        <f t="shared" si="10"/>
        <v>11900</v>
      </c>
      <c r="H45" s="139">
        <f>21500/1.19</f>
        <v>18067.226890756305</v>
      </c>
      <c r="I45" s="41">
        <f t="shared" si="0"/>
        <v>21500</v>
      </c>
      <c r="J45" s="141">
        <f>15421/1.19</f>
        <v>12958.823529411766</v>
      </c>
      <c r="K45" s="41">
        <f t="shared" si="11"/>
        <v>15421</v>
      </c>
      <c r="L45" s="88">
        <f t="shared" si="12"/>
        <v>13675.350140056025</v>
      </c>
      <c r="M45" s="31">
        <f t="shared" si="13"/>
        <v>16273.666666666666</v>
      </c>
      <c r="N45" s="14">
        <v>4</v>
      </c>
      <c r="O45" s="26">
        <f t="shared" si="14"/>
        <v>16273.666666666666</v>
      </c>
      <c r="P45" s="37">
        <f t="shared" si="1"/>
        <v>65094.666666666664</v>
      </c>
      <c r="Q45" s="14">
        <v>4</v>
      </c>
      <c r="R45" s="26">
        <f t="shared" si="15"/>
        <v>16273.666666666666</v>
      </c>
      <c r="S45" s="37">
        <f t="shared" si="2"/>
        <v>65094.666666666664</v>
      </c>
      <c r="T45" s="14">
        <v>12</v>
      </c>
      <c r="U45" s="26">
        <f t="shared" si="16"/>
        <v>16273.666666666666</v>
      </c>
      <c r="V45" s="37">
        <f t="shared" si="3"/>
        <v>195284</v>
      </c>
      <c r="W45" s="14">
        <v>12</v>
      </c>
      <c r="X45" s="26">
        <f t="shared" si="17"/>
        <v>16273.666666666666</v>
      </c>
      <c r="Y45" s="37">
        <f t="shared" si="4"/>
        <v>195284</v>
      </c>
      <c r="Z45" s="14">
        <v>20</v>
      </c>
      <c r="AA45" s="26">
        <f t="shared" si="18"/>
        <v>16273.666666666666</v>
      </c>
      <c r="AB45" s="37">
        <f t="shared" si="5"/>
        <v>325473.33333333331</v>
      </c>
      <c r="AC45" s="14">
        <v>20</v>
      </c>
      <c r="AD45" s="26">
        <f t="shared" si="19"/>
        <v>16273.666666666666</v>
      </c>
      <c r="AE45" s="37">
        <f t="shared" si="6"/>
        <v>325473.33333333331</v>
      </c>
      <c r="AF45" s="14">
        <v>20</v>
      </c>
      <c r="AG45" s="26">
        <f t="shared" si="20"/>
        <v>16273.666666666666</v>
      </c>
      <c r="AH45" s="37">
        <f t="shared" si="7"/>
        <v>325473.33333333331</v>
      </c>
      <c r="AI45" s="14">
        <v>20</v>
      </c>
      <c r="AJ45" s="26">
        <f t="shared" si="21"/>
        <v>16273.666666666666</v>
      </c>
      <c r="AK45" s="37">
        <f t="shared" si="8"/>
        <v>325473.33333333331</v>
      </c>
      <c r="AL45" s="13">
        <v>0</v>
      </c>
      <c r="AM45" s="26">
        <f t="shared" si="22"/>
        <v>16273.666666666666</v>
      </c>
      <c r="AN45" s="37">
        <f t="shared" si="23"/>
        <v>0</v>
      </c>
      <c r="AO45" s="13">
        <f t="shared" si="24"/>
        <v>112</v>
      </c>
      <c r="AP45" s="77">
        <f t="shared" si="25"/>
        <v>13675.350140056025</v>
      </c>
      <c r="AQ45" s="77">
        <f t="shared" si="27"/>
        <v>1531639.2156862749</v>
      </c>
      <c r="AR45" s="26">
        <f t="shared" si="26"/>
        <v>16273.666666666666</v>
      </c>
      <c r="AS45" s="37">
        <f t="shared" si="28"/>
        <v>1822650.6666666665</v>
      </c>
      <c r="AT45" s="56" t="e" vm="39">
        <v>#VALUE!</v>
      </c>
    </row>
    <row r="46" spans="2:46" s="2" customFormat="1" ht="100.5" customHeight="1">
      <c r="B46" s="206"/>
      <c r="C46" s="5" t="s">
        <v>119</v>
      </c>
      <c r="D46" s="7" t="s">
        <v>120</v>
      </c>
      <c r="E46" s="46" t="s">
        <v>39</v>
      </c>
      <c r="F46" s="117">
        <v>6988</v>
      </c>
      <c r="G46" s="41">
        <f t="shared" si="10"/>
        <v>8315.7199999999993</v>
      </c>
      <c r="H46" s="116">
        <v>5600</v>
      </c>
      <c r="I46" s="41">
        <f t="shared" si="0"/>
        <v>6664</v>
      </c>
      <c r="J46" s="116">
        <v>6000</v>
      </c>
      <c r="K46" s="41">
        <f t="shared" si="11"/>
        <v>7140</v>
      </c>
      <c r="L46" s="88">
        <f t="shared" si="12"/>
        <v>6196</v>
      </c>
      <c r="M46" s="31">
        <f t="shared" si="13"/>
        <v>7373.2400000000007</v>
      </c>
      <c r="N46" s="14">
        <v>5</v>
      </c>
      <c r="O46" s="26">
        <f t="shared" si="14"/>
        <v>7373.2400000000007</v>
      </c>
      <c r="P46" s="37">
        <f t="shared" si="1"/>
        <v>36866.200000000004</v>
      </c>
      <c r="Q46" s="14">
        <v>5</v>
      </c>
      <c r="R46" s="26">
        <f t="shared" si="15"/>
        <v>7373.2400000000007</v>
      </c>
      <c r="S46" s="37">
        <f t="shared" si="2"/>
        <v>36866.200000000004</v>
      </c>
      <c r="T46" s="14">
        <v>10</v>
      </c>
      <c r="U46" s="26">
        <f t="shared" si="16"/>
        <v>7373.2400000000007</v>
      </c>
      <c r="V46" s="37">
        <f t="shared" si="3"/>
        <v>73732.400000000009</v>
      </c>
      <c r="W46" s="14">
        <v>10</v>
      </c>
      <c r="X46" s="26">
        <f t="shared" si="17"/>
        <v>7373.2400000000007</v>
      </c>
      <c r="Y46" s="37">
        <f t="shared" si="4"/>
        <v>73732.400000000009</v>
      </c>
      <c r="Z46" s="14">
        <v>15</v>
      </c>
      <c r="AA46" s="26">
        <f t="shared" si="18"/>
        <v>7373.2400000000007</v>
      </c>
      <c r="AB46" s="37">
        <f t="shared" si="5"/>
        <v>110598.6</v>
      </c>
      <c r="AC46" s="14">
        <v>15</v>
      </c>
      <c r="AD46" s="26">
        <f t="shared" si="19"/>
        <v>7373.2400000000007</v>
      </c>
      <c r="AE46" s="37">
        <f t="shared" si="6"/>
        <v>110598.6</v>
      </c>
      <c r="AF46" s="14">
        <v>15</v>
      </c>
      <c r="AG46" s="26">
        <f t="shared" si="20"/>
        <v>7373.2400000000007</v>
      </c>
      <c r="AH46" s="37">
        <f t="shared" si="7"/>
        <v>110598.6</v>
      </c>
      <c r="AI46" s="14">
        <v>15</v>
      </c>
      <c r="AJ46" s="26">
        <f t="shared" si="21"/>
        <v>7373.2400000000007</v>
      </c>
      <c r="AK46" s="37">
        <f t="shared" si="8"/>
        <v>110598.6</v>
      </c>
      <c r="AL46" s="13">
        <v>0</v>
      </c>
      <c r="AM46" s="26">
        <f t="shared" si="22"/>
        <v>7373.2400000000007</v>
      </c>
      <c r="AN46" s="37">
        <f t="shared" si="23"/>
        <v>0</v>
      </c>
      <c r="AO46" s="13">
        <f t="shared" si="24"/>
        <v>90</v>
      </c>
      <c r="AP46" s="77">
        <f t="shared" si="25"/>
        <v>6196</v>
      </c>
      <c r="AQ46" s="77">
        <f t="shared" si="27"/>
        <v>557640</v>
      </c>
      <c r="AR46" s="26">
        <f t="shared" si="26"/>
        <v>7373.2400000000007</v>
      </c>
      <c r="AS46" s="37">
        <f t="shared" si="28"/>
        <v>663591.60000000009</v>
      </c>
      <c r="AT46" s="56" t="e" vm="40">
        <v>#VALUE!</v>
      </c>
    </row>
    <row r="47" spans="2:46" s="2" customFormat="1" ht="108.75" customHeight="1">
      <c r="B47" s="206"/>
      <c r="C47" s="5" t="s">
        <v>121</v>
      </c>
      <c r="D47" s="6" t="s">
        <v>122</v>
      </c>
      <c r="E47" s="46" t="s">
        <v>39</v>
      </c>
      <c r="F47" s="124">
        <v>9600</v>
      </c>
      <c r="G47" s="125">
        <f t="shared" si="10"/>
        <v>11424</v>
      </c>
      <c r="H47" s="116">
        <v>18000</v>
      </c>
      <c r="I47" s="41">
        <f t="shared" si="0"/>
        <v>21420</v>
      </c>
      <c r="J47" s="116">
        <v>14250</v>
      </c>
      <c r="K47" s="41">
        <f t="shared" si="11"/>
        <v>16957.5</v>
      </c>
      <c r="L47" s="88">
        <f t="shared" si="12"/>
        <v>13950</v>
      </c>
      <c r="M47" s="31">
        <f t="shared" si="13"/>
        <v>16600.5</v>
      </c>
      <c r="N47" s="13">
        <v>1</v>
      </c>
      <c r="O47" s="26">
        <f t="shared" si="14"/>
        <v>16600.5</v>
      </c>
      <c r="P47" s="37">
        <f t="shared" si="1"/>
        <v>16600.5</v>
      </c>
      <c r="Q47" s="13">
        <v>1</v>
      </c>
      <c r="R47" s="26">
        <f t="shared" si="15"/>
        <v>16600.5</v>
      </c>
      <c r="S47" s="37">
        <f t="shared" si="2"/>
        <v>16600.5</v>
      </c>
      <c r="T47" s="14">
        <v>1</v>
      </c>
      <c r="U47" s="26">
        <f t="shared" si="16"/>
        <v>16600.5</v>
      </c>
      <c r="V47" s="37">
        <f t="shared" si="3"/>
        <v>16600.5</v>
      </c>
      <c r="W47" s="14">
        <v>1</v>
      </c>
      <c r="X47" s="26">
        <f t="shared" si="17"/>
        <v>16600.5</v>
      </c>
      <c r="Y47" s="37">
        <f t="shared" si="4"/>
        <v>16600.5</v>
      </c>
      <c r="Z47" s="14">
        <v>2</v>
      </c>
      <c r="AA47" s="26">
        <f t="shared" si="18"/>
        <v>16600.5</v>
      </c>
      <c r="AB47" s="37">
        <f t="shared" si="5"/>
        <v>33201</v>
      </c>
      <c r="AC47" s="14">
        <v>2</v>
      </c>
      <c r="AD47" s="26">
        <f t="shared" si="19"/>
        <v>16600.5</v>
      </c>
      <c r="AE47" s="37">
        <f t="shared" si="6"/>
        <v>33201</v>
      </c>
      <c r="AF47" s="14">
        <v>2</v>
      </c>
      <c r="AG47" s="26">
        <f t="shared" si="20"/>
        <v>16600.5</v>
      </c>
      <c r="AH47" s="37">
        <f t="shared" si="7"/>
        <v>33201</v>
      </c>
      <c r="AI47" s="14">
        <v>2</v>
      </c>
      <c r="AJ47" s="26">
        <f t="shared" si="21"/>
        <v>16600.5</v>
      </c>
      <c r="AK47" s="37">
        <f t="shared" si="8"/>
        <v>33201</v>
      </c>
      <c r="AL47" s="13">
        <v>0</v>
      </c>
      <c r="AM47" s="26">
        <f t="shared" si="22"/>
        <v>16600.5</v>
      </c>
      <c r="AN47" s="37">
        <f t="shared" si="23"/>
        <v>0</v>
      </c>
      <c r="AO47" s="13">
        <f t="shared" si="24"/>
        <v>12</v>
      </c>
      <c r="AP47" s="77">
        <f t="shared" si="25"/>
        <v>13950</v>
      </c>
      <c r="AQ47" s="77">
        <f t="shared" si="27"/>
        <v>167400</v>
      </c>
      <c r="AR47" s="26">
        <f t="shared" si="26"/>
        <v>16600.5</v>
      </c>
      <c r="AS47" s="37">
        <f t="shared" si="28"/>
        <v>199206</v>
      </c>
      <c r="AT47" s="56" t="e" vm="40">
        <v>#VALUE!</v>
      </c>
    </row>
    <row r="48" spans="2:46" ht="131.25" customHeight="1">
      <c r="B48" s="206"/>
      <c r="C48" s="5" t="s">
        <v>123</v>
      </c>
      <c r="D48" s="6" t="s">
        <v>124</v>
      </c>
      <c r="E48" s="46" t="s">
        <v>39</v>
      </c>
      <c r="F48" s="117">
        <v>152530</v>
      </c>
      <c r="G48" s="41">
        <f t="shared" si="10"/>
        <v>181510.69999999998</v>
      </c>
      <c r="H48" s="126">
        <v>300000</v>
      </c>
      <c r="I48" s="125">
        <f t="shared" si="0"/>
        <v>357000</v>
      </c>
      <c r="J48" s="139">
        <f>199900/1.19</f>
        <v>167983.19327731093</v>
      </c>
      <c r="K48" s="41">
        <f t="shared" si="11"/>
        <v>199900</v>
      </c>
      <c r="L48" s="88">
        <f t="shared" si="12"/>
        <v>206837.73109243697</v>
      </c>
      <c r="M48" s="31">
        <f t="shared" si="13"/>
        <v>246136.9</v>
      </c>
      <c r="N48" s="14">
        <v>1</v>
      </c>
      <c r="O48" s="26">
        <f t="shared" si="14"/>
        <v>246136.9</v>
      </c>
      <c r="P48" s="37">
        <f t="shared" si="1"/>
        <v>246136.9</v>
      </c>
      <c r="Q48" s="14">
        <v>1</v>
      </c>
      <c r="R48" s="26">
        <f t="shared" si="15"/>
        <v>246136.9</v>
      </c>
      <c r="S48" s="37">
        <f t="shared" si="2"/>
        <v>246136.9</v>
      </c>
      <c r="T48" s="14">
        <v>1</v>
      </c>
      <c r="U48" s="26">
        <f t="shared" si="16"/>
        <v>246136.9</v>
      </c>
      <c r="V48" s="37">
        <f t="shared" si="3"/>
        <v>246136.9</v>
      </c>
      <c r="W48" s="14">
        <v>1</v>
      </c>
      <c r="X48" s="26">
        <f t="shared" si="17"/>
        <v>246136.9</v>
      </c>
      <c r="Y48" s="37">
        <f t="shared" si="4"/>
        <v>246136.9</v>
      </c>
      <c r="Z48" s="14">
        <v>2</v>
      </c>
      <c r="AA48" s="26">
        <f t="shared" si="18"/>
        <v>246136.9</v>
      </c>
      <c r="AB48" s="37">
        <f t="shared" si="5"/>
        <v>492273.8</v>
      </c>
      <c r="AC48" s="14">
        <v>2</v>
      </c>
      <c r="AD48" s="26">
        <f t="shared" si="19"/>
        <v>246136.9</v>
      </c>
      <c r="AE48" s="37">
        <f t="shared" si="6"/>
        <v>492273.8</v>
      </c>
      <c r="AF48" s="14">
        <v>2</v>
      </c>
      <c r="AG48" s="26">
        <f t="shared" si="20"/>
        <v>246136.9</v>
      </c>
      <c r="AH48" s="37">
        <f t="shared" si="7"/>
        <v>492273.8</v>
      </c>
      <c r="AI48" s="14">
        <v>2</v>
      </c>
      <c r="AJ48" s="26">
        <f t="shared" si="21"/>
        <v>246136.9</v>
      </c>
      <c r="AK48" s="37">
        <f t="shared" si="8"/>
        <v>492273.8</v>
      </c>
      <c r="AL48" s="13">
        <v>0</v>
      </c>
      <c r="AM48" s="26">
        <f t="shared" si="22"/>
        <v>246136.9</v>
      </c>
      <c r="AN48" s="37">
        <f t="shared" si="23"/>
        <v>0</v>
      </c>
      <c r="AO48" s="13">
        <f t="shared" si="24"/>
        <v>12</v>
      </c>
      <c r="AP48" s="77">
        <f t="shared" si="25"/>
        <v>206837.73109243697</v>
      </c>
      <c r="AQ48" s="77">
        <f t="shared" si="27"/>
        <v>2482052.7731092437</v>
      </c>
      <c r="AR48" s="26">
        <f t="shared" si="26"/>
        <v>246136.9</v>
      </c>
      <c r="AS48" s="37">
        <f t="shared" si="28"/>
        <v>2953642.8</v>
      </c>
      <c r="AT48" s="56" t="e" vm="41">
        <v>#VALUE!</v>
      </c>
    </row>
    <row r="49" spans="2:46" ht="143.25" customHeight="1">
      <c r="B49" s="206"/>
      <c r="C49" s="5" t="s">
        <v>125</v>
      </c>
      <c r="D49" s="6" t="s">
        <v>126</v>
      </c>
      <c r="E49" s="46" t="s">
        <v>39</v>
      </c>
      <c r="F49" s="124">
        <v>100000</v>
      </c>
      <c r="G49" s="125">
        <f t="shared" si="10"/>
        <v>119000</v>
      </c>
      <c r="H49" s="116">
        <v>40000</v>
      </c>
      <c r="I49" s="41">
        <f t="shared" si="0"/>
        <v>47600</v>
      </c>
      <c r="J49" s="139">
        <f>44900/1.19</f>
        <v>37731.092436974788</v>
      </c>
      <c r="K49" s="41">
        <f t="shared" si="11"/>
        <v>44899.999999999993</v>
      </c>
      <c r="L49" s="88">
        <f t="shared" si="12"/>
        <v>59243.697478991591</v>
      </c>
      <c r="M49" s="31">
        <f t="shared" si="13"/>
        <v>70500</v>
      </c>
      <c r="N49" s="14">
        <v>10</v>
      </c>
      <c r="O49" s="26">
        <f t="shared" si="14"/>
        <v>70500</v>
      </c>
      <c r="P49" s="37">
        <f t="shared" si="1"/>
        <v>705000</v>
      </c>
      <c r="Q49" s="14">
        <v>10</v>
      </c>
      <c r="R49" s="26">
        <f t="shared" si="15"/>
        <v>70500</v>
      </c>
      <c r="S49" s="37">
        <f t="shared" si="2"/>
        <v>705000</v>
      </c>
      <c r="T49" s="14">
        <v>30</v>
      </c>
      <c r="U49" s="26">
        <f t="shared" si="16"/>
        <v>70500</v>
      </c>
      <c r="V49" s="37">
        <f t="shared" si="3"/>
        <v>2115000</v>
      </c>
      <c r="W49" s="14">
        <v>30</v>
      </c>
      <c r="X49" s="26">
        <f t="shared" si="17"/>
        <v>70500</v>
      </c>
      <c r="Y49" s="37">
        <f t="shared" si="4"/>
        <v>2115000</v>
      </c>
      <c r="Z49" s="14">
        <v>50</v>
      </c>
      <c r="AA49" s="26">
        <f t="shared" si="18"/>
        <v>70500</v>
      </c>
      <c r="AB49" s="37">
        <f t="shared" si="5"/>
        <v>3525000</v>
      </c>
      <c r="AC49" s="14">
        <v>50</v>
      </c>
      <c r="AD49" s="26">
        <f t="shared" si="19"/>
        <v>70500</v>
      </c>
      <c r="AE49" s="37">
        <f t="shared" si="6"/>
        <v>3525000</v>
      </c>
      <c r="AF49" s="14">
        <v>50</v>
      </c>
      <c r="AG49" s="26">
        <f t="shared" si="20"/>
        <v>70500</v>
      </c>
      <c r="AH49" s="37">
        <f t="shared" si="7"/>
        <v>3525000</v>
      </c>
      <c r="AI49" s="14">
        <v>50</v>
      </c>
      <c r="AJ49" s="26">
        <f t="shared" si="21"/>
        <v>70500</v>
      </c>
      <c r="AK49" s="37">
        <f t="shared" si="8"/>
        <v>3525000</v>
      </c>
      <c r="AL49" s="13">
        <v>0</v>
      </c>
      <c r="AM49" s="26">
        <f t="shared" si="22"/>
        <v>70500</v>
      </c>
      <c r="AN49" s="37">
        <f t="shared" si="23"/>
        <v>0</v>
      </c>
      <c r="AO49" s="13">
        <f t="shared" si="24"/>
        <v>280</v>
      </c>
      <c r="AP49" s="77">
        <f t="shared" si="25"/>
        <v>59243.697478991591</v>
      </c>
      <c r="AQ49" s="77">
        <f t="shared" si="27"/>
        <v>16588235.294117646</v>
      </c>
      <c r="AR49" s="26">
        <f t="shared" si="26"/>
        <v>70500</v>
      </c>
      <c r="AS49" s="37">
        <f t="shared" si="28"/>
        <v>19740000</v>
      </c>
      <c r="AT49" s="56" t="e" vm="42">
        <v>#VALUE!</v>
      </c>
    </row>
    <row r="50" spans="2:46" ht="121.5" customHeight="1">
      <c r="B50" s="206"/>
      <c r="C50" s="8" t="s">
        <v>127</v>
      </c>
      <c r="D50" s="6" t="s">
        <v>128</v>
      </c>
      <c r="E50" s="46" t="s">
        <v>39</v>
      </c>
      <c r="F50" s="109">
        <v>68200</v>
      </c>
      <c r="G50" s="41">
        <f t="shared" si="10"/>
        <v>81158</v>
      </c>
      <c r="H50" s="116">
        <v>78430</v>
      </c>
      <c r="I50" s="41">
        <f t="shared" si="0"/>
        <v>93331.7</v>
      </c>
      <c r="J50" s="126">
        <v>50000</v>
      </c>
      <c r="K50" s="125">
        <f t="shared" si="11"/>
        <v>59500</v>
      </c>
      <c r="L50" s="88">
        <f t="shared" si="12"/>
        <v>65543.333333333328</v>
      </c>
      <c r="M50" s="31">
        <f t="shared" si="13"/>
        <v>77996.566666666666</v>
      </c>
      <c r="N50" s="14">
        <v>4</v>
      </c>
      <c r="O50" s="26">
        <f t="shared" si="14"/>
        <v>77996.566666666666</v>
      </c>
      <c r="P50" s="37">
        <f t="shared" si="1"/>
        <v>311986.26666666666</v>
      </c>
      <c r="Q50" s="14">
        <v>4</v>
      </c>
      <c r="R50" s="26">
        <f t="shared" si="15"/>
        <v>77996.566666666666</v>
      </c>
      <c r="S50" s="37">
        <f t="shared" si="2"/>
        <v>311986.26666666666</v>
      </c>
      <c r="T50" s="14">
        <v>12</v>
      </c>
      <c r="U50" s="26">
        <f t="shared" si="16"/>
        <v>77996.566666666666</v>
      </c>
      <c r="V50" s="37">
        <f t="shared" si="3"/>
        <v>935958.8</v>
      </c>
      <c r="W50" s="14">
        <v>12</v>
      </c>
      <c r="X50" s="26">
        <f t="shared" si="17"/>
        <v>77996.566666666666</v>
      </c>
      <c r="Y50" s="37">
        <f t="shared" si="4"/>
        <v>935958.8</v>
      </c>
      <c r="Z50" s="14">
        <v>20</v>
      </c>
      <c r="AA50" s="26">
        <f t="shared" si="18"/>
        <v>77996.566666666666</v>
      </c>
      <c r="AB50" s="37">
        <f t="shared" si="5"/>
        <v>1559931.3333333333</v>
      </c>
      <c r="AC50" s="14">
        <v>20</v>
      </c>
      <c r="AD50" s="26">
        <f t="shared" si="19"/>
        <v>77996.566666666666</v>
      </c>
      <c r="AE50" s="37">
        <f t="shared" si="6"/>
        <v>1559931.3333333333</v>
      </c>
      <c r="AF50" s="14">
        <v>20</v>
      </c>
      <c r="AG50" s="26">
        <f t="shared" si="20"/>
        <v>77996.566666666666</v>
      </c>
      <c r="AH50" s="37">
        <f t="shared" si="7"/>
        <v>1559931.3333333333</v>
      </c>
      <c r="AI50" s="14">
        <v>20</v>
      </c>
      <c r="AJ50" s="26">
        <f t="shared" si="21"/>
        <v>77996.566666666666</v>
      </c>
      <c r="AK50" s="37">
        <f t="shared" si="8"/>
        <v>1559931.3333333333</v>
      </c>
      <c r="AL50" s="13">
        <v>0</v>
      </c>
      <c r="AM50" s="26">
        <f t="shared" si="22"/>
        <v>77996.566666666666</v>
      </c>
      <c r="AN50" s="37">
        <f t="shared" si="23"/>
        <v>0</v>
      </c>
      <c r="AO50" s="13">
        <f t="shared" si="24"/>
        <v>112</v>
      </c>
      <c r="AP50" s="77">
        <f t="shared" si="25"/>
        <v>65543.333333333328</v>
      </c>
      <c r="AQ50" s="77">
        <f t="shared" si="27"/>
        <v>7340853.333333333</v>
      </c>
      <c r="AR50" s="26">
        <f t="shared" si="26"/>
        <v>77996.566666666666</v>
      </c>
      <c r="AS50" s="37">
        <f t="shared" si="28"/>
        <v>8735615.4666666668</v>
      </c>
      <c r="AT50" s="56" t="e" vm="43">
        <v>#VALUE!</v>
      </c>
    </row>
    <row r="51" spans="2:46" ht="102" customHeight="1">
      <c r="B51" s="206"/>
      <c r="C51" s="8" t="s">
        <v>129</v>
      </c>
      <c r="D51" s="6" t="s">
        <v>130</v>
      </c>
      <c r="E51" s="46" t="s">
        <v>39</v>
      </c>
      <c r="F51" s="109">
        <v>25588</v>
      </c>
      <c r="G51" s="41">
        <f t="shared" si="10"/>
        <v>30449.719999999998</v>
      </c>
      <c r="H51" s="141">
        <f>45000/1.19</f>
        <v>37815.126050420171</v>
      </c>
      <c r="I51" s="41">
        <f t="shared" si="0"/>
        <v>45000</v>
      </c>
      <c r="J51" s="116">
        <v>53500</v>
      </c>
      <c r="K51" s="41">
        <f t="shared" si="11"/>
        <v>63665</v>
      </c>
      <c r="L51" s="88">
        <f t="shared" si="12"/>
        <v>38967.708683473385</v>
      </c>
      <c r="M51" s="31">
        <f t="shared" si="13"/>
        <v>46371.573333333334</v>
      </c>
      <c r="N51" s="15">
        <v>2</v>
      </c>
      <c r="O51" s="26">
        <f t="shared" si="14"/>
        <v>46371.573333333334</v>
      </c>
      <c r="P51" s="37">
        <f t="shared" si="1"/>
        <v>92743.146666666667</v>
      </c>
      <c r="Q51" s="15">
        <v>2</v>
      </c>
      <c r="R51" s="26">
        <f t="shared" si="15"/>
        <v>46371.573333333334</v>
      </c>
      <c r="S51" s="37">
        <f t="shared" si="2"/>
        <v>92743.146666666667</v>
      </c>
      <c r="T51" s="14">
        <v>6</v>
      </c>
      <c r="U51" s="26">
        <f t="shared" si="16"/>
        <v>46371.573333333334</v>
      </c>
      <c r="V51" s="37">
        <f t="shared" si="3"/>
        <v>278229.44</v>
      </c>
      <c r="W51" s="14">
        <v>6</v>
      </c>
      <c r="X51" s="26">
        <f t="shared" si="17"/>
        <v>46371.573333333334</v>
      </c>
      <c r="Y51" s="37">
        <f t="shared" si="4"/>
        <v>278229.44</v>
      </c>
      <c r="Z51" s="15">
        <v>10</v>
      </c>
      <c r="AA51" s="26">
        <f t="shared" si="18"/>
        <v>46371.573333333334</v>
      </c>
      <c r="AB51" s="37">
        <f t="shared" si="5"/>
        <v>463715.73333333334</v>
      </c>
      <c r="AC51" s="15">
        <v>10</v>
      </c>
      <c r="AD51" s="26">
        <f t="shared" si="19"/>
        <v>46371.573333333334</v>
      </c>
      <c r="AE51" s="37">
        <f t="shared" si="6"/>
        <v>463715.73333333334</v>
      </c>
      <c r="AF51" s="15">
        <v>10</v>
      </c>
      <c r="AG51" s="26">
        <f t="shared" si="20"/>
        <v>46371.573333333334</v>
      </c>
      <c r="AH51" s="37">
        <f t="shared" si="7"/>
        <v>463715.73333333334</v>
      </c>
      <c r="AI51" s="15">
        <v>10</v>
      </c>
      <c r="AJ51" s="26">
        <f t="shared" si="21"/>
        <v>46371.573333333334</v>
      </c>
      <c r="AK51" s="37">
        <f t="shared" si="8"/>
        <v>463715.73333333334</v>
      </c>
      <c r="AL51" s="13">
        <v>0</v>
      </c>
      <c r="AM51" s="26">
        <f t="shared" si="22"/>
        <v>46371.573333333334</v>
      </c>
      <c r="AN51" s="37">
        <f t="shared" si="23"/>
        <v>0</v>
      </c>
      <c r="AO51" s="13">
        <f t="shared" si="24"/>
        <v>56</v>
      </c>
      <c r="AP51" s="77">
        <f t="shared" si="25"/>
        <v>38967.708683473385</v>
      </c>
      <c r="AQ51" s="77">
        <f t="shared" si="27"/>
        <v>2182191.6862745094</v>
      </c>
      <c r="AR51" s="26">
        <f t="shared" si="26"/>
        <v>46371.573333333334</v>
      </c>
      <c r="AS51" s="37">
        <f t="shared" si="28"/>
        <v>2596808.1066666665</v>
      </c>
      <c r="AT51" s="119" t="e" vm="44">
        <v>#VALUE!</v>
      </c>
    </row>
    <row r="52" spans="2:46" ht="120" customHeight="1">
      <c r="B52" s="206"/>
      <c r="C52" s="8" t="s">
        <v>131</v>
      </c>
      <c r="D52" s="6" t="s">
        <v>132</v>
      </c>
      <c r="E52" s="46" t="s">
        <v>39</v>
      </c>
      <c r="F52" s="117">
        <v>84075</v>
      </c>
      <c r="G52" s="41">
        <f t="shared" si="10"/>
        <v>100049.25</v>
      </c>
      <c r="H52" s="126">
        <v>50000</v>
      </c>
      <c r="I52" s="125">
        <f t="shared" si="0"/>
        <v>59500</v>
      </c>
      <c r="J52" s="139">
        <f>89900/1.19</f>
        <v>75546.218487394959</v>
      </c>
      <c r="K52" s="41">
        <f t="shared" si="11"/>
        <v>89900</v>
      </c>
      <c r="L52" s="88">
        <f t="shared" si="12"/>
        <v>69873.73949579832</v>
      </c>
      <c r="M52" s="31">
        <f t="shared" si="13"/>
        <v>83149.75</v>
      </c>
      <c r="N52" s="13">
        <v>5</v>
      </c>
      <c r="O52" s="26">
        <f t="shared" si="14"/>
        <v>83149.75</v>
      </c>
      <c r="P52" s="37">
        <f t="shared" si="1"/>
        <v>415748.75</v>
      </c>
      <c r="Q52" s="13">
        <v>5</v>
      </c>
      <c r="R52" s="26">
        <f t="shared" si="15"/>
        <v>83149.75</v>
      </c>
      <c r="S52" s="37">
        <f t="shared" si="2"/>
        <v>415748.75</v>
      </c>
      <c r="T52" s="13">
        <v>9</v>
      </c>
      <c r="U52" s="26">
        <f t="shared" si="16"/>
        <v>83149.75</v>
      </c>
      <c r="V52" s="37">
        <f t="shared" si="3"/>
        <v>748347.75</v>
      </c>
      <c r="W52" s="13">
        <v>9</v>
      </c>
      <c r="X52" s="26">
        <f t="shared" si="17"/>
        <v>83149.75</v>
      </c>
      <c r="Y52" s="37">
        <f t="shared" si="4"/>
        <v>748347.75</v>
      </c>
      <c r="Z52" s="13">
        <v>12</v>
      </c>
      <c r="AA52" s="26">
        <f t="shared" si="18"/>
        <v>83149.75</v>
      </c>
      <c r="AB52" s="37">
        <f t="shared" si="5"/>
        <v>997797</v>
      </c>
      <c r="AC52" s="13">
        <v>12</v>
      </c>
      <c r="AD52" s="26">
        <f t="shared" si="19"/>
        <v>83149.75</v>
      </c>
      <c r="AE52" s="37">
        <f t="shared" si="6"/>
        <v>997797</v>
      </c>
      <c r="AF52" s="13">
        <v>12</v>
      </c>
      <c r="AG52" s="26">
        <f t="shared" si="20"/>
        <v>83149.75</v>
      </c>
      <c r="AH52" s="37">
        <f t="shared" si="7"/>
        <v>997797</v>
      </c>
      <c r="AI52" s="13">
        <v>12</v>
      </c>
      <c r="AJ52" s="26">
        <f t="shared" si="21"/>
        <v>83149.75</v>
      </c>
      <c r="AK52" s="37">
        <f t="shared" si="8"/>
        <v>997797</v>
      </c>
      <c r="AL52" s="13">
        <v>0</v>
      </c>
      <c r="AM52" s="26">
        <f t="shared" si="22"/>
        <v>83149.75</v>
      </c>
      <c r="AN52" s="37">
        <f t="shared" si="23"/>
        <v>0</v>
      </c>
      <c r="AO52" s="13">
        <f t="shared" si="24"/>
        <v>76</v>
      </c>
      <c r="AP52" s="77">
        <f t="shared" si="25"/>
        <v>69873.73949579832</v>
      </c>
      <c r="AQ52" s="77">
        <f t="shared" si="27"/>
        <v>5310404.2016806724</v>
      </c>
      <c r="AR52" s="26">
        <f t="shared" si="26"/>
        <v>83149.75</v>
      </c>
      <c r="AS52" s="37">
        <f t="shared" si="28"/>
        <v>6319381</v>
      </c>
      <c r="AT52" s="119" t="e" vm="45">
        <v>#VALUE!</v>
      </c>
    </row>
    <row r="53" spans="2:46" s="2" customFormat="1" ht="123.75" customHeight="1">
      <c r="B53" s="206"/>
      <c r="C53" s="8" t="s">
        <v>133</v>
      </c>
      <c r="D53" s="6" t="s">
        <v>134</v>
      </c>
      <c r="E53" s="46" t="s">
        <v>39</v>
      </c>
      <c r="F53" s="117">
        <v>40000</v>
      </c>
      <c r="G53" s="41">
        <f t="shared" si="10"/>
        <v>47600</v>
      </c>
      <c r="H53" s="141">
        <f>57400/1.19</f>
        <v>48235.294117647063</v>
      </c>
      <c r="I53" s="41">
        <f t="shared" si="0"/>
        <v>57400</v>
      </c>
      <c r="J53" s="116">
        <v>55000</v>
      </c>
      <c r="K53" s="41">
        <f t="shared" si="11"/>
        <v>65450</v>
      </c>
      <c r="L53" s="88">
        <f t="shared" si="12"/>
        <v>47745.098039215685</v>
      </c>
      <c r="M53" s="31">
        <f t="shared" si="13"/>
        <v>56816.666666666664</v>
      </c>
      <c r="N53" s="13">
        <v>3</v>
      </c>
      <c r="O53" s="26">
        <f t="shared" si="14"/>
        <v>56816.666666666664</v>
      </c>
      <c r="P53" s="37">
        <f t="shared" si="1"/>
        <v>170450</v>
      </c>
      <c r="Q53" s="13">
        <v>3</v>
      </c>
      <c r="R53" s="26">
        <f t="shared" si="15"/>
        <v>56816.666666666664</v>
      </c>
      <c r="S53" s="37">
        <f t="shared" si="2"/>
        <v>170450</v>
      </c>
      <c r="T53" s="13">
        <v>9</v>
      </c>
      <c r="U53" s="26">
        <f t="shared" si="16"/>
        <v>56816.666666666664</v>
      </c>
      <c r="V53" s="37">
        <f t="shared" si="3"/>
        <v>511350</v>
      </c>
      <c r="W53" s="13">
        <v>9</v>
      </c>
      <c r="X53" s="26">
        <f t="shared" si="17"/>
        <v>56816.666666666664</v>
      </c>
      <c r="Y53" s="37">
        <f t="shared" si="4"/>
        <v>511350</v>
      </c>
      <c r="Z53" s="13">
        <v>12</v>
      </c>
      <c r="AA53" s="26">
        <f t="shared" si="18"/>
        <v>56816.666666666664</v>
      </c>
      <c r="AB53" s="37">
        <f t="shared" si="5"/>
        <v>681800</v>
      </c>
      <c r="AC53" s="13">
        <v>12</v>
      </c>
      <c r="AD53" s="26">
        <f t="shared" si="19"/>
        <v>56816.666666666664</v>
      </c>
      <c r="AE53" s="37">
        <f t="shared" si="6"/>
        <v>681800</v>
      </c>
      <c r="AF53" s="13">
        <v>12</v>
      </c>
      <c r="AG53" s="26">
        <f t="shared" si="20"/>
        <v>56816.666666666664</v>
      </c>
      <c r="AH53" s="37">
        <f t="shared" si="7"/>
        <v>681800</v>
      </c>
      <c r="AI53" s="13">
        <v>12</v>
      </c>
      <c r="AJ53" s="26">
        <f t="shared" si="21"/>
        <v>56816.666666666664</v>
      </c>
      <c r="AK53" s="37">
        <f t="shared" si="8"/>
        <v>681800</v>
      </c>
      <c r="AL53" s="13">
        <v>0</v>
      </c>
      <c r="AM53" s="26">
        <f t="shared" si="22"/>
        <v>56816.666666666664</v>
      </c>
      <c r="AN53" s="37">
        <f t="shared" si="23"/>
        <v>0</v>
      </c>
      <c r="AO53" s="13">
        <f t="shared" si="24"/>
        <v>72</v>
      </c>
      <c r="AP53" s="77">
        <f t="shared" si="25"/>
        <v>47745.098039215685</v>
      </c>
      <c r="AQ53" s="77">
        <f t="shared" si="27"/>
        <v>3437647.0588235292</v>
      </c>
      <c r="AR53" s="26">
        <f t="shared" si="26"/>
        <v>56816.666666666664</v>
      </c>
      <c r="AS53" s="37">
        <f t="shared" si="28"/>
        <v>4090800</v>
      </c>
      <c r="AT53" s="119" t="e" vm="46">
        <v>#VALUE!</v>
      </c>
    </row>
    <row r="54" spans="2:46" s="2" customFormat="1" ht="116.25" customHeight="1">
      <c r="B54" s="206"/>
      <c r="C54" s="8" t="s">
        <v>135</v>
      </c>
      <c r="D54" s="6" t="s">
        <v>136</v>
      </c>
      <c r="E54" s="46" t="s">
        <v>39</v>
      </c>
      <c r="F54" s="124">
        <v>40000</v>
      </c>
      <c r="G54" s="125">
        <f t="shared" si="10"/>
        <v>47600</v>
      </c>
      <c r="H54" s="116">
        <v>100000</v>
      </c>
      <c r="I54" s="41">
        <f t="shared" si="0"/>
        <v>119000</v>
      </c>
      <c r="J54" s="116">
        <v>122850</v>
      </c>
      <c r="K54" s="41">
        <f t="shared" si="11"/>
        <v>146191.5</v>
      </c>
      <c r="L54" s="88">
        <f t="shared" si="12"/>
        <v>87616.666666666672</v>
      </c>
      <c r="M54" s="31">
        <f t="shared" si="13"/>
        <v>104263.83333333333</v>
      </c>
      <c r="N54" s="15">
        <v>2</v>
      </c>
      <c r="O54" s="26">
        <f t="shared" si="14"/>
        <v>104263.83333333333</v>
      </c>
      <c r="P54" s="37">
        <f t="shared" si="1"/>
        <v>208527.66666666666</v>
      </c>
      <c r="Q54" s="15">
        <v>2</v>
      </c>
      <c r="R54" s="26">
        <f t="shared" si="15"/>
        <v>104263.83333333333</v>
      </c>
      <c r="S54" s="37">
        <f t="shared" si="2"/>
        <v>208527.66666666666</v>
      </c>
      <c r="T54" s="14">
        <v>6</v>
      </c>
      <c r="U54" s="26">
        <f t="shared" si="16"/>
        <v>104263.83333333333</v>
      </c>
      <c r="V54" s="37">
        <f t="shared" si="3"/>
        <v>625583</v>
      </c>
      <c r="W54" s="14">
        <v>6</v>
      </c>
      <c r="X54" s="26">
        <f t="shared" si="17"/>
        <v>104263.83333333333</v>
      </c>
      <c r="Y54" s="37">
        <f t="shared" si="4"/>
        <v>625583</v>
      </c>
      <c r="Z54" s="15">
        <v>10</v>
      </c>
      <c r="AA54" s="26">
        <f t="shared" si="18"/>
        <v>104263.83333333333</v>
      </c>
      <c r="AB54" s="37">
        <f t="shared" si="5"/>
        <v>1042638.3333333333</v>
      </c>
      <c r="AC54" s="15">
        <v>10</v>
      </c>
      <c r="AD54" s="26">
        <f t="shared" si="19"/>
        <v>104263.83333333333</v>
      </c>
      <c r="AE54" s="37">
        <f t="shared" si="6"/>
        <v>1042638.3333333333</v>
      </c>
      <c r="AF54" s="15">
        <v>10</v>
      </c>
      <c r="AG54" s="26">
        <f t="shared" si="20"/>
        <v>104263.83333333333</v>
      </c>
      <c r="AH54" s="37">
        <f t="shared" si="7"/>
        <v>1042638.3333333333</v>
      </c>
      <c r="AI54" s="15">
        <v>10</v>
      </c>
      <c r="AJ54" s="26">
        <f t="shared" si="21"/>
        <v>104263.83333333333</v>
      </c>
      <c r="AK54" s="37">
        <f t="shared" si="8"/>
        <v>1042638.3333333333</v>
      </c>
      <c r="AL54" s="13">
        <v>0</v>
      </c>
      <c r="AM54" s="26">
        <f t="shared" si="22"/>
        <v>104263.83333333333</v>
      </c>
      <c r="AN54" s="37">
        <f t="shared" si="23"/>
        <v>0</v>
      </c>
      <c r="AO54" s="13">
        <f t="shared" si="24"/>
        <v>56</v>
      </c>
      <c r="AP54" s="77">
        <f t="shared" si="25"/>
        <v>87616.666666666672</v>
      </c>
      <c r="AQ54" s="77">
        <f t="shared" si="27"/>
        <v>4906533.333333334</v>
      </c>
      <c r="AR54" s="26">
        <f t="shared" si="26"/>
        <v>104263.83333333333</v>
      </c>
      <c r="AS54" s="37">
        <f t="shared" si="28"/>
        <v>5838774.666666666</v>
      </c>
      <c r="AT54" s="119" t="e" vm="47">
        <v>#VALUE!</v>
      </c>
    </row>
    <row r="55" spans="2:46" s="2" customFormat="1" ht="150.75" customHeight="1">
      <c r="B55" s="206"/>
      <c r="C55" s="8" t="s">
        <v>137</v>
      </c>
      <c r="D55" s="6" t="s">
        <v>138</v>
      </c>
      <c r="E55" s="46" t="s">
        <v>39</v>
      </c>
      <c r="F55" s="109">
        <v>320000</v>
      </c>
      <c r="G55" s="41">
        <f t="shared" si="10"/>
        <v>380800</v>
      </c>
      <c r="H55" s="116">
        <v>320000</v>
      </c>
      <c r="I55" s="41">
        <f t="shared" si="0"/>
        <v>380800</v>
      </c>
      <c r="J55" s="111">
        <v>320000</v>
      </c>
      <c r="K55" s="41">
        <f t="shared" si="11"/>
        <v>380800</v>
      </c>
      <c r="L55" s="88">
        <f t="shared" si="12"/>
        <v>320000</v>
      </c>
      <c r="M55" s="31">
        <f t="shared" si="13"/>
        <v>380800</v>
      </c>
      <c r="N55" s="13">
        <v>3</v>
      </c>
      <c r="O55" s="26">
        <f t="shared" si="14"/>
        <v>380800</v>
      </c>
      <c r="P55" s="37">
        <f t="shared" si="1"/>
        <v>1142400</v>
      </c>
      <c r="Q55" s="13">
        <v>3</v>
      </c>
      <c r="R55" s="26">
        <f t="shared" si="15"/>
        <v>380800</v>
      </c>
      <c r="S55" s="37">
        <f t="shared" si="2"/>
        <v>1142400</v>
      </c>
      <c r="T55" s="13">
        <v>9</v>
      </c>
      <c r="U55" s="26">
        <f t="shared" si="16"/>
        <v>380800</v>
      </c>
      <c r="V55" s="37">
        <f t="shared" si="3"/>
        <v>3427200</v>
      </c>
      <c r="W55" s="13">
        <v>9</v>
      </c>
      <c r="X55" s="26">
        <f t="shared" si="17"/>
        <v>380800</v>
      </c>
      <c r="Y55" s="37">
        <f t="shared" si="4"/>
        <v>3427200</v>
      </c>
      <c r="Z55" s="13">
        <v>12</v>
      </c>
      <c r="AA55" s="26">
        <f t="shared" si="18"/>
        <v>380800</v>
      </c>
      <c r="AB55" s="37">
        <f t="shared" si="5"/>
        <v>4569600</v>
      </c>
      <c r="AC55" s="13">
        <v>12</v>
      </c>
      <c r="AD55" s="26">
        <f t="shared" si="19"/>
        <v>380800</v>
      </c>
      <c r="AE55" s="37">
        <f t="shared" si="6"/>
        <v>4569600</v>
      </c>
      <c r="AF55" s="13">
        <v>12</v>
      </c>
      <c r="AG55" s="26">
        <f t="shared" si="20"/>
        <v>380800</v>
      </c>
      <c r="AH55" s="37">
        <f t="shared" si="7"/>
        <v>4569600</v>
      </c>
      <c r="AI55" s="13">
        <v>12</v>
      </c>
      <c r="AJ55" s="26">
        <f t="shared" si="21"/>
        <v>380800</v>
      </c>
      <c r="AK55" s="37">
        <f t="shared" si="8"/>
        <v>4569600</v>
      </c>
      <c r="AL55" s="13">
        <v>0</v>
      </c>
      <c r="AM55" s="26">
        <f t="shared" si="22"/>
        <v>380800</v>
      </c>
      <c r="AN55" s="37">
        <f t="shared" si="23"/>
        <v>0</v>
      </c>
      <c r="AO55" s="13">
        <f t="shared" si="24"/>
        <v>72</v>
      </c>
      <c r="AP55" s="77">
        <f t="shared" si="25"/>
        <v>320000</v>
      </c>
      <c r="AQ55" s="77">
        <f t="shared" si="27"/>
        <v>23040000</v>
      </c>
      <c r="AR55" s="26">
        <f t="shared" si="26"/>
        <v>380800</v>
      </c>
      <c r="AS55" s="37">
        <f t="shared" si="28"/>
        <v>27417600</v>
      </c>
      <c r="AT55" s="119" t="e" vm="48">
        <v>#VALUE!</v>
      </c>
    </row>
    <row r="56" spans="2:46" s="2" customFormat="1" ht="123" customHeight="1">
      <c r="B56" s="206"/>
      <c r="C56" s="8" t="s">
        <v>139</v>
      </c>
      <c r="D56" s="6" t="s">
        <v>140</v>
      </c>
      <c r="E56" s="46" t="s">
        <v>39</v>
      </c>
      <c r="F56" s="117">
        <v>12000</v>
      </c>
      <c r="G56" s="41">
        <f t="shared" si="10"/>
        <v>14280</v>
      </c>
      <c r="H56" s="126">
        <v>18125</v>
      </c>
      <c r="I56" s="125">
        <f t="shared" si="0"/>
        <v>21568.75</v>
      </c>
      <c r="J56" s="139">
        <f>13900/1.19</f>
        <v>11680.672268907563</v>
      </c>
      <c r="K56" s="41">
        <f t="shared" si="11"/>
        <v>13900</v>
      </c>
      <c r="L56" s="88">
        <f t="shared" si="12"/>
        <v>13935.224089635854</v>
      </c>
      <c r="M56" s="31">
        <f t="shared" si="13"/>
        <v>16582.916666666668</v>
      </c>
      <c r="N56" s="13">
        <v>5</v>
      </c>
      <c r="O56" s="26">
        <f>$M56</f>
        <v>16582.916666666668</v>
      </c>
      <c r="P56" s="37">
        <f t="shared" si="1"/>
        <v>82914.583333333343</v>
      </c>
      <c r="Q56" s="13">
        <v>5</v>
      </c>
      <c r="R56" s="26">
        <f>$M56</f>
        <v>16582.916666666668</v>
      </c>
      <c r="S56" s="37">
        <f t="shared" si="2"/>
        <v>82914.583333333343</v>
      </c>
      <c r="T56" s="13">
        <v>9</v>
      </c>
      <c r="U56" s="26">
        <f>$M56</f>
        <v>16582.916666666668</v>
      </c>
      <c r="V56" s="37">
        <f t="shared" si="3"/>
        <v>149246.25</v>
      </c>
      <c r="W56" s="13">
        <v>9</v>
      </c>
      <c r="X56" s="26">
        <f>$M56</f>
        <v>16582.916666666668</v>
      </c>
      <c r="Y56" s="37">
        <f t="shared" si="4"/>
        <v>149246.25</v>
      </c>
      <c r="Z56" s="13">
        <v>12</v>
      </c>
      <c r="AA56" s="26">
        <f>$M56</f>
        <v>16582.916666666668</v>
      </c>
      <c r="AB56" s="37">
        <f t="shared" si="5"/>
        <v>198995</v>
      </c>
      <c r="AC56" s="13">
        <v>12</v>
      </c>
      <c r="AD56" s="26">
        <f>$M56</f>
        <v>16582.916666666668</v>
      </c>
      <c r="AE56" s="37">
        <f t="shared" si="6"/>
        <v>198995</v>
      </c>
      <c r="AF56" s="13">
        <v>12</v>
      </c>
      <c r="AG56" s="26">
        <f>$M56</f>
        <v>16582.916666666668</v>
      </c>
      <c r="AH56" s="37">
        <f t="shared" si="7"/>
        <v>198995</v>
      </c>
      <c r="AI56" s="13">
        <v>12</v>
      </c>
      <c r="AJ56" s="26">
        <f>$M56</f>
        <v>16582.916666666668</v>
      </c>
      <c r="AK56" s="37">
        <f t="shared" si="8"/>
        <v>198995</v>
      </c>
      <c r="AL56" s="13">
        <v>0</v>
      </c>
      <c r="AM56" s="26">
        <f>$M56</f>
        <v>16582.916666666668</v>
      </c>
      <c r="AN56" s="37">
        <f t="shared" si="23"/>
        <v>0</v>
      </c>
      <c r="AO56" s="13">
        <f t="shared" si="24"/>
        <v>76</v>
      </c>
      <c r="AP56" s="77">
        <f t="shared" si="25"/>
        <v>13935.224089635854</v>
      </c>
      <c r="AQ56" s="77">
        <f t="shared" si="27"/>
        <v>1059077.030812325</v>
      </c>
      <c r="AR56" s="26">
        <f>$M56</f>
        <v>16582.916666666668</v>
      </c>
      <c r="AS56" s="37">
        <f t="shared" si="28"/>
        <v>1260301.6666666667</v>
      </c>
      <c r="AT56" s="119" t="e" vm="49">
        <v>#VALUE!</v>
      </c>
    </row>
    <row r="57" spans="2:46" s="2" customFormat="1" ht="166.5" customHeight="1">
      <c r="B57" s="206"/>
      <c r="C57" s="8" t="s">
        <v>141</v>
      </c>
      <c r="D57" s="6" t="s">
        <v>142</v>
      </c>
      <c r="E57" s="46" t="s">
        <v>39</v>
      </c>
      <c r="F57" s="124">
        <v>22264</v>
      </c>
      <c r="G57" s="125">
        <f t="shared" si="10"/>
        <v>26494.16</v>
      </c>
      <c r="H57" s="116">
        <v>44800</v>
      </c>
      <c r="I57" s="41">
        <f t="shared" si="0"/>
        <v>53312</v>
      </c>
      <c r="J57" s="116">
        <v>50000</v>
      </c>
      <c r="K57" s="41">
        <f t="shared" si="11"/>
        <v>59500</v>
      </c>
      <c r="L57" s="88">
        <f t="shared" si="12"/>
        <v>39021.333333333336</v>
      </c>
      <c r="M57" s="31">
        <f t="shared" si="13"/>
        <v>46435.386666666665</v>
      </c>
      <c r="N57" s="13">
        <v>5</v>
      </c>
      <c r="O57" s="26">
        <f>$M57</f>
        <v>46435.386666666665</v>
      </c>
      <c r="P57" s="37">
        <f t="shared" si="1"/>
        <v>232176.93333333332</v>
      </c>
      <c r="Q57" s="13">
        <v>5</v>
      </c>
      <c r="R57" s="26">
        <f>$M57</f>
        <v>46435.386666666665</v>
      </c>
      <c r="S57" s="37">
        <f t="shared" si="2"/>
        <v>232176.93333333332</v>
      </c>
      <c r="T57" s="13">
        <v>9</v>
      </c>
      <c r="U57" s="26">
        <f>$M57</f>
        <v>46435.386666666665</v>
      </c>
      <c r="V57" s="37">
        <f t="shared" si="3"/>
        <v>417918.48</v>
      </c>
      <c r="W57" s="13">
        <v>9</v>
      </c>
      <c r="X57" s="26">
        <f>$M57</f>
        <v>46435.386666666665</v>
      </c>
      <c r="Y57" s="37">
        <f t="shared" si="4"/>
        <v>417918.48</v>
      </c>
      <c r="Z57" s="13">
        <v>12</v>
      </c>
      <c r="AA57" s="26">
        <f>$M57</f>
        <v>46435.386666666665</v>
      </c>
      <c r="AB57" s="37">
        <f t="shared" si="5"/>
        <v>557224.64</v>
      </c>
      <c r="AC57" s="13">
        <v>12</v>
      </c>
      <c r="AD57" s="26">
        <f>$M57</f>
        <v>46435.386666666665</v>
      </c>
      <c r="AE57" s="37">
        <f t="shared" si="6"/>
        <v>557224.64</v>
      </c>
      <c r="AF57" s="13">
        <v>12</v>
      </c>
      <c r="AG57" s="26">
        <f>$M57</f>
        <v>46435.386666666665</v>
      </c>
      <c r="AH57" s="37">
        <f t="shared" si="7"/>
        <v>557224.64</v>
      </c>
      <c r="AI57" s="13">
        <v>12</v>
      </c>
      <c r="AJ57" s="26">
        <f>$M57</f>
        <v>46435.386666666665</v>
      </c>
      <c r="AK57" s="37">
        <f t="shared" si="8"/>
        <v>557224.64</v>
      </c>
      <c r="AL57" s="13">
        <v>0</v>
      </c>
      <c r="AM57" s="26">
        <f>$M57</f>
        <v>46435.386666666665</v>
      </c>
      <c r="AN57" s="37">
        <f t="shared" si="23"/>
        <v>0</v>
      </c>
      <c r="AO57" s="13">
        <f t="shared" si="24"/>
        <v>76</v>
      </c>
      <c r="AP57" s="77">
        <f t="shared" si="25"/>
        <v>39021.333333333336</v>
      </c>
      <c r="AQ57" s="77">
        <f t="shared" si="27"/>
        <v>2965621.3333333335</v>
      </c>
      <c r="AR57" s="26">
        <f>$M57</f>
        <v>46435.386666666665</v>
      </c>
      <c r="AS57" s="37">
        <f t="shared" si="28"/>
        <v>3529089.3866666667</v>
      </c>
      <c r="AT57" s="119" t="e" vm="50">
        <v>#VALUE!</v>
      </c>
    </row>
    <row r="58" spans="2:46" s="2" customFormat="1" ht="144" customHeight="1">
      <c r="B58" s="206"/>
      <c r="C58" s="8" t="s">
        <v>143</v>
      </c>
      <c r="D58" s="6" t="s">
        <v>144</v>
      </c>
      <c r="E58" s="46" t="s">
        <v>39</v>
      </c>
      <c r="F58" s="117">
        <v>72000</v>
      </c>
      <c r="G58" s="41">
        <f t="shared" si="10"/>
        <v>85680</v>
      </c>
      <c r="H58" s="141">
        <f>90000/1.19</f>
        <v>75630.252100840342</v>
      </c>
      <c r="I58" s="41">
        <f t="shared" si="0"/>
        <v>90000</v>
      </c>
      <c r="J58" s="140">
        <f>110000/1.19</f>
        <v>92436.97478991597</v>
      </c>
      <c r="K58" s="125">
        <f t="shared" si="11"/>
        <v>110000</v>
      </c>
      <c r="L58" s="88">
        <f t="shared" si="12"/>
        <v>80022.408963585433</v>
      </c>
      <c r="M58" s="31">
        <f t="shared" si="13"/>
        <v>95226.666666666672</v>
      </c>
      <c r="N58" s="13">
        <v>3</v>
      </c>
      <c r="O58" s="26">
        <f t="shared" si="14"/>
        <v>95226.666666666672</v>
      </c>
      <c r="P58" s="37">
        <f t="shared" si="1"/>
        <v>285680</v>
      </c>
      <c r="Q58" s="13">
        <v>3</v>
      </c>
      <c r="R58" s="26">
        <f t="shared" si="15"/>
        <v>95226.666666666672</v>
      </c>
      <c r="S58" s="37">
        <f t="shared" si="2"/>
        <v>285680</v>
      </c>
      <c r="T58" s="13">
        <v>9</v>
      </c>
      <c r="U58" s="26">
        <f t="shared" si="16"/>
        <v>95226.666666666672</v>
      </c>
      <c r="V58" s="37">
        <f t="shared" si="3"/>
        <v>857040</v>
      </c>
      <c r="W58" s="13">
        <v>9</v>
      </c>
      <c r="X58" s="26">
        <f t="shared" si="17"/>
        <v>95226.666666666672</v>
      </c>
      <c r="Y58" s="37">
        <f t="shared" si="4"/>
        <v>857040</v>
      </c>
      <c r="Z58" s="13">
        <v>12</v>
      </c>
      <c r="AA58" s="26">
        <f t="shared" si="18"/>
        <v>95226.666666666672</v>
      </c>
      <c r="AB58" s="37">
        <f t="shared" si="5"/>
        <v>1142720</v>
      </c>
      <c r="AC58" s="13">
        <v>12</v>
      </c>
      <c r="AD58" s="26">
        <f t="shared" si="19"/>
        <v>95226.666666666672</v>
      </c>
      <c r="AE58" s="37">
        <f t="shared" si="6"/>
        <v>1142720</v>
      </c>
      <c r="AF58" s="13">
        <v>12</v>
      </c>
      <c r="AG58" s="26">
        <f t="shared" si="20"/>
        <v>95226.666666666672</v>
      </c>
      <c r="AH58" s="37">
        <f t="shared" si="7"/>
        <v>1142720</v>
      </c>
      <c r="AI58" s="13">
        <v>12</v>
      </c>
      <c r="AJ58" s="26">
        <f t="shared" si="21"/>
        <v>95226.666666666672</v>
      </c>
      <c r="AK58" s="37">
        <f t="shared" si="8"/>
        <v>1142720</v>
      </c>
      <c r="AL58" s="13">
        <v>0</v>
      </c>
      <c r="AM58" s="26">
        <f t="shared" si="22"/>
        <v>95226.666666666672</v>
      </c>
      <c r="AN58" s="37">
        <f t="shared" si="23"/>
        <v>0</v>
      </c>
      <c r="AO58" s="13">
        <f t="shared" si="24"/>
        <v>72</v>
      </c>
      <c r="AP58" s="77">
        <f t="shared" si="25"/>
        <v>80022.408963585433</v>
      </c>
      <c r="AQ58" s="77">
        <f t="shared" si="27"/>
        <v>5761613.4453781508</v>
      </c>
      <c r="AR58" s="26">
        <f t="shared" si="26"/>
        <v>95226.666666666672</v>
      </c>
      <c r="AS58" s="37">
        <f t="shared" si="28"/>
        <v>6856320</v>
      </c>
      <c r="AT58" s="119" t="e" vm="51">
        <v>#VALUE!</v>
      </c>
    </row>
    <row r="59" spans="2:46" ht="129" customHeight="1">
      <c r="B59" s="206"/>
      <c r="C59" s="8" t="s">
        <v>145</v>
      </c>
      <c r="D59" s="6" t="s">
        <v>146</v>
      </c>
      <c r="E59" s="46" t="s">
        <v>39</v>
      </c>
      <c r="F59" s="117">
        <v>40000</v>
      </c>
      <c r="G59" s="41">
        <f t="shared" si="10"/>
        <v>47600</v>
      </c>
      <c r="H59" s="116">
        <v>45000</v>
      </c>
      <c r="I59" s="41">
        <f t="shared" si="0"/>
        <v>53550</v>
      </c>
      <c r="J59" s="140">
        <f>82000/1.19</f>
        <v>68907.563025210082</v>
      </c>
      <c r="K59" s="125">
        <f t="shared" si="11"/>
        <v>82000</v>
      </c>
      <c r="L59" s="88">
        <f t="shared" si="12"/>
        <v>51302.521008403361</v>
      </c>
      <c r="M59" s="31">
        <f t="shared" si="13"/>
        <v>61050</v>
      </c>
      <c r="N59" s="14">
        <v>10</v>
      </c>
      <c r="O59" s="26">
        <f t="shared" si="14"/>
        <v>61050</v>
      </c>
      <c r="P59" s="37">
        <f t="shared" si="1"/>
        <v>610500</v>
      </c>
      <c r="Q59" s="14">
        <v>10</v>
      </c>
      <c r="R59" s="26">
        <f t="shared" si="15"/>
        <v>61050</v>
      </c>
      <c r="S59" s="37">
        <f t="shared" si="2"/>
        <v>610500</v>
      </c>
      <c r="T59" s="14">
        <v>10</v>
      </c>
      <c r="U59" s="26">
        <f t="shared" si="16"/>
        <v>61050</v>
      </c>
      <c r="V59" s="37">
        <f t="shared" si="3"/>
        <v>610500</v>
      </c>
      <c r="W59" s="14">
        <v>10</v>
      </c>
      <c r="X59" s="26">
        <f t="shared" si="17"/>
        <v>61050</v>
      </c>
      <c r="Y59" s="37">
        <f t="shared" si="4"/>
        <v>610500</v>
      </c>
      <c r="Z59" s="14">
        <v>10</v>
      </c>
      <c r="AA59" s="26">
        <f t="shared" si="18"/>
        <v>61050</v>
      </c>
      <c r="AB59" s="37">
        <f t="shared" si="5"/>
        <v>610500</v>
      </c>
      <c r="AC59" s="14">
        <v>10</v>
      </c>
      <c r="AD59" s="26">
        <f t="shared" si="19"/>
        <v>61050</v>
      </c>
      <c r="AE59" s="37">
        <f t="shared" si="6"/>
        <v>610500</v>
      </c>
      <c r="AF59" s="14">
        <v>10</v>
      </c>
      <c r="AG59" s="26">
        <f t="shared" si="20"/>
        <v>61050</v>
      </c>
      <c r="AH59" s="37">
        <f t="shared" si="7"/>
        <v>610500</v>
      </c>
      <c r="AI59" s="14">
        <v>10</v>
      </c>
      <c r="AJ59" s="26">
        <f t="shared" si="21"/>
        <v>61050</v>
      </c>
      <c r="AK59" s="37">
        <f t="shared" si="8"/>
        <v>610500</v>
      </c>
      <c r="AL59" s="13">
        <v>0</v>
      </c>
      <c r="AM59" s="26">
        <f t="shared" si="22"/>
        <v>61050</v>
      </c>
      <c r="AN59" s="37">
        <f t="shared" si="23"/>
        <v>0</v>
      </c>
      <c r="AO59" s="13">
        <f t="shared" si="24"/>
        <v>80</v>
      </c>
      <c r="AP59" s="77">
        <f t="shared" si="25"/>
        <v>51302.521008403361</v>
      </c>
      <c r="AQ59" s="77">
        <f t="shared" si="27"/>
        <v>4104201.6806722688</v>
      </c>
      <c r="AR59" s="26">
        <f t="shared" si="26"/>
        <v>61050</v>
      </c>
      <c r="AS59" s="37">
        <f t="shared" si="28"/>
        <v>4884000</v>
      </c>
      <c r="AT59" s="119" t="e" vm="52">
        <v>#VALUE!</v>
      </c>
    </row>
    <row r="60" spans="2:46" ht="122.25" customHeight="1">
      <c r="B60" s="206"/>
      <c r="C60" s="8" t="s">
        <v>147</v>
      </c>
      <c r="D60" s="6" t="s">
        <v>148</v>
      </c>
      <c r="E60" s="46" t="s">
        <v>39</v>
      </c>
      <c r="F60" s="117">
        <v>56000</v>
      </c>
      <c r="G60" s="41">
        <f t="shared" si="10"/>
        <v>66640</v>
      </c>
      <c r="H60" s="126">
        <v>74250</v>
      </c>
      <c r="I60" s="125">
        <f t="shared" si="0"/>
        <v>88357.5</v>
      </c>
      <c r="J60" s="116">
        <v>55000</v>
      </c>
      <c r="K60" s="41">
        <f t="shared" si="11"/>
        <v>65450</v>
      </c>
      <c r="L60" s="88">
        <f t="shared" si="12"/>
        <v>61750</v>
      </c>
      <c r="M60" s="31">
        <f t="shared" si="13"/>
        <v>73482.5</v>
      </c>
      <c r="N60" s="13">
        <v>5</v>
      </c>
      <c r="O60" s="26">
        <f t="shared" si="14"/>
        <v>73482.5</v>
      </c>
      <c r="P60" s="37">
        <f t="shared" si="1"/>
        <v>367412.5</v>
      </c>
      <c r="Q60" s="13">
        <v>5</v>
      </c>
      <c r="R60" s="26">
        <f t="shared" si="15"/>
        <v>73482.5</v>
      </c>
      <c r="S60" s="37">
        <f t="shared" si="2"/>
        <v>367412.5</v>
      </c>
      <c r="T60" s="13">
        <v>9</v>
      </c>
      <c r="U60" s="26">
        <f t="shared" si="16"/>
        <v>73482.5</v>
      </c>
      <c r="V60" s="37">
        <f t="shared" si="3"/>
        <v>661342.5</v>
      </c>
      <c r="W60" s="13">
        <v>9</v>
      </c>
      <c r="X60" s="26">
        <f t="shared" si="17"/>
        <v>73482.5</v>
      </c>
      <c r="Y60" s="37">
        <f t="shared" si="4"/>
        <v>661342.5</v>
      </c>
      <c r="Z60" s="13">
        <v>12</v>
      </c>
      <c r="AA60" s="26">
        <f t="shared" si="18"/>
        <v>73482.5</v>
      </c>
      <c r="AB60" s="37">
        <f t="shared" si="5"/>
        <v>881790</v>
      </c>
      <c r="AC60" s="13">
        <v>12</v>
      </c>
      <c r="AD60" s="26">
        <f t="shared" si="19"/>
        <v>73482.5</v>
      </c>
      <c r="AE60" s="37">
        <f t="shared" si="6"/>
        <v>881790</v>
      </c>
      <c r="AF60" s="13">
        <v>12</v>
      </c>
      <c r="AG60" s="26">
        <f t="shared" si="20"/>
        <v>73482.5</v>
      </c>
      <c r="AH60" s="37">
        <f t="shared" si="7"/>
        <v>881790</v>
      </c>
      <c r="AI60" s="13">
        <v>12</v>
      </c>
      <c r="AJ60" s="26">
        <f t="shared" si="21"/>
        <v>73482.5</v>
      </c>
      <c r="AK60" s="37">
        <f t="shared" si="8"/>
        <v>881790</v>
      </c>
      <c r="AL60" s="13">
        <v>0</v>
      </c>
      <c r="AM60" s="26">
        <f t="shared" si="22"/>
        <v>73482.5</v>
      </c>
      <c r="AN60" s="37">
        <f t="shared" si="23"/>
        <v>0</v>
      </c>
      <c r="AO60" s="13">
        <f t="shared" si="24"/>
        <v>76</v>
      </c>
      <c r="AP60" s="77">
        <f t="shared" si="25"/>
        <v>61750</v>
      </c>
      <c r="AQ60" s="77">
        <f t="shared" si="27"/>
        <v>4693000</v>
      </c>
      <c r="AR60" s="26">
        <f t="shared" si="26"/>
        <v>73482.5</v>
      </c>
      <c r="AS60" s="37">
        <f t="shared" si="28"/>
        <v>5584670</v>
      </c>
      <c r="AT60" s="119" t="e" vm="53">
        <v>#VALUE!</v>
      </c>
    </row>
    <row r="61" spans="2:46" ht="115.5" customHeight="1">
      <c r="B61" s="206"/>
      <c r="C61" s="8" t="s">
        <v>149</v>
      </c>
      <c r="D61" s="6" t="s">
        <v>150</v>
      </c>
      <c r="E61" s="46" t="s">
        <v>39</v>
      </c>
      <c r="F61" s="117">
        <v>90000</v>
      </c>
      <c r="G61" s="41">
        <f t="shared" si="10"/>
        <v>107100</v>
      </c>
      <c r="H61" s="139">
        <f>99900/1.19</f>
        <v>83949.579831932773</v>
      </c>
      <c r="I61" s="41">
        <f t="shared" si="0"/>
        <v>99900</v>
      </c>
      <c r="J61" s="140">
        <f>44900/1.19</f>
        <v>37731.092436974788</v>
      </c>
      <c r="K61" s="125">
        <f t="shared" si="11"/>
        <v>44899.999999999993</v>
      </c>
      <c r="L61" s="88">
        <f t="shared" si="12"/>
        <v>70560.224089635856</v>
      </c>
      <c r="M61" s="31">
        <f t="shared" si="13"/>
        <v>83966.666666666672</v>
      </c>
      <c r="N61" s="13">
        <v>1</v>
      </c>
      <c r="O61" s="26">
        <f t="shared" si="14"/>
        <v>83966.666666666672</v>
      </c>
      <c r="P61" s="37">
        <f t="shared" si="1"/>
        <v>83966.666666666672</v>
      </c>
      <c r="Q61" s="13">
        <v>1</v>
      </c>
      <c r="R61" s="26">
        <f t="shared" si="15"/>
        <v>83966.666666666672</v>
      </c>
      <c r="S61" s="37">
        <f t="shared" si="2"/>
        <v>83966.666666666672</v>
      </c>
      <c r="T61" s="13">
        <v>3</v>
      </c>
      <c r="U61" s="26">
        <f t="shared" si="16"/>
        <v>83966.666666666672</v>
      </c>
      <c r="V61" s="37">
        <f t="shared" si="3"/>
        <v>251900</v>
      </c>
      <c r="W61" s="13">
        <v>3</v>
      </c>
      <c r="X61" s="26">
        <f t="shared" si="17"/>
        <v>83966.666666666672</v>
      </c>
      <c r="Y61" s="37">
        <f t="shared" si="4"/>
        <v>251900</v>
      </c>
      <c r="Z61" s="13">
        <v>5</v>
      </c>
      <c r="AA61" s="26">
        <f t="shared" si="18"/>
        <v>83966.666666666672</v>
      </c>
      <c r="AB61" s="37">
        <f t="shared" si="5"/>
        <v>419833.33333333337</v>
      </c>
      <c r="AC61" s="13">
        <v>5</v>
      </c>
      <c r="AD61" s="26">
        <f t="shared" si="19"/>
        <v>83966.666666666672</v>
      </c>
      <c r="AE61" s="37">
        <f t="shared" si="6"/>
        <v>419833.33333333337</v>
      </c>
      <c r="AF61" s="13">
        <v>5</v>
      </c>
      <c r="AG61" s="26">
        <f t="shared" si="20"/>
        <v>83966.666666666672</v>
      </c>
      <c r="AH61" s="37">
        <f t="shared" si="7"/>
        <v>419833.33333333337</v>
      </c>
      <c r="AI61" s="13">
        <v>5</v>
      </c>
      <c r="AJ61" s="26">
        <f t="shared" si="21"/>
        <v>83966.666666666672</v>
      </c>
      <c r="AK61" s="37">
        <f t="shared" si="8"/>
        <v>419833.33333333337</v>
      </c>
      <c r="AL61" s="13">
        <v>0</v>
      </c>
      <c r="AM61" s="26">
        <f t="shared" si="22"/>
        <v>83966.666666666672</v>
      </c>
      <c r="AN61" s="37">
        <f t="shared" si="23"/>
        <v>0</v>
      </c>
      <c r="AO61" s="13">
        <f t="shared" si="24"/>
        <v>28</v>
      </c>
      <c r="AP61" s="77">
        <f t="shared" si="25"/>
        <v>70560.224089635856</v>
      </c>
      <c r="AQ61" s="77">
        <f t="shared" si="27"/>
        <v>1975686.2745098039</v>
      </c>
      <c r="AR61" s="26">
        <f t="shared" si="26"/>
        <v>83966.666666666672</v>
      </c>
      <c r="AS61" s="37">
        <f t="shared" si="28"/>
        <v>2351066.666666667</v>
      </c>
      <c r="AT61" s="119" t="e" vm="54">
        <v>#VALUE!</v>
      </c>
    </row>
    <row r="62" spans="2:46" ht="102" customHeight="1">
      <c r="B62" s="206"/>
      <c r="C62" s="8" t="s">
        <v>151</v>
      </c>
      <c r="D62" s="6" t="s">
        <v>152</v>
      </c>
      <c r="E62" s="46" t="s">
        <v>39</v>
      </c>
      <c r="F62" s="117">
        <v>72000</v>
      </c>
      <c r="G62" s="41">
        <f t="shared" si="10"/>
        <v>85680</v>
      </c>
      <c r="H62" s="126">
        <v>126050</v>
      </c>
      <c r="I62" s="125">
        <f t="shared" si="0"/>
        <v>149999.5</v>
      </c>
      <c r="J62" s="116">
        <v>72000</v>
      </c>
      <c r="K62" s="41">
        <f t="shared" si="11"/>
        <v>85680</v>
      </c>
      <c r="L62" s="88">
        <f t="shared" si="12"/>
        <v>90016.666666666672</v>
      </c>
      <c r="M62" s="31">
        <f t="shared" si="13"/>
        <v>107119.83333333333</v>
      </c>
      <c r="N62" s="14">
        <v>10</v>
      </c>
      <c r="O62" s="26">
        <f t="shared" si="14"/>
        <v>107119.83333333333</v>
      </c>
      <c r="P62" s="37">
        <f t="shared" si="1"/>
        <v>1071198.3333333333</v>
      </c>
      <c r="Q62" s="14">
        <v>10</v>
      </c>
      <c r="R62" s="26">
        <f t="shared" si="15"/>
        <v>107119.83333333333</v>
      </c>
      <c r="S62" s="37">
        <f t="shared" si="2"/>
        <v>1071198.3333333333</v>
      </c>
      <c r="T62" s="14">
        <v>10</v>
      </c>
      <c r="U62" s="26">
        <f t="shared" si="16"/>
        <v>107119.83333333333</v>
      </c>
      <c r="V62" s="37">
        <f t="shared" si="3"/>
        <v>1071198.3333333333</v>
      </c>
      <c r="W62" s="14">
        <v>10</v>
      </c>
      <c r="X62" s="26">
        <f t="shared" si="17"/>
        <v>107119.83333333333</v>
      </c>
      <c r="Y62" s="37">
        <f t="shared" si="4"/>
        <v>1071198.3333333333</v>
      </c>
      <c r="Z62" s="14">
        <v>10</v>
      </c>
      <c r="AA62" s="26">
        <f t="shared" si="18"/>
        <v>107119.83333333333</v>
      </c>
      <c r="AB62" s="37">
        <f t="shared" si="5"/>
        <v>1071198.3333333333</v>
      </c>
      <c r="AC62" s="14">
        <v>10</v>
      </c>
      <c r="AD62" s="26">
        <f t="shared" si="19"/>
        <v>107119.83333333333</v>
      </c>
      <c r="AE62" s="37">
        <f t="shared" si="6"/>
        <v>1071198.3333333333</v>
      </c>
      <c r="AF62" s="14">
        <v>10</v>
      </c>
      <c r="AG62" s="26">
        <f t="shared" si="20"/>
        <v>107119.83333333333</v>
      </c>
      <c r="AH62" s="37">
        <f t="shared" si="7"/>
        <v>1071198.3333333333</v>
      </c>
      <c r="AI62" s="14">
        <v>10</v>
      </c>
      <c r="AJ62" s="26">
        <f t="shared" si="21"/>
        <v>107119.83333333333</v>
      </c>
      <c r="AK62" s="37">
        <f t="shared" si="8"/>
        <v>1071198.3333333333</v>
      </c>
      <c r="AL62" s="13">
        <v>0</v>
      </c>
      <c r="AM62" s="26">
        <f t="shared" si="22"/>
        <v>107119.83333333333</v>
      </c>
      <c r="AN62" s="37">
        <f t="shared" si="23"/>
        <v>0</v>
      </c>
      <c r="AO62" s="13">
        <f t="shared" si="24"/>
        <v>80</v>
      </c>
      <c r="AP62" s="77">
        <f t="shared" si="25"/>
        <v>90016.666666666672</v>
      </c>
      <c r="AQ62" s="77">
        <f t="shared" si="27"/>
        <v>7201333.333333334</v>
      </c>
      <c r="AR62" s="26">
        <f t="shared" si="26"/>
        <v>107119.83333333333</v>
      </c>
      <c r="AS62" s="37">
        <f t="shared" si="28"/>
        <v>8569586.666666666</v>
      </c>
      <c r="AT62" s="119" t="e" vm="55">
        <v>#VALUE!</v>
      </c>
    </row>
    <row r="63" spans="2:46" ht="222.6" customHeight="1">
      <c r="B63" s="206"/>
      <c r="C63" s="8" t="s">
        <v>153</v>
      </c>
      <c r="D63" s="6" t="s">
        <v>154</v>
      </c>
      <c r="E63" s="46" t="s">
        <v>39</v>
      </c>
      <c r="F63" s="124">
        <v>95000</v>
      </c>
      <c r="G63" s="125">
        <f t="shared" si="10"/>
        <v>113050</v>
      </c>
      <c r="H63" s="116">
        <v>160380</v>
      </c>
      <c r="I63" s="41">
        <f t="shared" si="0"/>
        <v>190852.19999999998</v>
      </c>
      <c r="J63" s="139">
        <f>195000/1.19</f>
        <v>163865.5462184874</v>
      </c>
      <c r="K63" s="41">
        <f t="shared" si="11"/>
        <v>195000</v>
      </c>
      <c r="L63" s="88">
        <f t="shared" si="12"/>
        <v>139748.51540616248</v>
      </c>
      <c r="M63" s="31">
        <f t="shared" si="13"/>
        <v>166300.73333333331</v>
      </c>
      <c r="N63" s="13">
        <v>3</v>
      </c>
      <c r="O63" s="26">
        <f t="shared" si="14"/>
        <v>166300.73333333331</v>
      </c>
      <c r="P63" s="37">
        <f t="shared" si="1"/>
        <v>498902.19999999995</v>
      </c>
      <c r="Q63" s="13">
        <v>3</v>
      </c>
      <c r="R63" s="26">
        <f t="shared" si="15"/>
        <v>166300.73333333331</v>
      </c>
      <c r="S63" s="37">
        <f t="shared" si="2"/>
        <v>498902.19999999995</v>
      </c>
      <c r="T63" s="13">
        <v>9</v>
      </c>
      <c r="U63" s="26">
        <f t="shared" si="16"/>
        <v>166300.73333333331</v>
      </c>
      <c r="V63" s="37">
        <f t="shared" si="3"/>
        <v>1496706.5999999999</v>
      </c>
      <c r="W63" s="13">
        <v>9</v>
      </c>
      <c r="X63" s="26">
        <f t="shared" si="17"/>
        <v>166300.73333333331</v>
      </c>
      <c r="Y63" s="37">
        <f t="shared" si="4"/>
        <v>1496706.5999999999</v>
      </c>
      <c r="Z63" s="13">
        <v>12</v>
      </c>
      <c r="AA63" s="26">
        <f t="shared" si="18"/>
        <v>166300.73333333331</v>
      </c>
      <c r="AB63" s="37">
        <f t="shared" si="5"/>
        <v>1995608.7999999998</v>
      </c>
      <c r="AC63" s="13">
        <v>12</v>
      </c>
      <c r="AD63" s="26">
        <f t="shared" si="19"/>
        <v>166300.73333333331</v>
      </c>
      <c r="AE63" s="37">
        <f t="shared" si="6"/>
        <v>1995608.7999999998</v>
      </c>
      <c r="AF63" s="13">
        <v>12</v>
      </c>
      <c r="AG63" s="26">
        <f t="shared" si="20"/>
        <v>166300.73333333331</v>
      </c>
      <c r="AH63" s="37">
        <f t="shared" si="7"/>
        <v>1995608.7999999998</v>
      </c>
      <c r="AI63" s="13">
        <v>12</v>
      </c>
      <c r="AJ63" s="26">
        <f t="shared" si="21"/>
        <v>166300.73333333331</v>
      </c>
      <c r="AK63" s="37">
        <f t="shared" si="8"/>
        <v>1995608.7999999998</v>
      </c>
      <c r="AL63" s="13">
        <v>0</v>
      </c>
      <c r="AM63" s="26">
        <f t="shared" si="22"/>
        <v>166300.73333333331</v>
      </c>
      <c r="AN63" s="37">
        <f t="shared" si="23"/>
        <v>0</v>
      </c>
      <c r="AO63" s="13">
        <f t="shared" si="24"/>
        <v>72</v>
      </c>
      <c r="AP63" s="77">
        <f t="shared" si="25"/>
        <v>139748.51540616248</v>
      </c>
      <c r="AQ63" s="77">
        <f t="shared" si="27"/>
        <v>10061893.109243698</v>
      </c>
      <c r="AR63" s="26">
        <f t="shared" si="26"/>
        <v>166300.73333333331</v>
      </c>
      <c r="AS63" s="37">
        <f t="shared" si="28"/>
        <v>11973652.799999999</v>
      </c>
      <c r="AT63" s="175" t="e" vm="56">
        <v>#VALUE!</v>
      </c>
    </row>
    <row r="64" spans="2:46" ht="222.6" customHeight="1">
      <c r="B64" s="206"/>
      <c r="C64" s="8" t="s">
        <v>155</v>
      </c>
      <c r="D64" s="6" t="s">
        <v>156</v>
      </c>
      <c r="E64" s="46" t="s">
        <v>39</v>
      </c>
      <c r="F64" s="117">
        <v>41119</v>
      </c>
      <c r="G64" s="41">
        <f t="shared" si="10"/>
        <v>48931.61</v>
      </c>
      <c r="H64" s="126">
        <v>96000</v>
      </c>
      <c r="I64" s="125">
        <f t="shared" si="0"/>
        <v>114240</v>
      </c>
      <c r="J64" s="116">
        <v>40000</v>
      </c>
      <c r="K64" s="41">
        <f t="shared" si="11"/>
        <v>47600</v>
      </c>
      <c r="L64" s="88">
        <f t="shared" si="12"/>
        <v>59039.666666666664</v>
      </c>
      <c r="M64" s="31">
        <f t="shared" si="13"/>
        <v>70257.203333333324</v>
      </c>
      <c r="N64" s="13">
        <v>6</v>
      </c>
      <c r="O64" s="26">
        <f t="shared" si="14"/>
        <v>70257.203333333324</v>
      </c>
      <c r="P64" s="37">
        <f t="shared" si="1"/>
        <v>421543.22</v>
      </c>
      <c r="Q64" s="13">
        <v>6</v>
      </c>
      <c r="R64" s="26">
        <f t="shared" si="15"/>
        <v>70257.203333333324</v>
      </c>
      <c r="S64" s="37">
        <f t="shared" ref="S64:S73" si="29">Q64*R64</f>
        <v>421543.22</v>
      </c>
      <c r="T64" s="13">
        <v>6</v>
      </c>
      <c r="U64" s="26">
        <f t="shared" si="16"/>
        <v>70257.203333333324</v>
      </c>
      <c r="V64" s="37">
        <f t="shared" ref="V64:V73" si="30">T64*U64</f>
        <v>421543.22</v>
      </c>
      <c r="W64" s="13">
        <v>6</v>
      </c>
      <c r="X64" s="26">
        <f t="shared" si="17"/>
        <v>70257.203333333324</v>
      </c>
      <c r="Y64" s="37">
        <f t="shared" ref="Y64:Y73" si="31">W64*X64</f>
        <v>421543.22</v>
      </c>
      <c r="Z64" s="13">
        <v>6</v>
      </c>
      <c r="AA64" s="26">
        <f t="shared" si="18"/>
        <v>70257.203333333324</v>
      </c>
      <c r="AB64" s="37">
        <f t="shared" ref="AB64:AB73" si="32">Z64*AA64</f>
        <v>421543.22</v>
      </c>
      <c r="AC64" s="13">
        <v>10</v>
      </c>
      <c r="AD64" s="26">
        <f t="shared" si="19"/>
        <v>70257.203333333324</v>
      </c>
      <c r="AE64" s="37">
        <f t="shared" ref="AE64:AE73" si="33">AC64*AD64</f>
        <v>702572.03333333321</v>
      </c>
      <c r="AF64" s="13">
        <v>10</v>
      </c>
      <c r="AG64" s="26">
        <f t="shared" si="20"/>
        <v>70257.203333333324</v>
      </c>
      <c r="AH64" s="37">
        <f t="shared" ref="AH64:AH73" si="34">AF64*AG64</f>
        <v>702572.03333333321</v>
      </c>
      <c r="AI64" s="13">
        <v>10</v>
      </c>
      <c r="AJ64" s="26">
        <f t="shared" si="21"/>
        <v>70257.203333333324</v>
      </c>
      <c r="AK64" s="37">
        <f t="shared" ref="AK64:AK73" si="35">AI64*AJ64</f>
        <v>702572.03333333321</v>
      </c>
      <c r="AL64" s="13">
        <v>0</v>
      </c>
      <c r="AM64" s="26">
        <f t="shared" si="22"/>
        <v>70257.203333333324</v>
      </c>
      <c r="AN64" s="37">
        <f t="shared" ref="AN64:AN73" si="36">AL64*AM64</f>
        <v>0</v>
      </c>
      <c r="AO64" s="13">
        <f t="shared" si="24"/>
        <v>60</v>
      </c>
      <c r="AP64" s="77">
        <f t="shared" si="25"/>
        <v>59039.666666666664</v>
      </c>
      <c r="AQ64" s="77">
        <f t="shared" si="27"/>
        <v>3542380</v>
      </c>
      <c r="AR64" s="26">
        <f t="shared" si="26"/>
        <v>70257.203333333324</v>
      </c>
      <c r="AS64" s="37">
        <f t="shared" si="28"/>
        <v>4215432.1999999993</v>
      </c>
      <c r="AT64" s="56" t="e" vm="57">
        <v>#VALUE!</v>
      </c>
    </row>
    <row r="65" spans="2:46" ht="222.6" customHeight="1">
      <c r="B65" s="206"/>
      <c r="C65" s="8" t="s">
        <v>157</v>
      </c>
      <c r="D65" s="6" t="s">
        <v>158</v>
      </c>
      <c r="E65" s="46" t="s">
        <v>39</v>
      </c>
      <c r="F65" s="118">
        <f>369815/1.19</f>
        <v>310768.90756302525</v>
      </c>
      <c r="G65" s="41">
        <f t="shared" si="10"/>
        <v>369815</v>
      </c>
      <c r="H65" s="126">
        <v>400000</v>
      </c>
      <c r="I65" s="125">
        <f t="shared" si="0"/>
        <v>476000</v>
      </c>
      <c r="J65" s="116">
        <v>350000</v>
      </c>
      <c r="K65" s="41">
        <f t="shared" si="11"/>
        <v>416500</v>
      </c>
      <c r="L65" s="88">
        <f t="shared" si="12"/>
        <v>353589.63585434173</v>
      </c>
      <c r="M65" s="31">
        <f t="shared" si="13"/>
        <v>420771.66666666669</v>
      </c>
      <c r="N65" s="13">
        <v>15</v>
      </c>
      <c r="O65" s="26">
        <f t="shared" si="14"/>
        <v>420771.66666666669</v>
      </c>
      <c r="P65" s="37">
        <f t="shared" ref="P65:P73" si="37">N65*O65</f>
        <v>6311575</v>
      </c>
      <c r="Q65" s="13">
        <v>15</v>
      </c>
      <c r="R65" s="26">
        <f t="shared" si="15"/>
        <v>420771.66666666669</v>
      </c>
      <c r="S65" s="37">
        <f t="shared" si="29"/>
        <v>6311575</v>
      </c>
      <c r="T65" s="13">
        <v>15</v>
      </c>
      <c r="U65" s="26">
        <f t="shared" si="16"/>
        <v>420771.66666666669</v>
      </c>
      <c r="V65" s="37">
        <f t="shared" si="30"/>
        <v>6311575</v>
      </c>
      <c r="W65" s="13">
        <v>15</v>
      </c>
      <c r="X65" s="26">
        <f t="shared" si="17"/>
        <v>420771.66666666669</v>
      </c>
      <c r="Y65" s="37">
        <f t="shared" si="31"/>
        <v>6311575</v>
      </c>
      <c r="Z65" s="13">
        <v>15</v>
      </c>
      <c r="AA65" s="26">
        <f t="shared" si="18"/>
        <v>420771.66666666669</v>
      </c>
      <c r="AB65" s="37">
        <f t="shared" si="32"/>
        <v>6311575</v>
      </c>
      <c r="AC65" s="13">
        <v>20</v>
      </c>
      <c r="AD65" s="26">
        <f t="shared" si="19"/>
        <v>420771.66666666669</v>
      </c>
      <c r="AE65" s="37">
        <f t="shared" si="33"/>
        <v>8415433.333333334</v>
      </c>
      <c r="AF65" s="13">
        <v>20</v>
      </c>
      <c r="AG65" s="26">
        <f t="shared" si="20"/>
        <v>420771.66666666669</v>
      </c>
      <c r="AH65" s="37">
        <f t="shared" si="34"/>
        <v>8415433.333333334</v>
      </c>
      <c r="AI65" s="13">
        <v>20</v>
      </c>
      <c r="AJ65" s="26">
        <f t="shared" si="21"/>
        <v>420771.66666666669</v>
      </c>
      <c r="AK65" s="37">
        <f t="shared" si="35"/>
        <v>8415433.333333334</v>
      </c>
      <c r="AL65" s="13">
        <v>0</v>
      </c>
      <c r="AM65" s="26">
        <f t="shared" si="22"/>
        <v>420771.66666666669</v>
      </c>
      <c r="AN65" s="37">
        <f t="shared" si="36"/>
        <v>0</v>
      </c>
      <c r="AO65" s="13">
        <f t="shared" si="24"/>
        <v>135</v>
      </c>
      <c r="AP65" s="77">
        <f t="shared" si="25"/>
        <v>353589.63585434173</v>
      </c>
      <c r="AQ65" s="77">
        <f t="shared" si="27"/>
        <v>47734600.840336137</v>
      </c>
      <c r="AR65" s="26">
        <f t="shared" si="26"/>
        <v>420771.66666666669</v>
      </c>
      <c r="AS65" s="37">
        <f t="shared" si="28"/>
        <v>56804175</v>
      </c>
      <c r="AT65" s="56" t="e" vm="58">
        <v>#VALUE!</v>
      </c>
    </row>
    <row r="66" spans="2:46" ht="222.6" customHeight="1">
      <c r="B66" s="206"/>
      <c r="C66" s="8" t="s">
        <v>159</v>
      </c>
      <c r="D66" s="6" t="s">
        <v>160</v>
      </c>
      <c r="E66" s="46" t="s">
        <v>39</v>
      </c>
      <c r="F66" s="117">
        <v>104000</v>
      </c>
      <c r="G66" s="41">
        <f t="shared" si="10"/>
        <v>123760</v>
      </c>
      <c r="H66" s="141">
        <f>109000/1.19</f>
        <v>91596.638655462186</v>
      </c>
      <c r="I66" s="41">
        <f t="shared" si="0"/>
        <v>109000</v>
      </c>
      <c r="J66" s="126">
        <v>145250</v>
      </c>
      <c r="K66" s="125">
        <f t="shared" si="11"/>
        <v>172847.5</v>
      </c>
      <c r="L66" s="88">
        <f t="shared" si="12"/>
        <v>113615.54621848739</v>
      </c>
      <c r="M66" s="31">
        <f t="shared" si="13"/>
        <v>135202.5</v>
      </c>
      <c r="N66" s="13">
        <v>6</v>
      </c>
      <c r="O66" s="26">
        <f t="shared" si="14"/>
        <v>135202.5</v>
      </c>
      <c r="P66" s="37">
        <f t="shared" si="37"/>
        <v>811215</v>
      </c>
      <c r="Q66" s="13">
        <v>6</v>
      </c>
      <c r="R66" s="26">
        <f t="shared" si="15"/>
        <v>135202.5</v>
      </c>
      <c r="S66" s="37">
        <f t="shared" ref="S66:S67" si="38">Q66*R66</f>
        <v>811215</v>
      </c>
      <c r="T66" s="13">
        <v>6</v>
      </c>
      <c r="U66" s="26">
        <f t="shared" si="16"/>
        <v>135202.5</v>
      </c>
      <c r="V66" s="37">
        <f t="shared" ref="V66:V67" si="39">T66*U66</f>
        <v>811215</v>
      </c>
      <c r="W66" s="13">
        <v>6</v>
      </c>
      <c r="X66" s="26">
        <f t="shared" si="17"/>
        <v>135202.5</v>
      </c>
      <c r="Y66" s="37">
        <f t="shared" ref="Y66:Y67" si="40">W66*X66</f>
        <v>811215</v>
      </c>
      <c r="Z66" s="13">
        <v>6</v>
      </c>
      <c r="AA66" s="26">
        <f t="shared" si="18"/>
        <v>135202.5</v>
      </c>
      <c r="AB66" s="37">
        <f t="shared" ref="AB66:AB67" si="41">Z66*AA66</f>
        <v>811215</v>
      </c>
      <c r="AC66" s="13">
        <v>10</v>
      </c>
      <c r="AD66" s="26">
        <f t="shared" si="19"/>
        <v>135202.5</v>
      </c>
      <c r="AE66" s="37">
        <f t="shared" ref="AE66:AE67" si="42">AC66*AD66</f>
        <v>1352025</v>
      </c>
      <c r="AF66" s="13">
        <v>10</v>
      </c>
      <c r="AG66" s="26">
        <f t="shared" si="20"/>
        <v>135202.5</v>
      </c>
      <c r="AH66" s="37">
        <f t="shared" ref="AH66:AH67" si="43">AF66*AG66</f>
        <v>1352025</v>
      </c>
      <c r="AI66" s="13">
        <v>10</v>
      </c>
      <c r="AJ66" s="26">
        <f t="shared" si="21"/>
        <v>135202.5</v>
      </c>
      <c r="AK66" s="37">
        <f t="shared" ref="AK66:AK67" si="44">AI66*AJ66</f>
        <v>1352025</v>
      </c>
      <c r="AL66" s="13">
        <v>0</v>
      </c>
      <c r="AM66" s="26">
        <f t="shared" si="22"/>
        <v>135202.5</v>
      </c>
      <c r="AN66" s="37">
        <f t="shared" ref="AN66:AN67" si="45">AL66*AM66</f>
        <v>0</v>
      </c>
      <c r="AO66" s="13">
        <f t="shared" ref="AO66:AO67" si="46">N66+$Q66+$T66+$W66+$Z66+$AC66+$AF66+$AI66+$AL66</f>
        <v>60</v>
      </c>
      <c r="AP66" s="77">
        <f t="shared" si="25"/>
        <v>113615.54621848739</v>
      </c>
      <c r="AQ66" s="77">
        <f t="shared" si="27"/>
        <v>6816932.7731092433</v>
      </c>
      <c r="AR66" s="26">
        <f t="shared" si="26"/>
        <v>135202.5</v>
      </c>
      <c r="AS66" s="37">
        <f t="shared" si="28"/>
        <v>8112150</v>
      </c>
      <c r="AT66" s="56" t="e" vm="59">
        <v>#VALUE!</v>
      </c>
    </row>
    <row r="67" spans="2:46" ht="222.6" customHeight="1">
      <c r="B67" s="206"/>
      <c r="C67" s="8" t="s">
        <v>161</v>
      </c>
      <c r="D67" s="6" t="s">
        <v>162</v>
      </c>
      <c r="E67" s="46" t="s">
        <v>39</v>
      </c>
      <c r="F67" s="117">
        <v>72000</v>
      </c>
      <c r="G67" s="41">
        <f t="shared" si="10"/>
        <v>85680</v>
      </c>
      <c r="H67" s="141">
        <f>79900/1.19</f>
        <v>67142.857142857145</v>
      </c>
      <c r="I67" s="41">
        <f t="shared" si="0"/>
        <v>79900</v>
      </c>
      <c r="J67" s="139">
        <f>100000/1.19</f>
        <v>84033.613445378156</v>
      </c>
      <c r="K67" s="41">
        <f t="shared" si="11"/>
        <v>100000</v>
      </c>
      <c r="L67" s="88">
        <f t="shared" si="12"/>
        <v>74392.156862745105</v>
      </c>
      <c r="M67" s="31">
        <f t="shared" si="13"/>
        <v>88526.666666666672</v>
      </c>
      <c r="N67" s="13">
        <v>15</v>
      </c>
      <c r="O67" s="26">
        <f t="shared" si="14"/>
        <v>88526.666666666672</v>
      </c>
      <c r="P67" s="37">
        <f t="shared" ref="P67" si="47">N67*O67</f>
        <v>1327900</v>
      </c>
      <c r="Q67" s="13">
        <v>15</v>
      </c>
      <c r="R67" s="26">
        <f t="shared" si="15"/>
        <v>88526.666666666672</v>
      </c>
      <c r="S67" s="37">
        <f t="shared" si="38"/>
        <v>1327900</v>
      </c>
      <c r="T67" s="13">
        <v>15</v>
      </c>
      <c r="U67" s="26">
        <f t="shared" si="16"/>
        <v>88526.666666666672</v>
      </c>
      <c r="V67" s="37">
        <f t="shared" si="39"/>
        <v>1327900</v>
      </c>
      <c r="W67" s="13">
        <v>15</v>
      </c>
      <c r="X67" s="26">
        <f t="shared" si="17"/>
        <v>88526.666666666672</v>
      </c>
      <c r="Y67" s="37">
        <f t="shared" si="40"/>
        <v>1327900</v>
      </c>
      <c r="Z67" s="13">
        <v>15</v>
      </c>
      <c r="AA67" s="26">
        <f t="shared" si="18"/>
        <v>88526.666666666672</v>
      </c>
      <c r="AB67" s="37">
        <f t="shared" si="41"/>
        <v>1327900</v>
      </c>
      <c r="AC67" s="13">
        <v>20</v>
      </c>
      <c r="AD67" s="26">
        <f t="shared" si="19"/>
        <v>88526.666666666672</v>
      </c>
      <c r="AE67" s="37">
        <f t="shared" si="42"/>
        <v>1770533.3333333335</v>
      </c>
      <c r="AF67" s="13">
        <v>20</v>
      </c>
      <c r="AG67" s="26">
        <f t="shared" si="20"/>
        <v>88526.666666666672</v>
      </c>
      <c r="AH67" s="37">
        <f t="shared" si="43"/>
        <v>1770533.3333333335</v>
      </c>
      <c r="AI67" s="13">
        <v>20</v>
      </c>
      <c r="AJ67" s="26">
        <f t="shared" si="21"/>
        <v>88526.666666666672</v>
      </c>
      <c r="AK67" s="37">
        <f t="shared" si="44"/>
        <v>1770533.3333333335</v>
      </c>
      <c r="AL67" s="13">
        <v>0</v>
      </c>
      <c r="AM67" s="26">
        <f t="shared" si="22"/>
        <v>88526.666666666672</v>
      </c>
      <c r="AN67" s="37">
        <f t="shared" si="45"/>
        <v>0</v>
      </c>
      <c r="AO67" s="13">
        <f t="shared" si="46"/>
        <v>135</v>
      </c>
      <c r="AP67" s="77">
        <f t="shared" si="25"/>
        <v>74392.156862745105</v>
      </c>
      <c r="AQ67" s="77">
        <f t="shared" si="27"/>
        <v>10042941.176470589</v>
      </c>
      <c r="AR67" s="26">
        <f t="shared" si="26"/>
        <v>88526.666666666672</v>
      </c>
      <c r="AS67" s="37">
        <f t="shared" si="28"/>
        <v>11951100</v>
      </c>
      <c r="AT67" s="56" t="e" vm="60">
        <v>#VALUE!</v>
      </c>
    </row>
    <row r="68" spans="2:46" ht="257.45" customHeight="1">
      <c r="B68" s="206"/>
      <c r="C68" s="8" t="s">
        <v>163</v>
      </c>
      <c r="D68" s="6" t="s">
        <v>164</v>
      </c>
      <c r="E68" s="46" t="s">
        <v>39</v>
      </c>
      <c r="F68" s="118">
        <f>2669900/1.19</f>
        <v>2243613.4453781513</v>
      </c>
      <c r="G68" s="41">
        <f t="shared" si="10"/>
        <v>2669900</v>
      </c>
      <c r="H68" s="116">
        <v>2500000</v>
      </c>
      <c r="I68" s="41">
        <f>H68*1.19</f>
        <v>2975000</v>
      </c>
      <c r="J68" s="116">
        <v>3000000</v>
      </c>
      <c r="K68" s="41">
        <f>J68*1.19</f>
        <v>3570000</v>
      </c>
      <c r="L68" s="88">
        <f t="shared" si="12"/>
        <v>2581204.4817927168</v>
      </c>
      <c r="M68" s="31">
        <f t="shared" si="13"/>
        <v>3071633.3333333335</v>
      </c>
      <c r="N68" s="13">
        <v>1</v>
      </c>
      <c r="O68" s="26">
        <f t="shared" ref="O68:O73" si="48">$M68</f>
        <v>3071633.3333333335</v>
      </c>
      <c r="P68" s="37">
        <f t="shared" si="37"/>
        <v>3071633.3333333335</v>
      </c>
      <c r="Q68" s="13">
        <v>1</v>
      </c>
      <c r="R68" s="26">
        <f t="shared" ref="R68:R73" si="49">$M68</f>
        <v>3071633.3333333335</v>
      </c>
      <c r="S68" s="37">
        <f t="shared" si="29"/>
        <v>3071633.3333333335</v>
      </c>
      <c r="T68" s="13">
        <v>1</v>
      </c>
      <c r="U68" s="26">
        <f t="shared" ref="U68:U73" si="50">$M68</f>
        <v>3071633.3333333335</v>
      </c>
      <c r="V68" s="37">
        <f t="shared" si="30"/>
        <v>3071633.3333333335</v>
      </c>
      <c r="W68" s="13">
        <v>1</v>
      </c>
      <c r="X68" s="26">
        <f t="shared" ref="X68:X73" si="51">$M68</f>
        <v>3071633.3333333335</v>
      </c>
      <c r="Y68" s="37">
        <f t="shared" si="31"/>
        <v>3071633.3333333335</v>
      </c>
      <c r="Z68" s="13">
        <v>1</v>
      </c>
      <c r="AA68" s="26">
        <f t="shared" ref="AA68:AA73" si="52">$M68</f>
        <v>3071633.3333333335</v>
      </c>
      <c r="AB68" s="37">
        <f t="shared" si="32"/>
        <v>3071633.3333333335</v>
      </c>
      <c r="AC68" s="13">
        <v>1</v>
      </c>
      <c r="AD68" s="26">
        <f t="shared" ref="AD68:AD73" si="53">$M68</f>
        <v>3071633.3333333335</v>
      </c>
      <c r="AE68" s="37">
        <f t="shared" si="33"/>
        <v>3071633.3333333335</v>
      </c>
      <c r="AF68" s="13">
        <v>1</v>
      </c>
      <c r="AG68" s="26">
        <f t="shared" ref="AG68:AG73" si="54">$M68</f>
        <v>3071633.3333333335</v>
      </c>
      <c r="AH68" s="37">
        <f t="shared" si="34"/>
        <v>3071633.3333333335</v>
      </c>
      <c r="AI68" s="13">
        <v>1</v>
      </c>
      <c r="AJ68" s="26">
        <f t="shared" ref="AJ68:AJ73" si="55">$M68</f>
        <v>3071633.3333333335</v>
      </c>
      <c r="AK68" s="37">
        <f t="shared" si="35"/>
        <v>3071633.3333333335</v>
      </c>
      <c r="AL68" s="13">
        <v>0</v>
      </c>
      <c r="AM68" s="26">
        <f t="shared" ref="AM68:AM73" si="56">$M68</f>
        <v>3071633.3333333335</v>
      </c>
      <c r="AN68" s="37">
        <f t="shared" si="36"/>
        <v>0</v>
      </c>
      <c r="AO68" s="13">
        <f t="shared" ref="AO68:AO73" si="57">N68+$Q68+$T68+$W68+$Z68+$AC68+$AF68+$AI68+$AL68</f>
        <v>8</v>
      </c>
      <c r="AP68" s="77">
        <f t="shared" si="25"/>
        <v>2581204.4817927168</v>
      </c>
      <c r="AQ68" s="77">
        <f t="shared" si="27"/>
        <v>20649635.854341734</v>
      </c>
      <c r="AR68" s="26">
        <f t="shared" ref="AR68:AR73" si="58">$M68</f>
        <v>3071633.3333333335</v>
      </c>
      <c r="AS68" s="37">
        <f t="shared" si="28"/>
        <v>24573066.666666668</v>
      </c>
      <c r="AT68" s="56" t="e" vm="61">
        <v>#VALUE!</v>
      </c>
    </row>
    <row r="69" spans="2:46" ht="222.6" customHeight="1">
      <c r="B69" s="206"/>
      <c r="C69" s="8" t="s">
        <v>165</v>
      </c>
      <c r="D69" s="6" t="s">
        <v>166</v>
      </c>
      <c r="E69" s="46" t="s">
        <v>39</v>
      </c>
      <c r="F69" s="117">
        <v>130000</v>
      </c>
      <c r="G69" s="41">
        <f t="shared" si="10"/>
        <v>154700</v>
      </c>
      <c r="H69" s="116">
        <v>105000</v>
      </c>
      <c r="I69" s="41">
        <f t="shared" si="0"/>
        <v>124950</v>
      </c>
      <c r="J69" s="141">
        <f>110000/1.19</f>
        <v>92436.97478991597</v>
      </c>
      <c r="K69" s="41">
        <f t="shared" si="11"/>
        <v>110000</v>
      </c>
      <c r="L69" s="88">
        <f t="shared" si="12"/>
        <v>109145.65826330532</v>
      </c>
      <c r="M69" s="31">
        <f t="shared" si="13"/>
        <v>129883.33333333333</v>
      </c>
      <c r="N69" s="13">
        <v>1</v>
      </c>
      <c r="O69" s="26">
        <f t="shared" si="48"/>
        <v>129883.33333333333</v>
      </c>
      <c r="P69" s="37">
        <f t="shared" si="37"/>
        <v>129883.33333333333</v>
      </c>
      <c r="Q69" s="13">
        <v>1</v>
      </c>
      <c r="R69" s="26">
        <f t="shared" si="49"/>
        <v>129883.33333333333</v>
      </c>
      <c r="S69" s="37">
        <f t="shared" si="29"/>
        <v>129883.33333333333</v>
      </c>
      <c r="T69" s="13">
        <v>1</v>
      </c>
      <c r="U69" s="26">
        <f t="shared" si="50"/>
        <v>129883.33333333333</v>
      </c>
      <c r="V69" s="37">
        <f t="shared" si="30"/>
        <v>129883.33333333333</v>
      </c>
      <c r="W69" s="13">
        <v>1</v>
      </c>
      <c r="X69" s="26">
        <f t="shared" si="51"/>
        <v>129883.33333333333</v>
      </c>
      <c r="Y69" s="37">
        <f t="shared" si="31"/>
        <v>129883.33333333333</v>
      </c>
      <c r="Z69" s="13">
        <v>1</v>
      </c>
      <c r="AA69" s="26">
        <f t="shared" si="52"/>
        <v>129883.33333333333</v>
      </c>
      <c r="AB69" s="37">
        <f t="shared" si="32"/>
        <v>129883.33333333333</v>
      </c>
      <c r="AC69" s="13">
        <v>2</v>
      </c>
      <c r="AD69" s="26">
        <f t="shared" si="53"/>
        <v>129883.33333333333</v>
      </c>
      <c r="AE69" s="37">
        <f t="shared" si="33"/>
        <v>259766.66666666666</v>
      </c>
      <c r="AF69" s="13">
        <v>2</v>
      </c>
      <c r="AG69" s="26">
        <f t="shared" si="54"/>
        <v>129883.33333333333</v>
      </c>
      <c r="AH69" s="37">
        <f t="shared" si="34"/>
        <v>259766.66666666666</v>
      </c>
      <c r="AI69" s="13">
        <v>2</v>
      </c>
      <c r="AJ69" s="26">
        <f t="shared" si="55"/>
        <v>129883.33333333333</v>
      </c>
      <c r="AK69" s="37">
        <f t="shared" si="35"/>
        <v>259766.66666666666</v>
      </c>
      <c r="AL69" s="13">
        <v>0</v>
      </c>
      <c r="AM69" s="26">
        <f t="shared" si="56"/>
        <v>129883.33333333333</v>
      </c>
      <c r="AN69" s="37">
        <f t="shared" si="36"/>
        <v>0</v>
      </c>
      <c r="AO69" s="13">
        <f t="shared" si="57"/>
        <v>11</v>
      </c>
      <c r="AP69" s="77">
        <f t="shared" si="25"/>
        <v>109145.65826330532</v>
      </c>
      <c r="AQ69" s="77">
        <f t="shared" si="27"/>
        <v>1200602.2408963586</v>
      </c>
      <c r="AR69" s="26">
        <f t="shared" si="58"/>
        <v>129883.33333333333</v>
      </c>
      <c r="AS69" s="37">
        <f t="shared" si="28"/>
        <v>1428716.6666666665</v>
      </c>
      <c r="AT69" s="119" t="e" vm="62">
        <v>#VALUE!</v>
      </c>
    </row>
    <row r="70" spans="2:46" ht="222.6" customHeight="1">
      <c r="B70" s="206"/>
      <c r="C70" s="8" t="s">
        <v>167</v>
      </c>
      <c r="D70" s="6" t="s">
        <v>168</v>
      </c>
      <c r="E70" s="46" t="s">
        <v>39</v>
      </c>
      <c r="F70" s="117">
        <v>45000</v>
      </c>
      <c r="G70" s="41">
        <f t="shared" si="10"/>
        <v>53550</v>
      </c>
      <c r="H70" s="116">
        <v>56000</v>
      </c>
      <c r="I70" s="41">
        <f t="shared" si="0"/>
        <v>66640</v>
      </c>
      <c r="J70" s="126">
        <v>35000</v>
      </c>
      <c r="K70" s="125">
        <f t="shared" si="11"/>
        <v>41650</v>
      </c>
      <c r="L70" s="88">
        <f t="shared" si="12"/>
        <v>45333.333333333336</v>
      </c>
      <c r="M70" s="31">
        <f t="shared" si="13"/>
        <v>53946.666666666664</v>
      </c>
      <c r="N70" s="13">
        <v>9</v>
      </c>
      <c r="O70" s="26">
        <f t="shared" si="48"/>
        <v>53946.666666666664</v>
      </c>
      <c r="P70" s="37">
        <f t="shared" si="37"/>
        <v>485520</v>
      </c>
      <c r="Q70" s="13">
        <v>9</v>
      </c>
      <c r="R70" s="26">
        <f t="shared" si="49"/>
        <v>53946.666666666664</v>
      </c>
      <c r="S70" s="37">
        <f t="shared" si="29"/>
        <v>485520</v>
      </c>
      <c r="T70" s="13">
        <v>9</v>
      </c>
      <c r="U70" s="26">
        <f t="shared" si="50"/>
        <v>53946.666666666664</v>
      </c>
      <c r="V70" s="37">
        <f t="shared" si="30"/>
        <v>485520</v>
      </c>
      <c r="W70" s="13">
        <v>9</v>
      </c>
      <c r="X70" s="26">
        <f t="shared" si="51"/>
        <v>53946.666666666664</v>
      </c>
      <c r="Y70" s="37">
        <f t="shared" si="31"/>
        <v>485520</v>
      </c>
      <c r="Z70" s="13">
        <v>9</v>
      </c>
      <c r="AA70" s="26">
        <f t="shared" si="52"/>
        <v>53946.666666666664</v>
      </c>
      <c r="AB70" s="37">
        <f t="shared" si="32"/>
        <v>485520</v>
      </c>
      <c r="AC70" s="13">
        <v>12</v>
      </c>
      <c r="AD70" s="26">
        <f t="shared" si="53"/>
        <v>53946.666666666664</v>
      </c>
      <c r="AE70" s="37">
        <f t="shared" si="33"/>
        <v>647360</v>
      </c>
      <c r="AF70" s="13">
        <v>12</v>
      </c>
      <c r="AG70" s="26">
        <f t="shared" si="54"/>
        <v>53946.666666666664</v>
      </c>
      <c r="AH70" s="37">
        <f t="shared" si="34"/>
        <v>647360</v>
      </c>
      <c r="AI70" s="13">
        <v>12</v>
      </c>
      <c r="AJ70" s="26">
        <f t="shared" si="55"/>
        <v>53946.666666666664</v>
      </c>
      <c r="AK70" s="37">
        <f t="shared" si="35"/>
        <v>647360</v>
      </c>
      <c r="AL70" s="13">
        <v>0</v>
      </c>
      <c r="AM70" s="26">
        <f t="shared" si="56"/>
        <v>53946.666666666664</v>
      </c>
      <c r="AN70" s="37">
        <f t="shared" si="36"/>
        <v>0</v>
      </c>
      <c r="AO70" s="13">
        <f t="shared" si="57"/>
        <v>81</v>
      </c>
      <c r="AP70" s="77">
        <f t="shared" si="25"/>
        <v>45333.333333333336</v>
      </c>
      <c r="AQ70" s="77">
        <f t="shared" si="27"/>
        <v>3672000</v>
      </c>
      <c r="AR70" s="26">
        <f t="shared" si="58"/>
        <v>53946.666666666664</v>
      </c>
      <c r="AS70" s="37">
        <f t="shared" ref="AS70:AS73" si="59">AO70*AR70</f>
        <v>4369680</v>
      </c>
      <c r="AT70" s="119" t="e" vm="63">
        <v>#VALUE!</v>
      </c>
    </row>
    <row r="71" spans="2:46" ht="222.6" customHeight="1">
      <c r="B71" s="206"/>
      <c r="C71" s="8" t="s">
        <v>169</v>
      </c>
      <c r="D71" s="6" t="s">
        <v>170</v>
      </c>
      <c r="E71" s="46" t="s">
        <v>39</v>
      </c>
      <c r="F71" s="124">
        <v>78329</v>
      </c>
      <c r="G71" s="125">
        <f t="shared" si="10"/>
        <v>93211.51</v>
      </c>
      <c r="H71" s="116">
        <v>100000</v>
      </c>
      <c r="I71" s="41">
        <f t="shared" si="0"/>
        <v>119000</v>
      </c>
      <c r="J71" s="116">
        <v>104000</v>
      </c>
      <c r="K71" s="41">
        <f t="shared" si="11"/>
        <v>123760</v>
      </c>
      <c r="L71" s="88">
        <f t="shared" ref="L71:L73" si="60">AVERAGE(F71,H71,J71)</f>
        <v>94109.666666666672</v>
      </c>
      <c r="M71" s="31">
        <f t="shared" ref="M71:M73" si="61">AVERAGE(G71,I71,K71)</f>
        <v>111990.50333333334</v>
      </c>
      <c r="N71" s="13">
        <v>9</v>
      </c>
      <c r="O71" s="26">
        <f t="shared" si="48"/>
        <v>111990.50333333334</v>
      </c>
      <c r="P71" s="37">
        <f t="shared" ref="P71" si="62">N71*O71</f>
        <v>1007914.53</v>
      </c>
      <c r="Q71" s="13">
        <v>9</v>
      </c>
      <c r="R71" s="26">
        <f t="shared" si="49"/>
        <v>111990.50333333334</v>
      </c>
      <c r="S71" s="37">
        <f t="shared" ref="S71" si="63">Q71*R71</f>
        <v>1007914.53</v>
      </c>
      <c r="T71" s="13">
        <v>9</v>
      </c>
      <c r="U71" s="26">
        <f t="shared" si="50"/>
        <v>111990.50333333334</v>
      </c>
      <c r="V71" s="37">
        <f t="shared" ref="V71" si="64">T71*U71</f>
        <v>1007914.53</v>
      </c>
      <c r="W71" s="13">
        <v>9</v>
      </c>
      <c r="X71" s="26">
        <f t="shared" si="51"/>
        <v>111990.50333333334</v>
      </c>
      <c r="Y71" s="37">
        <f t="shared" ref="Y71" si="65">W71*X71</f>
        <v>1007914.53</v>
      </c>
      <c r="Z71" s="13">
        <v>9</v>
      </c>
      <c r="AA71" s="26">
        <f t="shared" si="52"/>
        <v>111990.50333333334</v>
      </c>
      <c r="AB71" s="37">
        <f t="shared" ref="AB71" si="66">Z71*AA71</f>
        <v>1007914.53</v>
      </c>
      <c r="AC71" s="13">
        <v>12</v>
      </c>
      <c r="AD71" s="26">
        <f t="shared" si="53"/>
        <v>111990.50333333334</v>
      </c>
      <c r="AE71" s="37">
        <f t="shared" ref="AE71" si="67">AC71*AD71</f>
        <v>1343886.04</v>
      </c>
      <c r="AF71" s="13">
        <v>12</v>
      </c>
      <c r="AG71" s="26">
        <f t="shared" si="54"/>
        <v>111990.50333333334</v>
      </c>
      <c r="AH71" s="37">
        <f t="shared" ref="AH71" si="68">AF71*AG71</f>
        <v>1343886.04</v>
      </c>
      <c r="AI71" s="13">
        <v>12</v>
      </c>
      <c r="AJ71" s="26">
        <f t="shared" si="55"/>
        <v>111990.50333333334</v>
      </c>
      <c r="AK71" s="37">
        <f t="shared" ref="AK71" si="69">AI71*AJ71</f>
        <v>1343886.04</v>
      </c>
      <c r="AL71" s="13">
        <v>0</v>
      </c>
      <c r="AM71" s="26">
        <f t="shared" si="56"/>
        <v>111990.50333333334</v>
      </c>
      <c r="AN71" s="37">
        <f t="shared" ref="AN71" si="70">AL71*AM71</f>
        <v>0</v>
      </c>
      <c r="AO71" s="13">
        <f t="shared" ref="AO71" si="71">N71+$Q71+$T71+$W71+$Z71+$AC71+$AF71+$AI71+$AL71</f>
        <v>81</v>
      </c>
      <c r="AP71" s="77">
        <f t="shared" ref="AP71:AP73" si="72">$L71</f>
        <v>94109.666666666672</v>
      </c>
      <c r="AQ71" s="77">
        <f t="shared" ref="AQ71:AQ73" si="73">AO71*AP71</f>
        <v>7622883</v>
      </c>
      <c r="AR71" s="26">
        <f t="shared" si="58"/>
        <v>111990.50333333334</v>
      </c>
      <c r="AS71" s="37">
        <f t="shared" si="59"/>
        <v>9071230.7700000014</v>
      </c>
      <c r="AT71" s="119" t="e" vm="64">
        <v>#VALUE!</v>
      </c>
    </row>
    <row r="72" spans="2:46" ht="222.6" hidden="1" customHeight="1">
      <c r="B72" s="206"/>
      <c r="C72" s="9" t="s">
        <v>171</v>
      </c>
      <c r="D72" s="6" t="s">
        <v>172</v>
      </c>
      <c r="E72" s="46" t="s">
        <v>39</v>
      </c>
      <c r="F72" s="127">
        <v>24000</v>
      </c>
      <c r="G72" s="125">
        <f t="shared" si="10"/>
        <v>28560</v>
      </c>
      <c r="H72" s="116">
        <v>45000</v>
      </c>
      <c r="I72" s="41">
        <f t="shared" si="0"/>
        <v>53550</v>
      </c>
      <c r="J72" s="116">
        <f>60000/1.19</f>
        <v>50420.168067226892</v>
      </c>
      <c r="K72" s="41">
        <f t="shared" si="11"/>
        <v>60000</v>
      </c>
      <c r="L72" s="88">
        <f t="shared" si="60"/>
        <v>39806.722689075628</v>
      </c>
      <c r="M72" s="31">
        <f t="shared" si="61"/>
        <v>47370</v>
      </c>
      <c r="N72" s="13"/>
      <c r="O72" s="26">
        <f t="shared" si="48"/>
        <v>47370</v>
      </c>
      <c r="P72" s="37">
        <f t="shared" si="37"/>
        <v>0</v>
      </c>
      <c r="Q72" s="13"/>
      <c r="R72" s="26">
        <f t="shared" si="49"/>
        <v>47370</v>
      </c>
      <c r="S72" s="37">
        <f t="shared" si="29"/>
        <v>0</v>
      </c>
      <c r="T72" s="13"/>
      <c r="U72" s="26">
        <f t="shared" si="50"/>
        <v>47370</v>
      </c>
      <c r="V72" s="37">
        <f t="shared" si="30"/>
        <v>0</v>
      </c>
      <c r="W72" s="13"/>
      <c r="X72" s="26">
        <f t="shared" si="51"/>
        <v>47370</v>
      </c>
      <c r="Y72" s="37">
        <f t="shared" si="31"/>
        <v>0</v>
      </c>
      <c r="Z72" s="13"/>
      <c r="AA72" s="26">
        <f t="shared" si="52"/>
        <v>47370</v>
      </c>
      <c r="AB72" s="37">
        <f t="shared" si="32"/>
        <v>0</v>
      </c>
      <c r="AC72" s="13"/>
      <c r="AD72" s="26">
        <f t="shared" si="53"/>
        <v>47370</v>
      </c>
      <c r="AE72" s="37">
        <f t="shared" si="33"/>
        <v>0</v>
      </c>
      <c r="AF72" s="13"/>
      <c r="AG72" s="26">
        <f t="shared" si="54"/>
        <v>47370</v>
      </c>
      <c r="AH72" s="37">
        <f t="shared" si="34"/>
        <v>0</v>
      </c>
      <c r="AI72" s="13"/>
      <c r="AJ72" s="26">
        <f t="shared" si="55"/>
        <v>47370</v>
      </c>
      <c r="AK72" s="37">
        <f t="shared" si="35"/>
        <v>0</v>
      </c>
      <c r="AL72" s="13">
        <v>0</v>
      </c>
      <c r="AM72" s="26">
        <f t="shared" si="56"/>
        <v>47370</v>
      </c>
      <c r="AN72" s="37">
        <f t="shared" si="36"/>
        <v>0</v>
      </c>
      <c r="AO72" s="13">
        <f t="shared" si="57"/>
        <v>0</v>
      </c>
      <c r="AP72" s="77">
        <f t="shared" si="72"/>
        <v>39806.722689075628</v>
      </c>
      <c r="AQ72" s="77">
        <f t="shared" si="73"/>
        <v>0</v>
      </c>
      <c r="AR72" s="26">
        <f t="shared" si="58"/>
        <v>47370</v>
      </c>
      <c r="AS72" s="37">
        <f t="shared" si="59"/>
        <v>0</v>
      </c>
      <c r="AT72" s="69" t="e" vm="65">
        <v>#VALUE!</v>
      </c>
    </row>
    <row r="73" spans="2:46" ht="222.6" customHeight="1" thickBot="1">
      <c r="B73" s="207"/>
      <c r="C73" s="75" t="s">
        <v>173</v>
      </c>
      <c r="D73" s="158" t="s">
        <v>174</v>
      </c>
      <c r="E73" s="76" t="s">
        <v>39</v>
      </c>
      <c r="F73" s="129">
        <v>52428</v>
      </c>
      <c r="G73" s="130">
        <f t="shared" si="10"/>
        <v>62389.32</v>
      </c>
      <c r="H73" s="121">
        <v>77310</v>
      </c>
      <c r="I73" s="91">
        <f t="shared" si="0"/>
        <v>91998.9</v>
      </c>
      <c r="J73" s="144">
        <v>69999</v>
      </c>
      <c r="K73" s="91">
        <f t="shared" si="11"/>
        <v>83298.81</v>
      </c>
      <c r="L73" s="88">
        <f t="shared" si="60"/>
        <v>66579</v>
      </c>
      <c r="M73" s="31">
        <f t="shared" si="61"/>
        <v>79229.009999999995</v>
      </c>
      <c r="N73" s="18">
        <v>50</v>
      </c>
      <c r="O73" s="27">
        <f t="shared" si="48"/>
        <v>79229.009999999995</v>
      </c>
      <c r="P73" s="38">
        <f t="shared" si="37"/>
        <v>3961450.4999999995</v>
      </c>
      <c r="Q73" s="18">
        <v>50</v>
      </c>
      <c r="R73" s="27">
        <f t="shared" si="49"/>
        <v>79229.009999999995</v>
      </c>
      <c r="S73" s="38">
        <f t="shared" si="29"/>
        <v>3961450.4999999995</v>
      </c>
      <c r="T73" s="18">
        <v>125</v>
      </c>
      <c r="U73" s="27">
        <f t="shared" si="50"/>
        <v>79229.009999999995</v>
      </c>
      <c r="V73" s="38">
        <f t="shared" si="30"/>
        <v>9903626.25</v>
      </c>
      <c r="W73" s="18">
        <v>125</v>
      </c>
      <c r="X73" s="27">
        <f t="shared" si="51"/>
        <v>79229.009999999995</v>
      </c>
      <c r="Y73" s="38">
        <f t="shared" si="31"/>
        <v>9903626.25</v>
      </c>
      <c r="Z73" s="18">
        <v>125</v>
      </c>
      <c r="AA73" s="27">
        <f t="shared" si="52"/>
        <v>79229.009999999995</v>
      </c>
      <c r="AB73" s="38">
        <f t="shared" si="32"/>
        <v>9903626.25</v>
      </c>
      <c r="AC73" s="18">
        <v>300</v>
      </c>
      <c r="AD73" s="27">
        <f t="shared" si="53"/>
        <v>79229.009999999995</v>
      </c>
      <c r="AE73" s="38">
        <f t="shared" si="33"/>
        <v>23768703</v>
      </c>
      <c r="AF73" s="18">
        <v>350</v>
      </c>
      <c r="AG73" s="27">
        <f t="shared" si="54"/>
        <v>79229.009999999995</v>
      </c>
      <c r="AH73" s="38">
        <f t="shared" si="34"/>
        <v>27730153.5</v>
      </c>
      <c r="AI73" s="18">
        <v>300</v>
      </c>
      <c r="AJ73" s="27">
        <f t="shared" si="55"/>
        <v>79229.009999999995</v>
      </c>
      <c r="AK73" s="38">
        <f t="shared" si="35"/>
        <v>23768703</v>
      </c>
      <c r="AL73" s="18">
        <v>0</v>
      </c>
      <c r="AM73" s="27">
        <f t="shared" si="56"/>
        <v>79229.009999999995</v>
      </c>
      <c r="AN73" s="38">
        <f t="shared" si="36"/>
        <v>0</v>
      </c>
      <c r="AO73" s="18">
        <f t="shared" si="57"/>
        <v>1425</v>
      </c>
      <c r="AP73" s="78">
        <f t="shared" si="72"/>
        <v>66579</v>
      </c>
      <c r="AQ73" s="82">
        <f t="shared" si="73"/>
        <v>94875075</v>
      </c>
      <c r="AR73" s="27">
        <f t="shared" si="58"/>
        <v>79229.009999999995</v>
      </c>
      <c r="AS73" s="38">
        <f t="shared" si="59"/>
        <v>112901339.24999999</v>
      </c>
      <c r="AT73" s="176" t="e" vm="66">
        <v>#VALUE!</v>
      </c>
    </row>
    <row r="74" spans="2:46" ht="117.75" customHeight="1">
      <c r="B74" s="1"/>
      <c r="C74" s="3"/>
      <c r="F74"/>
      <c r="G74"/>
      <c r="H74"/>
      <c r="I74"/>
      <c r="J74"/>
      <c r="K74"/>
      <c r="AL74" s="22"/>
      <c r="AQ74" s="81">
        <f>SUM(AQ6:AQ73)</f>
        <v>528148143.54061621</v>
      </c>
      <c r="AS74" s="22">
        <f>SUM(AS6:AS73)</f>
        <v>628496290.81333339</v>
      </c>
    </row>
    <row r="75" spans="2:46" ht="117.75" customHeight="1">
      <c r="B75" s="1"/>
      <c r="C75" s="3"/>
      <c r="F75"/>
      <c r="G75"/>
      <c r="H75"/>
      <c r="I75"/>
      <c r="J75"/>
      <c r="AQ75" s="81"/>
    </row>
    <row r="76" spans="2:46" ht="117.75" customHeight="1">
      <c r="B76" s="1"/>
      <c r="C76" s="3"/>
      <c r="F76"/>
      <c r="G76"/>
      <c r="H76"/>
      <c r="I76"/>
      <c r="J76"/>
    </row>
    <row r="77" spans="2:46" s="2" customFormat="1" ht="143.25" customHeight="1">
      <c r="B77" s="1"/>
      <c r="C77" s="3"/>
      <c r="D77"/>
      <c r="E77"/>
      <c r="F77"/>
      <c r="G77"/>
      <c r="H77"/>
      <c r="I77"/>
      <c r="J77"/>
      <c r="K77" s="40"/>
      <c r="L77" s="40"/>
      <c r="M77" s="22"/>
      <c r="N77" s="4"/>
      <c r="O77" s="22"/>
      <c r="P77" s="22"/>
      <c r="Q77" s="4"/>
      <c r="R77" s="22"/>
      <c r="S77" s="22"/>
      <c r="T77" s="4"/>
      <c r="U77" s="22"/>
      <c r="V77" s="22"/>
      <c r="W77" s="4"/>
      <c r="X77" s="22"/>
      <c r="Y77" s="22"/>
      <c r="Z77" s="4"/>
      <c r="AA77" s="22"/>
      <c r="AB77" s="22"/>
      <c r="AC77" s="4"/>
      <c r="AD77" s="22"/>
      <c r="AE77" s="22"/>
      <c r="AF77" s="4"/>
      <c r="AG77" s="22"/>
      <c r="AH77" s="22"/>
      <c r="AI77" s="4"/>
      <c r="AJ77" s="22"/>
      <c r="AK77" s="22"/>
      <c r="AL77" s="4"/>
      <c r="AM77" s="22"/>
      <c r="AN77" s="22"/>
      <c r="AO77" s="4"/>
      <c r="AP77" s="4"/>
      <c r="AQ77" s="4"/>
      <c r="AR77" s="22"/>
      <c r="AS77" s="22"/>
      <c r="AT77" s="4"/>
    </row>
    <row r="78" spans="2:46" s="2" customFormat="1">
      <c r="B78" s="1"/>
      <c r="C78" s="3"/>
      <c r="D78"/>
      <c r="E78"/>
      <c r="F78"/>
      <c r="G78"/>
      <c r="H78"/>
      <c r="I78"/>
      <c r="J78"/>
      <c r="K78" s="40"/>
      <c r="L78" s="40"/>
      <c r="M78" s="22"/>
      <c r="N78" s="4"/>
      <c r="O78" s="22"/>
      <c r="P78" s="22"/>
      <c r="Q78" s="4"/>
      <c r="R78" s="22"/>
      <c r="S78" s="22"/>
      <c r="T78" s="4"/>
      <c r="U78" s="22"/>
      <c r="V78" s="22"/>
      <c r="W78" s="4"/>
      <c r="X78" s="22"/>
      <c r="Y78" s="22"/>
      <c r="Z78" s="4"/>
      <c r="AA78" s="22"/>
      <c r="AB78" s="22"/>
      <c r="AC78" s="4"/>
      <c r="AD78" s="22"/>
      <c r="AE78" s="22"/>
      <c r="AF78" s="4"/>
      <c r="AG78" s="22"/>
      <c r="AH78" s="22"/>
      <c r="AI78" s="4"/>
      <c r="AJ78" s="22"/>
      <c r="AK78" s="22"/>
      <c r="AL78" s="4"/>
      <c r="AM78" s="22"/>
      <c r="AN78" s="22"/>
      <c r="AO78" s="4"/>
      <c r="AP78" s="4"/>
      <c r="AQ78" s="4"/>
      <c r="AR78" s="22"/>
      <c r="AS78" s="22"/>
      <c r="AT78" s="4"/>
    </row>
    <row r="79" spans="2:46" s="2" customFormat="1" ht="144" customHeight="1">
      <c r="B79" s="1"/>
      <c r="C79" s="3"/>
      <c r="D79"/>
      <c r="E79"/>
      <c r="F79"/>
      <c r="G79"/>
      <c r="H79"/>
      <c r="I79"/>
      <c r="J79"/>
      <c r="K79" s="40"/>
      <c r="L79" s="40"/>
      <c r="M79" s="22"/>
      <c r="N79" s="4"/>
      <c r="O79" s="22"/>
      <c r="P79" s="22"/>
      <c r="Q79" s="4"/>
      <c r="R79" s="22"/>
      <c r="S79" s="22"/>
      <c r="T79" s="4"/>
      <c r="U79" s="22"/>
      <c r="V79" s="22"/>
      <c r="W79" s="4"/>
      <c r="X79" s="22"/>
      <c r="Y79" s="22"/>
      <c r="Z79" s="4"/>
      <c r="AA79" s="22"/>
      <c r="AB79" s="22"/>
      <c r="AC79" s="4"/>
      <c r="AD79" s="22"/>
      <c r="AE79" s="22"/>
      <c r="AF79" s="4"/>
      <c r="AG79" s="22"/>
      <c r="AH79" s="22"/>
      <c r="AI79" s="4"/>
      <c r="AJ79" s="22"/>
      <c r="AK79" s="22"/>
      <c r="AL79" s="4"/>
      <c r="AM79" s="22"/>
      <c r="AN79" s="22"/>
      <c r="AO79" s="4"/>
      <c r="AP79" s="4"/>
      <c r="AQ79" s="4"/>
      <c r="AR79" s="22"/>
      <c r="AS79" s="22"/>
      <c r="AT79" s="4"/>
    </row>
    <row r="80" spans="2:46" s="2" customFormat="1" ht="109.5" customHeight="1">
      <c r="B80" s="1"/>
      <c r="C80" s="3"/>
      <c r="D80"/>
      <c r="E80"/>
      <c r="F80"/>
      <c r="G80"/>
      <c r="H80"/>
      <c r="I80"/>
      <c r="J80"/>
      <c r="K80" s="40"/>
      <c r="L80" s="40"/>
      <c r="M80" s="22"/>
      <c r="N80" s="4"/>
      <c r="O80" s="22"/>
      <c r="P80" s="22"/>
      <c r="Q80" s="4"/>
      <c r="R80" s="22"/>
      <c r="S80" s="22"/>
      <c r="T80" s="4"/>
      <c r="U80" s="22"/>
      <c r="V80" s="22"/>
      <c r="W80" s="4"/>
      <c r="X80" s="22"/>
      <c r="Y80" s="22"/>
      <c r="Z80" s="4"/>
      <c r="AA80" s="22"/>
      <c r="AB80" s="22"/>
      <c r="AC80" s="4"/>
      <c r="AD80" s="22"/>
      <c r="AE80" s="22"/>
      <c r="AF80" s="4"/>
      <c r="AG80" s="22"/>
      <c r="AH80" s="22"/>
      <c r="AI80" s="4"/>
      <c r="AJ80" s="22"/>
      <c r="AK80" s="22"/>
      <c r="AL80" s="4"/>
      <c r="AM80" s="22"/>
      <c r="AN80" s="22"/>
      <c r="AO80" s="4"/>
      <c r="AP80" s="4"/>
      <c r="AQ80" s="4"/>
      <c r="AR80" s="22"/>
      <c r="AS80" s="22"/>
      <c r="AT80" s="4"/>
    </row>
    <row r="81" spans="2:46" s="2" customFormat="1" ht="109.5" customHeight="1">
      <c r="B81" s="1"/>
      <c r="C81" s="3"/>
      <c r="D81"/>
      <c r="E81"/>
      <c r="F81"/>
      <c r="G81"/>
      <c r="H81"/>
      <c r="I81"/>
      <c r="J81"/>
      <c r="K81" s="40"/>
      <c r="L81" s="40"/>
      <c r="M81" s="22"/>
      <c r="N81" s="4"/>
      <c r="O81" s="22"/>
      <c r="P81" s="22"/>
      <c r="Q81" s="4"/>
      <c r="R81" s="22"/>
      <c r="S81" s="22"/>
      <c r="T81" s="4"/>
      <c r="U81" s="22"/>
      <c r="V81" s="22"/>
      <c r="W81" s="4"/>
      <c r="X81" s="22"/>
      <c r="Y81" s="22"/>
      <c r="Z81" s="4"/>
      <c r="AA81" s="22"/>
      <c r="AB81" s="22"/>
      <c r="AC81" s="4"/>
      <c r="AD81" s="22"/>
      <c r="AE81" s="22"/>
      <c r="AF81" s="4"/>
      <c r="AG81" s="22"/>
      <c r="AH81" s="22"/>
      <c r="AI81" s="4"/>
      <c r="AJ81" s="22"/>
      <c r="AK81" s="22"/>
      <c r="AL81" s="4"/>
      <c r="AM81" s="22"/>
      <c r="AN81" s="22"/>
      <c r="AO81" s="4"/>
      <c r="AP81" s="4"/>
      <c r="AQ81" s="4"/>
      <c r="AR81" s="22"/>
      <c r="AS81" s="22"/>
      <c r="AT81" s="4"/>
    </row>
    <row r="82" spans="2:46" s="2" customFormat="1" ht="291.60000000000002" customHeight="1">
      <c r="B82" s="1"/>
      <c r="C82" s="3"/>
      <c r="D82"/>
      <c r="E82"/>
      <c r="F82"/>
      <c r="G82"/>
      <c r="H82"/>
      <c r="I82"/>
      <c r="J82"/>
      <c r="K82" s="40"/>
      <c r="L82" s="40"/>
      <c r="M82" s="22"/>
      <c r="N82" s="4"/>
      <c r="O82" s="22"/>
      <c r="P82" s="22"/>
      <c r="Q82" s="4"/>
      <c r="R82" s="22"/>
      <c r="S82" s="22"/>
      <c r="T82" s="4"/>
      <c r="U82" s="22"/>
      <c r="V82" s="22"/>
      <c r="W82" s="4"/>
      <c r="X82" s="22"/>
      <c r="Y82" s="22"/>
      <c r="Z82" s="4"/>
      <c r="AA82" s="22"/>
      <c r="AB82" s="22"/>
      <c r="AC82" s="4"/>
      <c r="AD82" s="22"/>
      <c r="AE82" s="22"/>
      <c r="AF82" s="4"/>
      <c r="AG82" s="22"/>
      <c r="AH82" s="22"/>
      <c r="AI82" s="4"/>
      <c r="AJ82" s="22"/>
      <c r="AK82" s="22"/>
      <c r="AL82" s="4"/>
      <c r="AM82" s="22"/>
      <c r="AN82" s="22"/>
      <c r="AO82" s="4"/>
      <c r="AP82" s="4"/>
      <c r="AQ82" s="4"/>
      <c r="AR82" s="22"/>
      <c r="AS82" s="22"/>
      <c r="AT82" s="4"/>
    </row>
    <row r="83" spans="2:46" s="2" customFormat="1" ht="110.25" customHeight="1">
      <c r="B83" s="1"/>
      <c r="C83" s="3"/>
      <c r="D83"/>
      <c r="E83"/>
      <c r="F83"/>
      <c r="G83"/>
      <c r="H83"/>
      <c r="I83"/>
      <c r="J83"/>
      <c r="K83" s="40"/>
      <c r="L83" s="40"/>
      <c r="M83" s="22"/>
      <c r="N83" s="4"/>
      <c r="O83" s="22"/>
      <c r="P83" s="22"/>
      <c r="Q83" s="4"/>
      <c r="R83" s="22"/>
      <c r="S83" s="22"/>
      <c r="T83" s="4"/>
      <c r="U83" s="22"/>
      <c r="V83" s="22"/>
      <c r="W83" s="4"/>
      <c r="X83" s="22"/>
      <c r="Y83" s="22"/>
      <c r="Z83" s="4"/>
      <c r="AA83" s="22"/>
      <c r="AB83" s="22"/>
      <c r="AC83" s="4"/>
      <c r="AD83" s="22"/>
      <c r="AE83" s="22"/>
      <c r="AF83" s="4"/>
      <c r="AG83" s="22"/>
      <c r="AH83" s="22"/>
      <c r="AI83" s="4"/>
      <c r="AJ83" s="22"/>
      <c r="AK83" s="22"/>
      <c r="AL83" s="4"/>
      <c r="AM83" s="22"/>
      <c r="AN83" s="22"/>
      <c r="AO83" s="4"/>
      <c r="AP83" s="4"/>
      <c r="AQ83" s="4"/>
      <c r="AR83" s="22"/>
      <c r="AS83" s="22"/>
      <c r="AT83" s="4"/>
    </row>
    <row r="84" spans="2:46" s="2" customFormat="1" ht="119.25" customHeight="1">
      <c r="B84" s="1"/>
      <c r="C84" s="3"/>
      <c r="D84"/>
      <c r="E84"/>
      <c r="F84"/>
      <c r="G84"/>
      <c r="H84"/>
      <c r="I84"/>
      <c r="J84"/>
      <c r="K84" s="40"/>
      <c r="L84" s="40"/>
      <c r="M84" s="22"/>
      <c r="N84" s="4"/>
      <c r="O84" s="22"/>
      <c r="P84" s="22"/>
      <c r="Q84" s="4"/>
      <c r="R84" s="22"/>
      <c r="S84" s="22"/>
      <c r="T84" s="4"/>
      <c r="U84" s="22"/>
      <c r="V84" s="22"/>
      <c r="W84" s="4"/>
      <c r="X84" s="22"/>
      <c r="Y84" s="22"/>
      <c r="Z84" s="4"/>
      <c r="AA84" s="22"/>
      <c r="AB84" s="22"/>
      <c r="AC84" s="4"/>
      <c r="AD84" s="22"/>
      <c r="AE84" s="22"/>
      <c r="AF84" s="4"/>
      <c r="AG84" s="22"/>
      <c r="AH84" s="22"/>
      <c r="AI84" s="4"/>
      <c r="AJ84" s="22"/>
      <c r="AK84" s="22"/>
      <c r="AL84" s="4"/>
      <c r="AM84" s="22"/>
      <c r="AN84" s="22"/>
      <c r="AO84" s="4"/>
      <c r="AP84" s="4"/>
      <c r="AQ84" s="4"/>
      <c r="AR84" s="22"/>
      <c r="AS84" s="22"/>
      <c r="AT84" s="4"/>
    </row>
    <row r="85" spans="2:46" s="2" customFormat="1" ht="112.5" customHeight="1">
      <c r="B85" s="1"/>
      <c r="C85" s="3"/>
      <c r="D85"/>
      <c r="E85"/>
      <c r="F85"/>
      <c r="G85"/>
      <c r="H85"/>
      <c r="I85"/>
      <c r="J85"/>
      <c r="K85" s="40"/>
      <c r="L85" s="40"/>
      <c r="M85" s="22"/>
      <c r="N85" s="4"/>
      <c r="O85" s="22"/>
      <c r="P85" s="22"/>
      <c r="Q85" s="4"/>
      <c r="R85" s="22"/>
      <c r="S85" s="22"/>
      <c r="T85" s="4"/>
      <c r="U85" s="22"/>
      <c r="V85" s="22"/>
      <c r="W85" s="4"/>
      <c r="X85" s="22"/>
      <c r="Y85" s="22"/>
      <c r="Z85" s="4"/>
      <c r="AA85" s="22"/>
      <c r="AB85" s="22"/>
      <c r="AC85" s="4"/>
      <c r="AD85" s="22"/>
      <c r="AE85" s="22"/>
      <c r="AF85" s="4"/>
      <c r="AG85" s="22"/>
      <c r="AH85" s="22"/>
      <c r="AI85" s="4"/>
      <c r="AJ85" s="22"/>
      <c r="AK85" s="22"/>
      <c r="AL85" s="4"/>
      <c r="AM85" s="22"/>
      <c r="AN85" s="22"/>
      <c r="AO85" s="4"/>
      <c r="AP85" s="4"/>
      <c r="AQ85" s="4"/>
      <c r="AR85" s="22"/>
      <c r="AS85" s="22"/>
      <c r="AT85" s="4"/>
    </row>
    <row r="86" spans="2:46" s="2" customFormat="1" ht="111" customHeight="1">
      <c r="B86" s="1"/>
      <c r="C86" s="3"/>
      <c r="D86"/>
      <c r="E86"/>
      <c r="F86"/>
      <c r="G86"/>
      <c r="H86"/>
      <c r="I86"/>
      <c r="J86"/>
      <c r="K86" s="40"/>
      <c r="L86" s="40"/>
      <c r="M86" s="22"/>
      <c r="N86" s="4"/>
      <c r="O86" s="22"/>
      <c r="P86" s="22"/>
      <c r="Q86" s="4"/>
      <c r="R86" s="22"/>
      <c r="S86" s="22"/>
      <c r="T86" s="4"/>
      <c r="U86" s="22"/>
      <c r="V86" s="22"/>
      <c r="W86" s="4"/>
      <c r="X86" s="22"/>
      <c r="Y86" s="22"/>
      <c r="Z86" s="4"/>
      <c r="AA86" s="22"/>
      <c r="AB86" s="22"/>
      <c r="AC86" s="4"/>
      <c r="AD86" s="22"/>
      <c r="AE86" s="22"/>
      <c r="AF86" s="4"/>
      <c r="AG86" s="22"/>
      <c r="AH86" s="22"/>
      <c r="AI86" s="4"/>
      <c r="AJ86" s="22"/>
      <c r="AK86" s="22"/>
      <c r="AL86" s="4"/>
      <c r="AM86" s="22"/>
      <c r="AN86" s="22"/>
      <c r="AO86" s="4"/>
      <c r="AP86" s="4"/>
      <c r="AQ86" s="4"/>
      <c r="AR86" s="22"/>
      <c r="AS86" s="22"/>
      <c r="AT86" s="4"/>
    </row>
    <row r="87" spans="2:46" s="2" customFormat="1" ht="107.25" customHeight="1">
      <c r="B87" s="1"/>
      <c r="C87" s="3"/>
      <c r="D87"/>
      <c r="E87"/>
      <c r="F87"/>
      <c r="G87"/>
      <c r="H87"/>
      <c r="I87"/>
      <c r="J87"/>
      <c r="K87" s="40"/>
      <c r="L87" s="40"/>
      <c r="M87" s="22"/>
      <c r="N87" s="4"/>
      <c r="O87" s="22"/>
      <c r="P87" s="22"/>
      <c r="Q87" s="4"/>
      <c r="R87" s="22"/>
      <c r="S87" s="22"/>
      <c r="T87" s="4"/>
      <c r="U87" s="22"/>
      <c r="V87" s="22"/>
      <c r="W87" s="4"/>
      <c r="X87" s="22"/>
      <c r="Y87" s="22"/>
      <c r="Z87" s="4"/>
      <c r="AA87" s="22"/>
      <c r="AB87" s="22"/>
      <c r="AC87" s="4"/>
      <c r="AD87" s="22"/>
      <c r="AE87" s="22"/>
      <c r="AF87" s="4"/>
      <c r="AG87" s="22"/>
      <c r="AH87" s="22"/>
      <c r="AI87" s="4"/>
      <c r="AJ87" s="22"/>
      <c r="AK87" s="22"/>
      <c r="AL87" s="4"/>
      <c r="AM87" s="22"/>
      <c r="AN87" s="22"/>
      <c r="AO87" s="4"/>
      <c r="AP87" s="4"/>
      <c r="AQ87" s="4"/>
      <c r="AR87" s="22"/>
      <c r="AS87" s="22"/>
      <c r="AT87" s="4"/>
    </row>
    <row r="88" spans="2:46" s="2" customFormat="1" ht="97.5" customHeight="1">
      <c r="B88" s="1"/>
      <c r="C88" s="3"/>
      <c r="D88"/>
      <c r="E88"/>
      <c r="F88"/>
      <c r="G88"/>
      <c r="H88"/>
      <c r="I88"/>
      <c r="J88"/>
      <c r="K88" s="40"/>
      <c r="L88" s="40"/>
      <c r="M88" s="22"/>
      <c r="N88" s="4"/>
      <c r="O88" s="22"/>
      <c r="P88" s="22"/>
      <c r="Q88" s="4"/>
      <c r="R88" s="22"/>
      <c r="S88" s="22"/>
      <c r="T88" s="4"/>
      <c r="U88" s="22"/>
      <c r="V88" s="22"/>
      <c r="W88" s="4"/>
      <c r="X88" s="32"/>
      <c r="Y88" s="22"/>
      <c r="Z88" s="4"/>
      <c r="AA88" s="32"/>
      <c r="AB88" s="22"/>
      <c r="AC88" s="4"/>
      <c r="AD88" s="22"/>
      <c r="AE88" s="22"/>
      <c r="AF88" s="4"/>
      <c r="AG88" s="22"/>
      <c r="AH88" s="22"/>
      <c r="AI88" s="4"/>
      <c r="AJ88" s="22"/>
      <c r="AK88" s="22"/>
      <c r="AL88" s="4"/>
      <c r="AM88" s="22"/>
      <c r="AN88" s="22"/>
      <c r="AO88" s="4"/>
      <c r="AP88" s="4"/>
      <c r="AQ88" s="4"/>
      <c r="AR88" s="22"/>
      <c r="AS88" s="22"/>
      <c r="AT88" s="4"/>
    </row>
    <row r="89" spans="2:46" s="2" customFormat="1" ht="84.75" customHeight="1">
      <c r="B89" s="1"/>
      <c r="C89" s="3"/>
      <c r="D89"/>
      <c r="E89"/>
      <c r="F89"/>
      <c r="G89"/>
      <c r="H89"/>
      <c r="I89"/>
      <c r="J89"/>
      <c r="K89" s="40"/>
      <c r="L89" s="40"/>
      <c r="M89" s="22"/>
      <c r="N89" s="4"/>
      <c r="O89" s="22"/>
      <c r="P89" s="22"/>
      <c r="Q89" s="4"/>
      <c r="R89" s="22"/>
      <c r="S89" s="22"/>
      <c r="T89" s="4"/>
      <c r="U89" s="22"/>
      <c r="V89" s="22"/>
      <c r="W89" s="4"/>
      <c r="X89" s="22"/>
      <c r="Y89" s="22"/>
      <c r="Z89" s="4"/>
      <c r="AA89" s="22"/>
      <c r="AB89" s="22"/>
      <c r="AC89" s="4"/>
      <c r="AD89" s="22"/>
      <c r="AE89" s="22"/>
      <c r="AF89" s="4"/>
      <c r="AG89" s="22"/>
      <c r="AH89" s="22"/>
      <c r="AI89" s="4"/>
      <c r="AJ89" s="22"/>
      <c r="AK89" s="22"/>
      <c r="AL89" s="4"/>
      <c r="AM89" s="22"/>
      <c r="AN89" s="22"/>
      <c r="AO89" s="4"/>
      <c r="AP89" s="4"/>
      <c r="AQ89" s="4"/>
      <c r="AR89" s="22"/>
      <c r="AS89" s="22"/>
      <c r="AT89" s="4"/>
    </row>
    <row r="90" spans="2:46" s="2" customFormat="1" ht="116.25" customHeight="1">
      <c r="B90" s="1"/>
      <c r="C90" s="3"/>
      <c r="D90"/>
      <c r="E90"/>
      <c r="F90"/>
      <c r="G90"/>
      <c r="H90"/>
      <c r="I90"/>
      <c r="J90"/>
      <c r="K90" s="40"/>
      <c r="L90" s="40"/>
      <c r="M90" s="22"/>
      <c r="N90" s="4"/>
      <c r="O90" s="22"/>
      <c r="P90" s="22"/>
      <c r="Q90" s="4"/>
      <c r="R90" s="22"/>
      <c r="S90" s="22"/>
      <c r="T90" s="4"/>
      <c r="U90" s="22"/>
      <c r="V90" s="22"/>
      <c r="W90" s="4"/>
      <c r="X90" s="22"/>
      <c r="Y90" s="22"/>
      <c r="Z90" s="4"/>
      <c r="AA90" s="22"/>
      <c r="AB90" s="22"/>
      <c r="AC90" s="4"/>
      <c r="AD90" s="22"/>
      <c r="AE90" s="22"/>
      <c r="AF90" s="4"/>
      <c r="AG90" s="22"/>
      <c r="AH90" s="22"/>
      <c r="AI90" s="4"/>
      <c r="AJ90" s="22"/>
      <c r="AK90" s="22"/>
      <c r="AL90" s="4"/>
      <c r="AM90" s="22"/>
      <c r="AN90" s="22"/>
      <c r="AO90" s="4"/>
      <c r="AP90" s="4"/>
      <c r="AQ90" s="4"/>
      <c r="AR90" s="22"/>
      <c r="AS90" s="22"/>
      <c r="AT90" s="4"/>
    </row>
    <row r="91" spans="2:46" s="2" customFormat="1" ht="117.75" customHeight="1">
      <c r="B91" s="1"/>
      <c r="C91" s="3"/>
      <c r="D91"/>
      <c r="E91"/>
      <c r="F91"/>
      <c r="G91"/>
      <c r="H91"/>
      <c r="I91"/>
      <c r="J91"/>
      <c r="K91" s="40"/>
      <c r="L91" s="40"/>
      <c r="M91" s="22"/>
      <c r="N91" s="4"/>
      <c r="O91" s="22"/>
      <c r="P91" s="22"/>
      <c r="Q91" s="4"/>
      <c r="R91" s="22"/>
      <c r="S91" s="22"/>
      <c r="T91" s="4"/>
      <c r="U91" s="22"/>
      <c r="V91" s="22"/>
      <c r="W91" s="4"/>
      <c r="X91" s="22"/>
      <c r="Y91" s="22"/>
      <c r="Z91" s="4"/>
      <c r="AA91" s="22"/>
      <c r="AB91" s="22"/>
      <c r="AC91" s="4"/>
      <c r="AD91" s="22"/>
      <c r="AE91" s="22"/>
      <c r="AF91" s="4"/>
      <c r="AG91" s="22"/>
      <c r="AH91" s="22"/>
      <c r="AI91" s="4"/>
      <c r="AJ91" s="22"/>
      <c r="AK91" s="22"/>
      <c r="AL91" s="4"/>
      <c r="AM91" s="22"/>
      <c r="AN91" s="22"/>
      <c r="AO91" s="4"/>
      <c r="AP91" s="4"/>
      <c r="AQ91" s="4"/>
      <c r="AR91" s="22"/>
      <c r="AS91" s="22"/>
      <c r="AT91" s="4"/>
    </row>
    <row r="92" spans="2:46" s="2" customFormat="1" ht="124.5" customHeight="1">
      <c r="B92" s="1"/>
      <c r="C92" s="3"/>
      <c r="D92"/>
      <c r="E92"/>
      <c r="F92"/>
      <c r="G92"/>
      <c r="H92"/>
      <c r="I92"/>
      <c r="J92"/>
      <c r="K92" s="40"/>
      <c r="L92" s="40"/>
      <c r="M92" s="22"/>
      <c r="N92" s="4"/>
      <c r="O92" s="22"/>
      <c r="P92" s="22"/>
      <c r="Q92" s="4"/>
      <c r="R92" s="22"/>
      <c r="S92" s="22"/>
      <c r="T92" s="4"/>
      <c r="U92" s="22"/>
      <c r="V92" s="22"/>
      <c r="W92" s="4"/>
      <c r="X92" s="22"/>
      <c r="Y92" s="22"/>
      <c r="Z92" s="4"/>
      <c r="AA92" s="22"/>
      <c r="AB92" s="22"/>
      <c r="AC92" s="4"/>
      <c r="AD92" s="22"/>
      <c r="AE92" s="22"/>
      <c r="AF92" s="4"/>
      <c r="AG92" s="22"/>
      <c r="AH92" s="22"/>
      <c r="AI92" s="4"/>
      <c r="AJ92" s="22"/>
      <c r="AK92" s="22"/>
      <c r="AL92" s="4"/>
      <c r="AM92" s="22"/>
      <c r="AN92" s="22"/>
      <c r="AO92" s="4"/>
      <c r="AP92" s="4"/>
      <c r="AQ92" s="4"/>
      <c r="AR92" s="22"/>
      <c r="AS92" s="22"/>
      <c r="AT92" s="4"/>
    </row>
    <row r="93" spans="2:46" s="2" customFormat="1" ht="135.75" customHeight="1">
      <c r="B93" s="1"/>
      <c r="C93" s="3"/>
      <c r="D93"/>
      <c r="E93"/>
      <c r="F93"/>
      <c r="G93"/>
      <c r="H93"/>
      <c r="I93"/>
      <c r="J93"/>
      <c r="K93" s="40"/>
      <c r="L93" s="40"/>
      <c r="M93" s="22"/>
      <c r="N93" s="4"/>
      <c r="O93" s="22"/>
      <c r="P93" s="22"/>
      <c r="Q93" s="4"/>
      <c r="R93" s="22"/>
      <c r="S93" s="22"/>
      <c r="T93" s="4"/>
      <c r="U93" s="22"/>
      <c r="V93" s="22"/>
      <c r="W93" s="4"/>
      <c r="X93" s="22"/>
      <c r="Y93" s="22"/>
      <c r="Z93" s="4"/>
      <c r="AA93" s="22"/>
      <c r="AB93" s="22"/>
      <c r="AC93" s="4"/>
      <c r="AD93" s="22"/>
      <c r="AE93" s="22"/>
      <c r="AF93" s="4"/>
      <c r="AG93" s="22"/>
      <c r="AH93" s="22"/>
      <c r="AI93" s="4"/>
      <c r="AJ93" s="22"/>
      <c r="AK93" s="22"/>
      <c r="AL93" s="4"/>
      <c r="AM93" s="22"/>
      <c r="AN93" s="22"/>
      <c r="AO93" s="4"/>
      <c r="AP93" s="4"/>
      <c r="AQ93" s="4"/>
      <c r="AR93" s="22"/>
      <c r="AS93" s="22"/>
      <c r="AT93" s="4"/>
    </row>
    <row r="94" spans="2:46" s="2" customFormat="1" ht="105.75" customHeight="1">
      <c r="B94" s="1"/>
      <c r="C94" s="3"/>
      <c r="D94"/>
      <c r="E94"/>
      <c r="F94"/>
      <c r="G94"/>
      <c r="H94"/>
      <c r="I94"/>
      <c r="J94"/>
      <c r="K94" s="40"/>
      <c r="L94" s="40"/>
      <c r="M94" s="22"/>
      <c r="N94" s="4"/>
      <c r="O94" s="22"/>
      <c r="P94" s="22"/>
      <c r="Q94" s="4"/>
      <c r="R94" s="22"/>
      <c r="S94" s="22"/>
      <c r="T94" s="4"/>
      <c r="U94" s="22"/>
      <c r="V94" s="22"/>
      <c r="W94" s="4"/>
      <c r="X94" s="22"/>
      <c r="Y94" s="22"/>
      <c r="Z94" s="4"/>
      <c r="AA94" s="22"/>
      <c r="AB94" s="22"/>
      <c r="AC94" s="4"/>
      <c r="AD94" s="22"/>
      <c r="AE94" s="22"/>
      <c r="AF94" s="4"/>
      <c r="AG94" s="22"/>
      <c r="AH94" s="22"/>
      <c r="AI94" s="4"/>
      <c r="AJ94" s="22"/>
      <c r="AK94" s="22"/>
      <c r="AL94" s="4"/>
      <c r="AM94" s="22"/>
      <c r="AN94" s="22"/>
      <c r="AO94" s="4"/>
      <c r="AP94" s="4"/>
      <c r="AQ94" s="4"/>
      <c r="AR94" s="22"/>
      <c r="AS94" s="22"/>
      <c r="AT94" s="4"/>
    </row>
    <row r="95" spans="2:46" s="2" customFormat="1" ht="409.5" customHeight="1">
      <c r="B95" s="1"/>
      <c r="C95" s="3"/>
      <c r="D95"/>
      <c r="E95"/>
      <c r="F95"/>
      <c r="G95"/>
      <c r="H95"/>
      <c r="I95"/>
      <c r="J95"/>
      <c r="K95" s="40"/>
      <c r="L95" s="40"/>
      <c r="M95" s="22"/>
      <c r="N95" s="4"/>
      <c r="O95" s="22"/>
      <c r="P95" s="22"/>
      <c r="Q95" s="4"/>
      <c r="R95" s="22"/>
      <c r="S95" s="22"/>
      <c r="T95" s="4"/>
      <c r="U95" s="22"/>
      <c r="V95" s="22"/>
      <c r="W95" s="4"/>
      <c r="X95" s="22"/>
      <c r="Y95" s="22"/>
      <c r="Z95" s="4"/>
      <c r="AA95" s="22"/>
      <c r="AB95" s="22"/>
      <c r="AC95" s="4"/>
      <c r="AD95" s="22"/>
      <c r="AE95" s="22"/>
      <c r="AF95" s="4"/>
      <c r="AG95" s="22"/>
      <c r="AH95" s="22"/>
      <c r="AI95" s="4"/>
      <c r="AJ95" s="22"/>
      <c r="AK95" s="22"/>
      <c r="AL95" s="4"/>
      <c r="AM95" s="22"/>
      <c r="AN95" s="22"/>
      <c r="AO95" s="4"/>
      <c r="AP95" s="4"/>
      <c r="AQ95" s="4"/>
      <c r="AR95" s="22"/>
      <c r="AS95" s="22"/>
      <c r="AT95" s="4"/>
    </row>
    <row r="96" spans="2:46" s="2" customFormat="1" ht="120" customHeight="1">
      <c r="B96" s="1"/>
      <c r="C96" s="3"/>
      <c r="D96"/>
      <c r="E96"/>
      <c r="F96"/>
      <c r="G96"/>
      <c r="H96"/>
      <c r="I96"/>
      <c r="J96"/>
      <c r="K96" s="40"/>
      <c r="L96" s="40"/>
      <c r="M96" s="22"/>
      <c r="N96" s="4"/>
      <c r="O96" s="22"/>
      <c r="P96" s="22"/>
      <c r="Q96" s="4"/>
      <c r="R96" s="22"/>
      <c r="S96" s="22"/>
      <c r="T96" s="4"/>
      <c r="U96" s="22"/>
      <c r="V96" s="22"/>
      <c r="W96" s="4"/>
      <c r="X96" s="22"/>
      <c r="Y96" s="22"/>
      <c r="Z96" s="4"/>
      <c r="AA96" s="22"/>
      <c r="AB96" s="22"/>
      <c r="AC96" s="4"/>
      <c r="AD96" s="22"/>
      <c r="AE96" s="22"/>
      <c r="AF96" s="4"/>
      <c r="AG96" s="22"/>
      <c r="AH96" s="22"/>
      <c r="AI96" s="4"/>
      <c r="AJ96" s="22"/>
      <c r="AK96" s="22"/>
      <c r="AL96" s="4"/>
      <c r="AM96" s="22"/>
      <c r="AN96" s="22"/>
      <c r="AO96" s="4"/>
      <c r="AP96" s="4"/>
      <c r="AQ96" s="4"/>
      <c r="AR96" s="22"/>
      <c r="AS96" s="22"/>
      <c r="AT96" s="4"/>
    </row>
    <row r="97" spans="2:46" s="2" customFormat="1" ht="174" customHeight="1">
      <c r="B97" s="1"/>
      <c r="C97" s="3"/>
      <c r="D97"/>
      <c r="E97"/>
      <c r="F97"/>
      <c r="G97"/>
      <c r="H97"/>
      <c r="I97"/>
      <c r="J97"/>
      <c r="K97" s="40"/>
      <c r="L97" s="40"/>
      <c r="M97" s="22"/>
      <c r="N97" s="4"/>
      <c r="O97" s="22"/>
      <c r="P97" s="22"/>
      <c r="Q97" s="4"/>
      <c r="R97" s="22"/>
      <c r="S97" s="22"/>
      <c r="T97" s="4"/>
      <c r="U97" s="22"/>
      <c r="V97" s="22"/>
      <c r="W97" s="4"/>
      <c r="X97" s="22"/>
      <c r="Y97" s="22"/>
      <c r="Z97" s="4"/>
      <c r="AA97" s="22"/>
      <c r="AB97" s="22"/>
      <c r="AC97" s="4"/>
      <c r="AD97" s="22"/>
      <c r="AE97" s="22"/>
      <c r="AF97" s="4"/>
      <c r="AG97" s="22"/>
      <c r="AH97" s="22"/>
      <c r="AI97" s="4"/>
      <c r="AJ97" s="22"/>
      <c r="AK97" s="22"/>
      <c r="AL97" s="4"/>
      <c r="AM97" s="22"/>
      <c r="AN97" s="22"/>
      <c r="AO97" s="4"/>
      <c r="AP97" s="4"/>
      <c r="AQ97" s="4"/>
      <c r="AR97" s="22"/>
      <c r="AS97" s="22"/>
      <c r="AT97" s="4"/>
    </row>
    <row r="98" spans="2:46" s="2" customFormat="1" ht="102" customHeight="1">
      <c r="B98" s="1"/>
      <c r="C98" s="3"/>
      <c r="D98"/>
      <c r="E98"/>
      <c r="F98"/>
      <c r="G98"/>
      <c r="H98"/>
      <c r="I98"/>
      <c r="J98"/>
      <c r="K98" s="40"/>
      <c r="L98" s="40"/>
      <c r="M98" s="22"/>
      <c r="N98" s="4"/>
      <c r="O98" s="22"/>
      <c r="P98" s="22"/>
      <c r="Q98" s="4"/>
      <c r="R98" s="22"/>
      <c r="S98" s="22"/>
      <c r="T98" s="4"/>
      <c r="U98" s="22"/>
      <c r="V98" s="22"/>
      <c r="W98" s="4"/>
      <c r="X98" s="22"/>
      <c r="Y98" s="22"/>
      <c r="Z98" s="4"/>
      <c r="AA98" s="22"/>
      <c r="AB98" s="22"/>
      <c r="AC98" s="4"/>
      <c r="AD98" s="22"/>
      <c r="AE98" s="22"/>
      <c r="AF98" s="4"/>
      <c r="AG98" s="22"/>
      <c r="AH98" s="22"/>
      <c r="AI98" s="4"/>
      <c r="AJ98" s="22"/>
      <c r="AK98" s="22"/>
      <c r="AL98" s="4"/>
      <c r="AM98" s="22"/>
      <c r="AN98" s="22"/>
      <c r="AO98" s="4"/>
      <c r="AP98" s="4"/>
      <c r="AQ98" s="4"/>
      <c r="AR98" s="22"/>
      <c r="AS98" s="22"/>
      <c r="AT98" s="4"/>
    </row>
    <row r="99" spans="2:46" s="2" customFormat="1" ht="102" customHeight="1">
      <c r="B99" s="1"/>
      <c r="C99" s="3"/>
      <c r="D99"/>
      <c r="E99"/>
      <c r="F99"/>
      <c r="G99"/>
      <c r="H99"/>
      <c r="I99"/>
      <c r="J99"/>
      <c r="K99" s="40"/>
      <c r="L99" s="40"/>
      <c r="M99" s="22"/>
      <c r="N99" s="4"/>
      <c r="O99" s="22"/>
      <c r="P99" s="22"/>
      <c r="Q99" s="4"/>
      <c r="R99" s="22"/>
      <c r="S99" s="22"/>
      <c r="T99" s="4"/>
      <c r="U99" s="22"/>
      <c r="V99" s="22"/>
      <c r="W99" s="4"/>
      <c r="X99" s="22"/>
      <c r="Y99" s="22"/>
      <c r="Z99" s="4"/>
      <c r="AA99" s="22"/>
      <c r="AB99" s="22"/>
      <c r="AC99" s="4"/>
      <c r="AD99" s="22"/>
      <c r="AE99" s="22"/>
      <c r="AF99" s="4"/>
      <c r="AG99" s="22"/>
      <c r="AH99" s="22"/>
      <c r="AI99" s="4"/>
      <c r="AJ99" s="22"/>
      <c r="AK99" s="22"/>
      <c r="AL99" s="4"/>
      <c r="AM99" s="22"/>
      <c r="AN99" s="22"/>
      <c r="AO99" s="4"/>
      <c r="AP99" s="4"/>
      <c r="AQ99" s="4"/>
      <c r="AR99" s="22"/>
      <c r="AS99" s="22"/>
      <c r="AT99" s="4"/>
    </row>
    <row r="100" spans="2:46" ht="64.150000000000006" customHeight="1">
      <c r="B100" s="1"/>
      <c r="C100" s="3"/>
      <c r="F100"/>
      <c r="G100"/>
      <c r="H100"/>
      <c r="I100"/>
      <c r="J100"/>
    </row>
    <row r="101" spans="2:46" ht="64.150000000000006" customHeight="1">
      <c r="B101" s="1"/>
      <c r="C101" s="3"/>
      <c r="F101"/>
      <c r="G101"/>
      <c r="H101"/>
      <c r="I101"/>
      <c r="J101"/>
    </row>
    <row r="102" spans="2:46" ht="36" customHeight="1">
      <c r="B102" s="1"/>
      <c r="C102" s="3"/>
      <c r="F102"/>
      <c r="G102"/>
      <c r="H102"/>
      <c r="I102"/>
      <c r="J102"/>
    </row>
    <row r="103" spans="2:46" ht="36" customHeight="1">
      <c r="B103" s="1"/>
      <c r="C103" s="3"/>
      <c r="F103"/>
      <c r="G103"/>
      <c r="H103"/>
      <c r="I103"/>
      <c r="J103"/>
    </row>
    <row r="104" spans="2:46" ht="36" customHeight="1">
      <c r="B104" s="1"/>
      <c r="C104" s="3"/>
      <c r="F104"/>
      <c r="G104"/>
      <c r="H104"/>
      <c r="I104"/>
      <c r="J104"/>
    </row>
    <row r="105" spans="2:46" ht="36" customHeight="1">
      <c r="B105" s="1"/>
      <c r="C105" s="3"/>
      <c r="F105"/>
      <c r="G105"/>
      <c r="H105"/>
      <c r="I105"/>
      <c r="J105"/>
    </row>
    <row r="106" spans="2:46" ht="36" customHeight="1">
      <c r="B106" s="1"/>
      <c r="C106" s="3"/>
      <c r="F106"/>
      <c r="G106"/>
      <c r="H106"/>
      <c r="I106"/>
      <c r="J106"/>
    </row>
    <row r="107" spans="2:46" ht="15.75" customHeight="1">
      <c r="B107" s="1"/>
      <c r="C107" s="3"/>
      <c r="F107"/>
      <c r="G107"/>
      <c r="H107"/>
      <c r="I107"/>
      <c r="J107"/>
    </row>
    <row r="108" spans="2:46" ht="15.75" customHeight="1">
      <c r="B108" s="1"/>
      <c r="C108" s="3"/>
      <c r="F108"/>
      <c r="G108"/>
      <c r="H108"/>
      <c r="I108"/>
      <c r="J108"/>
    </row>
    <row r="109" spans="2:46" ht="15.75" customHeight="1">
      <c r="B109" s="1"/>
      <c r="C109" s="3"/>
      <c r="F109"/>
      <c r="G109"/>
      <c r="H109"/>
      <c r="I109"/>
      <c r="J109"/>
    </row>
    <row r="110" spans="2:46" ht="15.75" customHeight="1">
      <c r="B110" s="1"/>
      <c r="C110" s="3"/>
      <c r="F110"/>
      <c r="G110"/>
      <c r="H110"/>
      <c r="I110"/>
      <c r="J110"/>
    </row>
    <row r="111" spans="2:46" ht="15.75" customHeight="1">
      <c r="B111" s="1"/>
      <c r="C111" s="3"/>
      <c r="F111"/>
      <c r="G111"/>
      <c r="H111"/>
      <c r="I111"/>
      <c r="J111"/>
    </row>
    <row r="112" spans="2:46" ht="15.75" customHeight="1">
      <c r="B112" s="1"/>
      <c r="C112" s="3"/>
      <c r="F112"/>
      <c r="G112"/>
      <c r="H112"/>
      <c r="I112"/>
      <c r="J112"/>
    </row>
    <row r="113" spans="2:46" s="22" customFormat="1" ht="15.75" customHeight="1">
      <c r="B113" s="1"/>
      <c r="C113" s="3"/>
      <c r="D113"/>
      <c r="E113"/>
      <c r="F113"/>
      <c r="G113"/>
      <c r="H113"/>
      <c r="I113"/>
      <c r="J113"/>
      <c r="K113" s="40"/>
      <c r="L113" s="40"/>
      <c r="N113" s="4"/>
      <c r="Q113" s="4"/>
      <c r="T113" s="4"/>
      <c r="W113" s="4"/>
      <c r="Z113" s="4"/>
      <c r="AC113" s="4"/>
      <c r="AF113" s="4"/>
      <c r="AI113" s="4"/>
      <c r="AL113" s="4"/>
      <c r="AO113" s="4"/>
      <c r="AP113" s="4"/>
      <c r="AQ113" s="4"/>
      <c r="AT113" s="4"/>
    </row>
    <row r="114" spans="2:46" s="22" customFormat="1" ht="15.75" customHeight="1">
      <c r="B114" s="1"/>
      <c r="C114" s="3"/>
      <c r="D114"/>
      <c r="E114"/>
      <c r="F114"/>
      <c r="G114"/>
      <c r="H114"/>
      <c r="I114"/>
      <c r="J114"/>
      <c r="K114" s="40"/>
      <c r="L114" s="40"/>
      <c r="N114" s="4"/>
      <c r="Q114" s="4"/>
      <c r="T114" s="4"/>
      <c r="W114" s="4"/>
      <c r="Z114" s="4"/>
      <c r="AC114" s="4"/>
      <c r="AF114" s="4"/>
      <c r="AI114" s="4"/>
      <c r="AL114" s="4"/>
      <c r="AO114" s="4"/>
      <c r="AP114" s="4"/>
      <c r="AQ114" s="4"/>
      <c r="AT114" s="4"/>
    </row>
    <row r="115" spans="2:46" s="22" customFormat="1" ht="15.75" customHeight="1">
      <c r="B115" s="1"/>
      <c r="C115" s="3"/>
      <c r="D115"/>
      <c r="E115"/>
      <c r="F115"/>
      <c r="G115"/>
      <c r="H115"/>
      <c r="I115"/>
      <c r="J115"/>
      <c r="K115" s="40"/>
      <c r="L115" s="40"/>
      <c r="N115" s="4"/>
      <c r="Q115" s="4"/>
      <c r="T115" s="4"/>
      <c r="W115" s="4"/>
      <c r="Z115" s="4"/>
      <c r="AC115" s="4"/>
      <c r="AF115" s="4"/>
      <c r="AI115" s="4"/>
      <c r="AL115" s="4"/>
      <c r="AO115" s="4"/>
      <c r="AP115" s="4"/>
      <c r="AQ115" s="4"/>
      <c r="AT115" s="4"/>
    </row>
    <row r="116" spans="2:46" s="22" customFormat="1" ht="15.75" customHeight="1">
      <c r="B116" s="1"/>
      <c r="C116" s="3"/>
      <c r="D116"/>
      <c r="E116"/>
      <c r="F116"/>
      <c r="G116"/>
      <c r="H116"/>
      <c r="I116"/>
      <c r="J116"/>
      <c r="K116" s="40"/>
      <c r="L116" s="40"/>
      <c r="N116" s="4"/>
      <c r="Q116" s="4"/>
      <c r="T116" s="4"/>
      <c r="W116" s="4"/>
      <c r="Z116" s="4"/>
      <c r="AC116" s="4"/>
      <c r="AF116" s="4"/>
      <c r="AI116" s="4"/>
      <c r="AL116" s="4"/>
      <c r="AO116" s="4"/>
      <c r="AP116" s="4"/>
      <c r="AQ116" s="4"/>
      <c r="AT116" s="4"/>
    </row>
    <row r="117" spans="2:46" s="22" customFormat="1" ht="15.75" customHeight="1">
      <c r="B117" s="1"/>
      <c r="C117" s="3"/>
      <c r="D117"/>
      <c r="E117"/>
      <c r="F117"/>
      <c r="G117"/>
      <c r="H117"/>
      <c r="I117"/>
      <c r="J117"/>
      <c r="K117" s="40"/>
      <c r="L117" s="40"/>
      <c r="N117" s="4"/>
      <c r="Q117" s="4"/>
      <c r="T117" s="4"/>
      <c r="W117" s="4"/>
      <c r="Z117" s="4"/>
      <c r="AC117" s="4"/>
      <c r="AF117" s="4"/>
      <c r="AI117" s="4"/>
      <c r="AL117" s="4"/>
      <c r="AO117" s="4"/>
      <c r="AP117" s="4"/>
      <c r="AQ117" s="4"/>
      <c r="AT117" s="4"/>
    </row>
    <row r="118" spans="2:46" s="22" customFormat="1" ht="15.75" customHeight="1">
      <c r="B118" s="1"/>
      <c r="C118" s="3"/>
      <c r="D118"/>
      <c r="E118"/>
      <c r="F118"/>
      <c r="G118"/>
      <c r="H118"/>
      <c r="I118"/>
      <c r="J118"/>
      <c r="K118" s="40"/>
      <c r="L118" s="40"/>
      <c r="N118" s="4"/>
      <c r="Q118" s="4"/>
      <c r="T118" s="4"/>
      <c r="W118" s="4"/>
      <c r="Z118" s="4"/>
      <c r="AC118" s="4"/>
      <c r="AF118" s="4"/>
      <c r="AI118" s="4"/>
      <c r="AL118" s="4"/>
      <c r="AO118" s="4"/>
      <c r="AP118" s="4"/>
      <c r="AQ118" s="4"/>
      <c r="AT118" s="4"/>
    </row>
    <row r="119" spans="2:46" s="22" customFormat="1" ht="15.75" customHeight="1">
      <c r="B119" s="1"/>
      <c r="C119" s="3"/>
      <c r="D119"/>
      <c r="E119"/>
      <c r="F119"/>
      <c r="G119"/>
      <c r="H119"/>
      <c r="I119"/>
      <c r="J119"/>
      <c r="K119" s="40"/>
      <c r="L119" s="40"/>
      <c r="N119" s="4"/>
      <c r="Q119" s="4"/>
      <c r="T119" s="4"/>
      <c r="W119" s="4"/>
      <c r="Z119" s="4"/>
      <c r="AC119" s="4"/>
      <c r="AF119" s="4"/>
      <c r="AI119" s="4"/>
      <c r="AL119" s="4"/>
      <c r="AO119" s="4"/>
      <c r="AP119" s="4"/>
      <c r="AQ119" s="4"/>
      <c r="AT119" s="4"/>
    </row>
    <row r="120" spans="2:46" s="22" customFormat="1" ht="15.75" customHeight="1">
      <c r="B120" s="1"/>
      <c r="C120" s="3"/>
      <c r="D120"/>
      <c r="E120"/>
      <c r="F120"/>
      <c r="G120"/>
      <c r="H120"/>
      <c r="I120"/>
      <c r="J120"/>
      <c r="K120" s="40"/>
      <c r="L120" s="40"/>
      <c r="N120" s="4"/>
      <c r="Q120" s="4"/>
      <c r="T120" s="4"/>
      <c r="W120" s="4"/>
      <c r="Z120" s="4"/>
      <c r="AC120" s="4"/>
      <c r="AF120" s="4"/>
      <c r="AI120" s="4"/>
      <c r="AL120" s="4"/>
      <c r="AO120" s="4"/>
      <c r="AP120" s="4"/>
      <c r="AQ120" s="4"/>
      <c r="AT120" s="4"/>
    </row>
    <row r="121" spans="2:46" s="22" customFormat="1" ht="15.75" customHeight="1">
      <c r="B121" s="1"/>
      <c r="C121" s="3"/>
      <c r="D121"/>
      <c r="E121"/>
      <c r="F121"/>
      <c r="G121"/>
      <c r="H121"/>
      <c r="I121"/>
      <c r="J121"/>
      <c r="K121" s="40"/>
      <c r="L121" s="40"/>
      <c r="N121" s="4"/>
      <c r="Q121" s="4"/>
      <c r="T121" s="4"/>
      <c r="W121" s="4"/>
      <c r="Z121" s="4"/>
      <c r="AC121" s="4"/>
      <c r="AF121" s="4"/>
      <c r="AI121" s="4"/>
      <c r="AL121" s="4"/>
      <c r="AO121" s="4"/>
      <c r="AP121" s="4"/>
      <c r="AQ121" s="4"/>
      <c r="AT121" s="4"/>
    </row>
    <row r="122" spans="2:46" s="22" customFormat="1" ht="15.75" customHeight="1">
      <c r="B122" s="1"/>
      <c r="C122" s="3"/>
      <c r="D122"/>
      <c r="E122"/>
      <c r="F122"/>
      <c r="G122"/>
      <c r="H122"/>
      <c r="I122"/>
      <c r="J122"/>
      <c r="K122" s="40"/>
      <c r="L122" s="40"/>
      <c r="N122" s="4"/>
      <c r="Q122" s="4"/>
      <c r="T122" s="4"/>
      <c r="W122" s="4"/>
      <c r="Z122" s="4"/>
      <c r="AC122" s="4"/>
      <c r="AF122" s="4"/>
      <c r="AI122" s="4"/>
      <c r="AL122" s="4"/>
      <c r="AO122" s="4"/>
      <c r="AP122" s="4"/>
      <c r="AQ122" s="4"/>
      <c r="AT122" s="4"/>
    </row>
    <row r="123" spans="2:46" s="22" customFormat="1" ht="15.75" customHeight="1">
      <c r="B123" s="1"/>
      <c r="C123" s="3"/>
      <c r="D123"/>
      <c r="E123"/>
      <c r="F123"/>
      <c r="G123"/>
      <c r="H123"/>
      <c r="I123"/>
      <c r="J123"/>
      <c r="K123" s="40"/>
      <c r="L123" s="40"/>
      <c r="N123" s="4"/>
      <c r="Q123" s="4"/>
      <c r="T123" s="4"/>
      <c r="W123" s="4"/>
      <c r="Z123" s="4"/>
      <c r="AC123" s="4"/>
      <c r="AF123" s="4"/>
      <c r="AI123" s="4"/>
      <c r="AL123" s="4"/>
      <c r="AO123" s="4"/>
      <c r="AP123" s="4"/>
      <c r="AQ123" s="4"/>
      <c r="AT123" s="4"/>
    </row>
    <row r="124" spans="2:46" s="22" customFormat="1" ht="15.75" customHeight="1">
      <c r="B124" s="1"/>
      <c r="C124" s="3"/>
      <c r="D124"/>
      <c r="E124"/>
      <c r="F124"/>
      <c r="G124"/>
      <c r="H124"/>
      <c r="I124"/>
      <c r="J124"/>
      <c r="K124" s="40"/>
      <c r="L124" s="40"/>
      <c r="N124" s="4"/>
      <c r="Q124" s="4"/>
      <c r="T124" s="4"/>
      <c r="W124" s="4"/>
      <c r="Z124" s="4"/>
      <c r="AC124" s="4"/>
      <c r="AF124" s="4"/>
      <c r="AI124" s="4"/>
      <c r="AL124" s="4"/>
      <c r="AO124" s="4"/>
      <c r="AP124" s="4"/>
      <c r="AQ124" s="4"/>
      <c r="AT124" s="4"/>
    </row>
    <row r="125" spans="2:46" s="22" customFormat="1" ht="15.75" customHeight="1">
      <c r="B125" s="1"/>
      <c r="C125" s="3"/>
      <c r="D125"/>
      <c r="E125"/>
      <c r="F125"/>
      <c r="G125"/>
      <c r="H125"/>
      <c r="I125"/>
      <c r="J125"/>
      <c r="K125" s="40"/>
      <c r="L125" s="40"/>
      <c r="N125" s="4"/>
      <c r="Q125" s="4"/>
      <c r="T125" s="4"/>
      <c r="W125" s="4"/>
      <c r="Z125" s="4"/>
      <c r="AC125" s="4"/>
      <c r="AF125" s="4"/>
      <c r="AI125" s="4"/>
      <c r="AL125" s="4"/>
      <c r="AO125" s="4"/>
      <c r="AP125" s="4"/>
      <c r="AQ125" s="4"/>
      <c r="AT125" s="4"/>
    </row>
    <row r="126" spans="2:46" s="22" customFormat="1" ht="15.75" customHeight="1">
      <c r="B126" s="1"/>
      <c r="C126" s="3"/>
      <c r="D126"/>
      <c r="E126"/>
      <c r="F126"/>
      <c r="G126"/>
      <c r="H126"/>
      <c r="I126"/>
      <c r="J126"/>
      <c r="K126" s="40"/>
      <c r="L126" s="40"/>
      <c r="N126" s="4"/>
      <c r="Q126" s="4"/>
      <c r="T126" s="4"/>
      <c r="W126" s="4"/>
      <c r="Z126" s="4"/>
      <c r="AC126" s="4"/>
      <c r="AF126" s="4"/>
      <c r="AI126" s="4"/>
      <c r="AL126" s="4"/>
      <c r="AO126" s="4"/>
      <c r="AP126" s="4"/>
      <c r="AQ126" s="4"/>
      <c r="AT126" s="4"/>
    </row>
    <row r="127" spans="2:46" s="22" customFormat="1" ht="15.75" customHeight="1">
      <c r="B127" s="1"/>
      <c r="C127" s="3"/>
      <c r="D127"/>
      <c r="E127"/>
      <c r="F127"/>
      <c r="G127"/>
      <c r="H127"/>
      <c r="I127"/>
      <c r="J127"/>
      <c r="K127" s="40"/>
      <c r="L127" s="40"/>
      <c r="N127" s="4"/>
      <c r="Q127" s="4"/>
      <c r="T127" s="4"/>
      <c r="W127" s="4"/>
      <c r="Z127" s="4"/>
      <c r="AC127" s="4"/>
      <c r="AF127" s="4"/>
      <c r="AI127" s="4"/>
      <c r="AL127" s="4"/>
      <c r="AO127" s="4"/>
      <c r="AP127" s="4"/>
      <c r="AQ127" s="4"/>
      <c r="AT127" s="4"/>
    </row>
    <row r="128" spans="2:46" s="22" customFormat="1" ht="15.75" customHeight="1">
      <c r="B128" s="1"/>
      <c r="C128" s="3"/>
      <c r="D128"/>
      <c r="E128"/>
      <c r="F128"/>
      <c r="G128"/>
      <c r="H128"/>
      <c r="I128"/>
      <c r="J128"/>
      <c r="K128" s="40"/>
      <c r="L128" s="40"/>
      <c r="N128" s="4"/>
      <c r="Q128" s="4"/>
      <c r="T128" s="4"/>
      <c r="W128" s="4"/>
      <c r="Z128" s="4"/>
      <c r="AC128" s="4"/>
      <c r="AF128" s="4"/>
      <c r="AI128" s="4"/>
      <c r="AL128" s="4"/>
      <c r="AO128" s="4"/>
      <c r="AP128" s="4"/>
      <c r="AQ128" s="4"/>
      <c r="AT128" s="4"/>
    </row>
    <row r="129" spans="2:10" ht="15.75" customHeight="1">
      <c r="B129" s="1"/>
      <c r="C129" s="3"/>
      <c r="F129"/>
      <c r="G129"/>
      <c r="H129"/>
      <c r="I129"/>
      <c r="J129"/>
    </row>
    <row r="130" spans="2:10" ht="15.75" customHeight="1">
      <c r="B130" s="1"/>
      <c r="C130" s="3"/>
      <c r="F130"/>
      <c r="G130"/>
      <c r="H130"/>
      <c r="I130"/>
      <c r="J130"/>
    </row>
    <row r="131" spans="2:10" ht="15.75" customHeight="1">
      <c r="B131" s="1"/>
      <c r="C131" s="3"/>
      <c r="F131"/>
      <c r="G131"/>
      <c r="H131"/>
      <c r="I131"/>
      <c r="J131"/>
    </row>
    <row r="132" spans="2:10" ht="15.75" customHeight="1">
      <c r="B132" s="1"/>
      <c r="C132" s="3"/>
      <c r="F132"/>
      <c r="G132"/>
      <c r="H132"/>
      <c r="I132"/>
      <c r="J132"/>
    </row>
    <row r="133" spans="2:10" ht="15.75" customHeight="1">
      <c r="B133" s="1"/>
      <c r="C133" s="3"/>
      <c r="F133"/>
      <c r="G133"/>
      <c r="H133"/>
      <c r="I133"/>
      <c r="J133"/>
    </row>
    <row r="134" spans="2:10" ht="15.75" customHeight="1">
      <c r="B134" s="1"/>
      <c r="C134" s="3"/>
      <c r="F134"/>
      <c r="G134"/>
      <c r="H134"/>
      <c r="I134"/>
      <c r="J134"/>
    </row>
    <row r="135" spans="2:10" ht="15.75" customHeight="1">
      <c r="B135" s="1"/>
      <c r="C135" s="3"/>
      <c r="F135"/>
      <c r="G135"/>
      <c r="H135"/>
      <c r="I135"/>
      <c r="J135"/>
    </row>
    <row r="136" spans="2:10" ht="15.75" customHeight="1">
      <c r="B136" s="1"/>
      <c r="C136" s="3"/>
      <c r="F136"/>
      <c r="G136"/>
      <c r="H136"/>
      <c r="I136"/>
      <c r="J136"/>
    </row>
    <row r="137" spans="2:10" ht="15.75" customHeight="1">
      <c r="B137" s="1"/>
      <c r="C137" s="3"/>
      <c r="F137"/>
      <c r="G137"/>
      <c r="H137"/>
      <c r="I137"/>
      <c r="J137"/>
    </row>
    <row r="138" spans="2:10" ht="15.75" customHeight="1">
      <c r="B138" s="1"/>
      <c r="C138" s="3"/>
      <c r="F138"/>
      <c r="G138"/>
      <c r="H138"/>
      <c r="I138"/>
      <c r="J138"/>
    </row>
    <row r="139" spans="2:10" ht="15.75" customHeight="1">
      <c r="B139" s="1"/>
      <c r="C139" s="3"/>
      <c r="F139"/>
      <c r="G139"/>
      <c r="H139"/>
      <c r="I139"/>
      <c r="J139"/>
    </row>
    <row r="140" spans="2:10" ht="15.75" customHeight="1">
      <c r="B140" s="1"/>
      <c r="C140" s="3"/>
      <c r="F140"/>
      <c r="G140"/>
      <c r="H140"/>
      <c r="I140"/>
      <c r="J140"/>
    </row>
    <row r="141" spans="2:10" ht="15.75" customHeight="1">
      <c r="B141" s="1"/>
      <c r="C141" s="3"/>
      <c r="F141"/>
      <c r="G141"/>
      <c r="H141"/>
      <c r="I141"/>
      <c r="J141"/>
    </row>
    <row r="142" spans="2:10" ht="15.75" customHeight="1">
      <c r="B142" s="1"/>
      <c r="C142" s="3"/>
      <c r="F142"/>
      <c r="G142"/>
      <c r="H142"/>
      <c r="I142"/>
      <c r="J142"/>
    </row>
    <row r="143" spans="2:10" ht="15.75" customHeight="1">
      <c r="B143" s="1"/>
      <c r="C143" s="3"/>
      <c r="F143"/>
      <c r="G143"/>
      <c r="H143"/>
      <c r="I143"/>
      <c r="J143"/>
    </row>
    <row r="144" spans="2:10" ht="15.75" customHeight="1">
      <c r="B144" s="1"/>
      <c r="C144" s="3"/>
      <c r="F144"/>
      <c r="G144"/>
      <c r="H144"/>
      <c r="I144"/>
      <c r="J144"/>
    </row>
    <row r="145" spans="2:10" ht="15.75" customHeight="1">
      <c r="B145" s="1"/>
      <c r="C145" s="3"/>
      <c r="F145"/>
      <c r="G145"/>
      <c r="H145"/>
      <c r="I145"/>
      <c r="J145"/>
    </row>
    <row r="146" spans="2:10" ht="15.75" customHeight="1">
      <c r="B146" s="1"/>
      <c r="C146" s="3"/>
      <c r="F146"/>
      <c r="G146"/>
      <c r="H146"/>
      <c r="I146"/>
      <c r="J146"/>
    </row>
    <row r="147" spans="2:10" ht="15.75" customHeight="1">
      <c r="B147" s="1"/>
      <c r="C147" s="3"/>
      <c r="F147"/>
      <c r="G147"/>
      <c r="H147"/>
      <c r="I147"/>
      <c r="J147"/>
    </row>
    <row r="148" spans="2:10" ht="15.75" customHeight="1">
      <c r="B148" s="1"/>
      <c r="C148" s="3"/>
      <c r="F148"/>
      <c r="G148"/>
      <c r="H148"/>
      <c r="I148"/>
      <c r="J148"/>
    </row>
    <row r="149" spans="2:10" ht="15.75" customHeight="1">
      <c r="B149" s="1"/>
      <c r="C149" s="3"/>
      <c r="F149"/>
      <c r="G149"/>
      <c r="H149"/>
      <c r="I149"/>
      <c r="J149"/>
    </row>
    <row r="150" spans="2:10" ht="15.75" customHeight="1">
      <c r="B150" s="1"/>
      <c r="C150" s="3"/>
      <c r="F150"/>
      <c r="G150"/>
      <c r="H150"/>
      <c r="I150"/>
      <c r="J150"/>
    </row>
    <row r="151" spans="2:10" ht="15.75" customHeight="1">
      <c r="B151" s="1"/>
      <c r="C151" s="3"/>
      <c r="F151"/>
      <c r="G151"/>
      <c r="H151"/>
      <c r="I151"/>
      <c r="J151"/>
    </row>
    <row r="152" spans="2:10" ht="15.75" customHeight="1">
      <c r="B152" s="1"/>
      <c r="C152" s="3"/>
      <c r="F152"/>
      <c r="G152"/>
      <c r="H152"/>
      <c r="I152"/>
      <c r="J152"/>
    </row>
    <row r="153" spans="2:10" ht="15.75" customHeight="1">
      <c r="B153" s="1"/>
      <c r="C153" s="3"/>
      <c r="F153"/>
      <c r="G153"/>
      <c r="H153"/>
      <c r="I153"/>
      <c r="J153"/>
    </row>
    <row r="154" spans="2:10" ht="15.75" customHeight="1">
      <c r="B154" s="1"/>
      <c r="C154" s="3"/>
      <c r="F154"/>
      <c r="G154"/>
      <c r="H154"/>
      <c r="I154"/>
      <c r="J154"/>
    </row>
    <row r="155" spans="2:10" ht="15.75" customHeight="1">
      <c r="B155" s="1"/>
      <c r="C155" s="3"/>
      <c r="F155"/>
      <c r="G155"/>
      <c r="H155"/>
      <c r="I155"/>
      <c r="J155"/>
    </row>
    <row r="156" spans="2:10" ht="15.75" customHeight="1">
      <c r="B156" s="1"/>
      <c r="C156" s="3"/>
      <c r="F156"/>
      <c r="G156"/>
      <c r="H156"/>
      <c r="I156"/>
      <c r="J156"/>
    </row>
    <row r="157" spans="2:10" ht="15.75" customHeight="1">
      <c r="B157" s="1"/>
      <c r="C157" s="3"/>
      <c r="F157"/>
      <c r="G157"/>
      <c r="H157"/>
      <c r="I157"/>
      <c r="J157"/>
    </row>
    <row r="158" spans="2:10" ht="15.75" customHeight="1">
      <c r="B158" s="1"/>
      <c r="C158" s="3"/>
      <c r="F158"/>
      <c r="G158"/>
      <c r="H158"/>
      <c r="I158"/>
      <c r="J158"/>
    </row>
    <row r="159" spans="2:10" ht="15.75" customHeight="1">
      <c r="B159" s="1"/>
      <c r="C159" s="3"/>
      <c r="F159"/>
      <c r="G159"/>
      <c r="H159"/>
      <c r="I159"/>
      <c r="J159"/>
    </row>
    <row r="160" spans="2:10" ht="15.75" customHeight="1">
      <c r="B160" s="1"/>
      <c r="C160" s="3"/>
      <c r="F160"/>
      <c r="G160"/>
      <c r="H160"/>
      <c r="I160"/>
      <c r="J160"/>
    </row>
    <row r="161" spans="2:10" ht="15.75" customHeight="1">
      <c r="B161" s="1"/>
      <c r="C161" s="3"/>
      <c r="F161"/>
      <c r="G161"/>
      <c r="H161"/>
      <c r="I161"/>
      <c r="J161"/>
    </row>
    <row r="162" spans="2:10" ht="15.75" customHeight="1">
      <c r="B162" s="1"/>
      <c r="C162" s="3"/>
      <c r="F162"/>
      <c r="G162"/>
      <c r="H162"/>
      <c r="I162"/>
      <c r="J162"/>
    </row>
    <row r="163" spans="2:10" ht="15.75" customHeight="1">
      <c r="B163" s="1"/>
      <c r="C163" s="3"/>
      <c r="F163"/>
      <c r="G163"/>
      <c r="H163"/>
      <c r="I163"/>
      <c r="J163"/>
    </row>
    <row r="164" spans="2:10" ht="15.75" customHeight="1">
      <c r="B164" s="1"/>
      <c r="C164" s="3"/>
      <c r="F164"/>
      <c r="G164"/>
      <c r="H164"/>
      <c r="I164"/>
      <c r="J164"/>
    </row>
    <row r="165" spans="2:10" ht="15.75" customHeight="1">
      <c r="B165" s="1"/>
      <c r="C165" s="3"/>
      <c r="F165"/>
      <c r="G165"/>
      <c r="H165"/>
      <c r="I165"/>
      <c r="J165"/>
    </row>
    <row r="166" spans="2:10" ht="15.75" customHeight="1">
      <c r="B166" s="1"/>
      <c r="C166" s="3"/>
      <c r="F166"/>
      <c r="G166"/>
      <c r="H166"/>
      <c r="I166"/>
      <c r="J166"/>
    </row>
    <row r="167" spans="2:10" ht="15.75" customHeight="1">
      <c r="B167" s="1"/>
      <c r="C167" s="3"/>
      <c r="F167"/>
      <c r="G167"/>
      <c r="H167"/>
      <c r="I167"/>
      <c r="J167"/>
    </row>
    <row r="168" spans="2:10" ht="15.75" customHeight="1">
      <c r="B168" s="1"/>
      <c r="C168" s="3"/>
      <c r="F168"/>
      <c r="G168"/>
      <c r="H168"/>
      <c r="I168"/>
      <c r="J168"/>
    </row>
    <row r="169" spans="2:10" ht="15.75" customHeight="1">
      <c r="B169" s="1"/>
      <c r="C169" s="3"/>
      <c r="F169"/>
      <c r="G169"/>
      <c r="H169"/>
      <c r="I169"/>
      <c r="J169"/>
    </row>
    <row r="170" spans="2:10" ht="15.75" customHeight="1">
      <c r="B170" s="1"/>
      <c r="C170" s="3"/>
      <c r="F170"/>
      <c r="G170"/>
      <c r="H170"/>
      <c r="I170"/>
      <c r="J170"/>
    </row>
    <row r="171" spans="2:10" ht="15.75" customHeight="1">
      <c r="B171" s="1"/>
      <c r="C171" s="3"/>
      <c r="F171"/>
      <c r="G171"/>
      <c r="H171"/>
      <c r="I171"/>
      <c r="J171"/>
    </row>
    <row r="172" spans="2:10" ht="15.75" customHeight="1">
      <c r="B172" s="1"/>
      <c r="C172" s="3"/>
      <c r="F172"/>
      <c r="G172"/>
      <c r="H172"/>
      <c r="I172"/>
      <c r="J172"/>
    </row>
    <row r="173" spans="2:10" ht="15.75" customHeight="1">
      <c r="B173" s="1"/>
      <c r="C173" s="3"/>
      <c r="F173"/>
      <c r="G173"/>
      <c r="H173"/>
      <c r="I173"/>
      <c r="J173"/>
    </row>
    <row r="174" spans="2:10" ht="15.75" customHeight="1">
      <c r="B174" s="1"/>
      <c r="C174" s="3"/>
      <c r="F174"/>
      <c r="G174"/>
      <c r="H174"/>
      <c r="I174"/>
      <c r="J174"/>
    </row>
    <row r="175" spans="2:10" ht="15.75" customHeight="1">
      <c r="B175" s="1"/>
      <c r="C175" s="3"/>
      <c r="F175"/>
      <c r="G175"/>
      <c r="H175"/>
      <c r="I175"/>
      <c r="J175"/>
    </row>
    <row r="176" spans="2:10" ht="15.75" customHeight="1">
      <c r="B176" s="1"/>
      <c r="C176" s="3"/>
      <c r="F176"/>
      <c r="G176"/>
      <c r="H176"/>
      <c r="I176"/>
      <c r="J176"/>
    </row>
    <row r="177" spans="2:10" ht="15.75" customHeight="1">
      <c r="B177" s="1"/>
      <c r="C177" s="3"/>
      <c r="F177"/>
      <c r="G177"/>
      <c r="H177"/>
      <c r="I177"/>
      <c r="J177"/>
    </row>
    <row r="178" spans="2:10" ht="15.75" customHeight="1">
      <c r="B178" s="1"/>
      <c r="C178" s="3"/>
      <c r="F178"/>
      <c r="G178"/>
      <c r="H178"/>
      <c r="I178"/>
      <c r="J178"/>
    </row>
    <row r="179" spans="2:10" ht="15.75" customHeight="1">
      <c r="B179" s="1"/>
      <c r="C179" s="3"/>
      <c r="F179"/>
      <c r="G179"/>
      <c r="H179"/>
      <c r="I179"/>
      <c r="J179"/>
    </row>
    <row r="180" spans="2:10" ht="15.75" customHeight="1">
      <c r="B180" s="1"/>
      <c r="C180" s="3"/>
      <c r="F180"/>
      <c r="G180"/>
      <c r="H180"/>
      <c r="I180"/>
      <c r="J180"/>
    </row>
    <row r="181" spans="2:10" ht="15.75" customHeight="1">
      <c r="B181" s="1"/>
      <c r="C181" s="3"/>
      <c r="F181"/>
      <c r="G181"/>
      <c r="H181"/>
      <c r="I181"/>
      <c r="J181"/>
    </row>
    <row r="182" spans="2:10" ht="15.75" customHeight="1">
      <c r="B182" s="1"/>
      <c r="C182" s="3"/>
      <c r="F182"/>
      <c r="G182"/>
      <c r="H182"/>
      <c r="I182"/>
      <c r="J182"/>
    </row>
    <row r="183" spans="2:10" ht="15.75" customHeight="1">
      <c r="B183" s="1"/>
      <c r="C183" s="3"/>
      <c r="F183"/>
      <c r="G183"/>
      <c r="H183"/>
      <c r="I183"/>
      <c r="J183"/>
    </row>
    <row r="184" spans="2:10" ht="15.75" customHeight="1">
      <c r="B184" s="1"/>
      <c r="C184" s="3"/>
      <c r="F184"/>
      <c r="G184"/>
      <c r="H184"/>
      <c r="I184"/>
      <c r="J184"/>
    </row>
    <row r="185" spans="2:10" ht="15.75" customHeight="1">
      <c r="B185" s="1"/>
      <c r="C185" s="3"/>
      <c r="F185"/>
      <c r="G185"/>
      <c r="H185"/>
      <c r="I185"/>
      <c r="J185"/>
    </row>
    <row r="186" spans="2:10" ht="15.75" customHeight="1">
      <c r="B186" s="1"/>
      <c r="C186" s="3"/>
      <c r="F186"/>
      <c r="G186"/>
      <c r="H186"/>
      <c r="I186"/>
      <c r="J186"/>
    </row>
    <row r="187" spans="2:10" ht="15.75" customHeight="1">
      <c r="B187" s="1"/>
      <c r="C187" s="3"/>
      <c r="F187"/>
      <c r="G187"/>
      <c r="H187"/>
      <c r="I187"/>
      <c r="J187"/>
    </row>
    <row r="188" spans="2:10" ht="15.75" customHeight="1">
      <c r="B188" s="1"/>
      <c r="C188" s="3"/>
      <c r="F188"/>
      <c r="G188"/>
      <c r="H188"/>
      <c r="I188"/>
      <c r="J188"/>
    </row>
    <row r="189" spans="2:10" ht="15.75" customHeight="1">
      <c r="B189" s="1"/>
      <c r="C189" s="3"/>
      <c r="F189"/>
      <c r="G189"/>
      <c r="H189"/>
      <c r="I189"/>
      <c r="J189"/>
    </row>
    <row r="190" spans="2:10" ht="15.75" customHeight="1">
      <c r="B190" s="1"/>
      <c r="C190" s="3"/>
      <c r="F190"/>
      <c r="G190"/>
      <c r="H190"/>
      <c r="I190"/>
      <c r="J190"/>
    </row>
    <row r="191" spans="2:10" ht="15.75" customHeight="1">
      <c r="B191" s="1"/>
      <c r="C191" s="3"/>
      <c r="F191"/>
      <c r="G191"/>
      <c r="H191"/>
      <c r="I191"/>
      <c r="J191"/>
    </row>
    <row r="192" spans="2:10" ht="15.75" customHeight="1">
      <c r="B192" s="1"/>
      <c r="C192" s="3"/>
      <c r="F192"/>
      <c r="G192"/>
      <c r="H192"/>
      <c r="I192"/>
      <c r="J192"/>
    </row>
    <row r="193" spans="2:10" ht="15.75" customHeight="1">
      <c r="B193" s="1"/>
      <c r="C193" s="3"/>
      <c r="F193"/>
      <c r="G193"/>
      <c r="H193"/>
      <c r="I193"/>
      <c r="J193"/>
    </row>
    <row r="194" spans="2:10" ht="15.75" customHeight="1">
      <c r="B194" s="1"/>
      <c r="C194" s="3"/>
      <c r="F194"/>
      <c r="G194"/>
      <c r="H194"/>
      <c r="I194"/>
      <c r="J194"/>
    </row>
    <row r="195" spans="2:10" ht="15.75" customHeight="1">
      <c r="B195" s="1"/>
      <c r="C195" s="3"/>
      <c r="F195"/>
      <c r="G195"/>
      <c r="H195"/>
      <c r="I195"/>
      <c r="J195"/>
    </row>
    <row r="196" spans="2:10" ht="15.75" customHeight="1">
      <c r="B196" s="1"/>
      <c r="C196" s="3"/>
      <c r="F196"/>
      <c r="G196"/>
      <c r="H196"/>
      <c r="I196"/>
      <c r="J196"/>
    </row>
    <row r="197" spans="2:10" ht="15.75" customHeight="1">
      <c r="B197" s="1"/>
      <c r="C197" s="3"/>
      <c r="F197"/>
      <c r="G197"/>
      <c r="H197"/>
      <c r="I197"/>
      <c r="J197"/>
    </row>
    <row r="198" spans="2:10" ht="15.75" customHeight="1">
      <c r="B198" s="1"/>
      <c r="C198" s="3"/>
      <c r="F198"/>
      <c r="G198"/>
      <c r="H198"/>
      <c r="I198"/>
      <c r="J198"/>
    </row>
    <row r="199" spans="2:10" ht="15.75" customHeight="1">
      <c r="B199" s="1"/>
      <c r="C199" s="3"/>
      <c r="F199"/>
      <c r="G199"/>
      <c r="H199"/>
      <c r="I199"/>
      <c r="J199"/>
    </row>
    <row r="200" spans="2:10" ht="15.75" customHeight="1">
      <c r="B200" s="1"/>
      <c r="C200" s="3"/>
      <c r="F200"/>
      <c r="G200"/>
      <c r="H200"/>
      <c r="I200"/>
      <c r="J200"/>
    </row>
    <row r="201" spans="2:10" ht="15.75" customHeight="1">
      <c r="B201" s="1"/>
      <c r="C201" s="3"/>
      <c r="F201"/>
      <c r="G201"/>
      <c r="H201"/>
      <c r="I201"/>
      <c r="J201"/>
    </row>
    <row r="202" spans="2:10" ht="15.75" customHeight="1">
      <c r="B202" s="1"/>
      <c r="C202" s="3"/>
      <c r="F202"/>
      <c r="G202"/>
      <c r="H202"/>
      <c r="I202"/>
      <c r="J202"/>
    </row>
    <row r="203" spans="2:10" ht="15.75" customHeight="1">
      <c r="B203" s="1"/>
      <c r="C203" s="3"/>
      <c r="F203"/>
      <c r="G203"/>
      <c r="H203"/>
      <c r="I203"/>
      <c r="J203"/>
    </row>
    <row r="204" spans="2:10" ht="15.75" customHeight="1">
      <c r="B204" s="1"/>
      <c r="C204" s="3"/>
      <c r="F204"/>
      <c r="G204"/>
      <c r="H204"/>
      <c r="I204"/>
      <c r="J204"/>
    </row>
    <row r="205" spans="2:10" ht="15.75" customHeight="1">
      <c r="B205" s="1"/>
      <c r="C205" s="3"/>
      <c r="F205"/>
      <c r="G205"/>
      <c r="H205"/>
      <c r="I205"/>
      <c r="J205"/>
    </row>
    <row r="206" spans="2:10" ht="15.75" customHeight="1">
      <c r="B206" s="1"/>
      <c r="C206" s="3"/>
      <c r="F206"/>
      <c r="G206"/>
      <c r="H206"/>
      <c r="I206"/>
      <c r="J206"/>
    </row>
    <row r="207" spans="2:10" ht="15.75" customHeight="1">
      <c r="B207" s="1"/>
      <c r="C207" s="3"/>
      <c r="F207"/>
      <c r="G207"/>
      <c r="H207"/>
      <c r="I207"/>
      <c r="J207"/>
    </row>
    <row r="208" spans="2:10" ht="15.75" customHeight="1">
      <c r="B208" s="1"/>
      <c r="C208" s="3"/>
      <c r="F208"/>
      <c r="G208"/>
      <c r="H208"/>
      <c r="I208"/>
      <c r="J208"/>
    </row>
    <row r="209" spans="2:10" ht="15.75" customHeight="1">
      <c r="B209" s="1"/>
      <c r="C209" s="3"/>
      <c r="F209"/>
      <c r="G209"/>
      <c r="H209"/>
      <c r="I209"/>
      <c r="J209"/>
    </row>
    <row r="210" spans="2:10" ht="15.75" customHeight="1">
      <c r="B210" s="1"/>
      <c r="C210" s="3"/>
      <c r="F210"/>
      <c r="G210"/>
      <c r="H210"/>
      <c r="I210"/>
      <c r="J210"/>
    </row>
    <row r="211" spans="2:10" ht="15.75" customHeight="1">
      <c r="B211" s="1"/>
      <c r="C211" s="3"/>
      <c r="F211"/>
      <c r="G211"/>
      <c r="H211"/>
      <c r="I211"/>
      <c r="J211"/>
    </row>
    <row r="212" spans="2:10" ht="15.75" customHeight="1">
      <c r="B212" s="1"/>
      <c r="C212" s="3"/>
      <c r="F212"/>
      <c r="G212"/>
      <c r="H212"/>
      <c r="I212"/>
      <c r="J212"/>
    </row>
    <row r="213" spans="2:10" ht="15.75" customHeight="1">
      <c r="B213" s="1"/>
      <c r="C213" s="3"/>
      <c r="F213"/>
      <c r="G213"/>
      <c r="H213"/>
      <c r="I213"/>
      <c r="J213"/>
    </row>
    <row r="214" spans="2:10" ht="15.75" customHeight="1">
      <c r="B214" s="1"/>
      <c r="C214" s="3"/>
      <c r="F214"/>
      <c r="G214"/>
      <c r="H214"/>
      <c r="I214"/>
      <c r="J214"/>
    </row>
    <row r="215" spans="2:10" ht="15.75" customHeight="1">
      <c r="B215" s="1"/>
      <c r="C215" s="3"/>
      <c r="F215"/>
      <c r="G215"/>
      <c r="H215"/>
      <c r="I215"/>
      <c r="J215"/>
    </row>
    <row r="216" spans="2:10" ht="15.75" customHeight="1">
      <c r="B216" s="1"/>
      <c r="C216" s="3"/>
      <c r="F216"/>
      <c r="G216"/>
      <c r="H216"/>
      <c r="I216"/>
      <c r="J216"/>
    </row>
    <row r="217" spans="2:10" ht="15.75" customHeight="1">
      <c r="B217" s="1"/>
      <c r="C217" s="3"/>
      <c r="F217"/>
      <c r="G217"/>
      <c r="H217"/>
      <c r="I217"/>
      <c r="J217"/>
    </row>
    <row r="218" spans="2:10" ht="15.75" customHeight="1">
      <c r="B218" s="1"/>
      <c r="C218" s="3"/>
      <c r="F218"/>
      <c r="G218"/>
      <c r="H218"/>
      <c r="I218"/>
      <c r="J218"/>
    </row>
    <row r="219" spans="2:10" ht="15.75" customHeight="1">
      <c r="B219" s="1"/>
      <c r="C219" s="3"/>
      <c r="F219"/>
      <c r="G219"/>
      <c r="H219"/>
      <c r="I219"/>
      <c r="J219"/>
    </row>
    <row r="220" spans="2:10" ht="15.75" customHeight="1">
      <c r="B220" s="1"/>
      <c r="C220" s="3"/>
      <c r="F220"/>
      <c r="G220"/>
      <c r="H220"/>
      <c r="I220"/>
      <c r="J220"/>
    </row>
    <row r="221" spans="2:10" ht="15.75" customHeight="1">
      <c r="B221" s="1"/>
      <c r="C221" s="3"/>
      <c r="F221"/>
      <c r="G221"/>
      <c r="H221"/>
      <c r="I221"/>
      <c r="J221"/>
    </row>
    <row r="222" spans="2:10" ht="15.75" customHeight="1">
      <c r="B222" s="1"/>
      <c r="C222" s="3"/>
      <c r="F222"/>
      <c r="G222"/>
      <c r="H222"/>
      <c r="I222"/>
      <c r="J222"/>
    </row>
    <row r="223" spans="2:10" ht="15.75" customHeight="1">
      <c r="B223" s="1"/>
      <c r="C223" s="3"/>
      <c r="F223"/>
      <c r="G223"/>
      <c r="H223"/>
      <c r="I223"/>
      <c r="J223"/>
    </row>
    <row r="224" spans="2:10" ht="15.75" customHeight="1">
      <c r="B224" s="1"/>
      <c r="C224" s="3"/>
      <c r="F224"/>
      <c r="G224"/>
      <c r="H224"/>
      <c r="I224"/>
      <c r="J224"/>
    </row>
    <row r="225" spans="2:10" ht="15.75" customHeight="1">
      <c r="B225" s="1"/>
      <c r="C225" s="3"/>
      <c r="F225"/>
      <c r="G225"/>
      <c r="H225"/>
      <c r="I225"/>
      <c r="J225"/>
    </row>
    <row r="226" spans="2:10" ht="15.75" customHeight="1">
      <c r="B226" s="1"/>
      <c r="C226" s="3"/>
      <c r="F226"/>
      <c r="G226"/>
      <c r="H226"/>
      <c r="I226"/>
      <c r="J226"/>
    </row>
    <row r="227" spans="2:10" ht="15.75" customHeight="1">
      <c r="B227" s="1"/>
      <c r="C227" s="3"/>
      <c r="F227"/>
      <c r="G227"/>
      <c r="H227"/>
      <c r="I227"/>
      <c r="J227"/>
    </row>
    <row r="228" spans="2:10" ht="15.75" customHeight="1">
      <c r="B228" s="1"/>
      <c r="C228" s="3"/>
      <c r="F228"/>
      <c r="G228"/>
      <c r="H228"/>
      <c r="I228"/>
      <c r="J228"/>
    </row>
    <row r="229" spans="2:10" ht="15.75" customHeight="1">
      <c r="B229" s="1"/>
      <c r="C229" s="3"/>
      <c r="F229"/>
      <c r="G229"/>
      <c r="H229"/>
      <c r="I229"/>
      <c r="J229"/>
    </row>
    <row r="230" spans="2:10" ht="15.75" customHeight="1">
      <c r="B230" s="1"/>
      <c r="C230" s="3"/>
      <c r="F230"/>
      <c r="G230"/>
      <c r="H230"/>
      <c r="I230"/>
      <c r="J230"/>
    </row>
    <row r="231" spans="2:10" ht="15.75" customHeight="1">
      <c r="B231" s="1"/>
      <c r="C231" s="3"/>
      <c r="F231"/>
      <c r="G231"/>
      <c r="H231"/>
      <c r="I231"/>
      <c r="J231"/>
    </row>
    <row r="232" spans="2:10" ht="15.75" customHeight="1">
      <c r="B232" s="1"/>
      <c r="C232" s="3"/>
      <c r="F232"/>
      <c r="G232"/>
      <c r="H232"/>
      <c r="I232"/>
      <c r="J232"/>
    </row>
    <row r="233" spans="2:10" ht="15.75" customHeight="1">
      <c r="B233" s="1"/>
      <c r="C233" s="3"/>
      <c r="F233"/>
      <c r="G233"/>
      <c r="H233"/>
      <c r="I233"/>
      <c r="J233"/>
    </row>
    <row r="234" spans="2:10" ht="15.75" customHeight="1">
      <c r="B234" s="1"/>
      <c r="C234" s="3"/>
      <c r="F234"/>
      <c r="G234"/>
      <c r="H234"/>
      <c r="I234"/>
      <c r="J234"/>
    </row>
    <row r="235" spans="2:10" ht="15.75" customHeight="1">
      <c r="B235" s="1"/>
      <c r="C235" s="3"/>
      <c r="F235"/>
      <c r="G235"/>
      <c r="H235"/>
      <c r="I235"/>
      <c r="J235"/>
    </row>
    <row r="236" spans="2:10" ht="15.75" customHeight="1">
      <c r="B236" s="1"/>
      <c r="C236" s="3"/>
      <c r="F236"/>
      <c r="G236"/>
      <c r="H236"/>
      <c r="I236"/>
      <c r="J236"/>
    </row>
    <row r="237" spans="2:10" ht="15.75" customHeight="1">
      <c r="B237" s="1"/>
      <c r="C237" s="3"/>
      <c r="F237"/>
      <c r="G237"/>
      <c r="H237"/>
      <c r="I237"/>
      <c r="J237"/>
    </row>
    <row r="238" spans="2:10" ht="15.75" customHeight="1">
      <c r="B238" s="1"/>
      <c r="C238" s="3"/>
      <c r="F238"/>
      <c r="G238"/>
      <c r="H238"/>
      <c r="I238"/>
      <c r="J238"/>
    </row>
    <row r="239" spans="2:10" ht="15.75" customHeight="1">
      <c r="B239" s="1"/>
      <c r="C239" s="3"/>
      <c r="F239"/>
      <c r="G239"/>
      <c r="H239"/>
      <c r="I239"/>
      <c r="J239"/>
    </row>
    <row r="240" spans="2:10" ht="15.75" customHeight="1">
      <c r="B240" s="1"/>
      <c r="C240" s="3"/>
      <c r="F240"/>
      <c r="G240"/>
      <c r="H240"/>
      <c r="I240"/>
      <c r="J240"/>
    </row>
    <row r="241" spans="2:10" ht="15.75" customHeight="1">
      <c r="B241" s="1"/>
      <c r="C241" s="3"/>
      <c r="F241"/>
      <c r="G241"/>
      <c r="H241"/>
      <c r="I241"/>
      <c r="J241"/>
    </row>
    <row r="242" spans="2:10" ht="15.75" customHeight="1">
      <c r="B242" s="1"/>
      <c r="C242" s="3"/>
      <c r="F242"/>
      <c r="G242"/>
      <c r="H242"/>
      <c r="I242"/>
      <c r="J242"/>
    </row>
    <row r="243" spans="2:10" ht="15.75" customHeight="1">
      <c r="B243" s="1"/>
      <c r="C243" s="3"/>
      <c r="F243"/>
      <c r="G243"/>
      <c r="H243"/>
      <c r="I243"/>
      <c r="J243"/>
    </row>
    <row r="244" spans="2:10" ht="15.75" customHeight="1">
      <c r="B244" s="1"/>
      <c r="C244" s="3"/>
      <c r="F244"/>
      <c r="G244"/>
      <c r="H244"/>
      <c r="I244"/>
      <c r="J244"/>
    </row>
    <row r="245" spans="2:10" ht="15.75" customHeight="1">
      <c r="B245" s="1"/>
      <c r="C245" s="3"/>
      <c r="F245"/>
      <c r="G245"/>
      <c r="H245"/>
      <c r="I245"/>
      <c r="J245"/>
    </row>
    <row r="246" spans="2:10" ht="15.75" customHeight="1">
      <c r="B246" s="1"/>
      <c r="C246" s="3"/>
      <c r="F246"/>
      <c r="G246"/>
      <c r="H246"/>
      <c r="I246"/>
      <c r="J246"/>
    </row>
    <row r="247" spans="2:10" ht="15.75" customHeight="1">
      <c r="B247" s="1"/>
      <c r="C247" s="3"/>
      <c r="F247"/>
      <c r="G247"/>
      <c r="H247"/>
      <c r="I247"/>
      <c r="J247"/>
    </row>
    <row r="248" spans="2:10" ht="15.75" customHeight="1">
      <c r="B248" s="1"/>
      <c r="C248" s="3"/>
      <c r="F248"/>
      <c r="G248"/>
      <c r="H248"/>
      <c r="I248"/>
      <c r="J248"/>
    </row>
    <row r="249" spans="2:10" ht="15.75" customHeight="1">
      <c r="B249" s="1"/>
      <c r="C249" s="3"/>
      <c r="F249"/>
      <c r="G249"/>
      <c r="H249"/>
      <c r="I249"/>
      <c r="J249"/>
    </row>
    <row r="250" spans="2:10" ht="15.75" customHeight="1">
      <c r="B250" s="1"/>
      <c r="C250" s="3"/>
      <c r="F250"/>
      <c r="G250"/>
      <c r="H250"/>
      <c r="I250"/>
      <c r="J250"/>
    </row>
    <row r="251" spans="2:10" ht="15.75" customHeight="1">
      <c r="B251" s="1"/>
      <c r="C251" s="3"/>
      <c r="F251"/>
      <c r="G251"/>
      <c r="H251"/>
      <c r="I251"/>
      <c r="J251"/>
    </row>
    <row r="252" spans="2:10" ht="15.75" customHeight="1">
      <c r="B252" s="1"/>
      <c r="C252" s="3"/>
      <c r="F252"/>
      <c r="G252"/>
      <c r="H252"/>
      <c r="I252"/>
      <c r="J252"/>
    </row>
    <row r="253" spans="2:10" ht="15.75" customHeight="1">
      <c r="B253" s="1"/>
      <c r="C253" s="3"/>
      <c r="F253"/>
      <c r="G253"/>
      <c r="H253"/>
      <c r="I253"/>
      <c r="J253"/>
    </row>
    <row r="254" spans="2:10" ht="15.75" customHeight="1">
      <c r="B254" s="1"/>
      <c r="C254" s="3"/>
      <c r="F254"/>
      <c r="G254"/>
      <c r="H254"/>
      <c r="I254"/>
      <c r="J254"/>
    </row>
    <row r="255" spans="2:10" ht="15.75" customHeight="1">
      <c r="B255" s="1"/>
      <c r="C255" s="3"/>
      <c r="F255"/>
      <c r="G255"/>
      <c r="H255"/>
      <c r="I255"/>
      <c r="J255"/>
    </row>
    <row r="256" spans="2:10" ht="15.75" customHeight="1">
      <c r="B256" s="1"/>
      <c r="C256" s="3"/>
      <c r="F256"/>
      <c r="G256"/>
      <c r="H256"/>
      <c r="I256"/>
      <c r="J256"/>
    </row>
    <row r="257" spans="2:10" ht="15.75" customHeight="1">
      <c r="B257" s="1"/>
      <c r="C257" s="3"/>
      <c r="F257"/>
      <c r="G257"/>
      <c r="H257"/>
      <c r="I257"/>
      <c r="J257"/>
    </row>
    <row r="258" spans="2:10" ht="15.75" customHeight="1">
      <c r="B258" s="1"/>
      <c r="C258" s="3"/>
      <c r="F258"/>
      <c r="G258"/>
      <c r="H258"/>
      <c r="I258"/>
      <c r="J258"/>
    </row>
    <row r="259" spans="2:10" ht="15.75" customHeight="1">
      <c r="B259" s="1"/>
      <c r="C259" s="3"/>
      <c r="F259"/>
      <c r="G259"/>
      <c r="H259"/>
      <c r="I259"/>
      <c r="J259"/>
    </row>
    <row r="260" spans="2:10" ht="15.75" customHeight="1">
      <c r="B260" s="1"/>
      <c r="C260" s="3"/>
      <c r="F260"/>
      <c r="G260"/>
      <c r="H260"/>
      <c r="I260"/>
      <c r="J260"/>
    </row>
    <row r="261" spans="2:10" ht="15.75" customHeight="1">
      <c r="B261" s="1"/>
      <c r="C261" s="3"/>
      <c r="F261"/>
      <c r="G261"/>
      <c r="H261"/>
      <c r="I261"/>
      <c r="J261"/>
    </row>
    <row r="262" spans="2:10" ht="15.75" customHeight="1">
      <c r="B262" s="1"/>
      <c r="C262" s="3"/>
      <c r="F262"/>
      <c r="G262"/>
      <c r="H262"/>
      <c r="I262"/>
      <c r="J262"/>
    </row>
    <row r="263" spans="2:10" ht="15.75" customHeight="1">
      <c r="B263" s="1"/>
      <c r="C263" s="3"/>
      <c r="F263"/>
      <c r="G263"/>
      <c r="H263"/>
      <c r="I263"/>
      <c r="J263"/>
    </row>
    <row r="264" spans="2:10" ht="15.75" customHeight="1">
      <c r="B264" s="1"/>
      <c r="C264" s="3"/>
      <c r="F264"/>
      <c r="G264"/>
      <c r="H264"/>
      <c r="I264"/>
      <c r="J264"/>
    </row>
    <row r="265" spans="2:10" ht="15.75" customHeight="1">
      <c r="B265" s="1"/>
      <c r="C265" s="3"/>
      <c r="F265"/>
      <c r="G265"/>
      <c r="H265"/>
      <c r="I265"/>
      <c r="J265"/>
    </row>
    <row r="266" spans="2:10" ht="15.75" customHeight="1">
      <c r="B266" s="1"/>
      <c r="C266" s="3"/>
      <c r="F266"/>
      <c r="G266"/>
      <c r="H266"/>
      <c r="I266"/>
      <c r="J266"/>
    </row>
    <row r="267" spans="2:10" ht="15.75" customHeight="1">
      <c r="B267" s="1"/>
      <c r="C267" s="3"/>
      <c r="F267"/>
      <c r="G267"/>
      <c r="H267"/>
      <c r="I267"/>
      <c r="J267"/>
    </row>
    <row r="268" spans="2:10" ht="15.75" customHeight="1">
      <c r="B268" s="1"/>
      <c r="C268" s="3"/>
      <c r="F268"/>
      <c r="G268"/>
      <c r="H268"/>
      <c r="I268"/>
      <c r="J268"/>
    </row>
    <row r="269" spans="2:10" ht="15.75" customHeight="1">
      <c r="B269" s="1"/>
      <c r="C269" s="3"/>
      <c r="F269"/>
      <c r="G269"/>
      <c r="H269"/>
      <c r="I269"/>
      <c r="J269"/>
    </row>
    <row r="270" spans="2:10" ht="15.75" customHeight="1">
      <c r="B270" s="1"/>
      <c r="C270" s="3"/>
      <c r="F270"/>
      <c r="G270"/>
      <c r="H270"/>
      <c r="I270"/>
      <c r="J270"/>
    </row>
    <row r="271" spans="2:10" ht="15.75" customHeight="1">
      <c r="B271" s="1"/>
      <c r="C271" s="3"/>
      <c r="F271"/>
      <c r="G271"/>
      <c r="H271"/>
      <c r="I271"/>
      <c r="J271"/>
    </row>
    <row r="272" spans="2:10" ht="15.75" customHeight="1">
      <c r="B272" s="1"/>
      <c r="C272" s="3"/>
      <c r="F272"/>
      <c r="G272"/>
      <c r="H272"/>
      <c r="I272"/>
      <c r="J272"/>
    </row>
    <row r="273" spans="2:10" ht="15.75" customHeight="1">
      <c r="B273" s="1"/>
      <c r="C273" s="3"/>
      <c r="F273"/>
      <c r="G273"/>
      <c r="H273"/>
      <c r="I273"/>
      <c r="J273"/>
    </row>
    <row r="274" spans="2:10" ht="15.75" customHeight="1">
      <c r="B274" s="1"/>
      <c r="C274" s="3"/>
      <c r="F274"/>
      <c r="G274"/>
      <c r="H274"/>
      <c r="I274"/>
      <c r="J274"/>
    </row>
    <row r="275" spans="2:10" ht="15.75" customHeight="1">
      <c r="B275" s="1"/>
      <c r="C275" s="3"/>
      <c r="F275"/>
      <c r="G275"/>
      <c r="H275"/>
      <c r="I275"/>
      <c r="J275"/>
    </row>
    <row r="276" spans="2:10" ht="15.75" customHeight="1">
      <c r="B276" s="1"/>
      <c r="C276" s="3"/>
      <c r="F276"/>
      <c r="G276"/>
      <c r="H276"/>
      <c r="I276"/>
      <c r="J276"/>
    </row>
    <row r="277" spans="2:10" ht="15.75" customHeight="1">
      <c r="B277" s="1"/>
      <c r="C277" s="3"/>
      <c r="F277"/>
      <c r="G277"/>
      <c r="H277"/>
      <c r="I277"/>
      <c r="J277"/>
    </row>
    <row r="278" spans="2:10" ht="15.75" customHeight="1">
      <c r="B278" s="1"/>
      <c r="C278" s="3"/>
      <c r="F278"/>
      <c r="G278"/>
      <c r="H278"/>
      <c r="I278"/>
      <c r="J278"/>
    </row>
    <row r="279" spans="2:10" ht="15.75" customHeight="1">
      <c r="B279" s="1"/>
      <c r="C279" s="3"/>
      <c r="F279"/>
      <c r="G279"/>
      <c r="H279"/>
      <c r="I279"/>
      <c r="J279"/>
    </row>
    <row r="280" spans="2:10" ht="15.75" customHeight="1">
      <c r="B280" s="1"/>
      <c r="C280" s="3"/>
      <c r="F280"/>
      <c r="G280"/>
      <c r="H280"/>
      <c r="I280"/>
      <c r="J280"/>
    </row>
    <row r="281" spans="2:10" ht="15.75" customHeight="1">
      <c r="B281" s="1"/>
      <c r="C281" s="3"/>
      <c r="F281"/>
      <c r="G281"/>
      <c r="H281"/>
      <c r="I281"/>
      <c r="J281"/>
    </row>
    <row r="282" spans="2:10" ht="15.75" customHeight="1">
      <c r="B282" s="1"/>
      <c r="C282" s="3"/>
      <c r="F282"/>
      <c r="G282"/>
      <c r="H282"/>
      <c r="I282"/>
      <c r="J282"/>
    </row>
    <row r="283" spans="2:10" ht="15.75" customHeight="1">
      <c r="B283" s="1"/>
      <c r="C283" s="3"/>
      <c r="F283"/>
      <c r="G283"/>
      <c r="H283"/>
      <c r="I283"/>
      <c r="J283"/>
    </row>
    <row r="284" spans="2:10" ht="15.75" customHeight="1">
      <c r="B284" s="1"/>
      <c r="C284" s="3"/>
      <c r="F284"/>
      <c r="G284"/>
      <c r="H284"/>
      <c r="I284"/>
      <c r="J284"/>
    </row>
    <row r="285" spans="2:10" ht="15.75" customHeight="1">
      <c r="B285" s="1"/>
      <c r="C285" s="3"/>
      <c r="F285"/>
      <c r="G285"/>
      <c r="H285"/>
      <c r="I285"/>
      <c r="J285"/>
    </row>
    <row r="286" spans="2:10" ht="15.75" customHeight="1">
      <c r="B286" s="1"/>
      <c r="C286" s="3"/>
      <c r="F286"/>
      <c r="G286"/>
      <c r="H286"/>
      <c r="I286"/>
      <c r="J286"/>
    </row>
    <row r="287" spans="2:10" ht="15.75" customHeight="1">
      <c r="B287" s="1"/>
      <c r="C287" s="3"/>
      <c r="F287"/>
      <c r="G287"/>
      <c r="H287"/>
      <c r="I287"/>
      <c r="J287"/>
    </row>
    <row r="288" spans="2:10" ht="15.75" customHeight="1">
      <c r="B288" s="1"/>
      <c r="C288" s="3"/>
      <c r="F288"/>
      <c r="G288"/>
      <c r="H288"/>
      <c r="I288"/>
      <c r="J288"/>
    </row>
    <row r="289" spans="2:10" ht="15.75" customHeight="1">
      <c r="B289" s="1"/>
      <c r="C289" s="3"/>
      <c r="F289"/>
      <c r="G289"/>
      <c r="H289"/>
      <c r="I289"/>
      <c r="J289"/>
    </row>
    <row r="290" spans="2:10" ht="15.75" customHeight="1">
      <c r="B290" s="1"/>
      <c r="C290" s="3"/>
      <c r="F290"/>
      <c r="G290"/>
      <c r="H290"/>
      <c r="I290"/>
      <c r="J290"/>
    </row>
    <row r="291" spans="2:10" ht="15.75" customHeight="1">
      <c r="B291" s="1"/>
      <c r="C291" s="3"/>
      <c r="F291"/>
      <c r="G291"/>
      <c r="H291"/>
      <c r="I291"/>
      <c r="J291"/>
    </row>
    <row r="292" spans="2:10" ht="15.75" customHeight="1">
      <c r="B292" s="1"/>
      <c r="C292" s="3"/>
      <c r="F292"/>
      <c r="G292"/>
      <c r="H292"/>
      <c r="I292"/>
      <c r="J292"/>
    </row>
    <row r="293" spans="2:10" ht="15.75" customHeight="1">
      <c r="B293" s="1"/>
      <c r="C293" s="3"/>
      <c r="F293"/>
      <c r="G293"/>
      <c r="H293"/>
      <c r="I293"/>
      <c r="J293"/>
    </row>
    <row r="294" spans="2:10" ht="15.75" customHeight="1">
      <c r="B294" s="1"/>
      <c r="C294" s="3"/>
      <c r="F294"/>
      <c r="G294"/>
      <c r="H294"/>
      <c r="I294"/>
      <c r="J294"/>
    </row>
    <row r="295" spans="2:10" ht="15.75" customHeight="1">
      <c r="B295" s="1"/>
      <c r="C295" s="3"/>
      <c r="F295"/>
      <c r="G295"/>
      <c r="H295"/>
      <c r="I295"/>
      <c r="J295"/>
    </row>
    <row r="296" spans="2:10" ht="15.75" customHeight="1">
      <c r="B296" s="1"/>
      <c r="C296" s="3"/>
      <c r="F296"/>
      <c r="G296"/>
      <c r="H296"/>
      <c r="I296"/>
      <c r="J296"/>
    </row>
    <row r="297" spans="2:10" ht="15.75" customHeight="1">
      <c r="B297" s="1"/>
      <c r="C297" s="3"/>
      <c r="F297"/>
      <c r="G297"/>
      <c r="H297"/>
      <c r="I297"/>
      <c r="J297"/>
    </row>
    <row r="298" spans="2:10" ht="15.75" customHeight="1">
      <c r="B298" s="1"/>
      <c r="C298" s="3"/>
      <c r="F298"/>
      <c r="G298"/>
      <c r="H298"/>
      <c r="I298"/>
      <c r="J298"/>
    </row>
    <row r="299" spans="2:10" ht="15.75" customHeight="1">
      <c r="B299" s="1"/>
      <c r="C299" s="3"/>
      <c r="F299"/>
      <c r="G299"/>
      <c r="H299"/>
      <c r="I299"/>
      <c r="J299"/>
    </row>
    <row r="300" spans="2:10" ht="15.75" customHeight="1">
      <c r="B300" s="1"/>
      <c r="C300" s="3"/>
      <c r="F300"/>
      <c r="G300"/>
      <c r="H300"/>
      <c r="I300"/>
      <c r="J300"/>
    </row>
    <row r="301" spans="2:10" ht="15.75" customHeight="1">
      <c r="B301" s="1"/>
      <c r="C301" s="3"/>
      <c r="F301"/>
      <c r="G301"/>
      <c r="H301"/>
      <c r="I301"/>
      <c r="J301"/>
    </row>
    <row r="302" spans="2:10" ht="15.75" customHeight="1">
      <c r="B302" s="1"/>
      <c r="C302" s="3"/>
      <c r="F302"/>
      <c r="G302"/>
      <c r="H302"/>
      <c r="I302"/>
      <c r="J302"/>
    </row>
    <row r="303" spans="2:10" ht="15.75" customHeight="1">
      <c r="B303" s="1"/>
      <c r="C303" s="3"/>
      <c r="F303"/>
      <c r="G303"/>
      <c r="H303"/>
      <c r="I303"/>
      <c r="J303"/>
    </row>
    <row r="304" spans="2:10" ht="15.75" customHeight="1">
      <c r="B304" s="1"/>
      <c r="C304" s="3"/>
      <c r="F304"/>
      <c r="G304"/>
      <c r="H304"/>
      <c r="I304"/>
      <c r="J304"/>
    </row>
    <row r="305" spans="2:10" ht="15.75" customHeight="1">
      <c r="B305" s="1"/>
      <c r="C305" s="3"/>
      <c r="F305"/>
      <c r="G305"/>
      <c r="H305"/>
      <c r="I305"/>
      <c r="J305"/>
    </row>
    <row r="306" spans="2:10" ht="15.75" customHeight="1">
      <c r="B306" s="1"/>
      <c r="C306" s="3"/>
      <c r="F306"/>
      <c r="G306"/>
      <c r="H306"/>
      <c r="I306"/>
      <c r="J306"/>
    </row>
    <row r="307" spans="2:10" ht="15.75" customHeight="1">
      <c r="B307" s="1"/>
      <c r="C307" s="3"/>
      <c r="F307"/>
      <c r="G307"/>
      <c r="H307"/>
      <c r="I307"/>
      <c r="J307"/>
    </row>
    <row r="308" spans="2:10" ht="15.75" customHeight="1">
      <c r="B308" s="1"/>
      <c r="C308" s="3"/>
      <c r="F308"/>
      <c r="G308"/>
      <c r="H308"/>
      <c r="I308"/>
      <c r="J308"/>
    </row>
    <row r="309" spans="2:10" ht="15.75" customHeight="1">
      <c r="B309" s="1"/>
      <c r="C309" s="3"/>
      <c r="F309"/>
      <c r="G309"/>
      <c r="H309"/>
      <c r="I309"/>
      <c r="J309"/>
    </row>
    <row r="310" spans="2:10" ht="15.75" customHeight="1">
      <c r="B310" s="1"/>
      <c r="C310" s="3"/>
      <c r="F310"/>
      <c r="G310"/>
      <c r="H310"/>
      <c r="I310"/>
      <c r="J310"/>
    </row>
    <row r="311" spans="2:10" ht="15.75" customHeight="1">
      <c r="B311" s="1"/>
      <c r="C311" s="3"/>
      <c r="F311"/>
      <c r="G311"/>
      <c r="H311"/>
      <c r="I311"/>
      <c r="J311"/>
    </row>
    <row r="312" spans="2:10" ht="15.75" customHeight="1">
      <c r="B312" s="1"/>
      <c r="C312" s="3"/>
      <c r="F312"/>
      <c r="G312"/>
      <c r="H312"/>
      <c r="I312"/>
      <c r="J312"/>
    </row>
    <row r="313" spans="2:10" ht="15.75" customHeight="1">
      <c r="B313" s="1"/>
      <c r="C313" s="3"/>
      <c r="F313"/>
      <c r="G313"/>
      <c r="H313"/>
      <c r="I313"/>
      <c r="J313"/>
    </row>
    <row r="314" spans="2:10" ht="15.75" customHeight="1">
      <c r="B314" s="1"/>
      <c r="C314" s="3"/>
      <c r="F314"/>
      <c r="G314"/>
      <c r="H314"/>
      <c r="I314"/>
      <c r="J314"/>
    </row>
    <row r="315" spans="2:10" ht="15.75" customHeight="1">
      <c r="B315" s="1"/>
      <c r="C315" s="3"/>
      <c r="F315"/>
      <c r="G315"/>
      <c r="H315"/>
      <c r="I315"/>
      <c r="J315"/>
    </row>
    <row r="316" spans="2:10" ht="15.75" customHeight="1">
      <c r="B316" s="1"/>
      <c r="C316" s="3"/>
      <c r="F316"/>
      <c r="G316"/>
      <c r="H316"/>
      <c r="I316"/>
      <c r="J316"/>
    </row>
    <row r="317" spans="2:10" ht="15.75" customHeight="1">
      <c r="B317" s="1"/>
      <c r="C317" s="3"/>
      <c r="F317"/>
      <c r="G317"/>
      <c r="H317"/>
      <c r="I317"/>
      <c r="J317"/>
    </row>
    <row r="318" spans="2:10" ht="15.75" customHeight="1">
      <c r="B318" s="1"/>
      <c r="C318" s="3"/>
      <c r="F318"/>
      <c r="G318"/>
      <c r="H318"/>
      <c r="I318"/>
      <c r="J318"/>
    </row>
    <row r="319" spans="2:10" ht="15.75" customHeight="1">
      <c r="B319" s="1"/>
      <c r="C319" s="3"/>
      <c r="F319"/>
      <c r="G319"/>
      <c r="H319"/>
      <c r="I319"/>
      <c r="J319"/>
    </row>
    <row r="320" spans="2:10" ht="15.75" customHeight="1">
      <c r="B320" s="1"/>
      <c r="C320" s="3"/>
      <c r="F320"/>
      <c r="G320"/>
      <c r="H320"/>
      <c r="I320"/>
      <c r="J320"/>
    </row>
    <row r="321" spans="2:10" ht="15.75" customHeight="1">
      <c r="B321" s="1"/>
      <c r="C321" s="3"/>
      <c r="F321"/>
      <c r="G321"/>
      <c r="H321"/>
      <c r="I321"/>
      <c r="J321"/>
    </row>
    <row r="322" spans="2:10" ht="15.75" customHeight="1">
      <c r="B322" s="1"/>
      <c r="C322" s="3"/>
      <c r="F322"/>
      <c r="G322"/>
      <c r="H322"/>
      <c r="I322"/>
      <c r="J322"/>
    </row>
    <row r="323" spans="2:10" ht="15.75" customHeight="1">
      <c r="B323" s="1"/>
      <c r="C323" s="3"/>
      <c r="F323"/>
      <c r="G323"/>
      <c r="H323"/>
      <c r="I323"/>
      <c r="J323"/>
    </row>
    <row r="324" spans="2:10" ht="15.75" customHeight="1">
      <c r="B324" s="1"/>
      <c r="C324" s="3"/>
      <c r="F324"/>
      <c r="G324"/>
      <c r="H324"/>
      <c r="I324"/>
      <c r="J324"/>
    </row>
    <row r="325" spans="2:10" ht="15.75" customHeight="1">
      <c r="B325" s="1"/>
      <c r="C325" s="3"/>
      <c r="F325"/>
      <c r="G325"/>
      <c r="H325"/>
      <c r="I325"/>
      <c r="J325"/>
    </row>
    <row r="326" spans="2:10" ht="15.75" customHeight="1">
      <c r="B326" s="1"/>
      <c r="C326" s="3"/>
      <c r="F326"/>
      <c r="G326"/>
      <c r="H326"/>
      <c r="I326"/>
      <c r="J326"/>
    </row>
    <row r="327" spans="2:10" ht="15.75" customHeight="1">
      <c r="B327" s="1"/>
      <c r="C327" s="3"/>
      <c r="F327"/>
      <c r="G327"/>
      <c r="H327"/>
      <c r="I327"/>
      <c r="J327"/>
    </row>
    <row r="328" spans="2:10" ht="15.75" customHeight="1">
      <c r="B328" s="1"/>
      <c r="C328" s="3"/>
      <c r="F328"/>
      <c r="G328"/>
      <c r="H328"/>
      <c r="I328"/>
      <c r="J328"/>
    </row>
    <row r="329" spans="2:10" ht="15.75" customHeight="1">
      <c r="B329" s="1"/>
      <c r="C329" s="3"/>
      <c r="F329"/>
      <c r="G329"/>
      <c r="H329"/>
      <c r="I329"/>
      <c r="J329"/>
    </row>
    <row r="330" spans="2:10" ht="15.75" customHeight="1">
      <c r="B330" s="1"/>
      <c r="C330" s="3"/>
      <c r="F330"/>
      <c r="G330"/>
      <c r="H330"/>
      <c r="I330"/>
      <c r="J330"/>
    </row>
    <row r="331" spans="2:10" ht="15.75" customHeight="1">
      <c r="B331" s="1"/>
      <c r="C331" s="3"/>
      <c r="F331"/>
      <c r="G331"/>
      <c r="H331"/>
      <c r="I331"/>
      <c r="J331"/>
    </row>
    <row r="332" spans="2:10" ht="15.75" customHeight="1">
      <c r="B332" s="1"/>
      <c r="C332" s="3"/>
      <c r="F332"/>
      <c r="G332"/>
      <c r="H332"/>
      <c r="I332"/>
      <c r="J332"/>
    </row>
    <row r="333" spans="2:10" ht="15.75" customHeight="1">
      <c r="B333" s="1"/>
      <c r="C333" s="3"/>
      <c r="F333"/>
      <c r="G333"/>
      <c r="H333"/>
      <c r="I333"/>
      <c r="J333"/>
    </row>
    <row r="334" spans="2:10" ht="15.75" customHeight="1">
      <c r="B334" s="1"/>
      <c r="C334" s="3"/>
      <c r="F334"/>
      <c r="G334"/>
      <c r="H334"/>
      <c r="I334"/>
      <c r="J334"/>
    </row>
    <row r="335" spans="2:10" ht="15.75" customHeight="1">
      <c r="B335" s="1"/>
      <c r="C335" s="3"/>
      <c r="F335"/>
      <c r="G335"/>
      <c r="H335"/>
      <c r="I335"/>
      <c r="J335"/>
    </row>
    <row r="336" spans="2:10" ht="15.75" customHeight="1">
      <c r="B336" s="1"/>
      <c r="C336" s="3"/>
      <c r="F336"/>
      <c r="G336"/>
      <c r="H336"/>
      <c r="I336"/>
      <c r="J336"/>
    </row>
    <row r="337" spans="2:10" ht="15.75" customHeight="1">
      <c r="B337" s="1"/>
      <c r="C337" s="3"/>
      <c r="F337"/>
      <c r="G337"/>
      <c r="H337"/>
      <c r="I337"/>
      <c r="J337"/>
    </row>
    <row r="338" spans="2:10" ht="15.75" customHeight="1">
      <c r="B338" s="1"/>
      <c r="C338" s="3"/>
      <c r="F338"/>
      <c r="G338"/>
      <c r="H338"/>
      <c r="I338"/>
      <c r="J338"/>
    </row>
    <row r="339" spans="2:10" ht="15.75" customHeight="1">
      <c r="B339" s="1"/>
      <c r="C339" s="3"/>
      <c r="F339"/>
      <c r="G339"/>
      <c r="H339"/>
      <c r="I339"/>
      <c r="J339"/>
    </row>
    <row r="340" spans="2:10" ht="15.75" customHeight="1">
      <c r="B340" s="1"/>
      <c r="C340" s="3"/>
      <c r="F340"/>
      <c r="G340"/>
      <c r="H340"/>
      <c r="I340"/>
      <c r="J340"/>
    </row>
    <row r="341" spans="2:10" ht="15.75" customHeight="1">
      <c r="B341" s="1"/>
      <c r="C341" s="3"/>
      <c r="F341"/>
      <c r="G341"/>
      <c r="H341"/>
      <c r="I341"/>
      <c r="J341"/>
    </row>
    <row r="342" spans="2:10" ht="15.75" customHeight="1">
      <c r="B342" s="1"/>
      <c r="C342" s="3"/>
      <c r="F342"/>
      <c r="G342"/>
      <c r="H342"/>
      <c r="I342"/>
      <c r="J342"/>
    </row>
    <row r="343" spans="2:10" ht="15.75" customHeight="1">
      <c r="B343" s="1"/>
      <c r="C343" s="3"/>
      <c r="F343"/>
      <c r="G343"/>
      <c r="H343"/>
      <c r="I343"/>
      <c r="J343"/>
    </row>
    <row r="344" spans="2:10" ht="15.75" customHeight="1">
      <c r="B344" s="1"/>
      <c r="C344" s="3"/>
      <c r="F344"/>
      <c r="G344"/>
      <c r="H344"/>
      <c r="I344"/>
      <c r="J344"/>
    </row>
    <row r="345" spans="2:10" ht="15.75" customHeight="1">
      <c r="B345" s="1"/>
      <c r="C345" s="3"/>
      <c r="F345"/>
      <c r="G345"/>
      <c r="H345"/>
      <c r="I345"/>
      <c r="J345"/>
    </row>
    <row r="346" spans="2:10" ht="15.75" customHeight="1">
      <c r="B346" s="1"/>
      <c r="C346" s="3"/>
      <c r="F346"/>
      <c r="G346"/>
      <c r="H346"/>
      <c r="I346"/>
      <c r="J346"/>
    </row>
    <row r="347" spans="2:10" ht="15.75" customHeight="1">
      <c r="B347" s="1"/>
      <c r="C347" s="3"/>
      <c r="F347"/>
      <c r="G347"/>
      <c r="H347"/>
      <c r="I347"/>
      <c r="J347"/>
    </row>
    <row r="348" spans="2:10" ht="15.75" customHeight="1">
      <c r="B348" s="1"/>
      <c r="C348" s="3"/>
      <c r="F348"/>
      <c r="G348"/>
      <c r="H348"/>
      <c r="I348"/>
      <c r="J348"/>
    </row>
    <row r="349" spans="2:10" ht="15.75" customHeight="1">
      <c r="B349" s="1"/>
      <c r="C349" s="3"/>
      <c r="F349"/>
      <c r="G349"/>
      <c r="H349"/>
      <c r="I349"/>
      <c r="J349"/>
    </row>
    <row r="350" spans="2:10" ht="15.75" customHeight="1">
      <c r="B350" s="1"/>
      <c r="C350" s="3"/>
      <c r="F350"/>
      <c r="G350"/>
      <c r="H350"/>
      <c r="I350"/>
      <c r="J350"/>
    </row>
    <row r="351" spans="2:10" ht="15.75" customHeight="1">
      <c r="B351" s="1"/>
      <c r="C351" s="3"/>
      <c r="F351"/>
      <c r="G351"/>
      <c r="H351"/>
      <c r="I351"/>
      <c r="J351"/>
    </row>
    <row r="352" spans="2:10" ht="15.75" customHeight="1">
      <c r="B352" s="1"/>
      <c r="C352" s="3"/>
      <c r="F352"/>
      <c r="G352"/>
      <c r="H352"/>
      <c r="I352"/>
      <c r="J352"/>
    </row>
    <row r="353" spans="2:10" ht="15.75" customHeight="1">
      <c r="B353" s="1"/>
      <c r="C353" s="3"/>
      <c r="F353"/>
      <c r="G353"/>
      <c r="H353"/>
      <c r="I353"/>
      <c r="J353"/>
    </row>
    <row r="354" spans="2:10" ht="15.75" customHeight="1">
      <c r="B354" s="1"/>
      <c r="C354" s="3"/>
      <c r="F354"/>
      <c r="G354"/>
      <c r="H354"/>
      <c r="I354"/>
      <c r="J354"/>
    </row>
    <row r="355" spans="2:10" ht="15.75" customHeight="1">
      <c r="B355" s="1"/>
      <c r="C355" s="3"/>
      <c r="F355"/>
      <c r="G355"/>
      <c r="H355"/>
      <c r="I355"/>
      <c r="J355"/>
    </row>
    <row r="356" spans="2:10" ht="15.75" customHeight="1">
      <c r="B356" s="1"/>
      <c r="C356" s="3"/>
      <c r="F356"/>
      <c r="G356"/>
      <c r="H356"/>
      <c r="I356"/>
      <c r="J356"/>
    </row>
    <row r="357" spans="2:10" ht="15.75" customHeight="1">
      <c r="B357" s="1"/>
      <c r="C357" s="3"/>
      <c r="F357"/>
      <c r="G357"/>
      <c r="H357"/>
      <c r="I357"/>
      <c r="J357"/>
    </row>
    <row r="358" spans="2:10" ht="15.75" customHeight="1">
      <c r="B358" s="1"/>
      <c r="C358" s="3"/>
      <c r="F358"/>
      <c r="G358"/>
      <c r="H358"/>
      <c r="I358"/>
      <c r="J358"/>
    </row>
    <row r="359" spans="2:10" ht="15.75" customHeight="1">
      <c r="B359" s="1"/>
      <c r="C359" s="3"/>
      <c r="F359"/>
      <c r="G359"/>
      <c r="H359"/>
      <c r="I359"/>
      <c r="J359"/>
    </row>
    <row r="360" spans="2:10" ht="15.75" customHeight="1">
      <c r="B360" s="1"/>
      <c r="C360" s="3"/>
      <c r="F360"/>
      <c r="G360"/>
      <c r="H360"/>
      <c r="I360"/>
      <c r="J360"/>
    </row>
    <row r="361" spans="2:10" ht="15.75" customHeight="1">
      <c r="B361" s="1"/>
      <c r="C361" s="3"/>
      <c r="F361"/>
      <c r="G361"/>
      <c r="H361"/>
      <c r="I361"/>
      <c r="J361"/>
    </row>
    <row r="362" spans="2:10" ht="15.75" customHeight="1">
      <c r="B362" s="1"/>
      <c r="C362" s="3"/>
      <c r="F362"/>
      <c r="G362"/>
      <c r="H362"/>
      <c r="I362"/>
      <c r="J362"/>
    </row>
    <row r="363" spans="2:10" ht="15.75" customHeight="1">
      <c r="B363" s="1"/>
      <c r="C363" s="3"/>
      <c r="F363"/>
      <c r="G363"/>
      <c r="H363"/>
      <c r="I363"/>
      <c r="J363"/>
    </row>
    <row r="364" spans="2:10" ht="15.75" customHeight="1">
      <c r="B364" s="1"/>
      <c r="C364" s="3"/>
      <c r="F364"/>
      <c r="G364"/>
      <c r="H364"/>
      <c r="I364"/>
      <c r="J364"/>
    </row>
    <row r="365" spans="2:10" ht="15.75" customHeight="1">
      <c r="B365" s="1"/>
      <c r="C365" s="3"/>
      <c r="F365"/>
      <c r="G365"/>
      <c r="H365"/>
      <c r="I365"/>
      <c r="J365"/>
    </row>
    <row r="366" spans="2:10" ht="15.75" customHeight="1">
      <c r="B366" s="1"/>
      <c r="C366" s="3"/>
      <c r="F366"/>
      <c r="G366"/>
      <c r="H366"/>
      <c r="I366"/>
      <c r="J366"/>
    </row>
    <row r="367" spans="2:10" ht="15.75" customHeight="1">
      <c r="B367" s="1"/>
      <c r="C367" s="3"/>
      <c r="F367"/>
      <c r="G367"/>
      <c r="H367"/>
      <c r="I367"/>
      <c r="J367"/>
    </row>
    <row r="368" spans="2:10" ht="15.75" customHeight="1">
      <c r="B368" s="1"/>
      <c r="C368" s="3"/>
      <c r="F368"/>
      <c r="G368"/>
      <c r="H368"/>
      <c r="I368"/>
      <c r="J368"/>
    </row>
    <row r="369" spans="2:10" ht="15.75" customHeight="1">
      <c r="B369" s="1"/>
      <c r="C369" s="3"/>
      <c r="F369"/>
      <c r="G369"/>
      <c r="H369"/>
      <c r="I369"/>
      <c r="J369"/>
    </row>
    <row r="370" spans="2:10" ht="15.75" customHeight="1">
      <c r="B370" s="1"/>
      <c r="C370" s="3"/>
      <c r="F370"/>
      <c r="G370"/>
      <c r="H370"/>
      <c r="I370"/>
      <c r="J370"/>
    </row>
    <row r="371" spans="2:10" ht="15.75" customHeight="1">
      <c r="B371" s="1"/>
      <c r="C371" s="3"/>
      <c r="F371"/>
      <c r="G371"/>
      <c r="H371"/>
      <c r="I371"/>
      <c r="J371"/>
    </row>
    <row r="372" spans="2:10" ht="15.75" customHeight="1">
      <c r="B372" s="1"/>
      <c r="C372" s="3"/>
      <c r="F372"/>
      <c r="G372"/>
      <c r="H372"/>
      <c r="I372"/>
      <c r="J372"/>
    </row>
    <row r="373" spans="2:10" ht="15.75" customHeight="1">
      <c r="B373" s="1"/>
      <c r="C373" s="3"/>
      <c r="F373"/>
      <c r="G373"/>
      <c r="H373"/>
      <c r="I373"/>
      <c r="J373"/>
    </row>
    <row r="374" spans="2:10" ht="15.75" customHeight="1">
      <c r="B374" s="1"/>
      <c r="C374" s="3"/>
      <c r="F374"/>
      <c r="G374"/>
      <c r="H374"/>
      <c r="I374"/>
      <c r="J374"/>
    </row>
    <row r="375" spans="2:10" ht="15.75" customHeight="1">
      <c r="B375" s="1"/>
      <c r="C375" s="3"/>
      <c r="F375"/>
      <c r="G375"/>
      <c r="H375"/>
      <c r="I375"/>
      <c r="J375"/>
    </row>
    <row r="376" spans="2:10" ht="15.75" customHeight="1">
      <c r="B376" s="1"/>
      <c r="C376" s="3"/>
      <c r="F376"/>
      <c r="G376"/>
      <c r="H376"/>
      <c r="I376"/>
      <c r="J376"/>
    </row>
    <row r="377" spans="2:10" ht="15.75" customHeight="1">
      <c r="B377" s="1"/>
      <c r="C377" s="3"/>
      <c r="F377"/>
      <c r="G377"/>
      <c r="H377"/>
      <c r="I377"/>
      <c r="J377"/>
    </row>
    <row r="378" spans="2:10" ht="15.75" customHeight="1">
      <c r="B378" s="1"/>
      <c r="C378" s="3"/>
      <c r="F378"/>
      <c r="G378"/>
      <c r="H378"/>
      <c r="I378"/>
      <c r="J378"/>
    </row>
    <row r="379" spans="2:10" ht="15.75" customHeight="1">
      <c r="B379" s="1"/>
      <c r="C379" s="3"/>
      <c r="F379"/>
      <c r="G379"/>
      <c r="H379"/>
      <c r="I379"/>
      <c r="J379"/>
    </row>
    <row r="380" spans="2:10" ht="15.75" customHeight="1">
      <c r="B380" s="1"/>
      <c r="C380" s="3"/>
      <c r="F380"/>
      <c r="G380"/>
      <c r="H380"/>
      <c r="I380"/>
      <c r="J380"/>
    </row>
    <row r="381" spans="2:10" ht="15.75" customHeight="1">
      <c r="B381" s="1"/>
      <c r="C381" s="3"/>
      <c r="F381"/>
      <c r="G381"/>
      <c r="H381"/>
      <c r="I381"/>
      <c r="J381"/>
    </row>
    <row r="382" spans="2:10" ht="15.75" customHeight="1">
      <c r="B382" s="1"/>
      <c r="C382" s="3"/>
      <c r="F382"/>
      <c r="G382"/>
      <c r="H382"/>
      <c r="I382"/>
      <c r="J382"/>
    </row>
    <row r="383" spans="2:10" ht="15.75" customHeight="1">
      <c r="B383" s="1"/>
      <c r="C383" s="3"/>
      <c r="F383"/>
      <c r="G383"/>
      <c r="H383"/>
      <c r="I383"/>
      <c r="J383"/>
    </row>
    <row r="384" spans="2:10" ht="15.75" customHeight="1">
      <c r="B384" s="1"/>
      <c r="C384" s="3"/>
      <c r="F384"/>
      <c r="G384"/>
      <c r="H384"/>
      <c r="I384"/>
      <c r="J384"/>
    </row>
    <row r="385" spans="2:10" ht="15.75" customHeight="1">
      <c r="B385" s="1"/>
      <c r="C385" s="3"/>
      <c r="F385"/>
      <c r="G385"/>
      <c r="H385"/>
      <c r="I385"/>
      <c r="J385"/>
    </row>
    <row r="386" spans="2:10" ht="15.75" customHeight="1">
      <c r="B386" s="1"/>
      <c r="C386" s="3"/>
      <c r="F386"/>
      <c r="G386"/>
      <c r="H386"/>
      <c r="I386"/>
      <c r="J386"/>
    </row>
    <row r="387" spans="2:10" ht="15.75" customHeight="1">
      <c r="B387" s="1"/>
      <c r="C387" s="3"/>
      <c r="F387"/>
      <c r="G387"/>
      <c r="H387"/>
      <c r="I387"/>
      <c r="J387"/>
    </row>
    <row r="388" spans="2:10" ht="15.75" customHeight="1">
      <c r="B388" s="1"/>
      <c r="C388" s="3"/>
      <c r="F388"/>
      <c r="G388"/>
      <c r="H388"/>
      <c r="I388"/>
      <c r="J388"/>
    </row>
    <row r="389" spans="2:10" ht="15.75" customHeight="1">
      <c r="B389" s="1"/>
      <c r="C389" s="3"/>
      <c r="F389"/>
      <c r="G389"/>
      <c r="H389"/>
      <c r="I389"/>
      <c r="J389"/>
    </row>
    <row r="390" spans="2:10" ht="15.75" customHeight="1">
      <c r="B390" s="1"/>
      <c r="C390" s="3"/>
      <c r="F390"/>
      <c r="G390"/>
      <c r="H390"/>
      <c r="I390"/>
      <c r="J390"/>
    </row>
    <row r="391" spans="2:10" ht="15.75" customHeight="1">
      <c r="B391" s="1"/>
      <c r="C391" s="3"/>
      <c r="F391"/>
      <c r="G391"/>
      <c r="H391"/>
      <c r="I391"/>
      <c r="J391"/>
    </row>
    <row r="392" spans="2:10" ht="15.75" customHeight="1">
      <c r="B392" s="1"/>
      <c r="C392" s="3"/>
      <c r="F392"/>
      <c r="G392"/>
      <c r="H392"/>
      <c r="I392"/>
      <c r="J392"/>
    </row>
    <row r="393" spans="2:10" ht="15.75" customHeight="1">
      <c r="B393" s="1"/>
      <c r="C393" s="3"/>
      <c r="F393"/>
      <c r="G393"/>
      <c r="H393"/>
      <c r="I393"/>
      <c r="J393"/>
    </row>
    <row r="394" spans="2:10" ht="15.75" customHeight="1">
      <c r="B394" s="1"/>
      <c r="C394" s="3"/>
      <c r="F394"/>
      <c r="G394"/>
      <c r="H394"/>
      <c r="I394"/>
      <c r="J394"/>
    </row>
    <row r="395" spans="2:10" ht="15.75" customHeight="1">
      <c r="B395" s="1"/>
      <c r="C395" s="3"/>
      <c r="F395"/>
      <c r="G395"/>
      <c r="H395"/>
      <c r="I395"/>
      <c r="J395"/>
    </row>
    <row r="396" spans="2:10" ht="15.75" customHeight="1">
      <c r="B396" s="1"/>
      <c r="C396" s="3"/>
      <c r="F396"/>
      <c r="G396"/>
      <c r="H396"/>
      <c r="I396"/>
      <c r="J396"/>
    </row>
    <row r="397" spans="2:10" ht="15.75" customHeight="1">
      <c r="B397" s="1"/>
      <c r="C397" s="3"/>
      <c r="F397"/>
      <c r="G397"/>
      <c r="H397"/>
      <c r="I397"/>
      <c r="J397"/>
    </row>
    <row r="398" spans="2:10" ht="15.75" customHeight="1">
      <c r="B398" s="1"/>
      <c r="C398" s="3"/>
      <c r="F398"/>
      <c r="G398"/>
      <c r="H398"/>
      <c r="I398"/>
      <c r="J398"/>
    </row>
    <row r="399" spans="2:10" ht="15.75" customHeight="1">
      <c r="B399" s="1"/>
      <c r="C399" s="3"/>
      <c r="F399"/>
      <c r="G399"/>
      <c r="H399"/>
      <c r="I399"/>
      <c r="J399"/>
    </row>
    <row r="400" spans="2:10" ht="15.75" customHeight="1">
      <c r="B400" s="1"/>
      <c r="C400" s="3"/>
      <c r="F400"/>
      <c r="G400"/>
      <c r="H400"/>
      <c r="I400"/>
      <c r="J400"/>
    </row>
    <row r="401" spans="2:10" ht="15.75" customHeight="1">
      <c r="B401" s="1"/>
      <c r="C401" s="3"/>
      <c r="F401"/>
      <c r="G401"/>
      <c r="H401"/>
      <c r="I401"/>
      <c r="J401"/>
    </row>
    <row r="402" spans="2:10" ht="15.75" customHeight="1">
      <c r="B402" s="1"/>
      <c r="C402" s="3"/>
      <c r="F402"/>
      <c r="G402"/>
      <c r="H402"/>
      <c r="I402"/>
      <c r="J402"/>
    </row>
    <row r="403" spans="2:10" ht="15.75" customHeight="1">
      <c r="B403" s="1"/>
      <c r="C403" s="3"/>
      <c r="F403"/>
      <c r="G403"/>
      <c r="H403"/>
      <c r="I403"/>
      <c r="J403"/>
    </row>
    <row r="404" spans="2:10" ht="15.75" customHeight="1">
      <c r="B404" s="1"/>
      <c r="C404" s="3"/>
      <c r="F404"/>
      <c r="G404"/>
      <c r="H404"/>
      <c r="I404"/>
      <c r="J404"/>
    </row>
    <row r="405" spans="2:10" ht="15.75" customHeight="1">
      <c r="B405" s="1"/>
      <c r="C405" s="3"/>
      <c r="F405"/>
      <c r="G405"/>
      <c r="H405"/>
      <c r="I405"/>
      <c r="J405"/>
    </row>
    <row r="406" spans="2:10" ht="15.75" customHeight="1">
      <c r="B406" s="1"/>
      <c r="C406" s="3"/>
      <c r="F406"/>
      <c r="G406"/>
      <c r="H406"/>
      <c r="I406"/>
      <c r="J406"/>
    </row>
    <row r="407" spans="2:10" ht="15.75" customHeight="1">
      <c r="B407" s="1"/>
      <c r="C407" s="3"/>
      <c r="F407"/>
      <c r="G407"/>
      <c r="H407"/>
      <c r="I407"/>
      <c r="J407"/>
    </row>
    <row r="408" spans="2:10" ht="15.75" customHeight="1">
      <c r="B408" s="1"/>
      <c r="C408" s="3"/>
      <c r="F408"/>
      <c r="G408"/>
      <c r="H408"/>
      <c r="I408"/>
      <c r="J408"/>
    </row>
    <row r="409" spans="2:10" ht="15.75" customHeight="1">
      <c r="B409" s="1"/>
      <c r="C409" s="3"/>
      <c r="F409"/>
      <c r="G409"/>
      <c r="H409"/>
      <c r="I409"/>
      <c r="J409"/>
    </row>
    <row r="410" spans="2:10" ht="15.75" customHeight="1">
      <c r="B410" s="1"/>
      <c r="C410" s="3"/>
      <c r="F410"/>
      <c r="G410"/>
      <c r="H410"/>
      <c r="I410"/>
      <c r="J410"/>
    </row>
    <row r="411" spans="2:10" ht="15.75" customHeight="1">
      <c r="B411" s="1"/>
      <c r="C411" s="3"/>
      <c r="F411"/>
      <c r="G411"/>
      <c r="H411"/>
      <c r="I411"/>
      <c r="J411"/>
    </row>
    <row r="412" spans="2:10" ht="15.75" customHeight="1">
      <c r="B412" s="1"/>
      <c r="C412" s="3"/>
      <c r="F412"/>
      <c r="G412"/>
      <c r="H412"/>
      <c r="I412"/>
      <c r="J412"/>
    </row>
    <row r="413" spans="2:10" ht="15.75" customHeight="1">
      <c r="B413" s="1"/>
      <c r="C413" s="3"/>
      <c r="F413"/>
      <c r="G413"/>
      <c r="H413"/>
      <c r="I413"/>
      <c r="J413"/>
    </row>
    <row r="414" spans="2:10" ht="15.75" customHeight="1">
      <c r="B414" s="1"/>
      <c r="C414" s="3"/>
      <c r="F414"/>
      <c r="G414"/>
      <c r="H414"/>
      <c r="I414"/>
      <c r="J414"/>
    </row>
    <row r="415" spans="2:10" ht="15.75" customHeight="1">
      <c r="B415" s="1"/>
      <c r="C415" s="3"/>
      <c r="F415"/>
      <c r="G415"/>
      <c r="H415"/>
      <c r="I415"/>
      <c r="J415"/>
    </row>
    <row r="416" spans="2:10" ht="15.75" customHeight="1">
      <c r="B416" s="1"/>
      <c r="C416" s="3"/>
      <c r="F416"/>
      <c r="G416"/>
      <c r="H416"/>
      <c r="I416"/>
      <c r="J416"/>
    </row>
    <row r="417" spans="2:10" ht="15.75" customHeight="1">
      <c r="B417" s="1"/>
      <c r="C417" s="3"/>
      <c r="F417"/>
      <c r="G417"/>
      <c r="H417"/>
      <c r="I417"/>
      <c r="J417"/>
    </row>
    <row r="418" spans="2:10" ht="15.75" customHeight="1">
      <c r="B418" s="1"/>
      <c r="C418" s="3"/>
      <c r="F418"/>
      <c r="G418"/>
      <c r="H418"/>
      <c r="I418"/>
      <c r="J418"/>
    </row>
    <row r="419" spans="2:10" ht="15.75" customHeight="1">
      <c r="B419" s="1"/>
      <c r="C419" s="3"/>
      <c r="F419"/>
      <c r="G419"/>
      <c r="H419"/>
      <c r="I419"/>
      <c r="J419"/>
    </row>
    <row r="420" spans="2:10" ht="15.75" customHeight="1">
      <c r="B420" s="1"/>
      <c r="C420" s="3"/>
      <c r="F420"/>
      <c r="G420"/>
      <c r="H420"/>
      <c r="I420"/>
      <c r="J420"/>
    </row>
    <row r="421" spans="2:10" ht="15.75" customHeight="1">
      <c r="B421" s="1"/>
      <c r="C421" s="3"/>
      <c r="F421"/>
      <c r="G421"/>
      <c r="H421"/>
      <c r="I421"/>
      <c r="J421"/>
    </row>
    <row r="422" spans="2:10" ht="15.75" customHeight="1">
      <c r="B422" s="1"/>
      <c r="C422" s="3"/>
      <c r="F422"/>
      <c r="G422"/>
      <c r="H422"/>
      <c r="I422"/>
      <c r="J422"/>
    </row>
    <row r="423" spans="2:10" ht="15.75" customHeight="1">
      <c r="B423" s="1"/>
      <c r="C423" s="3"/>
      <c r="F423"/>
      <c r="G423"/>
      <c r="H423"/>
      <c r="I423"/>
      <c r="J423"/>
    </row>
    <row r="424" spans="2:10" ht="15.75" customHeight="1">
      <c r="B424" s="1"/>
      <c r="C424" s="3"/>
      <c r="F424"/>
      <c r="G424"/>
      <c r="H424"/>
      <c r="I424"/>
      <c r="J424"/>
    </row>
    <row r="425" spans="2:10" ht="15.75" customHeight="1">
      <c r="B425" s="1"/>
      <c r="C425" s="3"/>
      <c r="F425"/>
      <c r="G425"/>
      <c r="H425"/>
      <c r="I425"/>
      <c r="J425"/>
    </row>
    <row r="426" spans="2:10" ht="15.75" customHeight="1">
      <c r="B426" s="1"/>
      <c r="C426" s="3"/>
      <c r="F426"/>
      <c r="G426"/>
      <c r="H426"/>
      <c r="I426"/>
      <c r="J426"/>
    </row>
    <row r="427" spans="2:10" ht="15.75" customHeight="1">
      <c r="B427" s="1"/>
      <c r="C427" s="3"/>
      <c r="F427"/>
      <c r="G427"/>
      <c r="H427"/>
      <c r="I427"/>
      <c r="J427"/>
    </row>
    <row r="428" spans="2:10" ht="15.75" customHeight="1">
      <c r="B428" s="1"/>
      <c r="C428" s="3"/>
      <c r="F428"/>
      <c r="G428"/>
      <c r="H428"/>
      <c r="I428"/>
      <c r="J428"/>
    </row>
    <row r="429" spans="2:10" ht="15.75" customHeight="1">
      <c r="B429" s="1"/>
      <c r="C429" s="3"/>
      <c r="F429"/>
      <c r="G429"/>
      <c r="H429"/>
      <c r="I429"/>
      <c r="J429"/>
    </row>
    <row r="430" spans="2:10" ht="15.75" customHeight="1">
      <c r="B430" s="1"/>
      <c r="C430" s="3"/>
      <c r="F430"/>
      <c r="G430"/>
      <c r="H430"/>
      <c r="I430"/>
      <c r="J430"/>
    </row>
    <row r="431" spans="2:10" ht="15.75" customHeight="1">
      <c r="B431" s="1"/>
      <c r="C431" s="3"/>
      <c r="F431"/>
      <c r="G431"/>
      <c r="H431"/>
      <c r="I431"/>
      <c r="J431"/>
    </row>
    <row r="432" spans="2:10" ht="15.75" customHeight="1">
      <c r="B432" s="1"/>
      <c r="C432" s="3"/>
      <c r="F432"/>
      <c r="G432"/>
      <c r="H432"/>
      <c r="I432"/>
      <c r="J432"/>
    </row>
    <row r="433" spans="2:10" ht="15.75" customHeight="1">
      <c r="B433" s="1"/>
      <c r="C433" s="3"/>
      <c r="F433"/>
      <c r="G433"/>
      <c r="H433"/>
      <c r="I433"/>
      <c r="J433"/>
    </row>
    <row r="434" spans="2:10" ht="15.75" customHeight="1">
      <c r="B434" s="1"/>
      <c r="C434" s="3"/>
      <c r="F434"/>
      <c r="G434"/>
      <c r="H434"/>
      <c r="I434"/>
      <c r="J434"/>
    </row>
    <row r="435" spans="2:10" ht="15.75" customHeight="1">
      <c r="B435" s="1"/>
      <c r="C435" s="3"/>
      <c r="F435"/>
      <c r="G435"/>
      <c r="H435"/>
      <c r="I435"/>
      <c r="J435"/>
    </row>
    <row r="436" spans="2:10" ht="15.75" customHeight="1">
      <c r="B436" s="1"/>
      <c r="C436" s="3"/>
      <c r="F436"/>
      <c r="G436"/>
      <c r="H436"/>
      <c r="I436"/>
      <c r="J436"/>
    </row>
    <row r="437" spans="2:10" ht="15.75" customHeight="1">
      <c r="B437" s="1"/>
      <c r="C437" s="3"/>
      <c r="F437"/>
      <c r="G437"/>
      <c r="H437"/>
      <c r="I437"/>
      <c r="J437"/>
    </row>
    <row r="438" spans="2:10" ht="15.75" customHeight="1">
      <c r="B438" s="1"/>
      <c r="C438" s="3"/>
      <c r="F438"/>
      <c r="G438"/>
      <c r="H438"/>
      <c r="I438"/>
      <c r="J438"/>
    </row>
    <row r="439" spans="2:10" ht="15.75" customHeight="1">
      <c r="B439" s="1"/>
      <c r="C439" s="3"/>
      <c r="F439"/>
      <c r="G439"/>
      <c r="H439"/>
      <c r="I439"/>
      <c r="J439"/>
    </row>
    <row r="440" spans="2:10" ht="15.75" customHeight="1">
      <c r="B440" s="1"/>
      <c r="C440" s="3"/>
      <c r="F440"/>
      <c r="G440"/>
      <c r="H440"/>
      <c r="I440"/>
      <c r="J440"/>
    </row>
    <row r="441" spans="2:10" ht="15.75" customHeight="1">
      <c r="B441" s="1"/>
      <c r="C441" s="3"/>
      <c r="F441"/>
      <c r="G441"/>
      <c r="H441"/>
      <c r="I441"/>
      <c r="J441"/>
    </row>
    <row r="442" spans="2:10" ht="15.75" customHeight="1">
      <c r="B442" s="1"/>
      <c r="C442" s="3"/>
      <c r="F442"/>
      <c r="G442"/>
      <c r="H442"/>
      <c r="I442"/>
      <c r="J442"/>
    </row>
    <row r="443" spans="2:10" ht="15.75" customHeight="1">
      <c r="B443" s="1"/>
      <c r="C443" s="3"/>
      <c r="F443"/>
      <c r="G443"/>
      <c r="H443"/>
      <c r="I443"/>
      <c r="J443"/>
    </row>
    <row r="444" spans="2:10" ht="15.75" customHeight="1">
      <c r="B444" s="1"/>
      <c r="C444" s="3"/>
      <c r="F444"/>
      <c r="G444"/>
      <c r="H444"/>
      <c r="I444"/>
      <c r="J444"/>
    </row>
    <row r="445" spans="2:10" ht="15.75" customHeight="1">
      <c r="B445" s="1"/>
      <c r="C445" s="3"/>
      <c r="F445"/>
      <c r="G445"/>
      <c r="H445"/>
      <c r="I445"/>
      <c r="J445"/>
    </row>
    <row r="446" spans="2:10" ht="15.75" customHeight="1">
      <c r="B446" s="1"/>
      <c r="C446" s="3"/>
      <c r="F446"/>
      <c r="G446"/>
      <c r="H446"/>
      <c r="I446"/>
      <c r="J446"/>
    </row>
    <row r="447" spans="2:10" ht="15.75" customHeight="1">
      <c r="B447" s="1"/>
      <c r="C447" s="3"/>
      <c r="F447"/>
      <c r="G447"/>
      <c r="H447"/>
      <c r="I447"/>
      <c r="J447"/>
    </row>
    <row r="448" spans="2:10" ht="15.75" customHeight="1">
      <c r="B448" s="1"/>
      <c r="C448" s="3"/>
      <c r="F448"/>
      <c r="G448"/>
      <c r="H448"/>
      <c r="I448"/>
      <c r="J448"/>
    </row>
    <row r="449" spans="2:10" ht="15.75" customHeight="1">
      <c r="B449" s="1"/>
      <c r="C449" s="3"/>
      <c r="F449"/>
      <c r="G449"/>
      <c r="H449"/>
      <c r="I449"/>
      <c r="J449"/>
    </row>
    <row r="450" spans="2:10" ht="15.75" customHeight="1">
      <c r="B450" s="1"/>
      <c r="C450" s="3"/>
      <c r="F450"/>
      <c r="G450"/>
      <c r="H450"/>
      <c r="I450"/>
      <c r="J450"/>
    </row>
    <row r="451" spans="2:10" ht="15.75" customHeight="1">
      <c r="B451" s="1"/>
      <c r="C451" s="3"/>
      <c r="F451"/>
      <c r="G451"/>
      <c r="H451"/>
      <c r="I451"/>
      <c r="J451"/>
    </row>
    <row r="452" spans="2:10" ht="15.75" customHeight="1">
      <c r="B452" s="1"/>
      <c r="C452" s="3"/>
      <c r="F452"/>
      <c r="G452"/>
      <c r="H452"/>
      <c r="I452"/>
      <c r="J452"/>
    </row>
    <row r="453" spans="2:10" ht="15.75" customHeight="1">
      <c r="B453" s="1"/>
      <c r="C453" s="3"/>
      <c r="F453"/>
      <c r="G453"/>
      <c r="H453"/>
      <c r="I453"/>
      <c r="J453"/>
    </row>
    <row r="454" spans="2:10" ht="15.75" customHeight="1">
      <c r="B454" s="1"/>
      <c r="C454" s="3"/>
      <c r="F454"/>
      <c r="G454"/>
      <c r="H454"/>
      <c r="I454"/>
      <c r="J454"/>
    </row>
    <row r="455" spans="2:10" ht="15.75" customHeight="1">
      <c r="B455" s="1"/>
      <c r="C455" s="3"/>
      <c r="F455"/>
      <c r="G455"/>
      <c r="H455"/>
      <c r="I455"/>
      <c r="J455"/>
    </row>
    <row r="456" spans="2:10" ht="15.75" customHeight="1">
      <c r="B456" s="1"/>
      <c r="C456" s="3"/>
      <c r="F456"/>
      <c r="G456"/>
      <c r="H456"/>
      <c r="I456"/>
      <c r="J456"/>
    </row>
    <row r="457" spans="2:10" ht="15.75" customHeight="1">
      <c r="B457" s="1"/>
      <c r="C457" s="3"/>
      <c r="F457"/>
      <c r="G457"/>
      <c r="H457"/>
      <c r="I457"/>
      <c r="J457"/>
    </row>
    <row r="458" spans="2:10" ht="15.75" customHeight="1">
      <c r="B458" s="1"/>
      <c r="C458" s="3"/>
      <c r="F458"/>
      <c r="G458"/>
      <c r="H458"/>
      <c r="I458"/>
      <c r="J458"/>
    </row>
    <row r="459" spans="2:10" ht="15.75" customHeight="1">
      <c r="B459" s="1"/>
      <c r="C459" s="3"/>
      <c r="F459"/>
      <c r="G459"/>
      <c r="H459"/>
      <c r="I459"/>
      <c r="J459"/>
    </row>
    <row r="460" spans="2:10" ht="15.75" customHeight="1">
      <c r="B460" s="1"/>
      <c r="C460" s="3"/>
      <c r="F460"/>
      <c r="G460"/>
      <c r="H460"/>
      <c r="I460"/>
      <c r="J460"/>
    </row>
    <row r="461" spans="2:10" ht="15.75" customHeight="1">
      <c r="B461" s="1"/>
      <c r="C461" s="3"/>
      <c r="F461"/>
      <c r="G461"/>
      <c r="H461"/>
      <c r="I461"/>
      <c r="J461"/>
    </row>
    <row r="462" spans="2:10" ht="15.75" customHeight="1">
      <c r="B462" s="1"/>
      <c r="C462" s="3"/>
      <c r="F462"/>
      <c r="G462"/>
      <c r="H462"/>
      <c r="I462"/>
      <c r="J462"/>
    </row>
    <row r="463" spans="2:10" ht="15.75" customHeight="1">
      <c r="B463" s="1"/>
      <c r="C463" s="3"/>
      <c r="F463"/>
      <c r="G463"/>
      <c r="H463"/>
      <c r="I463"/>
      <c r="J463"/>
    </row>
    <row r="464" spans="2:10" ht="15.75" customHeight="1">
      <c r="B464" s="1"/>
      <c r="C464" s="3"/>
      <c r="F464"/>
      <c r="G464"/>
      <c r="H464"/>
      <c r="I464"/>
      <c r="J464"/>
    </row>
    <row r="465" spans="2:10" ht="15.75" customHeight="1">
      <c r="B465" s="1"/>
      <c r="C465" s="3"/>
      <c r="F465"/>
      <c r="G465"/>
      <c r="H465"/>
      <c r="I465"/>
      <c r="J465"/>
    </row>
    <row r="466" spans="2:10" ht="15.75" customHeight="1">
      <c r="B466" s="1"/>
      <c r="C466" s="3"/>
      <c r="F466"/>
      <c r="G466"/>
      <c r="H466"/>
      <c r="I466"/>
      <c r="J466"/>
    </row>
    <row r="467" spans="2:10" ht="15.75" customHeight="1">
      <c r="B467" s="1"/>
      <c r="C467" s="3"/>
      <c r="F467"/>
      <c r="G467"/>
      <c r="H467"/>
      <c r="I467"/>
      <c r="J467"/>
    </row>
    <row r="468" spans="2:10" ht="15.75" customHeight="1">
      <c r="B468" s="1"/>
      <c r="C468" s="3"/>
      <c r="F468"/>
      <c r="G468"/>
      <c r="H468"/>
      <c r="I468"/>
      <c r="J468"/>
    </row>
    <row r="469" spans="2:10" ht="15.75" customHeight="1">
      <c r="B469" s="1"/>
      <c r="C469" s="3"/>
      <c r="F469"/>
      <c r="G469"/>
      <c r="H469"/>
      <c r="I469"/>
      <c r="J469"/>
    </row>
    <row r="470" spans="2:10" ht="15.75" customHeight="1">
      <c r="B470" s="1"/>
      <c r="C470" s="3"/>
      <c r="F470"/>
      <c r="G470"/>
      <c r="H470"/>
      <c r="I470"/>
      <c r="J470"/>
    </row>
    <row r="471" spans="2:10" ht="15.75" customHeight="1">
      <c r="B471" s="1"/>
      <c r="C471" s="3"/>
      <c r="F471"/>
      <c r="G471"/>
      <c r="H471"/>
      <c r="I471"/>
      <c r="J471"/>
    </row>
    <row r="472" spans="2:10" ht="15.75" customHeight="1">
      <c r="B472" s="1"/>
      <c r="C472" s="3"/>
      <c r="F472"/>
      <c r="G472"/>
      <c r="H472"/>
      <c r="I472"/>
      <c r="J472"/>
    </row>
    <row r="473" spans="2:10" ht="15.75" customHeight="1">
      <c r="B473" s="1"/>
      <c r="C473" s="3"/>
      <c r="F473"/>
      <c r="G473"/>
      <c r="H473"/>
      <c r="I473"/>
      <c r="J473"/>
    </row>
    <row r="474" spans="2:10" ht="15.75" customHeight="1">
      <c r="B474" s="1"/>
      <c r="C474" s="3"/>
      <c r="F474"/>
      <c r="G474"/>
      <c r="H474"/>
      <c r="I474"/>
      <c r="J474"/>
    </row>
    <row r="475" spans="2:10" ht="15.75" customHeight="1">
      <c r="B475" s="1"/>
      <c r="C475" s="3"/>
      <c r="F475"/>
      <c r="G475"/>
      <c r="H475"/>
      <c r="I475"/>
      <c r="J475"/>
    </row>
    <row r="476" spans="2:10" ht="15.75" customHeight="1">
      <c r="B476" s="1"/>
      <c r="C476" s="3"/>
      <c r="F476"/>
      <c r="G476"/>
      <c r="H476"/>
      <c r="I476"/>
      <c r="J476"/>
    </row>
    <row r="477" spans="2:10" ht="15.75" customHeight="1">
      <c r="B477" s="1"/>
      <c r="C477" s="3"/>
      <c r="F477"/>
      <c r="G477"/>
      <c r="H477"/>
      <c r="I477"/>
      <c r="J477"/>
    </row>
    <row r="478" spans="2:10" ht="15.75" customHeight="1">
      <c r="B478" s="1"/>
      <c r="C478" s="3"/>
      <c r="F478"/>
      <c r="G478"/>
      <c r="H478"/>
      <c r="I478"/>
      <c r="J478"/>
    </row>
    <row r="479" spans="2:10" ht="15.75" customHeight="1">
      <c r="B479" s="1"/>
      <c r="C479" s="3"/>
      <c r="F479"/>
      <c r="G479"/>
      <c r="H479"/>
      <c r="I479"/>
      <c r="J479"/>
    </row>
    <row r="480" spans="2:10" ht="15.75" customHeight="1">
      <c r="B480" s="1"/>
      <c r="C480" s="3"/>
      <c r="F480"/>
      <c r="G480"/>
      <c r="H480"/>
      <c r="I480"/>
      <c r="J480"/>
    </row>
    <row r="481" spans="2:10" ht="15.75" customHeight="1">
      <c r="B481" s="1"/>
      <c r="C481" s="3"/>
      <c r="F481"/>
      <c r="G481"/>
      <c r="H481"/>
      <c r="I481"/>
      <c r="J481"/>
    </row>
    <row r="482" spans="2:10" ht="15.75" customHeight="1">
      <c r="B482" s="1"/>
      <c r="C482" s="3"/>
      <c r="F482"/>
      <c r="G482"/>
      <c r="H482"/>
      <c r="I482"/>
      <c r="J482"/>
    </row>
    <row r="483" spans="2:10" ht="15.75" customHeight="1">
      <c r="B483" s="1"/>
      <c r="C483" s="3"/>
      <c r="F483"/>
      <c r="G483"/>
      <c r="H483"/>
      <c r="I483"/>
      <c r="J483"/>
    </row>
    <row r="484" spans="2:10" ht="15.75" customHeight="1">
      <c r="B484" s="1"/>
      <c r="C484" s="3"/>
      <c r="F484"/>
      <c r="G484"/>
      <c r="H484"/>
      <c r="I484"/>
      <c r="J484"/>
    </row>
    <row r="485" spans="2:10" ht="15.75" customHeight="1">
      <c r="B485" s="1"/>
      <c r="C485" s="3"/>
      <c r="F485"/>
      <c r="G485"/>
      <c r="H485"/>
      <c r="I485"/>
      <c r="J485"/>
    </row>
    <row r="486" spans="2:10" ht="15.75" customHeight="1">
      <c r="B486" s="1"/>
      <c r="C486" s="3"/>
      <c r="F486"/>
      <c r="G486"/>
      <c r="H486"/>
      <c r="I486"/>
      <c r="J486"/>
    </row>
    <row r="487" spans="2:10" ht="15.75" customHeight="1">
      <c r="B487" s="1"/>
      <c r="C487" s="3"/>
      <c r="F487"/>
      <c r="G487"/>
      <c r="H487"/>
      <c r="I487"/>
      <c r="J487"/>
    </row>
    <row r="488" spans="2:10" ht="15.75" customHeight="1">
      <c r="B488" s="1"/>
      <c r="C488" s="3"/>
      <c r="F488"/>
      <c r="G488"/>
      <c r="H488"/>
      <c r="I488"/>
      <c r="J488"/>
    </row>
    <row r="489" spans="2:10" ht="15.75" customHeight="1">
      <c r="B489" s="1"/>
      <c r="C489" s="3"/>
      <c r="F489"/>
      <c r="G489"/>
      <c r="H489"/>
      <c r="I489"/>
      <c r="J489"/>
    </row>
    <row r="490" spans="2:10" ht="15.75" customHeight="1">
      <c r="B490" s="1"/>
      <c r="C490" s="3"/>
      <c r="F490"/>
      <c r="G490"/>
      <c r="H490"/>
      <c r="I490"/>
      <c r="J490"/>
    </row>
    <row r="491" spans="2:10" ht="15.75" customHeight="1">
      <c r="B491" s="1"/>
      <c r="C491" s="3"/>
      <c r="F491"/>
      <c r="G491"/>
      <c r="H491"/>
      <c r="I491"/>
      <c r="J491"/>
    </row>
    <row r="492" spans="2:10" ht="15.75" customHeight="1">
      <c r="B492" s="1"/>
      <c r="C492" s="3"/>
      <c r="F492"/>
      <c r="G492"/>
      <c r="H492"/>
      <c r="I492"/>
      <c r="J492"/>
    </row>
    <row r="493" spans="2:10" ht="15.75" customHeight="1">
      <c r="B493" s="1"/>
      <c r="C493" s="3"/>
      <c r="F493"/>
      <c r="G493"/>
      <c r="H493"/>
      <c r="I493"/>
      <c r="J493"/>
    </row>
    <row r="494" spans="2:10" ht="15.75" customHeight="1">
      <c r="B494" s="1"/>
      <c r="C494" s="3"/>
      <c r="F494"/>
      <c r="G494"/>
      <c r="H494"/>
      <c r="I494"/>
      <c r="J494"/>
    </row>
    <row r="495" spans="2:10" ht="15.75" customHeight="1">
      <c r="B495" s="1"/>
      <c r="C495" s="3"/>
      <c r="F495"/>
      <c r="G495"/>
      <c r="H495"/>
      <c r="I495"/>
      <c r="J495"/>
    </row>
    <row r="496" spans="2:10" ht="15.75" customHeight="1">
      <c r="B496" s="1"/>
      <c r="C496" s="3"/>
      <c r="F496"/>
      <c r="G496"/>
      <c r="H496"/>
      <c r="I496"/>
      <c r="J496"/>
    </row>
    <row r="497" spans="2:10" ht="15.75" customHeight="1">
      <c r="B497" s="1"/>
      <c r="C497" s="3"/>
      <c r="F497"/>
      <c r="G497"/>
      <c r="H497"/>
      <c r="I497"/>
      <c r="J497"/>
    </row>
    <row r="498" spans="2:10" ht="15.75" customHeight="1">
      <c r="B498" s="1"/>
      <c r="C498" s="3"/>
      <c r="F498"/>
      <c r="G498"/>
      <c r="H498"/>
      <c r="I498"/>
      <c r="J498"/>
    </row>
    <row r="499" spans="2:10" ht="15.75" customHeight="1">
      <c r="B499" s="1"/>
      <c r="C499" s="3"/>
      <c r="F499"/>
      <c r="G499"/>
      <c r="H499"/>
      <c r="I499"/>
      <c r="J499"/>
    </row>
    <row r="500" spans="2:10" ht="15.75" customHeight="1">
      <c r="B500" s="1"/>
      <c r="C500" s="3"/>
      <c r="F500"/>
      <c r="G500"/>
      <c r="H500"/>
      <c r="I500"/>
      <c r="J500"/>
    </row>
    <row r="501" spans="2:10" ht="15.75" customHeight="1">
      <c r="B501" s="1"/>
      <c r="C501" s="3"/>
      <c r="F501"/>
      <c r="G501"/>
      <c r="H501"/>
      <c r="I501"/>
      <c r="J501"/>
    </row>
    <row r="502" spans="2:10" ht="15.75" customHeight="1">
      <c r="B502" s="1"/>
      <c r="C502" s="3"/>
      <c r="F502"/>
      <c r="G502"/>
      <c r="H502"/>
      <c r="I502"/>
      <c r="J502"/>
    </row>
    <row r="503" spans="2:10" ht="15.75" customHeight="1">
      <c r="B503" s="1"/>
      <c r="C503" s="3"/>
      <c r="F503"/>
      <c r="G503"/>
      <c r="H503"/>
      <c r="I503"/>
      <c r="J503"/>
    </row>
    <row r="504" spans="2:10" ht="15.75" customHeight="1">
      <c r="B504" s="1"/>
      <c r="C504" s="3"/>
      <c r="F504"/>
      <c r="G504"/>
      <c r="H504"/>
      <c r="I504"/>
      <c r="J504"/>
    </row>
    <row r="505" spans="2:10" ht="15.75" customHeight="1">
      <c r="B505" s="1"/>
      <c r="C505" s="3"/>
      <c r="F505"/>
      <c r="G505"/>
      <c r="H505"/>
      <c r="I505"/>
      <c r="J505"/>
    </row>
    <row r="506" spans="2:10" ht="15.75" customHeight="1">
      <c r="B506" s="1"/>
      <c r="C506" s="3"/>
      <c r="F506"/>
      <c r="G506"/>
      <c r="H506"/>
      <c r="I506"/>
      <c r="J506"/>
    </row>
    <row r="507" spans="2:10" ht="15.75" customHeight="1">
      <c r="B507" s="1"/>
      <c r="C507" s="3"/>
      <c r="F507"/>
      <c r="G507"/>
      <c r="H507"/>
      <c r="I507"/>
      <c r="J507"/>
    </row>
    <row r="508" spans="2:10" ht="15.75" customHeight="1">
      <c r="B508" s="1"/>
      <c r="C508" s="3"/>
      <c r="F508"/>
      <c r="G508"/>
      <c r="H508"/>
      <c r="I508"/>
      <c r="J508"/>
    </row>
    <row r="509" spans="2:10" ht="15.75" customHeight="1">
      <c r="B509" s="1"/>
      <c r="C509" s="3"/>
      <c r="F509"/>
      <c r="G509"/>
      <c r="H509"/>
      <c r="I509"/>
      <c r="J509"/>
    </row>
    <row r="510" spans="2:10" ht="15.75" customHeight="1">
      <c r="B510" s="1"/>
      <c r="C510" s="3"/>
      <c r="F510"/>
      <c r="G510"/>
      <c r="H510"/>
      <c r="I510"/>
      <c r="J510"/>
    </row>
    <row r="511" spans="2:10" ht="15.75" customHeight="1">
      <c r="B511" s="1"/>
      <c r="C511" s="3"/>
      <c r="F511"/>
      <c r="G511"/>
      <c r="H511"/>
      <c r="I511"/>
      <c r="J511"/>
    </row>
    <row r="512" spans="2:10" ht="15.75" customHeight="1">
      <c r="B512" s="1"/>
      <c r="C512" s="3"/>
      <c r="F512"/>
      <c r="G512"/>
      <c r="H512"/>
      <c r="I512"/>
      <c r="J512"/>
    </row>
    <row r="513" spans="2:10" ht="15.75" customHeight="1">
      <c r="B513" s="1"/>
      <c r="C513" s="3"/>
      <c r="F513"/>
      <c r="G513"/>
      <c r="H513"/>
      <c r="I513"/>
      <c r="J513"/>
    </row>
    <row r="514" spans="2:10" ht="15.75" customHeight="1">
      <c r="B514" s="1"/>
      <c r="C514" s="3"/>
      <c r="F514"/>
      <c r="G514"/>
      <c r="H514"/>
      <c r="I514"/>
      <c r="J514"/>
    </row>
    <row r="515" spans="2:10" ht="15.75" customHeight="1">
      <c r="B515" s="1"/>
      <c r="C515" s="3"/>
      <c r="F515"/>
      <c r="G515"/>
      <c r="H515"/>
      <c r="I515"/>
      <c r="J515"/>
    </row>
    <row r="516" spans="2:10" ht="15.75" customHeight="1">
      <c r="B516" s="1"/>
      <c r="C516" s="3"/>
      <c r="F516"/>
      <c r="G516"/>
      <c r="H516"/>
      <c r="I516"/>
      <c r="J516"/>
    </row>
    <row r="517" spans="2:10" ht="15.75" customHeight="1">
      <c r="B517" s="1"/>
      <c r="C517" s="3"/>
      <c r="F517"/>
      <c r="G517"/>
      <c r="H517"/>
      <c r="I517"/>
      <c r="J517"/>
    </row>
    <row r="518" spans="2:10" ht="15.75" customHeight="1">
      <c r="B518" s="1"/>
      <c r="C518" s="3"/>
      <c r="F518"/>
      <c r="G518"/>
      <c r="H518"/>
      <c r="I518"/>
      <c r="J518"/>
    </row>
    <row r="519" spans="2:10" ht="15.75" customHeight="1">
      <c r="B519" s="1"/>
      <c r="C519" s="3"/>
      <c r="F519"/>
      <c r="G519"/>
      <c r="H519"/>
      <c r="I519"/>
      <c r="J519"/>
    </row>
    <row r="520" spans="2:10" ht="15.75" customHeight="1">
      <c r="B520" s="1"/>
      <c r="C520" s="3"/>
      <c r="F520"/>
      <c r="G520"/>
      <c r="H520"/>
      <c r="I520"/>
      <c r="J520"/>
    </row>
    <row r="521" spans="2:10" ht="15.75" customHeight="1">
      <c r="B521" s="1"/>
      <c r="C521" s="3"/>
      <c r="F521"/>
      <c r="G521"/>
      <c r="H521"/>
      <c r="I521"/>
      <c r="J521"/>
    </row>
    <row r="522" spans="2:10" ht="15.75" customHeight="1">
      <c r="B522" s="1"/>
      <c r="C522" s="3"/>
      <c r="F522"/>
      <c r="G522"/>
      <c r="H522"/>
      <c r="I522"/>
      <c r="J522"/>
    </row>
    <row r="523" spans="2:10" ht="15.75" customHeight="1">
      <c r="B523" s="1"/>
      <c r="C523" s="3"/>
      <c r="F523"/>
      <c r="G523"/>
      <c r="H523"/>
      <c r="I523"/>
      <c r="J523"/>
    </row>
    <row r="524" spans="2:10" ht="15.75" customHeight="1">
      <c r="B524" s="1"/>
      <c r="C524" s="3"/>
      <c r="F524"/>
      <c r="G524"/>
      <c r="H524"/>
      <c r="I524"/>
      <c r="J524"/>
    </row>
    <row r="525" spans="2:10" ht="15.75" customHeight="1">
      <c r="B525" s="1"/>
      <c r="C525" s="3"/>
      <c r="F525"/>
      <c r="G525"/>
      <c r="H525"/>
      <c r="I525"/>
      <c r="J525"/>
    </row>
    <row r="526" spans="2:10" ht="15.75" customHeight="1">
      <c r="B526" s="1"/>
      <c r="C526" s="3"/>
      <c r="F526"/>
      <c r="G526"/>
      <c r="H526"/>
      <c r="I526"/>
      <c r="J526"/>
    </row>
    <row r="527" spans="2:10" ht="15.75" customHeight="1">
      <c r="B527" s="1"/>
      <c r="C527" s="3"/>
      <c r="F527"/>
      <c r="G527"/>
      <c r="H527"/>
      <c r="I527"/>
      <c r="J527"/>
    </row>
    <row r="528" spans="2:10" ht="15.75" customHeight="1">
      <c r="B528" s="1"/>
      <c r="C528" s="3"/>
      <c r="F528"/>
      <c r="G528"/>
      <c r="H528"/>
      <c r="I528"/>
      <c r="J528"/>
    </row>
    <row r="529" spans="2:10" ht="15.75" customHeight="1">
      <c r="B529" s="1"/>
      <c r="C529" s="3"/>
      <c r="F529"/>
      <c r="G529"/>
      <c r="H529"/>
      <c r="I529"/>
      <c r="J529"/>
    </row>
    <row r="530" spans="2:10" ht="15.75" customHeight="1">
      <c r="B530" s="1"/>
      <c r="C530" s="3"/>
      <c r="F530"/>
      <c r="G530"/>
      <c r="H530"/>
      <c r="I530"/>
      <c r="J530"/>
    </row>
    <row r="531" spans="2:10" ht="15.75" customHeight="1">
      <c r="B531" s="1"/>
      <c r="C531" s="3"/>
      <c r="F531"/>
      <c r="G531"/>
      <c r="H531"/>
      <c r="I531"/>
      <c r="J531"/>
    </row>
    <row r="532" spans="2:10" ht="15.75" customHeight="1">
      <c r="B532" s="1"/>
      <c r="C532" s="3"/>
      <c r="F532"/>
      <c r="G532"/>
      <c r="H532"/>
      <c r="I532"/>
      <c r="J532"/>
    </row>
    <row r="533" spans="2:10" ht="15.75" customHeight="1">
      <c r="B533" s="1"/>
      <c r="C533" s="3"/>
      <c r="F533"/>
      <c r="G533"/>
      <c r="H533"/>
      <c r="I533"/>
      <c r="J533"/>
    </row>
    <row r="534" spans="2:10" ht="15.75" customHeight="1">
      <c r="B534" s="1"/>
      <c r="C534" s="3"/>
      <c r="F534"/>
      <c r="G534"/>
      <c r="H534"/>
      <c r="I534"/>
      <c r="J534"/>
    </row>
    <row r="535" spans="2:10" ht="15.75" customHeight="1">
      <c r="B535" s="1"/>
      <c r="C535" s="3"/>
      <c r="F535"/>
      <c r="G535"/>
      <c r="H535"/>
      <c r="I535"/>
      <c r="J535"/>
    </row>
    <row r="536" spans="2:10" ht="15.75" customHeight="1">
      <c r="B536" s="1"/>
      <c r="C536" s="3"/>
      <c r="F536"/>
      <c r="G536"/>
      <c r="H536"/>
      <c r="I536"/>
      <c r="J536"/>
    </row>
    <row r="537" spans="2:10" ht="15.75" customHeight="1">
      <c r="B537" s="1"/>
      <c r="C537" s="3"/>
      <c r="F537"/>
      <c r="G537"/>
      <c r="H537"/>
      <c r="I537"/>
      <c r="J537"/>
    </row>
    <row r="538" spans="2:10" ht="15.75" customHeight="1">
      <c r="B538" s="1"/>
      <c r="C538" s="3"/>
      <c r="F538"/>
      <c r="G538"/>
      <c r="H538"/>
      <c r="I538"/>
      <c r="J538"/>
    </row>
    <row r="539" spans="2:10" ht="15.75" customHeight="1">
      <c r="B539" s="1"/>
      <c r="C539" s="3"/>
      <c r="F539"/>
      <c r="G539"/>
      <c r="H539"/>
      <c r="I539"/>
      <c r="J539"/>
    </row>
    <row r="540" spans="2:10" ht="15.75" customHeight="1">
      <c r="B540" s="1"/>
      <c r="C540" s="3"/>
      <c r="F540"/>
      <c r="G540"/>
      <c r="H540"/>
      <c r="I540"/>
      <c r="J540"/>
    </row>
    <row r="541" spans="2:10" ht="15.75" customHeight="1">
      <c r="B541" s="1"/>
      <c r="C541" s="3"/>
      <c r="F541"/>
      <c r="G541"/>
      <c r="H541"/>
      <c r="I541"/>
      <c r="J541"/>
    </row>
    <row r="542" spans="2:10" ht="15.75" customHeight="1">
      <c r="B542" s="1"/>
      <c r="C542" s="3"/>
      <c r="F542"/>
      <c r="G542"/>
      <c r="H542"/>
      <c r="I542"/>
      <c r="J542"/>
    </row>
    <row r="543" spans="2:10" ht="15.75" customHeight="1">
      <c r="B543" s="1"/>
      <c r="C543" s="3"/>
      <c r="F543"/>
      <c r="G543"/>
      <c r="H543"/>
      <c r="I543"/>
      <c r="J543"/>
    </row>
    <row r="544" spans="2:10" ht="15.75" customHeight="1">
      <c r="B544" s="1"/>
      <c r="C544" s="3"/>
      <c r="F544"/>
      <c r="G544"/>
      <c r="H544"/>
      <c r="I544"/>
      <c r="J544"/>
    </row>
    <row r="545" spans="2:10" ht="15.75" customHeight="1">
      <c r="B545" s="1"/>
      <c r="C545" s="3"/>
      <c r="F545"/>
      <c r="G545"/>
      <c r="H545"/>
      <c r="I545"/>
      <c r="J545"/>
    </row>
    <row r="546" spans="2:10" ht="15.75" customHeight="1">
      <c r="B546" s="1"/>
      <c r="C546" s="3"/>
      <c r="F546"/>
      <c r="G546"/>
      <c r="H546"/>
      <c r="I546"/>
      <c r="J546"/>
    </row>
    <row r="547" spans="2:10" ht="15.75" customHeight="1">
      <c r="B547" s="1"/>
      <c r="C547" s="3"/>
      <c r="F547"/>
      <c r="G547"/>
      <c r="H547"/>
      <c r="I547"/>
      <c r="J547"/>
    </row>
    <row r="548" spans="2:10" ht="15.75" customHeight="1">
      <c r="B548" s="1"/>
      <c r="C548" s="3"/>
      <c r="F548"/>
      <c r="G548"/>
      <c r="H548"/>
      <c r="I548"/>
      <c r="J548"/>
    </row>
    <row r="549" spans="2:10" ht="15.75" customHeight="1">
      <c r="B549" s="1"/>
      <c r="C549" s="3"/>
      <c r="F549"/>
      <c r="G549"/>
      <c r="H549"/>
      <c r="I549"/>
      <c r="J549"/>
    </row>
    <row r="550" spans="2:10" ht="15.75" customHeight="1">
      <c r="B550" s="1"/>
      <c r="C550" s="3"/>
      <c r="F550"/>
      <c r="G550"/>
      <c r="H550"/>
      <c r="I550"/>
      <c r="J550"/>
    </row>
    <row r="551" spans="2:10" ht="15.75" customHeight="1">
      <c r="B551" s="1"/>
      <c r="C551" s="3"/>
      <c r="F551"/>
      <c r="G551"/>
      <c r="H551"/>
      <c r="I551"/>
      <c r="J551"/>
    </row>
    <row r="552" spans="2:10" ht="15.75" customHeight="1">
      <c r="B552" s="1"/>
      <c r="C552" s="3"/>
      <c r="F552"/>
      <c r="G552"/>
      <c r="H552"/>
      <c r="I552"/>
      <c r="J552"/>
    </row>
    <row r="553" spans="2:10" ht="15.75" customHeight="1">
      <c r="B553" s="1"/>
      <c r="C553" s="3"/>
      <c r="F553"/>
      <c r="G553"/>
      <c r="H553"/>
      <c r="I553"/>
      <c r="J553"/>
    </row>
    <row r="554" spans="2:10" ht="15.75" customHeight="1">
      <c r="B554" s="1"/>
      <c r="C554" s="3"/>
      <c r="F554"/>
      <c r="G554"/>
      <c r="H554"/>
      <c r="I554"/>
      <c r="J554"/>
    </row>
    <row r="555" spans="2:10" ht="15.75" customHeight="1">
      <c r="B555" s="1"/>
      <c r="C555" s="3"/>
      <c r="F555"/>
      <c r="G555"/>
      <c r="H555"/>
      <c r="I555"/>
      <c r="J555"/>
    </row>
    <row r="556" spans="2:10" ht="15.75" customHeight="1">
      <c r="B556" s="1"/>
      <c r="C556" s="3"/>
      <c r="F556"/>
      <c r="G556"/>
      <c r="H556"/>
      <c r="I556"/>
      <c r="J556"/>
    </row>
    <row r="557" spans="2:10" ht="15.75" customHeight="1">
      <c r="B557" s="1"/>
      <c r="C557" s="3"/>
      <c r="F557"/>
      <c r="G557"/>
      <c r="H557"/>
      <c r="I557"/>
      <c r="J557"/>
    </row>
    <row r="558" spans="2:10" ht="15.75" customHeight="1">
      <c r="B558" s="1"/>
      <c r="C558" s="3"/>
      <c r="F558"/>
      <c r="G558"/>
      <c r="H558"/>
      <c r="I558"/>
      <c r="J558"/>
    </row>
    <row r="559" spans="2:10" ht="15.75" customHeight="1">
      <c r="B559" s="1"/>
      <c r="C559" s="3"/>
      <c r="F559"/>
      <c r="G559"/>
      <c r="H559"/>
      <c r="I559"/>
      <c r="J559"/>
    </row>
    <row r="560" spans="2:10" ht="15.75" customHeight="1">
      <c r="B560" s="1"/>
      <c r="C560" s="3"/>
      <c r="F560"/>
      <c r="G560"/>
      <c r="H560"/>
      <c r="I560"/>
      <c r="J560"/>
    </row>
    <row r="561" spans="2:10" ht="15.75" customHeight="1">
      <c r="B561" s="1"/>
      <c r="C561" s="3"/>
      <c r="F561"/>
      <c r="G561"/>
      <c r="H561"/>
      <c r="I561"/>
      <c r="J561"/>
    </row>
    <row r="562" spans="2:10" ht="15.75" customHeight="1">
      <c r="B562" s="1"/>
      <c r="C562" s="3"/>
      <c r="F562"/>
      <c r="G562"/>
      <c r="H562"/>
      <c r="I562"/>
      <c r="J562"/>
    </row>
    <row r="563" spans="2:10" ht="15.75" customHeight="1">
      <c r="B563" s="1"/>
      <c r="C563" s="3"/>
      <c r="F563"/>
      <c r="G563"/>
      <c r="H563"/>
      <c r="I563"/>
      <c r="J563"/>
    </row>
    <row r="564" spans="2:10" ht="15.75" customHeight="1">
      <c r="B564" s="1"/>
      <c r="C564" s="3"/>
      <c r="F564"/>
      <c r="G564"/>
      <c r="H564"/>
      <c r="I564"/>
      <c r="J564"/>
    </row>
    <row r="565" spans="2:10" ht="15.75" customHeight="1">
      <c r="B565" s="1"/>
      <c r="C565" s="3"/>
      <c r="F565"/>
      <c r="G565"/>
      <c r="H565"/>
      <c r="I565"/>
      <c r="J565"/>
    </row>
    <row r="566" spans="2:10" ht="15.75" customHeight="1">
      <c r="B566" s="1"/>
      <c r="C566" s="3"/>
      <c r="F566"/>
      <c r="G566"/>
      <c r="H566"/>
      <c r="I566"/>
      <c r="J566"/>
    </row>
    <row r="567" spans="2:10" ht="15.75" customHeight="1">
      <c r="B567" s="1"/>
      <c r="C567" s="3"/>
      <c r="F567"/>
      <c r="G567"/>
      <c r="H567"/>
      <c r="I567"/>
      <c r="J567"/>
    </row>
    <row r="568" spans="2:10" ht="15.75" customHeight="1">
      <c r="B568" s="1"/>
      <c r="C568" s="3"/>
      <c r="F568"/>
      <c r="G568"/>
      <c r="H568"/>
      <c r="I568"/>
      <c r="J568"/>
    </row>
    <row r="569" spans="2:10" ht="15.75" customHeight="1">
      <c r="B569" s="1"/>
      <c r="C569" s="3"/>
      <c r="F569"/>
      <c r="G569"/>
      <c r="H569"/>
      <c r="I569"/>
      <c r="J569"/>
    </row>
    <row r="570" spans="2:10" ht="15.75" customHeight="1">
      <c r="B570" s="1"/>
      <c r="C570" s="3"/>
      <c r="F570"/>
      <c r="G570"/>
      <c r="H570"/>
      <c r="I570"/>
      <c r="J570"/>
    </row>
    <row r="571" spans="2:10" ht="15.75" customHeight="1">
      <c r="B571" s="1"/>
      <c r="C571" s="3"/>
      <c r="F571"/>
      <c r="G571"/>
      <c r="H571"/>
      <c r="I571"/>
      <c r="J571"/>
    </row>
    <row r="572" spans="2:10" ht="15.75" customHeight="1">
      <c r="B572" s="1"/>
      <c r="C572" s="3"/>
      <c r="F572"/>
      <c r="G572"/>
      <c r="H572"/>
      <c r="I572"/>
      <c r="J572"/>
    </row>
    <row r="573" spans="2:10" ht="15.75" customHeight="1">
      <c r="B573" s="1"/>
      <c r="C573" s="3"/>
      <c r="F573"/>
      <c r="G573"/>
      <c r="H573"/>
      <c r="I573"/>
      <c r="J573"/>
    </row>
    <row r="574" spans="2:10" ht="15.75" customHeight="1">
      <c r="B574" s="1"/>
      <c r="C574" s="3"/>
      <c r="F574"/>
      <c r="G574"/>
      <c r="H574"/>
      <c r="I574"/>
      <c r="J574"/>
    </row>
    <row r="575" spans="2:10" ht="15.75" customHeight="1">
      <c r="B575" s="1"/>
      <c r="C575" s="3"/>
      <c r="F575"/>
      <c r="G575"/>
      <c r="H575"/>
      <c r="I575"/>
      <c r="J575"/>
    </row>
    <row r="576" spans="2:10" ht="15.75" customHeight="1">
      <c r="B576" s="1"/>
      <c r="C576" s="3"/>
      <c r="F576"/>
      <c r="G576"/>
      <c r="H576"/>
      <c r="I576"/>
      <c r="J576"/>
    </row>
    <row r="577" spans="2:10" ht="15.75" customHeight="1">
      <c r="B577" s="1"/>
      <c r="C577" s="3"/>
      <c r="F577"/>
      <c r="G577"/>
      <c r="H577"/>
      <c r="I577"/>
      <c r="J577"/>
    </row>
    <row r="578" spans="2:10" ht="15.75" customHeight="1">
      <c r="B578" s="1"/>
      <c r="C578" s="3"/>
      <c r="F578"/>
      <c r="G578"/>
      <c r="H578"/>
      <c r="I578"/>
      <c r="J578"/>
    </row>
    <row r="579" spans="2:10" ht="15.75" customHeight="1">
      <c r="B579" s="1"/>
      <c r="C579" s="3"/>
      <c r="F579"/>
      <c r="G579"/>
      <c r="H579"/>
      <c r="I579"/>
      <c r="J579"/>
    </row>
    <row r="580" spans="2:10" ht="15.75" customHeight="1">
      <c r="B580" s="1"/>
      <c r="C580" s="3"/>
      <c r="F580"/>
      <c r="G580"/>
      <c r="H580"/>
      <c r="I580"/>
      <c r="J580"/>
    </row>
    <row r="581" spans="2:10" ht="15.75" customHeight="1">
      <c r="B581" s="1"/>
      <c r="C581" s="3"/>
      <c r="F581"/>
      <c r="G581"/>
      <c r="H581"/>
      <c r="I581"/>
      <c r="J581"/>
    </row>
    <row r="582" spans="2:10" ht="15.75" customHeight="1">
      <c r="B582" s="1"/>
      <c r="C582" s="3"/>
      <c r="F582"/>
      <c r="G582"/>
      <c r="H582"/>
      <c r="I582"/>
      <c r="J582"/>
    </row>
    <row r="583" spans="2:10" ht="15.75" customHeight="1">
      <c r="B583" s="1"/>
      <c r="C583" s="3"/>
      <c r="F583"/>
      <c r="G583"/>
      <c r="H583"/>
      <c r="I583"/>
      <c r="J583"/>
    </row>
    <row r="584" spans="2:10" ht="15.75" customHeight="1">
      <c r="B584" s="1"/>
      <c r="C584" s="3"/>
      <c r="F584"/>
      <c r="G584"/>
      <c r="H584"/>
      <c r="I584"/>
      <c r="J584"/>
    </row>
    <row r="585" spans="2:10" ht="15.75" customHeight="1">
      <c r="B585" s="1"/>
      <c r="C585" s="3"/>
      <c r="F585"/>
      <c r="G585"/>
      <c r="H585"/>
      <c r="I585"/>
      <c r="J585"/>
    </row>
    <row r="586" spans="2:10" ht="15.75" customHeight="1">
      <c r="B586" s="1"/>
      <c r="C586" s="3"/>
      <c r="F586"/>
      <c r="G586"/>
      <c r="H586"/>
      <c r="I586"/>
      <c r="J586"/>
    </row>
    <row r="587" spans="2:10" ht="15.75" customHeight="1">
      <c r="B587" s="1"/>
      <c r="C587" s="3"/>
      <c r="F587"/>
      <c r="G587"/>
      <c r="H587"/>
      <c r="I587"/>
      <c r="J587"/>
    </row>
    <row r="588" spans="2:10" ht="15.75" customHeight="1">
      <c r="B588" s="1"/>
      <c r="C588" s="3"/>
      <c r="F588"/>
      <c r="G588"/>
      <c r="H588"/>
      <c r="I588"/>
      <c r="J588"/>
    </row>
    <row r="589" spans="2:10" ht="15.75" customHeight="1">
      <c r="B589" s="1"/>
      <c r="C589" s="3"/>
      <c r="F589"/>
      <c r="G589"/>
      <c r="H589"/>
      <c r="I589"/>
      <c r="J589"/>
    </row>
    <row r="590" spans="2:10" ht="15.75" customHeight="1">
      <c r="B590" s="1"/>
      <c r="C590" s="3"/>
      <c r="F590"/>
      <c r="G590"/>
      <c r="H590"/>
      <c r="I590"/>
      <c r="J590"/>
    </row>
    <row r="591" spans="2:10" ht="15.75" customHeight="1">
      <c r="B591" s="1"/>
      <c r="C591" s="3"/>
      <c r="F591"/>
      <c r="G591"/>
      <c r="H591"/>
      <c r="I591"/>
      <c r="J591"/>
    </row>
    <row r="592" spans="2:10" ht="15.75" customHeight="1">
      <c r="B592" s="1"/>
      <c r="C592" s="3"/>
      <c r="F592"/>
      <c r="G592"/>
      <c r="H592"/>
      <c r="I592"/>
      <c r="J592"/>
    </row>
    <row r="593" spans="2:10" ht="15.75" customHeight="1">
      <c r="B593" s="1"/>
      <c r="C593" s="3"/>
      <c r="F593"/>
      <c r="G593"/>
      <c r="H593"/>
      <c r="I593"/>
      <c r="J593"/>
    </row>
    <row r="594" spans="2:10" ht="15.75" customHeight="1">
      <c r="B594" s="1"/>
      <c r="C594" s="3"/>
      <c r="F594"/>
      <c r="G594"/>
      <c r="H594"/>
      <c r="I594"/>
      <c r="J594"/>
    </row>
    <row r="595" spans="2:10" ht="15.75" customHeight="1">
      <c r="B595" s="1"/>
      <c r="C595" s="3"/>
      <c r="F595"/>
      <c r="G595"/>
      <c r="H595"/>
      <c r="I595"/>
      <c r="J595"/>
    </row>
    <row r="596" spans="2:10" ht="15.75" customHeight="1">
      <c r="B596" s="1"/>
      <c r="C596" s="3"/>
      <c r="F596"/>
      <c r="G596"/>
      <c r="H596"/>
      <c r="I596"/>
      <c r="J596"/>
    </row>
    <row r="597" spans="2:10" ht="15.75" customHeight="1">
      <c r="B597" s="1"/>
      <c r="C597" s="3"/>
      <c r="F597"/>
      <c r="G597"/>
      <c r="H597"/>
      <c r="I597"/>
      <c r="J597"/>
    </row>
    <row r="598" spans="2:10" ht="15.75" customHeight="1">
      <c r="B598" s="1"/>
      <c r="C598" s="3"/>
      <c r="F598"/>
      <c r="G598"/>
      <c r="H598"/>
      <c r="I598"/>
      <c r="J598"/>
    </row>
    <row r="599" spans="2:10" ht="15.75" customHeight="1">
      <c r="B599" s="1"/>
      <c r="C599" s="3"/>
      <c r="F599"/>
      <c r="G599"/>
      <c r="H599"/>
      <c r="I599"/>
      <c r="J599"/>
    </row>
    <row r="600" spans="2:10" ht="15.75" customHeight="1">
      <c r="B600" s="1"/>
      <c r="C600" s="3"/>
      <c r="F600"/>
      <c r="G600"/>
      <c r="H600"/>
      <c r="I600"/>
      <c r="J600"/>
    </row>
    <row r="601" spans="2:10" ht="15.75" customHeight="1">
      <c r="B601" s="1"/>
      <c r="C601" s="3"/>
      <c r="F601"/>
      <c r="G601"/>
      <c r="H601"/>
      <c r="I601"/>
      <c r="J601"/>
    </row>
    <row r="602" spans="2:10" ht="15.75" customHeight="1">
      <c r="B602" s="1"/>
      <c r="C602" s="3"/>
      <c r="F602"/>
      <c r="G602"/>
      <c r="H602"/>
      <c r="I602"/>
      <c r="J602"/>
    </row>
    <row r="603" spans="2:10" ht="15.75" customHeight="1">
      <c r="B603" s="1"/>
      <c r="C603" s="3"/>
      <c r="F603"/>
      <c r="G603"/>
      <c r="H603"/>
      <c r="I603"/>
      <c r="J603"/>
    </row>
    <row r="604" spans="2:10" ht="15.75" customHeight="1">
      <c r="B604" s="1"/>
      <c r="C604" s="3"/>
      <c r="F604"/>
      <c r="G604"/>
      <c r="H604"/>
      <c r="I604"/>
      <c r="J604"/>
    </row>
    <row r="605" spans="2:10" ht="15.75" customHeight="1">
      <c r="B605" s="1"/>
      <c r="C605" s="3"/>
      <c r="F605"/>
      <c r="G605"/>
      <c r="H605"/>
      <c r="I605"/>
      <c r="J605"/>
    </row>
    <row r="606" spans="2:10" ht="15.75" customHeight="1">
      <c r="B606" s="1"/>
      <c r="C606" s="3"/>
      <c r="F606"/>
      <c r="G606"/>
      <c r="H606"/>
      <c r="I606"/>
      <c r="J606"/>
    </row>
    <row r="607" spans="2:10" ht="15.75" customHeight="1">
      <c r="B607" s="1"/>
      <c r="C607" s="3"/>
      <c r="F607"/>
      <c r="G607"/>
      <c r="H607"/>
      <c r="I607"/>
      <c r="J607"/>
    </row>
    <row r="608" spans="2:10" ht="15.75" customHeight="1">
      <c r="B608" s="1"/>
      <c r="C608" s="3"/>
      <c r="F608"/>
      <c r="G608"/>
      <c r="H608"/>
      <c r="I608"/>
      <c r="J608"/>
    </row>
    <row r="609" spans="2:10" ht="15.75" customHeight="1">
      <c r="B609" s="1"/>
      <c r="C609" s="3"/>
      <c r="F609"/>
      <c r="G609"/>
      <c r="H609"/>
      <c r="I609"/>
      <c r="J609"/>
    </row>
    <row r="610" spans="2:10" ht="15.75" customHeight="1">
      <c r="B610" s="1"/>
      <c r="C610" s="3"/>
      <c r="F610"/>
      <c r="G610"/>
      <c r="H610"/>
      <c r="I610"/>
      <c r="J610"/>
    </row>
    <row r="611" spans="2:10" ht="15.75" customHeight="1">
      <c r="B611" s="1"/>
      <c r="C611" s="3"/>
      <c r="F611"/>
      <c r="G611"/>
      <c r="H611"/>
      <c r="I611"/>
      <c r="J611"/>
    </row>
    <row r="612" spans="2:10" ht="15.75" customHeight="1">
      <c r="B612" s="1"/>
      <c r="C612" s="3"/>
      <c r="F612"/>
      <c r="G612"/>
      <c r="H612"/>
      <c r="I612"/>
      <c r="J612"/>
    </row>
    <row r="613" spans="2:10" ht="15.75" customHeight="1">
      <c r="B613" s="1"/>
      <c r="C613" s="3"/>
      <c r="F613"/>
      <c r="G613"/>
      <c r="H613"/>
      <c r="I613"/>
      <c r="J613"/>
    </row>
    <row r="614" spans="2:10" ht="15.75" customHeight="1">
      <c r="B614" s="1"/>
      <c r="C614" s="3"/>
      <c r="F614"/>
      <c r="G614"/>
      <c r="H614"/>
      <c r="I614"/>
      <c r="J614"/>
    </row>
    <row r="615" spans="2:10" ht="15.75" customHeight="1">
      <c r="B615" s="1"/>
      <c r="C615" s="3"/>
      <c r="F615"/>
      <c r="G615"/>
      <c r="H615"/>
      <c r="I615"/>
      <c r="J615"/>
    </row>
    <row r="616" spans="2:10" ht="15.75" customHeight="1">
      <c r="B616" s="1"/>
      <c r="C616" s="3"/>
      <c r="F616"/>
      <c r="G616"/>
      <c r="H616"/>
      <c r="I616"/>
      <c r="J616"/>
    </row>
    <row r="617" spans="2:10" ht="15.75" customHeight="1">
      <c r="B617" s="1"/>
      <c r="C617" s="3"/>
      <c r="F617"/>
      <c r="G617"/>
      <c r="H617"/>
      <c r="I617"/>
      <c r="J617"/>
    </row>
    <row r="618" spans="2:10" ht="15.75" customHeight="1">
      <c r="B618" s="1"/>
      <c r="C618" s="3"/>
      <c r="F618"/>
      <c r="G618"/>
      <c r="H618"/>
      <c r="I618"/>
      <c r="J618"/>
    </row>
    <row r="619" spans="2:10" ht="15.75" customHeight="1">
      <c r="B619" s="1"/>
      <c r="C619" s="3"/>
      <c r="F619"/>
      <c r="G619"/>
      <c r="H619"/>
      <c r="I619"/>
      <c r="J619"/>
    </row>
    <row r="620" spans="2:10" ht="15.75" customHeight="1">
      <c r="B620" s="1"/>
      <c r="C620" s="3"/>
      <c r="F620"/>
      <c r="G620"/>
      <c r="H620"/>
      <c r="I620"/>
      <c r="J620"/>
    </row>
    <row r="621" spans="2:10" ht="15.75" customHeight="1">
      <c r="B621" s="1"/>
      <c r="C621" s="3"/>
      <c r="F621"/>
      <c r="G621"/>
      <c r="H621"/>
      <c r="I621"/>
      <c r="J621"/>
    </row>
    <row r="622" spans="2:10" ht="15.75" customHeight="1">
      <c r="B622" s="1"/>
      <c r="C622" s="3"/>
      <c r="F622"/>
      <c r="G622"/>
      <c r="H622"/>
      <c r="I622"/>
      <c r="J622"/>
    </row>
    <row r="623" spans="2:10" ht="15.75" customHeight="1">
      <c r="F623"/>
      <c r="G623"/>
      <c r="H623"/>
      <c r="I623"/>
      <c r="J623"/>
    </row>
    <row r="624" spans="2:10" ht="15.75" customHeight="1">
      <c r="F624"/>
      <c r="G624"/>
      <c r="H624"/>
      <c r="I624"/>
      <c r="J624"/>
    </row>
    <row r="625" spans="6:10" ht="15.75" customHeight="1">
      <c r="F625"/>
      <c r="G625"/>
      <c r="H625"/>
      <c r="I625"/>
      <c r="J625"/>
    </row>
    <row r="626" spans="6:10" ht="15.75" customHeight="1">
      <c r="F626"/>
      <c r="G626"/>
      <c r="H626"/>
      <c r="I626"/>
      <c r="J626"/>
    </row>
    <row r="627" spans="6:10" ht="15.75" customHeight="1">
      <c r="F627"/>
      <c r="G627"/>
      <c r="H627"/>
      <c r="I627"/>
      <c r="J627"/>
    </row>
    <row r="628" spans="6:10" ht="15.75" customHeight="1">
      <c r="F628"/>
      <c r="G628"/>
      <c r="H628"/>
      <c r="I628"/>
      <c r="J628"/>
    </row>
    <row r="629" spans="6:10" ht="15.75" customHeight="1">
      <c r="F629"/>
      <c r="G629"/>
      <c r="H629"/>
      <c r="I629"/>
      <c r="J629"/>
    </row>
    <row r="630" spans="6:10" ht="15.75" customHeight="1">
      <c r="F630"/>
      <c r="G630"/>
      <c r="H630"/>
      <c r="I630"/>
      <c r="J630"/>
    </row>
    <row r="631" spans="6:10" ht="15.75" customHeight="1">
      <c r="F631"/>
      <c r="G631"/>
      <c r="H631"/>
      <c r="I631"/>
      <c r="J631"/>
    </row>
    <row r="632" spans="6:10" ht="15.75" customHeight="1">
      <c r="F632"/>
      <c r="G632"/>
      <c r="H632"/>
      <c r="I632"/>
      <c r="J632"/>
    </row>
    <row r="633" spans="6:10" ht="15.75" customHeight="1">
      <c r="F633"/>
      <c r="G633"/>
      <c r="H633"/>
      <c r="I633"/>
      <c r="J633"/>
    </row>
    <row r="634" spans="6:10" ht="15.75" customHeight="1">
      <c r="F634"/>
      <c r="G634"/>
      <c r="H634"/>
      <c r="I634"/>
      <c r="J634"/>
    </row>
    <row r="635" spans="6:10" ht="15.75" customHeight="1">
      <c r="F635"/>
      <c r="G635"/>
      <c r="H635"/>
      <c r="I635"/>
      <c r="J635"/>
    </row>
    <row r="636" spans="6:10" ht="15.75" customHeight="1">
      <c r="F636"/>
      <c r="G636"/>
      <c r="H636"/>
      <c r="I636"/>
      <c r="J636"/>
    </row>
    <row r="637" spans="6:10" ht="15.75" customHeight="1">
      <c r="F637"/>
      <c r="G637"/>
      <c r="H637"/>
      <c r="I637"/>
      <c r="J637"/>
    </row>
    <row r="638" spans="6:10" ht="15.75" customHeight="1">
      <c r="F638"/>
      <c r="G638"/>
      <c r="H638"/>
      <c r="I638"/>
      <c r="J638"/>
    </row>
    <row r="639" spans="6:10" ht="15.75" customHeight="1">
      <c r="F639"/>
      <c r="G639"/>
      <c r="H639"/>
      <c r="I639"/>
      <c r="J639"/>
    </row>
    <row r="640" spans="6:10" ht="15.75" customHeight="1">
      <c r="F640"/>
      <c r="G640"/>
      <c r="H640"/>
      <c r="I640"/>
      <c r="J640"/>
    </row>
    <row r="641" spans="6:10" ht="15.75" customHeight="1">
      <c r="F641"/>
      <c r="G641"/>
      <c r="H641"/>
      <c r="I641"/>
      <c r="J641"/>
    </row>
    <row r="642" spans="6:10" ht="15.75" customHeight="1">
      <c r="F642"/>
      <c r="G642"/>
      <c r="H642"/>
      <c r="I642"/>
      <c r="J642"/>
    </row>
    <row r="643" spans="6:10" ht="15.75" customHeight="1">
      <c r="F643"/>
      <c r="G643"/>
      <c r="H643"/>
      <c r="I643"/>
      <c r="J643"/>
    </row>
    <row r="644" spans="6:10" ht="15.75" customHeight="1">
      <c r="F644"/>
      <c r="G644"/>
      <c r="H644"/>
      <c r="I644"/>
      <c r="J644"/>
    </row>
    <row r="645" spans="6:10" ht="15.75" customHeight="1">
      <c r="F645"/>
      <c r="G645"/>
      <c r="H645"/>
      <c r="I645"/>
      <c r="J645"/>
    </row>
    <row r="646" spans="6:10" ht="15.75" customHeight="1">
      <c r="F646"/>
      <c r="G646"/>
      <c r="H646"/>
      <c r="I646"/>
      <c r="J646"/>
    </row>
    <row r="647" spans="6:10" ht="15.75" customHeight="1">
      <c r="F647"/>
      <c r="G647"/>
      <c r="H647"/>
      <c r="I647"/>
      <c r="J647"/>
    </row>
    <row r="648" spans="6:10" ht="15.75" customHeight="1">
      <c r="F648"/>
      <c r="G648"/>
      <c r="H648"/>
      <c r="I648"/>
      <c r="J648"/>
    </row>
    <row r="649" spans="6:10" ht="15.75" customHeight="1">
      <c r="F649"/>
      <c r="G649"/>
      <c r="H649"/>
      <c r="I649"/>
      <c r="J649"/>
    </row>
    <row r="650" spans="6:10" ht="15.75" customHeight="1">
      <c r="F650"/>
      <c r="G650"/>
      <c r="H650"/>
      <c r="I650"/>
      <c r="J650"/>
    </row>
    <row r="651" spans="6:10" ht="15.75" customHeight="1">
      <c r="F651"/>
      <c r="G651"/>
      <c r="H651"/>
      <c r="I651"/>
      <c r="J651"/>
    </row>
    <row r="652" spans="6:10" ht="15" customHeight="1">
      <c r="F652"/>
      <c r="G652"/>
      <c r="H652"/>
      <c r="I652"/>
      <c r="J652"/>
    </row>
    <row r="653" spans="6:10" ht="15" customHeight="1">
      <c r="F653"/>
      <c r="G653"/>
      <c r="H653"/>
      <c r="I653"/>
      <c r="J653"/>
    </row>
    <row r="654" spans="6:10" ht="15" customHeight="1">
      <c r="F654"/>
      <c r="G654"/>
      <c r="H654"/>
      <c r="I654"/>
      <c r="J654"/>
    </row>
    <row r="655" spans="6:10" ht="15" customHeight="1">
      <c r="F655"/>
      <c r="G655"/>
      <c r="H655"/>
      <c r="I655"/>
      <c r="J655"/>
    </row>
    <row r="656" spans="6:10" ht="15" customHeight="1">
      <c r="F656"/>
      <c r="G656"/>
      <c r="H656"/>
      <c r="I656"/>
      <c r="J656"/>
    </row>
    <row r="657" spans="6:10" ht="15" customHeight="1">
      <c r="F657"/>
      <c r="G657"/>
      <c r="H657"/>
      <c r="I657"/>
      <c r="J657"/>
    </row>
    <row r="658" spans="6:10" ht="15" customHeight="1">
      <c r="F658"/>
      <c r="G658"/>
      <c r="H658"/>
      <c r="I658"/>
      <c r="J658"/>
    </row>
    <row r="659" spans="6:10" ht="15" customHeight="1">
      <c r="F659"/>
      <c r="G659"/>
      <c r="H659"/>
      <c r="I659"/>
      <c r="J659"/>
    </row>
    <row r="660" spans="6:10" ht="15" customHeight="1">
      <c r="F660"/>
      <c r="G660"/>
      <c r="H660"/>
      <c r="I660"/>
      <c r="J660"/>
    </row>
    <row r="661" spans="6:10" ht="15" customHeight="1">
      <c r="F661"/>
      <c r="G661"/>
      <c r="H661"/>
      <c r="I661"/>
      <c r="J661"/>
    </row>
    <row r="662" spans="6:10" ht="15" customHeight="1">
      <c r="F662"/>
      <c r="G662"/>
      <c r="H662"/>
      <c r="I662"/>
      <c r="J662"/>
    </row>
    <row r="663" spans="6:10" ht="15" customHeight="1">
      <c r="F663"/>
      <c r="G663"/>
      <c r="H663"/>
      <c r="I663"/>
      <c r="J663"/>
    </row>
    <row r="664" spans="6:10" ht="15" customHeight="1">
      <c r="F664"/>
      <c r="G664"/>
      <c r="H664"/>
      <c r="I664"/>
      <c r="J664"/>
    </row>
    <row r="665" spans="6:10" ht="15" customHeight="1">
      <c r="F665"/>
      <c r="G665"/>
      <c r="H665"/>
      <c r="I665"/>
      <c r="J665"/>
    </row>
    <row r="666" spans="6:10" ht="15" customHeight="1">
      <c r="F666"/>
      <c r="G666"/>
      <c r="H666"/>
      <c r="I666"/>
      <c r="J666"/>
    </row>
    <row r="667" spans="6:10" ht="15" customHeight="1">
      <c r="F667"/>
      <c r="G667"/>
      <c r="H667"/>
      <c r="I667"/>
      <c r="J667"/>
    </row>
    <row r="668" spans="6:10" ht="15" customHeight="1">
      <c r="F668"/>
      <c r="G668"/>
      <c r="H668"/>
      <c r="I668"/>
      <c r="J668"/>
    </row>
    <row r="669" spans="6:10" ht="15" customHeight="1">
      <c r="F669"/>
      <c r="G669"/>
      <c r="H669"/>
      <c r="I669"/>
      <c r="J669"/>
    </row>
    <row r="670" spans="6:10" ht="15" customHeight="1">
      <c r="F670"/>
      <c r="G670"/>
      <c r="H670"/>
      <c r="I670"/>
      <c r="J670"/>
    </row>
    <row r="671" spans="6:10" ht="15" customHeight="1">
      <c r="F671"/>
      <c r="G671"/>
      <c r="H671"/>
      <c r="I671"/>
      <c r="J671"/>
    </row>
    <row r="672" spans="6:10" ht="15" customHeight="1">
      <c r="F672"/>
      <c r="G672"/>
      <c r="H672"/>
      <c r="I672"/>
      <c r="J672"/>
    </row>
    <row r="673" spans="6:10" ht="15" customHeight="1">
      <c r="F673"/>
      <c r="G673"/>
      <c r="H673"/>
      <c r="I673"/>
      <c r="J673"/>
    </row>
    <row r="674" spans="6:10" ht="15" customHeight="1">
      <c r="F674"/>
      <c r="G674"/>
      <c r="H674"/>
      <c r="I674"/>
      <c r="J674"/>
    </row>
    <row r="675" spans="6:10" ht="15" customHeight="1">
      <c r="F675"/>
      <c r="G675"/>
      <c r="H675"/>
      <c r="I675"/>
      <c r="J675"/>
    </row>
    <row r="676" spans="6:10" ht="15" customHeight="1">
      <c r="F676"/>
      <c r="G676"/>
      <c r="H676"/>
      <c r="I676"/>
      <c r="J676"/>
    </row>
    <row r="677" spans="6:10" ht="15" customHeight="1">
      <c r="F677"/>
      <c r="G677"/>
      <c r="H677"/>
      <c r="I677"/>
      <c r="J677"/>
    </row>
    <row r="678" spans="6:10" ht="15" customHeight="1">
      <c r="F678"/>
      <c r="G678"/>
      <c r="H678"/>
      <c r="I678"/>
      <c r="J678"/>
    </row>
    <row r="679" spans="6:10" ht="15" customHeight="1">
      <c r="F679"/>
      <c r="G679"/>
      <c r="H679"/>
      <c r="I679"/>
      <c r="J679"/>
    </row>
    <row r="680" spans="6:10" ht="15" customHeight="1">
      <c r="F680"/>
      <c r="G680"/>
      <c r="H680"/>
      <c r="I680"/>
      <c r="J680"/>
    </row>
    <row r="681" spans="6:10" ht="15" customHeight="1">
      <c r="F681"/>
      <c r="G681"/>
      <c r="H681"/>
      <c r="I681"/>
      <c r="J681"/>
    </row>
    <row r="682" spans="6:10" ht="15" customHeight="1">
      <c r="F682"/>
      <c r="G682"/>
      <c r="H682"/>
      <c r="I682"/>
      <c r="J682"/>
    </row>
    <row r="683" spans="6:10" ht="15" customHeight="1">
      <c r="F683"/>
      <c r="G683"/>
      <c r="H683"/>
      <c r="I683"/>
      <c r="J683"/>
    </row>
    <row r="684" spans="6:10" ht="15" customHeight="1">
      <c r="F684"/>
      <c r="G684"/>
      <c r="H684"/>
      <c r="I684"/>
      <c r="J684"/>
    </row>
    <row r="685" spans="6:10" ht="15" customHeight="1">
      <c r="F685"/>
      <c r="G685"/>
      <c r="H685"/>
      <c r="I685"/>
      <c r="J685"/>
    </row>
    <row r="686" spans="6:10" ht="15" customHeight="1">
      <c r="F686"/>
      <c r="G686"/>
      <c r="H686"/>
      <c r="I686"/>
      <c r="J686"/>
    </row>
    <row r="687" spans="6:10" ht="15" customHeight="1">
      <c r="F687"/>
      <c r="G687"/>
      <c r="H687"/>
      <c r="I687"/>
      <c r="J687"/>
    </row>
    <row r="688" spans="6:10" ht="15" customHeight="1">
      <c r="F688"/>
      <c r="G688"/>
      <c r="H688"/>
      <c r="I688"/>
      <c r="J688"/>
    </row>
    <row r="689" spans="6:10" ht="15" customHeight="1">
      <c r="F689"/>
      <c r="G689"/>
      <c r="H689"/>
      <c r="I689"/>
      <c r="J689"/>
    </row>
    <row r="690" spans="6:10" ht="15" customHeight="1">
      <c r="F690"/>
      <c r="G690"/>
      <c r="H690"/>
      <c r="I690"/>
      <c r="J690"/>
    </row>
    <row r="691" spans="6:10" ht="15" customHeight="1">
      <c r="F691"/>
      <c r="G691"/>
      <c r="H691"/>
      <c r="I691"/>
      <c r="J691"/>
    </row>
    <row r="692" spans="6:10" ht="15" customHeight="1">
      <c r="F692"/>
      <c r="G692"/>
      <c r="H692"/>
      <c r="I692"/>
      <c r="J692"/>
    </row>
    <row r="693" spans="6:10" ht="15" customHeight="1">
      <c r="F693"/>
      <c r="G693"/>
      <c r="H693"/>
      <c r="I693"/>
      <c r="J693"/>
    </row>
    <row r="694" spans="6:10" ht="15" customHeight="1">
      <c r="F694"/>
      <c r="G694"/>
      <c r="H694"/>
      <c r="I694"/>
      <c r="J694"/>
    </row>
    <row r="695" spans="6:10" ht="15" customHeight="1">
      <c r="F695"/>
      <c r="G695"/>
      <c r="H695"/>
      <c r="I695"/>
      <c r="J695"/>
    </row>
    <row r="696" spans="6:10" ht="15" customHeight="1">
      <c r="F696"/>
      <c r="G696"/>
      <c r="H696"/>
      <c r="I696"/>
      <c r="J696"/>
    </row>
    <row r="697" spans="6:10" ht="15" customHeight="1">
      <c r="F697"/>
      <c r="G697"/>
      <c r="H697"/>
      <c r="I697"/>
      <c r="J697"/>
    </row>
    <row r="698" spans="6:10" ht="15" customHeight="1">
      <c r="F698"/>
      <c r="G698"/>
      <c r="H698"/>
      <c r="I698"/>
      <c r="J698"/>
    </row>
    <row r="699" spans="6:10" ht="15" customHeight="1">
      <c r="F699"/>
      <c r="G699"/>
      <c r="H699"/>
      <c r="I699"/>
      <c r="J699"/>
    </row>
    <row r="700" spans="6:10" ht="15" customHeight="1">
      <c r="F700"/>
      <c r="G700"/>
      <c r="H700"/>
      <c r="I700"/>
      <c r="J700"/>
    </row>
    <row r="701" spans="6:10" ht="15" customHeight="1">
      <c r="F701"/>
      <c r="G701"/>
      <c r="H701"/>
      <c r="I701"/>
      <c r="J701"/>
    </row>
    <row r="702" spans="6:10" ht="15" customHeight="1">
      <c r="F702"/>
      <c r="G702"/>
      <c r="H702"/>
      <c r="I702"/>
      <c r="J702"/>
    </row>
    <row r="703" spans="6:10" ht="15" customHeight="1">
      <c r="F703"/>
      <c r="G703"/>
      <c r="H703"/>
      <c r="I703"/>
      <c r="J703"/>
    </row>
    <row r="704" spans="6:10" ht="15" customHeight="1">
      <c r="F704"/>
      <c r="G704"/>
      <c r="H704"/>
      <c r="I704"/>
      <c r="J704"/>
    </row>
    <row r="705" spans="6:10" ht="15" customHeight="1">
      <c r="F705"/>
      <c r="G705"/>
      <c r="H705"/>
      <c r="I705"/>
      <c r="J705"/>
    </row>
    <row r="706" spans="6:10" ht="15" customHeight="1">
      <c r="F706"/>
      <c r="G706"/>
      <c r="H706"/>
      <c r="I706"/>
      <c r="J706"/>
    </row>
    <row r="707" spans="6:10" ht="15" customHeight="1">
      <c r="F707"/>
      <c r="G707"/>
      <c r="H707"/>
      <c r="I707"/>
      <c r="J707"/>
    </row>
    <row r="708" spans="6:10" ht="15" customHeight="1">
      <c r="F708"/>
      <c r="G708"/>
      <c r="H708"/>
      <c r="I708"/>
      <c r="J708"/>
    </row>
    <row r="709" spans="6:10" ht="15" customHeight="1">
      <c r="F709"/>
      <c r="G709"/>
      <c r="H709"/>
      <c r="I709"/>
      <c r="J709"/>
    </row>
    <row r="710" spans="6:10" ht="15" customHeight="1">
      <c r="F710"/>
      <c r="G710"/>
      <c r="H710"/>
      <c r="I710"/>
      <c r="J710"/>
    </row>
    <row r="711" spans="6:10" ht="15" customHeight="1">
      <c r="F711"/>
      <c r="G711"/>
      <c r="H711"/>
      <c r="I711"/>
      <c r="J711"/>
    </row>
    <row r="712" spans="6:10" ht="15" customHeight="1">
      <c r="F712"/>
      <c r="G712"/>
      <c r="H712"/>
      <c r="I712"/>
      <c r="J712"/>
    </row>
    <row r="713" spans="6:10" ht="15" customHeight="1">
      <c r="F713"/>
      <c r="G713"/>
      <c r="H713"/>
      <c r="I713"/>
      <c r="J713"/>
    </row>
    <row r="714" spans="6:10" ht="15" customHeight="1">
      <c r="F714"/>
      <c r="G714"/>
      <c r="H714"/>
      <c r="I714"/>
      <c r="J714"/>
    </row>
    <row r="715" spans="6:10" ht="15" customHeight="1">
      <c r="F715"/>
      <c r="G715"/>
      <c r="H715"/>
      <c r="I715"/>
      <c r="J715"/>
    </row>
    <row r="716" spans="6:10" ht="15" customHeight="1">
      <c r="F716"/>
      <c r="G716"/>
      <c r="H716"/>
      <c r="I716"/>
      <c r="J716"/>
    </row>
    <row r="717" spans="6:10" ht="15" customHeight="1">
      <c r="F717"/>
      <c r="G717"/>
      <c r="H717"/>
      <c r="I717"/>
      <c r="J717"/>
    </row>
    <row r="718" spans="6:10" ht="15" customHeight="1">
      <c r="F718"/>
      <c r="G718"/>
      <c r="H718"/>
      <c r="I718"/>
      <c r="J718"/>
    </row>
    <row r="719" spans="6:10" ht="15" customHeight="1">
      <c r="F719"/>
      <c r="G719"/>
      <c r="H719"/>
      <c r="I719"/>
      <c r="J719"/>
    </row>
    <row r="720" spans="6:10" ht="15" customHeight="1">
      <c r="F720"/>
      <c r="G720"/>
      <c r="H720"/>
      <c r="I720"/>
      <c r="J720"/>
    </row>
    <row r="721" spans="6:10" ht="15" customHeight="1">
      <c r="F721"/>
      <c r="G721"/>
      <c r="H721"/>
      <c r="I721"/>
      <c r="J721"/>
    </row>
    <row r="722" spans="6:10" ht="15" customHeight="1">
      <c r="F722"/>
      <c r="G722"/>
      <c r="H722"/>
      <c r="I722"/>
      <c r="J722"/>
    </row>
    <row r="723" spans="6:10" ht="15" customHeight="1">
      <c r="F723"/>
      <c r="G723"/>
      <c r="H723"/>
      <c r="I723"/>
      <c r="J723"/>
    </row>
    <row r="724" spans="6:10" ht="15" customHeight="1">
      <c r="F724"/>
      <c r="G724"/>
      <c r="H724"/>
      <c r="I724"/>
      <c r="J724"/>
    </row>
    <row r="725" spans="6:10" ht="15" customHeight="1">
      <c r="F725"/>
      <c r="G725"/>
      <c r="H725"/>
      <c r="I725"/>
      <c r="J725"/>
    </row>
    <row r="726" spans="6:10" ht="15" customHeight="1">
      <c r="F726"/>
      <c r="G726"/>
      <c r="H726"/>
      <c r="I726"/>
      <c r="J726"/>
    </row>
    <row r="727" spans="6:10" ht="15" customHeight="1">
      <c r="F727"/>
      <c r="G727"/>
      <c r="H727"/>
      <c r="I727"/>
      <c r="J727"/>
    </row>
    <row r="728" spans="6:10" ht="15" customHeight="1">
      <c r="F728"/>
      <c r="G728"/>
      <c r="H728"/>
      <c r="I728"/>
      <c r="J728"/>
    </row>
    <row r="729" spans="6:10" ht="15" customHeight="1">
      <c r="F729"/>
      <c r="G729"/>
      <c r="H729"/>
      <c r="I729"/>
      <c r="J729"/>
    </row>
    <row r="730" spans="6:10" ht="15" customHeight="1">
      <c r="F730"/>
      <c r="G730"/>
      <c r="H730"/>
      <c r="I730"/>
      <c r="J730"/>
    </row>
    <row r="731" spans="6:10" ht="15" customHeight="1">
      <c r="F731"/>
      <c r="G731"/>
      <c r="H731"/>
      <c r="I731"/>
      <c r="J731"/>
    </row>
    <row r="732" spans="6:10" ht="15" customHeight="1">
      <c r="F732"/>
      <c r="G732"/>
      <c r="H732"/>
      <c r="I732"/>
      <c r="J732"/>
    </row>
    <row r="733" spans="6:10" ht="15" customHeight="1">
      <c r="F733"/>
      <c r="G733"/>
      <c r="H733"/>
      <c r="I733"/>
      <c r="J733"/>
    </row>
    <row r="734" spans="6:10" ht="15" customHeight="1">
      <c r="F734"/>
      <c r="G734"/>
      <c r="H734"/>
      <c r="I734"/>
      <c r="J734"/>
    </row>
    <row r="735" spans="6:10" ht="15" customHeight="1">
      <c r="F735"/>
      <c r="G735"/>
      <c r="H735"/>
      <c r="I735"/>
      <c r="J735"/>
    </row>
    <row r="736" spans="6:10" ht="15" customHeight="1">
      <c r="F736"/>
      <c r="G736"/>
      <c r="H736"/>
      <c r="I736"/>
      <c r="J736"/>
    </row>
    <row r="737" spans="6:10" ht="15" customHeight="1">
      <c r="F737"/>
      <c r="G737"/>
      <c r="H737"/>
      <c r="I737"/>
      <c r="J737"/>
    </row>
    <row r="738" spans="6:10" ht="15" customHeight="1">
      <c r="F738"/>
      <c r="G738"/>
      <c r="H738"/>
      <c r="I738"/>
      <c r="J738"/>
    </row>
    <row r="739" spans="6:10" ht="15" customHeight="1">
      <c r="F739"/>
      <c r="G739"/>
      <c r="H739"/>
      <c r="I739"/>
      <c r="J739"/>
    </row>
    <row r="740" spans="6:10" ht="15" customHeight="1">
      <c r="F740"/>
      <c r="G740"/>
      <c r="H740"/>
      <c r="I740"/>
      <c r="J740"/>
    </row>
    <row r="741" spans="6:10" ht="15" customHeight="1">
      <c r="F741"/>
      <c r="G741"/>
      <c r="H741"/>
      <c r="I741"/>
      <c r="J741"/>
    </row>
    <row r="742" spans="6:10" ht="15" customHeight="1">
      <c r="F742"/>
      <c r="G742"/>
      <c r="H742"/>
      <c r="I742"/>
      <c r="J742"/>
    </row>
    <row r="743" spans="6:10" ht="15" customHeight="1">
      <c r="F743"/>
      <c r="G743"/>
      <c r="H743"/>
      <c r="I743"/>
      <c r="J743"/>
    </row>
    <row r="744" spans="6:10" ht="15" customHeight="1">
      <c r="F744"/>
      <c r="G744"/>
      <c r="H744"/>
      <c r="I744"/>
      <c r="J744"/>
    </row>
    <row r="745" spans="6:10" ht="15" customHeight="1">
      <c r="F745"/>
      <c r="G745"/>
      <c r="H745"/>
      <c r="I745"/>
      <c r="J745"/>
    </row>
    <row r="746" spans="6:10" ht="15" customHeight="1">
      <c r="F746"/>
      <c r="G746"/>
      <c r="H746"/>
      <c r="I746"/>
      <c r="J746"/>
    </row>
    <row r="747" spans="6:10" ht="15" customHeight="1">
      <c r="F747"/>
      <c r="G747"/>
      <c r="H747"/>
      <c r="I747"/>
      <c r="J747"/>
    </row>
    <row r="748" spans="6:10" ht="15" customHeight="1">
      <c r="F748"/>
      <c r="G748"/>
      <c r="H748"/>
      <c r="I748"/>
      <c r="J748"/>
    </row>
    <row r="749" spans="6:10" ht="15" customHeight="1">
      <c r="F749"/>
      <c r="G749"/>
      <c r="H749"/>
      <c r="I749"/>
      <c r="J749"/>
    </row>
    <row r="750" spans="6:10" ht="15" customHeight="1">
      <c r="F750"/>
      <c r="G750"/>
      <c r="H750"/>
      <c r="I750"/>
      <c r="J750"/>
    </row>
    <row r="751" spans="6:10" ht="15" customHeight="1">
      <c r="F751"/>
      <c r="G751"/>
      <c r="H751"/>
      <c r="I751"/>
      <c r="J751"/>
    </row>
    <row r="752" spans="6:10" ht="15" customHeight="1">
      <c r="F752"/>
      <c r="G752"/>
      <c r="H752"/>
      <c r="I752"/>
      <c r="J752"/>
    </row>
    <row r="753" spans="6:10" ht="15" customHeight="1">
      <c r="F753"/>
      <c r="G753"/>
      <c r="H753"/>
      <c r="I753"/>
      <c r="J753"/>
    </row>
    <row r="754" spans="6:10" ht="15" customHeight="1">
      <c r="F754"/>
      <c r="G754"/>
      <c r="H754"/>
      <c r="I754"/>
      <c r="J754"/>
    </row>
    <row r="755" spans="6:10" ht="15" customHeight="1">
      <c r="F755"/>
      <c r="G755"/>
      <c r="H755"/>
      <c r="I755"/>
      <c r="J755"/>
    </row>
    <row r="756" spans="6:10" ht="15" customHeight="1">
      <c r="F756"/>
      <c r="G756"/>
      <c r="H756"/>
      <c r="I756"/>
      <c r="J756"/>
    </row>
    <row r="757" spans="6:10" ht="15" customHeight="1">
      <c r="F757"/>
      <c r="G757"/>
      <c r="H757"/>
      <c r="I757"/>
      <c r="J757"/>
    </row>
    <row r="758" spans="6:10" ht="15" customHeight="1">
      <c r="F758"/>
      <c r="G758"/>
      <c r="H758"/>
      <c r="I758"/>
      <c r="J758"/>
    </row>
    <row r="759" spans="6:10" ht="15" customHeight="1">
      <c r="F759"/>
      <c r="G759"/>
      <c r="H759"/>
      <c r="I759"/>
      <c r="J759"/>
    </row>
    <row r="760" spans="6:10" ht="15" customHeight="1">
      <c r="F760"/>
      <c r="G760"/>
      <c r="H760"/>
      <c r="I760"/>
      <c r="J760"/>
    </row>
    <row r="761" spans="6:10" ht="15" customHeight="1">
      <c r="F761"/>
      <c r="G761"/>
      <c r="H761"/>
      <c r="I761"/>
      <c r="J761"/>
    </row>
    <row r="762" spans="6:10" ht="15" customHeight="1">
      <c r="F762"/>
      <c r="G762"/>
      <c r="H762"/>
      <c r="I762"/>
      <c r="J762"/>
    </row>
    <row r="763" spans="6:10" ht="15" customHeight="1">
      <c r="F763"/>
      <c r="G763"/>
      <c r="H763"/>
      <c r="I763"/>
      <c r="J763"/>
    </row>
    <row r="764" spans="6:10" ht="15" customHeight="1">
      <c r="F764"/>
      <c r="G764"/>
      <c r="H764"/>
      <c r="I764"/>
      <c r="J764"/>
    </row>
    <row r="765" spans="6:10" ht="15" customHeight="1">
      <c r="F765"/>
      <c r="G765"/>
      <c r="H765"/>
      <c r="I765"/>
      <c r="J765"/>
    </row>
    <row r="766" spans="6:10" ht="15" customHeight="1">
      <c r="F766"/>
      <c r="G766"/>
      <c r="H766"/>
      <c r="I766"/>
      <c r="J766"/>
    </row>
    <row r="767" spans="6:10" ht="15" customHeight="1">
      <c r="F767"/>
      <c r="G767"/>
      <c r="H767"/>
      <c r="I767"/>
      <c r="J767"/>
    </row>
    <row r="768" spans="6:10" ht="15" customHeight="1">
      <c r="F768"/>
      <c r="G768"/>
      <c r="H768"/>
      <c r="I768"/>
      <c r="J768"/>
    </row>
    <row r="769" spans="6:10" ht="15" customHeight="1">
      <c r="F769"/>
      <c r="G769"/>
      <c r="H769"/>
      <c r="I769"/>
      <c r="J769"/>
    </row>
    <row r="770" spans="6:10" ht="15" customHeight="1">
      <c r="F770"/>
      <c r="G770"/>
      <c r="H770"/>
      <c r="I770"/>
      <c r="J770"/>
    </row>
    <row r="771" spans="6:10" ht="15" customHeight="1">
      <c r="F771"/>
      <c r="G771"/>
      <c r="H771"/>
      <c r="I771"/>
      <c r="J771"/>
    </row>
    <row r="772" spans="6:10" ht="15" customHeight="1">
      <c r="F772"/>
      <c r="G772"/>
      <c r="H772"/>
      <c r="I772"/>
      <c r="J772"/>
    </row>
    <row r="773" spans="6:10" ht="15" customHeight="1">
      <c r="F773"/>
      <c r="G773"/>
      <c r="H773"/>
      <c r="I773"/>
      <c r="J773"/>
    </row>
    <row r="774" spans="6:10" ht="15" customHeight="1">
      <c r="F774"/>
      <c r="G774"/>
      <c r="H774"/>
      <c r="I774"/>
      <c r="J774"/>
    </row>
    <row r="775" spans="6:10" ht="15" customHeight="1">
      <c r="F775"/>
      <c r="G775"/>
      <c r="H775"/>
      <c r="I775"/>
      <c r="J775"/>
    </row>
    <row r="776" spans="6:10" ht="15" customHeight="1">
      <c r="F776"/>
      <c r="G776"/>
      <c r="H776"/>
      <c r="I776"/>
      <c r="J776"/>
    </row>
    <row r="777" spans="6:10" ht="15" customHeight="1">
      <c r="F777"/>
      <c r="G777"/>
      <c r="H777"/>
      <c r="I777"/>
      <c r="J777"/>
    </row>
    <row r="778" spans="6:10" ht="15" customHeight="1">
      <c r="F778"/>
      <c r="G778"/>
      <c r="H778"/>
      <c r="I778"/>
      <c r="J778"/>
    </row>
    <row r="779" spans="6:10" ht="15" customHeight="1">
      <c r="F779"/>
      <c r="G779"/>
      <c r="H779"/>
      <c r="I779"/>
      <c r="J779"/>
    </row>
    <row r="780" spans="6:10" ht="15" customHeight="1">
      <c r="F780"/>
      <c r="G780"/>
      <c r="H780"/>
      <c r="I780"/>
      <c r="J780"/>
    </row>
    <row r="781" spans="6:10" ht="15" customHeight="1">
      <c r="F781"/>
      <c r="G781"/>
      <c r="H781"/>
      <c r="I781"/>
      <c r="J781"/>
    </row>
    <row r="782" spans="6:10" ht="15" customHeight="1">
      <c r="F782"/>
      <c r="G782"/>
      <c r="H782"/>
      <c r="I782"/>
      <c r="J782"/>
    </row>
    <row r="783" spans="6:10" ht="15" customHeight="1">
      <c r="F783"/>
      <c r="G783"/>
      <c r="H783"/>
      <c r="I783"/>
      <c r="J783"/>
    </row>
    <row r="784" spans="6:10" ht="15" customHeight="1">
      <c r="F784"/>
      <c r="G784"/>
      <c r="H784"/>
      <c r="I784"/>
      <c r="J784"/>
    </row>
    <row r="785" spans="6:10" ht="15" customHeight="1">
      <c r="F785"/>
      <c r="G785"/>
      <c r="H785"/>
      <c r="I785"/>
      <c r="J785"/>
    </row>
    <row r="786" spans="6:10" ht="15" customHeight="1">
      <c r="F786"/>
      <c r="G786"/>
      <c r="H786"/>
      <c r="I786"/>
      <c r="J786"/>
    </row>
    <row r="787" spans="6:10" ht="15" customHeight="1">
      <c r="F787"/>
      <c r="G787"/>
      <c r="H787"/>
      <c r="I787"/>
      <c r="J787"/>
    </row>
    <row r="788" spans="6:10" ht="15" customHeight="1">
      <c r="F788"/>
      <c r="G788"/>
      <c r="H788"/>
      <c r="I788"/>
      <c r="J788"/>
    </row>
    <row r="789" spans="6:10" ht="15" customHeight="1">
      <c r="F789"/>
      <c r="G789"/>
      <c r="H789"/>
      <c r="I789"/>
      <c r="J789"/>
    </row>
    <row r="790" spans="6:10" ht="15" customHeight="1">
      <c r="F790"/>
      <c r="G790"/>
      <c r="H790"/>
      <c r="I790"/>
      <c r="J790"/>
    </row>
    <row r="791" spans="6:10" ht="15" customHeight="1">
      <c r="F791"/>
      <c r="G791"/>
      <c r="H791"/>
      <c r="I791"/>
      <c r="J791"/>
    </row>
    <row r="792" spans="6:10" ht="15" customHeight="1">
      <c r="F792"/>
      <c r="G792"/>
      <c r="H792"/>
      <c r="I792"/>
      <c r="J792"/>
    </row>
    <row r="793" spans="6:10" ht="15" customHeight="1">
      <c r="F793"/>
      <c r="G793"/>
      <c r="H793"/>
      <c r="I793"/>
      <c r="J793"/>
    </row>
    <row r="794" spans="6:10" ht="15" customHeight="1">
      <c r="F794"/>
      <c r="G794"/>
      <c r="H794"/>
      <c r="I794"/>
      <c r="J794"/>
    </row>
    <row r="795" spans="6:10" ht="15" customHeight="1">
      <c r="F795"/>
      <c r="G795"/>
      <c r="H795"/>
      <c r="I795"/>
      <c r="J795"/>
    </row>
    <row r="796" spans="6:10" ht="15" customHeight="1">
      <c r="F796"/>
      <c r="G796"/>
      <c r="H796"/>
      <c r="I796"/>
      <c r="J796"/>
    </row>
    <row r="797" spans="6:10" ht="15" customHeight="1">
      <c r="F797"/>
      <c r="G797"/>
      <c r="H797"/>
      <c r="I797"/>
      <c r="J797"/>
    </row>
    <row r="798" spans="6:10" ht="15" customHeight="1">
      <c r="F798"/>
      <c r="G798"/>
      <c r="H798"/>
      <c r="I798"/>
      <c r="J798"/>
    </row>
    <row r="799" spans="6:10" ht="15" customHeight="1">
      <c r="F799"/>
      <c r="G799"/>
      <c r="H799"/>
      <c r="I799"/>
      <c r="J799"/>
    </row>
    <row r="800" spans="6:10" ht="15" customHeight="1">
      <c r="F800"/>
      <c r="G800"/>
      <c r="H800"/>
      <c r="I800"/>
      <c r="J800"/>
    </row>
    <row r="801" spans="6:10" ht="15" customHeight="1">
      <c r="F801"/>
      <c r="G801"/>
      <c r="H801"/>
      <c r="I801"/>
      <c r="J801"/>
    </row>
    <row r="802" spans="6:10" ht="15" customHeight="1">
      <c r="F802"/>
      <c r="G802"/>
      <c r="H802"/>
      <c r="I802"/>
      <c r="J802"/>
    </row>
    <row r="803" spans="6:10" ht="15" customHeight="1">
      <c r="F803"/>
      <c r="G803"/>
      <c r="H803"/>
      <c r="I803"/>
      <c r="J803"/>
    </row>
    <row r="804" spans="6:10" ht="15" customHeight="1">
      <c r="F804"/>
      <c r="G804"/>
      <c r="H804"/>
      <c r="I804"/>
      <c r="J804"/>
    </row>
    <row r="805" spans="6:10" ht="15" customHeight="1">
      <c r="F805"/>
      <c r="G805"/>
      <c r="H805"/>
      <c r="I805"/>
      <c r="J805"/>
    </row>
    <row r="806" spans="6:10" ht="15" customHeight="1">
      <c r="F806"/>
      <c r="G806"/>
      <c r="H806"/>
      <c r="I806"/>
      <c r="J806"/>
    </row>
    <row r="807" spans="6:10" ht="15" customHeight="1">
      <c r="F807"/>
      <c r="G807"/>
      <c r="H807"/>
      <c r="I807"/>
      <c r="J807"/>
    </row>
    <row r="808" spans="6:10" ht="15" customHeight="1">
      <c r="F808"/>
      <c r="G808"/>
      <c r="H808"/>
      <c r="I808"/>
      <c r="J808"/>
    </row>
    <row r="809" spans="6:10" ht="15" customHeight="1">
      <c r="F809"/>
      <c r="G809"/>
      <c r="H809"/>
      <c r="I809"/>
      <c r="J809"/>
    </row>
    <row r="810" spans="6:10" ht="15" customHeight="1">
      <c r="F810"/>
      <c r="G810"/>
      <c r="H810"/>
      <c r="I810"/>
      <c r="J810"/>
    </row>
    <row r="811" spans="6:10" ht="15" customHeight="1">
      <c r="F811"/>
      <c r="G811"/>
      <c r="H811"/>
      <c r="I811"/>
      <c r="J811"/>
    </row>
    <row r="812" spans="6:10" ht="15" customHeight="1">
      <c r="F812"/>
      <c r="G812"/>
      <c r="H812"/>
      <c r="I812"/>
      <c r="J812"/>
    </row>
    <row r="813" spans="6:10" ht="15" customHeight="1">
      <c r="F813"/>
      <c r="G813"/>
      <c r="H813"/>
      <c r="I813"/>
      <c r="J813"/>
    </row>
    <row r="814" spans="6:10" ht="15" customHeight="1">
      <c r="F814"/>
      <c r="G814"/>
      <c r="H814"/>
      <c r="I814"/>
      <c r="J814"/>
    </row>
    <row r="815" spans="6:10" ht="15" customHeight="1">
      <c r="F815"/>
      <c r="G815"/>
      <c r="H815"/>
      <c r="I815"/>
      <c r="J815"/>
    </row>
    <row r="816" spans="6:10" ht="15" customHeight="1">
      <c r="F816"/>
      <c r="G816"/>
      <c r="H816"/>
      <c r="I816"/>
      <c r="J816"/>
    </row>
    <row r="817" spans="6:10" ht="15" customHeight="1">
      <c r="F817"/>
      <c r="G817"/>
      <c r="H817"/>
      <c r="I817"/>
      <c r="J817"/>
    </row>
    <row r="818" spans="6:10" ht="15" customHeight="1">
      <c r="F818"/>
      <c r="G818"/>
      <c r="H818"/>
      <c r="I818"/>
      <c r="J818"/>
    </row>
    <row r="819" spans="6:10" ht="15" customHeight="1">
      <c r="F819"/>
      <c r="G819"/>
      <c r="H819"/>
      <c r="I819"/>
      <c r="J819"/>
    </row>
    <row r="820" spans="6:10" ht="15" customHeight="1">
      <c r="F820"/>
      <c r="G820"/>
      <c r="H820"/>
      <c r="I820"/>
      <c r="J820"/>
    </row>
    <row r="821" spans="6:10" ht="15" customHeight="1">
      <c r="F821"/>
      <c r="G821"/>
      <c r="H821"/>
      <c r="I821"/>
      <c r="J821"/>
    </row>
    <row r="822" spans="6:10" ht="15" customHeight="1">
      <c r="F822"/>
      <c r="G822"/>
      <c r="H822"/>
      <c r="I822"/>
      <c r="J822"/>
    </row>
    <row r="823" spans="6:10" ht="15" customHeight="1">
      <c r="F823"/>
      <c r="G823"/>
      <c r="H823"/>
      <c r="I823"/>
      <c r="J823"/>
    </row>
    <row r="824" spans="6:10" ht="15" customHeight="1">
      <c r="F824"/>
      <c r="G824"/>
      <c r="H824"/>
      <c r="I824"/>
      <c r="J824"/>
    </row>
    <row r="825" spans="6:10" ht="15" customHeight="1">
      <c r="F825"/>
      <c r="G825"/>
      <c r="H825"/>
      <c r="I825"/>
      <c r="J825"/>
    </row>
    <row r="826" spans="6:10" ht="15" customHeight="1">
      <c r="F826"/>
      <c r="G826"/>
      <c r="H826"/>
      <c r="I826"/>
      <c r="J826"/>
    </row>
    <row r="827" spans="6:10" ht="15" customHeight="1">
      <c r="F827"/>
      <c r="G827"/>
      <c r="H827"/>
      <c r="I827"/>
      <c r="J827"/>
    </row>
    <row r="828" spans="6:10" ht="15" customHeight="1">
      <c r="F828"/>
      <c r="G828"/>
      <c r="H828"/>
      <c r="I828"/>
      <c r="J828"/>
    </row>
    <row r="829" spans="6:10" ht="15" customHeight="1">
      <c r="F829"/>
      <c r="G829"/>
      <c r="H829"/>
      <c r="I829"/>
      <c r="J829"/>
    </row>
    <row r="830" spans="6:10" ht="15" customHeight="1">
      <c r="F830"/>
      <c r="G830"/>
      <c r="H830"/>
      <c r="I830"/>
      <c r="J830"/>
    </row>
    <row r="831" spans="6:10" ht="15" customHeight="1">
      <c r="F831"/>
      <c r="G831"/>
      <c r="H831"/>
      <c r="I831"/>
      <c r="J831"/>
    </row>
    <row r="832" spans="6:10" ht="15" customHeight="1">
      <c r="F832"/>
      <c r="G832"/>
      <c r="H832"/>
      <c r="I832"/>
      <c r="J832"/>
    </row>
    <row r="833" spans="6:10" ht="15" customHeight="1">
      <c r="F833"/>
      <c r="G833"/>
      <c r="H833"/>
      <c r="I833"/>
      <c r="J833"/>
    </row>
    <row r="834" spans="6:10" ht="15" customHeight="1">
      <c r="F834"/>
      <c r="G834"/>
      <c r="H834"/>
      <c r="I834"/>
      <c r="J834"/>
    </row>
    <row r="835" spans="6:10" ht="15" customHeight="1">
      <c r="F835"/>
      <c r="G835"/>
      <c r="H835"/>
      <c r="I835"/>
      <c r="J835"/>
    </row>
    <row r="836" spans="6:10" ht="15" customHeight="1">
      <c r="F836"/>
      <c r="G836"/>
      <c r="H836"/>
      <c r="I836"/>
      <c r="J836"/>
    </row>
    <row r="837" spans="6:10" ht="15" customHeight="1">
      <c r="F837"/>
      <c r="G837"/>
      <c r="H837"/>
      <c r="I837"/>
      <c r="J837"/>
    </row>
    <row r="838" spans="6:10" ht="15" customHeight="1">
      <c r="F838"/>
      <c r="G838"/>
      <c r="H838"/>
      <c r="I838"/>
      <c r="J838"/>
    </row>
    <row r="839" spans="6:10" ht="15" customHeight="1">
      <c r="F839"/>
      <c r="G839"/>
      <c r="H839"/>
      <c r="I839"/>
      <c r="J839"/>
    </row>
    <row r="840" spans="6:10" ht="15" customHeight="1">
      <c r="F840"/>
      <c r="G840"/>
      <c r="H840"/>
      <c r="I840"/>
      <c r="J840"/>
    </row>
    <row r="841" spans="6:10" ht="15" customHeight="1">
      <c r="F841"/>
      <c r="G841"/>
      <c r="H841"/>
      <c r="I841"/>
      <c r="J841"/>
    </row>
    <row r="842" spans="6:10" ht="15" customHeight="1">
      <c r="F842"/>
      <c r="G842"/>
      <c r="H842"/>
      <c r="I842"/>
      <c r="J842"/>
    </row>
    <row r="843" spans="6:10" ht="15" customHeight="1">
      <c r="F843"/>
      <c r="G843"/>
      <c r="H843"/>
      <c r="I843"/>
      <c r="J843"/>
    </row>
    <row r="844" spans="6:10" ht="15" customHeight="1">
      <c r="F844"/>
      <c r="G844"/>
      <c r="H844"/>
      <c r="I844"/>
      <c r="J844"/>
    </row>
    <row r="845" spans="6:10" ht="15" customHeight="1">
      <c r="F845"/>
      <c r="G845"/>
      <c r="H845"/>
      <c r="I845"/>
      <c r="J845"/>
    </row>
    <row r="846" spans="6:10" ht="15" customHeight="1">
      <c r="F846"/>
      <c r="G846"/>
      <c r="H846"/>
      <c r="I846"/>
      <c r="J846"/>
    </row>
    <row r="847" spans="6:10" ht="15" customHeight="1">
      <c r="F847"/>
      <c r="G847"/>
      <c r="H847"/>
      <c r="I847"/>
      <c r="J847"/>
    </row>
    <row r="848" spans="6:10" ht="15" customHeight="1">
      <c r="F848"/>
      <c r="G848"/>
      <c r="H848"/>
      <c r="I848"/>
      <c r="J848"/>
    </row>
    <row r="849" spans="6:10" ht="15" customHeight="1">
      <c r="F849"/>
      <c r="G849"/>
      <c r="H849"/>
      <c r="I849"/>
      <c r="J849"/>
    </row>
    <row r="850" spans="6:10" ht="15" customHeight="1">
      <c r="F850"/>
      <c r="G850"/>
      <c r="H850"/>
      <c r="I850"/>
      <c r="J850"/>
    </row>
    <row r="851" spans="6:10" ht="15" customHeight="1">
      <c r="F851"/>
      <c r="G851"/>
      <c r="H851"/>
      <c r="I851"/>
      <c r="J851"/>
    </row>
    <row r="852" spans="6:10" ht="15" customHeight="1">
      <c r="F852"/>
      <c r="G852"/>
      <c r="H852"/>
      <c r="I852"/>
      <c r="J852"/>
    </row>
    <row r="853" spans="6:10" ht="15" customHeight="1">
      <c r="F853"/>
      <c r="G853"/>
      <c r="H853"/>
      <c r="I853"/>
      <c r="J853"/>
    </row>
    <row r="854" spans="6:10" ht="15" customHeight="1">
      <c r="F854"/>
      <c r="G854"/>
      <c r="H854"/>
      <c r="I854"/>
      <c r="J854"/>
    </row>
    <row r="855" spans="6:10" ht="15" customHeight="1">
      <c r="F855"/>
      <c r="G855"/>
      <c r="H855"/>
      <c r="I855"/>
      <c r="J855"/>
    </row>
    <row r="856" spans="6:10" ht="15" customHeight="1">
      <c r="F856"/>
      <c r="G856"/>
      <c r="H856"/>
      <c r="I856"/>
      <c r="J856"/>
    </row>
    <row r="857" spans="6:10" ht="15" customHeight="1">
      <c r="F857"/>
      <c r="G857"/>
      <c r="H857"/>
      <c r="I857"/>
      <c r="J857"/>
    </row>
    <row r="858" spans="6:10" ht="15" customHeight="1">
      <c r="F858"/>
      <c r="G858"/>
      <c r="H858"/>
      <c r="I858"/>
      <c r="J858"/>
    </row>
    <row r="859" spans="6:10" ht="15" customHeight="1">
      <c r="F859"/>
      <c r="G859"/>
      <c r="H859"/>
      <c r="I859"/>
      <c r="J859"/>
    </row>
    <row r="860" spans="6:10" ht="15" customHeight="1">
      <c r="F860"/>
      <c r="G860"/>
      <c r="H860"/>
      <c r="I860"/>
      <c r="J860"/>
    </row>
    <row r="861" spans="6:10" ht="15" customHeight="1">
      <c r="F861"/>
      <c r="G861"/>
      <c r="H861"/>
      <c r="I861"/>
      <c r="J861"/>
    </row>
    <row r="862" spans="6:10" ht="15" customHeight="1">
      <c r="F862"/>
      <c r="G862"/>
      <c r="H862"/>
      <c r="I862"/>
      <c r="J862"/>
    </row>
    <row r="863" spans="6:10" ht="15" customHeight="1">
      <c r="F863"/>
      <c r="G863"/>
      <c r="H863"/>
      <c r="I863"/>
      <c r="J863"/>
    </row>
    <row r="864" spans="6:10" ht="15" customHeight="1">
      <c r="F864"/>
      <c r="G864"/>
      <c r="H864"/>
      <c r="I864"/>
      <c r="J864"/>
    </row>
    <row r="865" spans="6:10" ht="15" customHeight="1">
      <c r="F865"/>
      <c r="G865"/>
      <c r="H865"/>
      <c r="I865"/>
      <c r="J865"/>
    </row>
    <row r="866" spans="6:10" ht="15" customHeight="1">
      <c r="F866"/>
      <c r="G866"/>
      <c r="H866"/>
      <c r="I866"/>
      <c r="J866"/>
    </row>
    <row r="867" spans="6:10" ht="15" customHeight="1">
      <c r="F867"/>
      <c r="G867"/>
      <c r="H867"/>
      <c r="I867"/>
      <c r="J867"/>
    </row>
    <row r="868" spans="6:10" ht="15" customHeight="1">
      <c r="F868"/>
      <c r="G868"/>
      <c r="H868"/>
      <c r="I868"/>
      <c r="J868"/>
    </row>
    <row r="869" spans="6:10" ht="15" customHeight="1">
      <c r="F869"/>
      <c r="G869"/>
      <c r="H869"/>
      <c r="I869"/>
      <c r="J869"/>
    </row>
    <row r="870" spans="6:10" ht="15" customHeight="1">
      <c r="F870"/>
      <c r="G870"/>
      <c r="H870"/>
      <c r="I870"/>
      <c r="J870"/>
    </row>
    <row r="871" spans="6:10" ht="15" customHeight="1">
      <c r="F871"/>
      <c r="G871"/>
      <c r="H871"/>
      <c r="I871"/>
      <c r="J871"/>
    </row>
    <row r="872" spans="6:10" ht="15" customHeight="1">
      <c r="F872"/>
      <c r="G872"/>
      <c r="H872"/>
      <c r="I872"/>
      <c r="J872"/>
    </row>
    <row r="873" spans="6:10" ht="15" customHeight="1">
      <c r="F873"/>
      <c r="G873"/>
      <c r="H873"/>
      <c r="I873"/>
      <c r="J873"/>
    </row>
    <row r="874" spans="6:10" ht="15" customHeight="1">
      <c r="F874"/>
      <c r="G874"/>
      <c r="H874"/>
      <c r="I874"/>
      <c r="J874"/>
    </row>
    <row r="875" spans="6:10" ht="15" customHeight="1">
      <c r="F875"/>
      <c r="G875"/>
      <c r="H875"/>
      <c r="I875"/>
      <c r="J875"/>
    </row>
    <row r="876" spans="6:10" ht="15" customHeight="1">
      <c r="F876"/>
      <c r="G876"/>
      <c r="H876"/>
      <c r="I876"/>
      <c r="J876"/>
    </row>
    <row r="877" spans="6:10" ht="15" customHeight="1">
      <c r="F877"/>
      <c r="G877"/>
      <c r="H877"/>
      <c r="I877"/>
      <c r="J877"/>
    </row>
    <row r="878" spans="6:10" ht="15" customHeight="1">
      <c r="F878"/>
      <c r="G878"/>
      <c r="H878"/>
      <c r="I878"/>
      <c r="J878"/>
    </row>
    <row r="879" spans="6:10" ht="15" customHeight="1">
      <c r="F879"/>
      <c r="G879"/>
      <c r="H879"/>
      <c r="I879"/>
      <c r="J879"/>
    </row>
    <row r="880" spans="6:10" ht="15" customHeight="1">
      <c r="F880"/>
      <c r="G880"/>
      <c r="H880"/>
      <c r="I880"/>
      <c r="J880"/>
    </row>
    <row r="881" spans="6:10" ht="15" customHeight="1">
      <c r="F881"/>
      <c r="G881"/>
      <c r="H881"/>
      <c r="I881"/>
      <c r="J881"/>
    </row>
    <row r="882" spans="6:10" ht="15" customHeight="1">
      <c r="F882"/>
      <c r="G882"/>
      <c r="H882"/>
      <c r="I882"/>
      <c r="J882"/>
    </row>
    <row r="883" spans="6:10" ht="15" customHeight="1">
      <c r="F883"/>
      <c r="G883"/>
      <c r="H883"/>
      <c r="I883"/>
      <c r="J883"/>
    </row>
    <row r="884" spans="6:10" ht="15" customHeight="1">
      <c r="F884"/>
      <c r="G884"/>
      <c r="H884"/>
      <c r="I884"/>
      <c r="J884"/>
    </row>
    <row r="885" spans="6:10" ht="15" customHeight="1">
      <c r="F885"/>
      <c r="G885"/>
      <c r="H885"/>
      <c r="I885"/>
      <c r="J885"/>
    </row>
    <row r="886" spans="6:10" ht="15" customHeight="1">
      <c r="F886"/>
      <c r="G886"/>
      <c r="H886"/>
      <c r="I886"/>
      <c r="J886"/>
    </row>
    <row r="887" spans="6:10" ht="15" customHeight="1">
      <c r="F887"/>
      <c r="G887"/>
      <c r="H887"/>
      <c r="I887"/>
      <c r="J887"/>
    </row>
    <row r="888" spans="6:10" ht="15" customHeight="1">
      <c r="F888"/>
      <c r="G888"/>
      <c r="H888"/>
      <c r="I888"/>
      <c r="J888"/>
    </row>
    <row r="889" spans="6:10" ht="15" customHeight="1">
      <c r="F889"/>
      <c r="G889"/>
      <c r="H889"/>
      <c r="I889"/>
      <c r="J889"/>
    </row>
    <row r="890" spans="6:10" ht="15" customHeight="1">
      <c r="F890"/>
      <c r="G890"/>
      <c r="H890"/>
      <c r="I890"/>
      <c r="J890"/>
    </row>
    <row r="891" spans="6:10" ht="15" customHeight="1">
      <c r="F891"/>
      <c r="G891"/>
      <c r="H891"/>
      <c r="I891"/>
      <c r="J891"/>
    </row>
    <row r="892" spans="6:10" ht="15" customHeight="1">
      <c r="F892"/>
      <c r="G892"/>
      <c r="H892"/>
      <c r="I892"/>
      <c r="J892"/>
    </row>
    <row r="893" spans="6:10" ht="15" customHeight="1">
      <c r="F893"/>
      <c r="G893"/>
      <c r="H893"/>
      <c r="I893"/>
      <c r="J893"/>
    </row>
    <row r="894" spans="6:10" ht="15" customHeight="1">
      <c r="F894"/>
      <c r="G894"/>
      <c r="H894"/>
      <c r="I894"/>
      <c r="J894"/>
    </row>
    <row r="895" spans="6:10" ht="15" customHeight="1">
      <c r="F895"/>
      <c r="G895"/>
      <c r="H895"/>
      <c r="I895"/>
      <c r="J895"/>
    </row>
    <row r="896" spans="6:10" ht="15" customHeight="1">
      <c r="F896"/>
      <c r="G896"/>
      <c r="H896"/>
      <c r="I896"/>
      <c r="J896"/>
    </row>
    <row r="897" spans="6:10" ht="15" customHeight="1">
      <c r="F897"/>
      <c r="G897"/>
      <c r="H897"/>
      <c r="I897"/>
      <c r="J897"/>
    </row>
    <row r="898" spans="6:10" ht="15" customHeight="1">
      <c r="F898"/>
      <c r="G898"/>
      <c r="H898"/>
      <c r="I898"/>
      <c r="J898"/>
    </row>
    <row r="899" spans="6:10" ht="15" customHeight="1">
      <c r="F899"/>
      <c r="G899"/>
      <c r="H899"/>
      <c r="I899"/>
      <c r="J899"/>
    </row>
    <row r="900" spans="6:10" ht="15" customHeight="1">
      <c r="F900"/>
      <c r="G900"/>
      <c r="H900"/>
      <c r="I900"/>
      <c r="J900"/>
    </row>
    <row r="901" spans="6:10" ht="15" customHeight="1">
      <c r="F901"/>
      <c r="G901"/>
      <c r="H901"/>
      <c r="I901"/>
      <c r="J901"/>
    </row>
    <row r="902" spans="6:10" ht="15" customHeight="1">
      <c r="F902"/>
      <c r="G902"/>
      <c r="H902"/>
      <c r="I902"/>
      <c r="J902"/>
    </row>
    <row r="903" spans="6:10" ht="15" customHeight="1">
      <c r="F903"/>
      <c r="G903"/>
      <c r="H903"/>
      <c r="I903"/>
      <c r="J903"/>
    </row>
    <row r="904" spans="6:10" ht="15" customHeight="1">
      <c r="F904"/>
      <c r="G904"/>
      <c r="H904"/>
      <c r="I904"/>
      <c r="J904"/>
    </row>
    <row r="905" spans="6:10" ht="15" customHeight="1">
      <c r="F905"/>
      <c r="G905"/>
      <c r="H905"/>
      <c r="I905"/>
      <c r="J905"/>
    </row>
    <row r="906" spans="6:10" ht="15" customHeight="1">
      <c r="F906"/>
      <c r="G906"/>
      <c r="H906"/>
      <c r="I906"/>
      <c r="J906"/>
    </row>
    <row r="907" spans="6:10" ht="15" customHeight="1">
      <c r="F907"/>
      <c r="G907"/>
      <c r="H907"/>
      <c r="I907"/>
      <c r="J907"/>
    </row>
    <row r="908" spans="6:10" ht="15" customHeight="1">
      <c r="F908"/>
      <c r="G908"/>
      <c r="H908"/>
      <c r="I908"/>
      <c r="J908"/>
    </row>
    <row r="909" spans="6:10" ht="15" customHeight="1">
      <c r="F909"/>
      <c r="G909"/>
      <c r="H909"/>
      <c r="I909"/>
      <c r="J909"/>
    </row>
    <row r="910" spans="6:10" ht="15" customHeight="1">
      <c r="F910"/>
      <c r="G910"/>
      <c r="H910"/>
      <c r="I910"/>
      <c r="J910"/>
    </row>
    <row r="911" spans="6:10" ht="15" customHeight="1">
      <c r="F911"/>
      <c r="G911"/>
      <c r="H911"/>
      <c r="I911"/>
      <c r="J911"/>
    </row>
    <row r="912" spans="6:10" ht="15" customHeight="1">
      <c r="F912"/>
      <c r="G912"/>
      <c r="H912"/>
      <c r="I912"/>
      <c r="J912"/>
    </row>
    <row r="913" spans="6:10" ht="15" customHeight="1">
      <c r="F913"/>
      <c r="G913"/>
      <c r="H913"/>
      <c r="I913"/>
      <c r="J913"/>
    </row>
    <row r="914" spans="6:10" ht="15" customHeight="1">
      <c r="F914"/>
      <c r="G914"/>
      <c r="H914"/>
      <c r="I914"/>
      <c r="J914"/>
    </row>
    <row r="915" spans="6:10" ht="15" customHeight="1">
      <c r="F915"/>
      <c r="G915"/>
      <c r="H915"/>
      <c r="I915"/>
      <c r="J915"/>
    </row>
    <row r="916" spans="6:10" ht="15" customHeight="1">
      <c r="F916"/>
      <c r="G916"/>
      <c r="H916"/>
      <c r="I916"/>
      <c r="J916"/>
    </row>
    <row r="917" spans="6:10" ht="15" customHeight="1">
      <c r="F917"/>
      <c r="G917"/>
      <c r="H917"/>
      <c r="I917"/>
      <c r="J917"/>
    </row>
    <row r="918" spans="6:10" ht="15" customHeight="1">
      <c r="F918"/>
      <c r="G918"/>
      <c r="H918"/>
      <c r="I918"/>
      <c r="J918"/>
    </row>
    <row r="919" spans="6:10" ht="15" customHeight="1">
      <c r="F919"/>
      <c r="G919"/>
      <c r="H919"/>
      <c r="I919"/>
      <c r="J919"/>
    </row>
    <row r="920" spans="6:10" ht="15" customHeight="1">
      <c r="F920"/>
      <c r="G920"/>
      <c r="H920"/>
      <c r="I920"/>
      <c r="J920"/>
    </row>
    <row r="921" spans="6:10" ht="15" customHeight="1">
      <c r="F921"/>
      <c r="G921"/>
      <c r="H921"/>
      <c r="I921"/>
      <c r="J921"/>
    </row>
    <row r="922" spans="6:10" ht="15" customHeight="1">
      <c r="F922"/>
      <c r="G922"/>
      <c r="H922"/>
      <c r="I922"/>
      <c r="J922"/>
    </row>
    <row r="923" spans="6:10" ht="15" customHeight="1">
      <c r="F923"/>
      <c r="G923"/>
      <c r="H923"/>
      <c r="I923"/>
      <c r="J923"/>
    </row>
    <row r="924" spans="6:10" ht="15" customHeight="1">
      <c r="F924"/>
      <c r="G924"/>
      <c r="H924"/>
      <c r="I924"/>
      <c r="J924"/>
    </row>
    <row r="925" spans="6:10" ht="15" customHeight="1">
      <c r="F925"/>
      <c r="G925"/>
      <c r="H925"/>
      <c r="I925"/>
      <c r="J925"/>
    </row>
    <row r="926" spans="6:10" ht="15" customHeight="1">
      <c r="F926"/>
      <c r="G926"/>
      <c r="H926"/>
      <c r="I926"/>
      <c r="J926"/>
    </row>
    <row r="927" spans="6:10" ht="15" customHeight="1">
      <c r="F927"/>
      <c r="G927"/>
      <c r="H927"/>
      <c r="I927"/>
      <c r="J927"/>
    </row>
    <row r="928" spans="6:10" ht="15" customHeight="1">
      <c r="F928"/>
      <c r="G928"/>
      <c r="H928"/>
      <c r="I928"/>
      <c r="J928"/>
    </row>
    <row r="929" spans="6:10" ht="15" customHeight="1">
      <c r="F929"/>
      <c r="G929"/>
      <c r="H929"/>
      <c r="I929"/>
      <c r="J929"/>
    </row>
    <row r="930" spans="6:10" ht="15" customHeight="1">
      <c r="F930"/>
      <c r="G930"/>
      <c r="H930"/>
      <c r="I930"/>
      <c r="J930"/>
    </row>
    <row r="931" spans="6:10" ht="15" customHeight="1">
      <c r="F931"/>
      <c r="G931"/>
      <c r="H931"/>
      <c r="I931"/>
      <c r="J931"/>
    </row>
    <row r="932" spans="6:10" ht="15" customHeight="1">
      <c r="F932"/>
      <c r="G932"/>
      <c r="H932"/>
      <c r="I932"/>
      <c r="J932"/>
    </row>
    <row r="933" spans="6:10" ht="15" customHeight="1">
      <c r="F933"/>
      <c r="G933"/>
      <c r="H933"/>
      <c r="I933"/>
      <c r="J933"/>
    </row>
    <row r="934" spans="6:10" ht="15" customHeight="1">
      <c r="F934"/>
      <c r="G934"/>
      <c r="H934"/>
      <c r="I934"/>
      <c r="J934"/>
    </row>
    <row r="935" spans="6:10" ht="15" customHeight="1">
      <c r="F935"/>
      <c r="G935"/>
      <c r="H935"/>
      <c r="I935"/>
      <c r="J935"/>
    </row>
    <row r="936" spans="6:10" ht="15" customHeight="1">
      <c r="F936"/>
      <c r="G936"/>
      <c r="H936"/>
      <c r="I936"/>
      <c r="J936"/>
    </row>
    <row r="937" spans="6:10" ht="15" customHeight="1">
      <c r="F937"/>
      <c r="G937"/>
      <c r="H937"/>
      <c r="I937"/>
      <c r="J937"/>
    </row>
    <row r="938" spans="6:10" ht="15" customHeight="1">
      <c r="F938"/>
      <c r="G938"/>
      <c r="H938"/>
      <c r="I938"/>
      <c r="J938"/>
    </row>
    <row r="939" spans="6:10" ht="15" customHeight="1">
      <c r="F939"/>
      <c r="G939"/>
      <c r="H939"/>
      <c r="I939"/>
      <c r="J939"/>
    </row>
    <row r="940" spans="6:10" ht="15" customHeight="1">
      <c r="F940"/>
      <c r="G940"/>
      <c r="H940"/>
      <c r="I940"/>
      <c r="J940"/>
    </row>
    <row r="941" spans="6:10" ht="15" customHeight="1">
      <c r="F941"/>
      <c r="G941"/>
      <c r="H941"/>
      <c r="I941"/>
      <c r="J941"/>
    </row>
    <row r="942" spans="6:10" ht="15" customHeight="1">
      <c r="F942"/>
      <c r="G942"/>
      <c r="H942"/>
      <c r="I942"/>
      <c r="J942"/>
    </row>
    <row r="943" spans="6:10" ht="15" customHeight="1">
      <c r="F943"/>
      <c r="G943"/>
      <c r="H943"/>
      <c r="I943"/>
      <c r="J943"/>
    </row>
    <row r="944" spans="6:10" ht="15" customHeight="1">
      <c r="F944"/>
      <c r="G944"/>
      <c r="H944"/>
      <c r="I944"/>
      <c r="J944"/>
    </row>
    <row r="945" spans="6:10" ht="15" customHeight="1">
      <c r="F945"/>
      <c r="G945"/>
      <c r="H945"/>
      <c r="I945"/>
      <c r="J945"/>
    </row>
    <row r="946" spans="6:10" ht="15" customHeight="1">
      <c r="F946"/>
      <c r="G946"/>
      <c r="H946"/>
      <c r="I946"/>
      <c r="J946"/>
    </row>
    <row r="947" spans="6:10" ht="15" customHeight="1">
      <c r="F947"/>
      <c r="G947"/>
      <c r="H947"/>
      <c r="I947"/>
      <c r="J947"/>
    </row>
    <row r="948" spans="6:10" ht="15" customHeight="1">
      <c r="F948"/>
      <c r="G948"/>
      <c r="H948"/>
      <c r="I948"/>
      <c r="J948"/>
    </row>
    <row r="949" spans="6:10" ht="15" customHeight="1">
      <c r="F949"/>
      <c r="G949"/>
      <c r="H949"/>
      <c r="I949"/>
      <c r="J949"/>
    </row>
    <row r="950" spans="6:10" ht="15" customHeight="1">
      <c r="F950"/>
      <c r="G950"/>
      <c r="H950"/>
      <c r="I950"/>
      <c r="J950"/>
    </row>
    <row r="951" spans="6:10" ht="15" customHeight="1">
      <c r="F951"/>
      <c r="G951"/>
      <c r="H951"/>
      <c r="I951"/>
      <c r="J951"/>
    </row>
    <row r="952" spans="6:10" ht="15" customHeight="1">
      <c r="F952"/>
      <c r="G952"/>
      <c r="H952"/>
      <c r="I952"/>
      <c r="J952"/>
    </row>
    <row r="953" spans="6:10" ht="15" customHeight="1">
      <c r="F953"/>
      <c r="G953"/>
      <c r="H953"/>
      <c r="I953"/>
      <c r="J953"/>
    </row>
    <row r="954" spans="6:10" ht="15" customHeight="1">
      <c r="F954"/>
      <c r="G954"/>
      <c r="H954"/>
      <c r="I954"/>
      <c r="J954"/>
    </row>
    <row r="955" spans="6:10" ht="15" customHeight="1">
      <c r="F955"/>
      <c r="G955"/>
      <c r="H955"/>
      <c r="I955"/>
      <c r="J955"/>
    </row>
    <row r="956" spans="6:10" ht="15" customHeight="1">
      <c r="F956"/>
      <c r="G956"/>
      <c r="H956"/>
      <c r="I956"/>
      <c r="J956"/>
    </row>
    <row r="957" spans="6:10" ht="15" customHeight="1">
      <c r="F957"/>
      <c r="G957"/>
      <c r="H957"/>
      <c r="I957"/>
      <c r="J957"/>
    </row>
    <row r="958" spans="6:10" ht="15" customHeight="1">
      <c r="F958"/>
      <c r="G958"/>
      <c r="H958"/>
      <c r="I958"/>
      <c r="J958"/>
    </row>
    <row r="959" spans="6:10" ht="15" customHeight="1">
      <c r="F959"/>
      <c r="G959"/>
      <c r="H959"/>
      <c r="I959"/>
      <c r="J959"/>
    </row>
    <row r="960" spans="6:10" ht="15" customHeight="1">
      <c r="F960"/>
      <c r="G960"/>
      <c r="H960"/>
      <c r="I960"/>
      <c r="J960"/>
    </row>
    <row r="961" spans="6:10" ht="15" customHeight="1">
      <c r="F961"/>
      <c r="G961"/>
      <c r="H961"/>
      <c r="I961"/>
      <c r="J961"/>
    </row>
    <row r="962" spans="6:10" ht="15" customHeight="1">
      <c r="F962"/>
      <c r="G962"/>
      <c r="H962"/>
      <c r="I962"/>
      <c r="J962"/>
    </row>
    <row r="963" spans="6:10" ht="15" customHeight="1">
      <c r="F963"/>
      <c r="G963"/>
      <c r="H963"/>
      <c r="I963"/>
      <c r="J963"/>
    </row>
    <row r="964" spans="6:10" ht="15" customHeight="1">
      <c r="F964"/>
      <c r="G964"/>
      <c r="H964"/>
      <c r="I964"/>
      <c r="J964"/>
    </row>
    <row r="965" spans="6:10" ht="15" customHeight="1">
      <c r="F965"/>
      <c r="G965"/>
      <c r="H965"/>
      <c r="I965"/>
      <c r="J965"/>
    </row>
    <row r="966" spans="6:10" ht="15" customHeight="1">
      <c r="F966"/>
      <c r="G966"/>
      <c r="H966"/>
      <c r="I966"/>
      <c r="J966"/>
    </row>
    <row r="967" spans="6:10" ht="15" customHeight="1">
      <c r="F967"/>
      <c r="G967"/>
      <c r="H967"/>
      <c r="I967"/>
      <c r="J967"/>
    </row>
    <row r="968" spans="6:10" ht="15" customHeight="1">
      <c r="F968"/>
      <c r="G968"/>
      <c r="H968"/>
      <c r="I968"/>
      <c r="J968"/>
    </row>
    <row r="969" spans="6:10" ht="15" customHeight="1">
      <c r="F969"/>
      <c r="G969"/>
      <c r="H969"/>
      <c r="I969"/>
      <c r="J969"/>
    </row>
    <row r="970" spans="6:10" ht="15" customHeight="1">
      <c r="F970"/>
      <c r="G970"/>
      <c r="H970"/>
      <c r="I970"/>
      <c r="J970"/>
    </row>
    <row r="971" spans="6:10" ht="15" customHeight="1">
      <c r="F971"/>
      <c r="G971"/>
      <c r="H971"/>
      <c r="I971"/>
      <c r="J971"/>
    </row>
    <row r="972" spans="6:10" ht="15" customHeight="1">
      <c r="F972"/>
      <c r="G972"/>
      <c r="H972"/>
      <c r="I972"/>
      <c r="J972"/>
    </row>
    <row r="973" spans="6:10" ht="15" customHeight="1">
      <c r="F973"/>
      <c r="G973"/>
      <c r="H973"/>
      <c r="I973"/>
      <c r="J973"/>
    </row>
    <row r="974" spans="6:10" ht="15" customHeight="1">
      <c r="F974"/>
      <c r="G974"/>
      <c r="H974"/>
      <c r="I974"/>
      <c r="J974"/>
    </row>
    <row r="975" spans="6:10" ht="15" customHeight="1">
      <c r="F975"/>
      <c r="G975"/>
      <c r="H975"/>
      <c r="I975"/>
      <c r="J975"/>
    </row>
    <row r="976" spans="6:10" ht="15" customHeight="1">
      <c r="F976"/>
      <c r="G976"/>
      <c r="H976"/>
      <c r="I976"/>
      <c r="J976"/>
    </row>
    <row r="977" spans="6:10" ht="15" customHeight="1">
      <c r="F977"/>
      <c r="G977"/>
      <c r="H977"/>
      <c r="I977"/>
      <c r="J977"/>
    </row>
    <row r="978" spans="6:10" ht="15" customHeight="1">
      <c r="F978"/>
      <c r="G978"/>
      <c r="H978"/>
      <c r="I978"/>
      <c r="J978"/>
    </row>
    <row r="979" spans="6:10" ht="15" customHeight="1">
      <c r="F979"/>
      <c r="G979"/>
      <c r="H979"/>
      <c r="I979"/>
      <c r="J979"/>
    </row>
    <row r="980" spans="6:10" ht="15" customHeight="1">
      <c r="F980"/>
      <c r="G980"/>
      <c r="H980"/>
      <c r="I980"/>
      <c r="J980"/>
    </row>
    <row r="981" spans="6:10" ht="15" customHeight="1">
      <c r="F981"/>
      <c r="G981"/>
      <c r="H981"/>
      <c r="I981"/>
      <c r="J981"/>
    </row>
    <row r="982" spans="6:10" ht="15" customHeight="1">
      <c r="F982"/>
      <c r="G982"/>
      <c r="H982"/>
      <c r="I982"/>
      <c r="J982"/>
    </row>
    <row r="983" spans="6:10" ht="15" customHeight="1">
      <c r="F983"/>
      <c r="G983"/>
      <c r="H983"/>
      <c r="I983"/>
      <c r="J983"/>
    </row>
    <row r="984" spans="6:10" ht="15" customHeight="1">
      <c r="F984"/>
      <c r="G984"/>
      <c r="H984"/>
      <c r="I984"/>
      <c r="J984"/>
    </row>
    <row r="985" spans="6:10" ht="15" customHeight="1">
      <c r="F985"/>
      <c r="G985"/>
      <c r="H985"/>
      <c r="I985"/>
      <c r="J985"/>
    </row>
    <row r="986" spans="6:10" ht="15" customHeight="1">
      <c r="F986"/>
      <c r="G986"/>
      <c r="H986"/>
      <c r="I986"/>
      <c r="J986"/>
    </row>
    <row r="987" spans="6:10" ht="15" customHeight="1">
      <c r="F987"/>
      <c r="G987"/>
      <c r="H987"/>
      <c r="I987"/>
      <c r="J987"/>
    </row>
    <row r="988" spans="6:10" ht="15" customHeight="1">
      <c r="F988"/>
      <c r="G988"/>
      <c r="H988"/>
      <c r="I988"/>
      <c r="J988"/>
    </row>
    <row r="989" spans="6:10" ht="15" customHeight="1">
      <c r="F989"/>
      <c r="G989"/>
      <c r="H989"/>
      <c r="I989"/>
      <c r="J989"/>
    </row>
  </sheetData>
  <autoFilter ref="A5:AT74" xr:uid="{45D2CCA3-5998-48E6-8091-F8AF336A27AC}"/>
  <mergeCells count="19">
    <mergeCell ref="AL3:AN3"/>
    <mergeCell ref="AO3:AS3"/>
    <mergeCell ref="AT3:AT5"/>
    <mergeCell ref="B2:B5"/>
    <mergeCell ref="C2:C5"/>
    <mergeCell ref="D2:D5"/>
    <mergeCell ref="E2:E5"/>
    <mergeCell ref="F2:AT2"/>
    <mergeCell ref="F3:M3"/>
    <mergeCell ref="Q3:S3"/>
    <mergeCell ref="T3:V3"/>
    <mergeCell ref="W3:Y3"/>
    <mergeCell ref="Z3:AB3"/>
    <mergeCell ref="N3:P3"/>
    <mergeCell ref="AC3:AE3"/>
    <mergeCell ref="AF3:AH3"/>
    <mergeCell ref="AI3:AK3"/>
    <mergeCell ref="B6:B73"/>
    <mergeCell ref="F4:K4"/>
  </mergeCells>
  <hyperlinks>
    <hyperlink ref="F6" r:id="rId1" display="COTIZACIONES\FE2428.pdf" xr:uid="{1D12BFC5-C100-461F-A995-E3874A5F02F0}"/>
    <hyperlink ref="F12" r:id="rId2" display="COTIZACIONES\FE2436.pdf" xr:uid="{067BC6E1-5918-4F45-9267-51D7E8640D91}"/>
    <hyperlink ref="F16" r:id="rId3" display="COTIZACIONES\FE2436.pdf" xr:uid="{0A88ECA8-D9CE-4108-827F-D9AF6B11BBE6}"/>
    <hyperlink ref="F39" r:id="rId4" display="COTIZACIONES\FE2436.pdf" xr:uid="{24942671-814B-40DF-9CCD-EB6588749379}"/>
    <hyperlink ref="F7" r:id="rId5" display="COTIZACIONES\FE2425.pdf" xr:uid="{CABDF534-F45C-428F-86C4-BE3122A4F6CA}"/>
    <hyperlink ref="F34" r:id="rId6" display="COTIZACIONES\FE2425.pdf" xr:uid="{0D43B7C0-F374-4FFE-B2A3-566F1061FE47}"/>
    <hyperlink ref="F40" r:id="rId7" display="COTIZACIONES\FE2429.pdf" xr:uid="{7E5707A1-1457-483C-ADFA-85612B5166EE}"/>
    <hyperlink ref="F50" r:id="rId8" display="COTIZACIONES\FE2429.pdf" xr:uid="{8A782F8F-B438-461E-838B-7716C7DFCA00}"/>
    <hyperlink ref="F51" r:id="rId9" display="COTIZACIONES\FE2429.pdf" xr:uid="{6525CFBF-8EAD-40E4-8B78-E08F0FCE9AA7}"/>
    <hyperlink ref="F42" r:id="rId10" display="COTIZACIONES\FE2433.pdf" xr:uid="{E1419394-C3EC-4F0F-88D2-5C1F6785AE60}"/>
    <hyperlink ref="F44" r:id="rId11" display="COTIZACIONES\FE2433.pdf" xr:uid="{9BC4B98F-F091-439D-B456-03512428289B}"/>
    <hyperlink ref="F55" r:id="rId12" display="COTIZACIONES\FEV8353.pdf" xr:uid="{1D9F6964-FB88-45AE-A5AE-F6DB32C3095D}"/>
    <hyperlink ref="F31" r:id="rId13" display="../../../../../../../:b:/g/personal/42828314_medellin_gov_co/EZadYFxNY7ZEoR5msYMPruUBzpnZJ6KxizAWu21uGXkO7A?e=wEQjsR" xr:uid="{5E315CC4-7ED2-4688-9070-DD579BE2C1B3}"/>
    <hyperlink ref="F65" r:id="rId14" display="../../../../../../../:b:/g/personal/42828314_medellin_gov_co/EecTDFrFJs9JtSC025L3g70BrlC6S6jE2RtW8DXTpP8JvA?e=Jjnr1x" xr:uid="{79433D1E-EA99-4025-B16A-29849CC4B2A7}"/>
    <hyperlink ref="F73" r:id="rId15" display="COTIZACIONES\FE2402.pdf" xr:uid="{483C286B-0141-4C02-98CE-7E6031F09B5E}"/>
    <hyperlink ref="F43" r:id="rId16" display="COTIZACIONES\FE2428.pdf" xr:uid="{0F3C626F-D38E-4D7E-974D-5962129455E3}"/>
    <hyperlink ref="F46" r:id="rId17" display="COTIZACIONES\FE2428.pdf" xr:uid="{657E61A6-5031-41E8-BC4E-23E390C75A95}"/>
    <hyperlink ref="F48" r:id="rId18" display="COTIZACIONES\FE2428.pdf" xr:uid="{DBFEF896-6EBB-4EDA-AB4B-6205F7C64AA2}"/>
    <hyperlink ref="F64" r:id="rId19" display="COTIZACIONES\FE2428.pdf" xr:uid="{C860E734-0CC1-455F-B3B5-90E4117DC0F5}"/>
    <hyperlink ref="F68" r:id="rId20" display="../../../../../../../:b:/g/personal/42828314_medellin_gov_co/ETTXoXTthm5GkOuxP9YQGUgBT284wUeYtgRyYRqb5Z8pww?e=Ynr84M" xr:uid="{8069534A-7D6F-411D-ACB6-9CE2CFF69418}"/>
    <hyperlink ref="F71" r:id="rId21" display="COTIZACIONES\FE2439.pdf" xr:uid="{781922DE-0D47-497B-98E6-7278C061F810}"/>
    <hyperlink ref="H73" r:id="rId22" display="COTIZACIONES\VARIAS MARZO.pdf" xr:uid="{5D6B8576-ADD1-4027-A05D-C524A6B20C37}"/>
    <hyperlink ref="J73" r:id="rId23" display="../../../../../../../:b:/g/personal/42828314_medellin_gov_co/ERmV9B3mY55Fnbj8IczaN2kBdol9bG8UntAAzMZstqwSYw?e=9KIhlO" xr:uid="{B6E57CCA-8960-4F3A-925A-585D35E6BC75}"/>
    <hyperlink ref="F13" r:id="rId24" display="COTIZACIONES\FE2497.pdf" xr:uid="{C85DD8D1-D598-4584-8309-96F9D09EFFE5}"/>
    <hyperlink ref="F57" r:id="rId25" display="COTIZACIONES\FE2497.pdf" xr:uid="{F2FD81F4-F9EC-40C7-969F-909D9BA55FA7}"/>
    <hyperlink ref="F52" r:id="rId26" display="COTIZACIONES\FE2497.pdf" xr:uid="{2EF377E2-D4A1-4D3C-8650-BDE1DE2A3AA6}"/>
    <hyperlink ref="H50" r:id="rId27" display="COTIZACIONES\FE2497.pdf" xr:uid="{EA114B82-5B2B-4441-B4C1-736874D1578C}"/>
    <hyperlink ref="H40" r:id="rId28" display="COTIZACIONES\FE2497.pdf" xr:uid="{964E23B2-CC28-4F69-B401-B10F67EB8F06}"/>
    <hyperlink ref="H42" r:id="rId29" display="COTIZACIONES\FEV1883.pdf" xr:uid="{C42BDAEC-3A8F-426C-9074-368ECF49E848}"/>
    <hyperlink ref="H71" r:id="rId30" display="COTIZACIONES\FEV1883.pdf" xr:uid="{2DFDD97C-C07A-4083-AB7C-FC721EA4407B}"/>
    <hyperlink ref="H7" r:id="rId31" display="COTIZACIONES\2_168_202503072119410000001926649221.pdf" xr:uid="{EC4B7E8D-8E26-4C6C-98E9-B982F0B9B231}"/>
    <hyperlink ref="F20" r:id="rId32" display="COTIZACIONES\2_168_202503072119410000001926649221.pdf" xr:uid="{A4542DE2-10C4-4961-B0A4-5BD979CEF763}"/>
    <hyperlink ref="F25" r:id="rId33" display="COTIZACIONES\2_168_202503072119410000001926649221.pdf" xr:uid="{4A6D8610-E655-4413-A67C-4E53E963334B}"/>
    <hyperlink ref="F26" r:id="rId34" display="COTIZACIONES\2_168_202503072119410000001926649221.pdf" xr:uid="{DFDD6F73-EB66-411A-8417-1F5169AAC31F}"/>
    <hyperlink ref="F28" r:id="rId35" display="COTIZACIONES\2_168_202503072119410000001926649221.pdf" xr:uid="{1A1CA7AF-5115-4D52-AEF0-1E6C571EA300}"/>
    <hyperlink ref="H30" r:id="rId36" display="COTIZACIONES\2_168_202503072119410000001926649221.pdf" xr:uid="{EC7B5D30-543D-45B6-94BD-F2CA75E4A884}"/>
    <hyperlink ref="F36" r:id="rId37" display="COTIZACIONES\2_168_202503072119410000001926649221.pdf" xr:uid="{F8988DBA-41F0-4916-ADD3-EB9D30B7F579}"/>
    <hyperlink ref="F35" r:id="rId38" display="COTIZACIONES\2_168_202503072119410000001926649221.pdf" xr:uid="{9E4F7AC8-C4DC-49DD-942F-9622D2B2DF6B}"/>
    <hyperlink ref="F37" r:id="rId39" display="COTIZACIONES\2_168_202503072119410000001926649221.pdf" xr:uid="{E749CD35-0634-4CCF-9262-F78543B1BA27}"/>
    <hyperlink ref="F38" r:id="rId40" display="COTIZACIONES\2_168_202503072119410000001926649221.pdf" xr:uid="{62DD4353-B809-4AE1-A140-B80CC20D0F66}"/>
    <hyperlink ref="H39" r:id="rId41" display="COTIZACIONES\2_168_202503072119410000001926649221.pdf" xr:uid="{34364103-51C6-47CB-AB22-EAFCD2F033AE}"/>
    <hyperlink ref="J40" r:id="rId42" display="COTIZACIONES\2_168_202503072119410000001926649221.pdf" xr:uid="{A7367218-28E3-4252-8A6A-D1C5DFEBC4B7}"/>
    <hyperlink ref="J42" r:id="rId43" display="COTIZACIONES\2_168_202503072119410000001926649221.pdf" xr:uid="{93CBEB91-B3C3-4F38-BBA3-DDAE0A67F23A}"/>
    <hyperlink ref="H43" r:id="rId44" display="COTIZACIONES\2_168_202503072119410000001926649221.pdf" xr:uid="{3E5D7AB6-ECD9-4FC9-BBD7-F662E9BEFE8B}"/>
    <hyperlink ref="H46" r:id="rId45" display="COTIZACIONES\2_168_202503072119410000001926649221.pdf" xr:uid="{C3AD507C-79D1-43C9-8F1F-DFEA0757BBB5}"/>
    <hyperlink ref="F47" r:id="rId46" display="COTIZACIONES\2_168_202503072119410000001926649221.pdf" xr:uid="{4815AFF5-2431-4583-940A-4E36C8FF304C}"/>
    <hyperlink ref="H51" r:id="rId47" display="../../../../../../../:b:/g/personal/42828314_medellin_gov_co/EdersJNItzZAh3iVfUyHaAABiIM_G-8E3tkUcKajXoru7A?e=tG4GL0" xr:uid="{7F02A6B3-FF84-4435-8024-6DCB6A1F02EF}"/>
    <hyperlink ref="F53" r:id="rId48" display="COTIZACIONES\2_168_202503072119410000001926649221.pdf" xr:uid="{AD14A2A7-3CE5-475E-8468-A90769CD3B05}"/>
    <hyperlink ref="F54" r:id="rId49" display="COTIZACIONES\2_168_202503072119410000001926649221.pdf" xr:uid="{4B897197-DAC3-4AC5-A935-FE42DE0D057B}"/>
    <hyperlink ref="H57" r:id="rId50" display="COTIZACIONES\2_168_202503072119410000001926649221.pdf" xr:uid="{F6C42A61-B3CE-4003-A827-F5CB81BDE784}"/>
    <hyperlink ref="F58" r:id="rId51" display="COTIZACIONES\2_168_202503072119410000001926649221.pdf" xr:uid="{D8129138-AC1A-47C7-9F2A-963AB4E34673}"/>
    <hyperlink ref="F59" r:id="rId52" display="COTIZACIONES\2_168_202503072119410000001926649221.pdf" xr:uid="{458046C2-CA25-4A81-872A-D53B70C2F76B}"/>
    <hyperlink ref="F60" r:id="rId53" display="COTIZACIONES\2_168_202503072119410000001926649221.pdf" xr:uid="{FAEB18F5-4272-4FE1-A835-54AF18CACE54}"/>
    <hyperlink ref="F62" r:id="rId54" display="COTIZACIONES\2_168_202503072119410000001926649221.pdf" xr:uid="{03B3CA9B-6C61-4147-A325-F3CFF3C47167}"/>
    <hyperlink ref="H64" r:id="rId55" display="COTIZACIONES\2_168_202503072119410000001926649221.pdf" xr:uid="{3B1A9FAB-F501-40B5-A718-7ABC92393913}"/>
    <hyperlink ref="H65" r:id="rId56" display="COTIZACIONES\2_168_202503072119410000001926649221.pdf" xr:uid="{C9475212-838A-4CD4-9075-F4A776F72C14}"/>
    <hyperlink ref="F66" r:id="rId57" display="COTIZACIONES\2_168_202503072119410000001926649221.pdf" xr:uid="{F755F411-5FE3-4B1B-84FF-5F38BAD9DE54}"/>
    <hyperlink ref="F67" r:id="rId58" display="COTIZACIONES\2_168_202503072119410000001926649221.pdf" xr:uid="{2F66E9FF-DDF9-4C24-B14C-40C2FB660C99}"/>
    <hyperlink ref="J71" r:id="rId59" display="COTIZACIONES\2_168_202503072119410000001926649221.pdf" xr:uid="{1D3A13FD-4B2C-439D-A0E5-4D09874F2E4C}"/>
    <hyperlink ref="H6" r:id="rId60" display="COTIZACIONES\4 BUEN COMIENZO LOYOLA.pdf" xr:uid="{98346EBE-4C84-4CA8-BC91-F283FDAC264F}"/>
    <hyperlink ref="J7" r:id="rId61" display="COTIZACIONES\4 BUEN COMIENZO LOYOLA.pdf" xr:uid="{3D2CD93B-6FB2-4633-8D05-EE65DD6FCEB1}"/>
    <hyperlink ref="F8" r:id="rId62" display="COTIZACIONES\4 BUEN COMIENZO LOYOLA.pdf" xr:uid="{E0E8BB6A-E553-436A-832A-2D6C486575F9}"/>
    <hyperlink ref="F9" r:id="rId63" display="COTIZACIONES\4 BUEN COMIENZO LOYOLA.pdf" xr:uid="{AE427838-A073-4424-8169-E1C2437DB7CC}"/>
    <hyperlink ref="H8" r:id="rId64" display="COTIZACIONES\2_168_202503072119410000001926649221.pdf" xr:uid="{A6DD7E4F-C07B-453F-8BD9-47A40E35EF3F}"/>
    <hyperlink ref="F10" r:id="rId65" display="COTIZACIONES\4 BUEN COMIENZO LOYOLA.pdf" xr:uid="{97AF1729-906D-4EEC-82C5-1BC8DCE3D34F}"/>
    <hyperlink ref="F11" r:id="rId66" display="COTIZACIONES\4 BUEN COMIENZO LOYOLA.pdf" xr:uid="{E21A67DB-6C33-4D47-94AC-EB04F0C17FD0}"/>
    <hyperlink ref="H12" r:id="rId67" display="COTIZACIONES\4 BUEN COMIENZO LOYOLA.pdf" xr:uid="{E9A7D7E6-06FA-4A3F-BEF2-9903F5F77093}"/>
    <hyperlink ref="H13" r:id="rId68" display="COTIZACIONES\4 BUEN COMIENZO LOYOLA.pdf" xr:uid="{CBA7F3EE-C582-4E65-8EDE-7D889FB69C0B}"/>
    <hyperlink ref="F14" r:id="rId69" display="COTIZACIONES\4 BUEN COMIENZO LOYOLA.pdf" xr:uid="{194FF413-9A9C-4CA0-B601-000B26604278}"/>
    <hyperlink ref="F15" r:id="rId70" display="COTIZACIONES\4 BUEN COMIENZO LOYOLA.pdf" xr:uid="{C9649BF4-6FE9-4BB9-8D75-746FB58EA73C}"/>
    <hyperlink ref="H16" r:id="rId71" display="COTIZACIONES\4 BUEN COMIENZO LOYOLA.pdf" xr:uid="{D19F28B9-EC62-49F7-AB73-76461BE58BC5}"/>
    <hyperlink ref="F17" r:id="rId72" display="COTIZACIONES\4 BUEN COMIENZO LOYOLA.pdf" xr:uid="{9E1380CB-A5B1-4864-8C41-E47D5C4CC5AC}"/>
    <hyperlink ref="F18" r:id="rId73" display="COTIZACIONES\4 BUEN COMIENZO LOYOLA.pdf" xr:uid="{21C23A35-B2A9-4C5A-BF5C-EEDDF5C3AE76}"/>
    <hyperlink ref="F19" r:id="rId74" display="COTIZACIONES\4 BUEN COMIENZO LOYOLA.pdf" xr:uid="{712AA17B-C4CA-4B5F-AEB3-355DE790BFE0}"/>
    <hyperlink ref="F21" r:id="rId75" display="COTIZACIONES\4 BUEN COMIENZO LOYOLA.pdf" xr:uid="{45931BAA-74C9-48E6-BBBE-590569FD5172}"/>
    <hyperlink ref="F22" r:id="rId76" display="COTIZACIONES\4 BUEN COMIENZO LOYOLA.pdf" xr:uid="{54AC77A9-93FA-4DE2-8EA8-0942448B6048}"/>
    <hyperlink ref="F23" r:id="rId77" display="COTIZACIONES\4 BUEN COMIENZO LOYOLA.pdf" xr:uid="{F3E3C8F7-2107-45E8-8218-FBD7967B2189}"/>
    <hyperlink ref="F24" r:id="rId78" display="COTIZACIONES\4 BUEN COMIENZO LOYOLA.pdf" xr:uid="{41116B0C-3A67-48C8-9E41-BF33DEFF3883}"/>
    <hyperlink ref="H26" r:id="rId79" display="COTIZACIONES\4 BUEN COMIENZO LOYOLA.pdf" xr:uid="{3C05DABC-5661-482E-9769-0FD53DB6406A}"/>
    <hyperlink ref="F27" r:id="rId80" display="COTIZACIONES\4 BUEN COMIENZO LOYOLA.pdf" xr:uid="{8022D66F-0034-4FDA-A9C5-D5247A7B7C6B}"/>
    <hyperlink ref="J30" r:id="rId81" display="COTIZACIONES\4 BUEN COMIENZO LOYOLA.pdf" xr:uid="{FAB7B5A2-303E-4538-B5A6-8382D0C4C45C}"/>
    <hyperlink ref="H29" r:id="rId82" display="COTIZACIONES\4 BUEN COMIENZO LOYOLA.pdf" xr:uid="{EA8A2D83-E4E8-4BB1-9C9F-091F2585EA2E}"/>
    <hyperlink ref="H31" r:id="rId83" display="COTIZACIONES\4 BUEN COMIENZO LOYOLA.pdf" xr:uid="{06017E66-48D4-4D07-BA86-1C7DEC2C4005}"/>
    <hyperlink ref="H28" r:id="rId84" display="COTIZACIONES\4 BUEN COMIENZO LOYOLA.pdf" xr:uid="{46B611BC-9DF7-4FF6-B37F-07E7F4D13B4B}"/>
    <hyperlink ref="F33" r:id="rId85" display="COTIZACIONES\4 BUEN COMIENZO LOYOLA.pdf" xr:uid="{5176FD21-D36A-4E80-BCE9-7A6F458AF41E}"/>
    <hyperlink ref="H34" r:id="rId86" display="COTIZACIONES\4 BUEN COMIENZO LOYOLA.pdf" xr:uid="{1E455CB3-383C-461A-B90B-042BDCBC6CBC}"/>
    <hyperlink ref="H35" r:id="rId87" display="COTIZACIONES\4 BUEN COMIENZO LOYOLA.pdf" xr:uid="{75A82AB0-C8EE-4DA3-938F-4114803A4E5B}"/>
    <hyperlink ref="H36" r:id="rId88" display="COTIZACIONES\4 BUEN COMIENZO LOYOLA.pdf" xr:uid="{E7BBDC17-23C4-4B26-A63D-6438D16033C3}"/>
    <hyperlink ref="H37" r:id="rId89" display="COTIZACIONES\4 BUEN COMIENZO LOYOLA.pdf" xr:uid="{B1B1090B-5F5B-45A7-8764-92AC0E3527D3}"/>
    <hyperlink ref="H38" r:id="rId90" display="COTIZACIONES\4 BUEN COMIENZO LOYOLA.pdf" xr:uid="{8B444D41-8014-4B99-B936-48793FBE2228}"/>
    <hyperlink ref="J39" r:id="rId91" display="COTIZACIONES\4 BUEN COMIENZO LOYOLA.pdf" xr:uid="{6F13DA45-0946-47F7-BF63-49D8315D7536}"/>
    <hyperlink ref="F41" r:id="rId92" display="COTIZACIONES\4 BUEN COMIENZO LOYOLA.pdf" xr:uid="{3550FB73-1B1C-40E2-96D1-1053F370581B}"/>
    <hyperlink ref="J43" r:id="rId93" display="COTIZACIONES\4 BUEN COMIENZO LOYOLA.pdf" xr:uid="{39B03B45-5ADE-4638-8DBE-FBA11D1A5459}"/>
    <hyperlink ref="H44" r:id="rId94" display="COTIZACIONES\4 BUEN COMIENZO LOYOLA.pdf" xr:uid="{8E6C3A94-25A3-4C85-90D3-E4101909B87B}"/>
    <hyperlink ref="F45" r:id="rId95" display="COTIZACIONES\4 BUEN COMIENZO LOYOLA.pdf" xr:uid="{6FAA42BD-E457-48B0-AA20-9F84F48D7E26}"/>
    <hyperlink ref="J46" r:id="rId96" display="COTIZACIONES\4 BUEN COMIENZO LOYOLA.pdf" xr:uid="{2A6AF945-2EA3-404E-9F0F-4DB858A421DA}"/>
    <hyperlink ref="H47" r:id="rId97" display="COTIZACIONES\4 BUEN COMIENZO LOYOLA.pdf" xr:uid="{FE148F4F-555A-474F-92E3-BFE076D9B712}"/>
    <hyperlink ref="H48" r:id="rId98" display="COTIZACIONES\4 BUEN COMIENZO LOYOLA.pdf" xr:uid="{558E59C8-24F7-44A4-B09A-5F14FB7FC585}"/>
    <hyperlink ref="F49" r:id="rId99" display="COTIZACIONES\4 BUEN COMIENZO LOYOLA.pdf" xr:uid="{4DA07B5E-8695-4956-99F9-7FD32782F0D2}"/>
    <hyperlink ref="J50" r:id="rId100" display="COTIZACIONES\4 BUEN COMIENZO LOYOLA.pdf" xr:uid="{0A701EE6-050E-4DCC-827B-8313254FD509}"/>
    <hyperlink ref="H52" r:id="rId101" display="COTIZACIONES\4 BUEN COMIENZO LOYOLA.pdf" xr:uid="{F6547700-429A-444F-827E-00060231340C}"/>
    <hyperlink ref="H53" r:id="rId102" display="../../../../../../../:b:/g/personal/42828314_medellin_gov_co/EWjflpknT2REvF6jeby2i5ABVYl7FlNZeUDLBcS00jTEEw?e=35vPmB" xr:uid="{A69056BA-1BD7-4511-BD13-73D4EB5402BB}"/>
    <hyperlink ref="H54" r:id="rId103" display="COTIZACIONES\4 BUEN COMIENZO LOYOLA.pdf" xr:uid="{C9E67D53-5E9A-4B5B-8C9C-57E6135EE214}"/>
    <hyperlink ref="H55" r:id="rId104" display="COTIZACIONES\4 BUEN COMIENZO LOYOLA.pdf" xr:uid="{1705C2CF-F2B6-4D0C-8B12-58C29B037F4D}"/>
    <hyperlink ref="F56" r:id="rId105" display="COTIZACIONES\4 BUEN COMIENZO LOYOLA.pdf" xr:uid="{9337BE06-91CF-45DE-A2D1-D940C009D6CF}"/>
    <hyperlink ref="J57" r:id="rId106" display="COTIZACIONES\4 BUEN COMIENZO LOYOLA.pdf" xr:uid="{361FEB6B-904A-4AFB-9186-1C70E5E8DDF0}"/>
    <hyperlink ref="H58" r:id="rId107" display="../../../../../../../:b:/g/personal/42828314_medellin_gov_co/EQMjm7-yB4hGmq7SJVCzA70B6lHWRQuVIwnf3B4W74OGHQ?e=66lTfx" xr:uid="{281ED6F6-3C94-4EF1-BBC5-956A677EFFB7}"/>
    <hyperlink ref="H59" r:id="rId108" display="COTIZACIONES\4 BUEN COMIENZO LOYOLA.pdf" xr:uid="{B43011AF-E4A4-42DF-9882-079B153117E0}"/>
    <hyperlink ref="F61" r:id="rId109" display="COTIZACIONES\4 BUEN COMIENZO LOYOLA.pdf" xr:uid="{35C1505B-240B-4A24-88B4-34482C5780AB}"/>
    <hyperlink ref="H62" r:id="rId110" display="COTIZACIONES\4 BUEN COMIENZO LOYOLA.pdf" xr:uid="{F14F7D4E-B09B-45FE-AC73-135D5FE8F5FD}"/>
    <hyperlink ref="F63" r:id="rId111" display="COTIZACIONES\4 BUEN COMIENZO LOYOLA.pdf" xr:uid="{36D9AE83-77BA-43B3-B61D-32EDC742741B}"/>
    <hyperlink ref="J64" r:id="rId112" display="COTIZACIONES\4 BUEN COMIENZO LOYOLA.pdf" xr:uid="{1A9269BF-7DF0-4EC1-A5B6-D5A435CEA4CF}"/>
    <hyperlink ref="J65" r:id="rId113" display="COTIZACIONES\4 BUEN COMIENZO LOYOLA.pdf" xr:uid="{66E40F77-EF9E-4757-9C35-FE766C03E8E8}"/>
    <hyperlink ref="H66" r:id="rId114" display="../../../../../../../:b:/g/personal/42828314_medellin_gov_co/EWIDQiQkHzFOlEdIKG1lmRcByCyQXP09HkPBQ7zBZcPxog?e=hGTlEA" xr:uid="{3D6D3FC6-2B77-46A8-8C39-216A7E6B04A3}"/>
    <hyperlink ref="H67" r:id="rId115" display="../../../../../../../:b:/g/personal/42828314_medellin_gov_co/Ef5Q2dY9oBhDuCcGTUGUFkIBxDSqOOYRFhI6Fnd-47N2YA?e=W6WZpg" xr:uid="{5DE42711-70EE-4032-A928-5B1CA3032C99}"/>
    <hyperlink ref="H68" r:id="rId116" display="COTIZACIONES\4 BUEN COMIENZO LOYOLA.pdf" xr:uid="{4023D9FE-21AA-40B1-AAA2-17265D25C4E1}"/>
    <hyperlink ref="F69" r:id="rId117" display="COTIZACIONES\4 BUEN COMIENZO LOYOLA.pdf" xr:uid="{12587CD8-02E7-47FE-BDF4-D890F979305E}"/>
    <hyperlink ref="F70" r:id="rId118" display="COTIZACIONES\4 BUEN COMIENZO LOYOLA.pdf" xr:uid="{9CB9B1FB-D63D-4CC9-AB33-E8DBEDC7050E}"/>
    <hyperlink ref="J6" r:id="rId119" display="COTIZACIONES\Oferta Comite Pan Marzo 7-2025.pdf" xr:uid="{8F0A2467-308D-47B9-B67C-ACCD54D01133}"/>
    <hyperlink ref="J8" r:id="rId120" display="COTIZACIONES\Oferta Comite Pan Marzo 7-2025.pdf" xr:uid="{048DDDC4-522F-4131-9384-999D2720FC8D}"/>
    <hyperlink ref="J26" r:id="rId121" display="COTIZACIONES\Oferta Comite Pan Marzo 7-2025.pdf" xr:uid="{FAA61229-46B7-4A5B-8E75-B31C11F67CFC}"/>
    <hyperlink ref="J29" r:id="rId122" display="COTIZACIONES\Oferta Comite Pan Marzo 7-2025.pdf" xr:uid="{87738478-E6EB-4B88-B196-C898126D5969}"/>
    <hyperlink ref="J31" r:id="rId123" display="COTIZACIONES\Oferta Comite Pan Marzo 7-2025.pdf" xr:uid="{4F305DFC-864E-4849-B11D-D58E183D8BC8}"/>
    <hyperlink ref="J37" r:id="rId124" display="COTIZACIONES\Oferta Comite Pan Marzo 7-2025.pdf" xr:uid="{E92B2340-F6D0-43FB-B474-CE82CC88250C}"/>
    <hyperlink ref="J47" r:id="rId125" display="COTIZACIONES\Oferta Comite Pan Marzo 7-2025.pdf" xr:uid="{339AE5FB-3A5C-4780-A260-4422A6E74F4B}"/>
    <hyperlink ref="J51" r:id="rId126" display="COTIZACIONES\Oferta Comite Pan Marzo 7-2025.pdf" xr:uid="{63441145-1BA8-4360-BB43-1DD148D23881}"/>
    <hyperlink ref="J53" r:id="rId127" display="COTIZACIONES\Oferta Comite Pan Marzo 7-2025.pdf" xr:uid="{239065CC-E4DC-45BF-9CE5-8FF7679A439D}"/>
    <hyperlink ref="H33" r:id="rId128" display="COTIZACIONES\FE2497.pdf" xr:uid="{7BF413C6-D14C-4ED7-8730-AF14C847061A}"/>
    <hyperlink ref="H60" r:id="rId129" display="COTIZACIONES\FE2438.pdf" xr:uid="{9CE9D98D-69FD-408F-A617-DF00FEDE159B}"/>
    <hyperlink ref="H32" r:id="rId130" display="COTIZACIONES\FE2425.pdf" xr:uid="{20129023-E172-475A-9885-081D16795162}"/>
    <hyperlink ref="H19" r:id="rId131" display="COTIZACIONES\2_168_202503072119410000001926649221.pdf" xr:uid="{D86B48C6-668E-4E6E-BC0D-118D6D16F7F3}"/>
    <hyperlink ref="J32" r:id="rId132" display="../../../../../../../:b:/g/personal/42828314_medellin_gov_co/EahFrVV9i4tBluHjQ-oOXjsB3JOZWF9RVmhlR6U1cW7rWw?e=buMzkF" xr:uid="{B115AC22-46BB-41EA-A639-80980CCCD51B}"/>
    <hyperlink ref="H70" r:id="rId133" display="COTIZACIONES\2_168_202503072119410000001926649221.pdf" xr:uid="{6C8847AA-122E-4C1B-9E4E-0E14D34755E7}"/>
    <hyperlink ref="H20" r:id="rId134" display="COTIZACIONES\4 BUEN COMIENZO LOYOLA.pdf" xr:uid="{083E3468-8AC3-4ACD-9530-754E000E2528}"/>
    <hyperlink ref="H25" r:id="rId135" display="COTIZACIONES\4 BUEN COMIENZO LOYOLA.pdf" xr:uid="{B4506113-C051-4584-B21B-0B24DA1A67F3}"/>
    <hyperlink ref="J60" r:id="rId136" display="COTIZACIONES\4 BUEN COMIENZO LOYOLA.pdf" xr:uid="{C26F1E13-3468-4EB3-A0D8-432B72DE824B}"/>
    <hyperlink ref="H10" r:id="rId137" display="COTIZACIONES\Oferta Comite Pan Marzo 7-2025.pdf" xr:uid="{F131D6B3-C664-4A20-BB57-C6F68AE69BB8}"/>
    <hyperlink ref="H69" r:id="rId138" display="COTIZACIONES\Oferta Comite Pan Marzo 7-2025.pdf" xr:uid="{DF5589DD-249F-4A8A-9A68-2119CB84D844}"/>
    <hyperlink ref="J70" r:id="rId139" display="COTIZACIONES\Oferta Comite Pan Marzo 7-2025.pdf" xr:uid="{FBFAA1D4-BEB0-476D-B99B-D5F1845F11E0}"/>
    <hyperlink ref="J28" r:id="rId140" display="COTIZACIONES\Oferta Comite Pan Marzo 7-2025.pdf" xr:uid="{8367FF0C-F5F9-4213-8548-D6ACCEC5D98F}"/>
    <hyperlink ref="J35" r:id="rId141" display="COTIZACIONES\Oferta Comite Pan Marzo 7-2025.pdf" xr:uid="{EF7D3D08-26BA-4587-B77E-E909CF9B815E}"/>
    <hyperlink ref="J66" r:id="rId142" display="COTIZACIONES\Oferta Comite Pan Marzo 7-2025.pdf" xr:uid="{DAC17C5F-F6A4-4793-A640-6803357318BD}"/>
    <hyperlink ref="H49" r:id="rId143" display="COTIZACIONES\FE2547 - EXPLORADORES.pdf" xr:uid="{96EF5F1E-7A86-4944-9ADE-CBAB72A22AEF}"/>
    <hyperlink ref="H56" r:id="rId144" display="COTIZACIONES\FE2549 - LAZOS.pdf" xr:uid="{3B56DBF3-613A-49B0-873A-0E8B859414C9}"/>
    <hyperlink ref="H63" r:id="rId145" display="COTIZACIONES\FE2559 - MONTECARLO.pdf" xr:uid="{8BCFBC66-3445-49AC-B206-7DFED7849103}"/>
    <hyperlink ref="J33" r:id="rId146" display="COTIZACIONES\FE2559 - MONTECARLO.pdf" xr:uid="{0D31A36C-FD5E-48D7-9F00-D20CBA9F58F5}"/>
    <hyperlink ref="H9" r:id="rId147" display="COTIZACIONES\FE2554 - SAN JOSE DE LA CIMA.pdf" xr:uid="{467C3C8A-0C7B-417D-AF59-B2C3222E0CC4}"/>
    <hyperlink ref="J10" r:id="rId148" display="COTIZACIONES\FE2554 - SAN JOSE DE LA CIMA.pdf" xr:uid="{415C8FAD-F1BC-42DA-9B5F-DC45B892EB79}"/>
    <hyperlink ref="J54" r:id="rId149" display="COTIZACIONES\FE2558 - CAMPANILLAS.pdf" xr:uid="{8BF64BC2-91DC-40B1-8905-5995019D4F84}"/>
    <hyperlink ref="H18" r:id="rId150" display="COTIZACIONES\MUSICAL 1.pdf" xr:uid="{EDB00A2E-FB9B-4FB7-BE0B-123DC7CD151A}"/>
    <hyperlink ref="J25" r:id="rId151" display="COTIZACIONES\MUSICAL 2.pdf" xr:uid="{32C2323D-E4E7-4395-AA63-EAF78F32E634}"/>
    <hyperlink ref="J36" r:id="rId152" display="COTIZACIONES\DIDACTICO 1.pdf" xr:uid="{A5AC8D25-4EB6-424F-92AF-37603FB129FB}"/>
    <hyperlink ref="J38" r:id="rId153" display="COTIZACIONES" xr:uid="{C6F4A487-E273-4628-8C00-D621A8247BB7}"/>
    <hyperlink ref="J20" r:id="rId154" display="https://medellingovco-my.sharepoint.com/:b:/g/personal/42828314_medellin_gov_co/Eakyqo5gqjxBjWcSR1jl2x0BgkJnfIu8UDhWZelMSOaDnw?e=rlY2Dr" xr:uid="{3E9F9D89-654D-4DCA-9800-9C98C72FA578}"/>
    <hyperlink ref="J13" r:id="rId155" display="https://medellingovco-my.sharepoint.com/:b:/g/personal/42828314_medellin_gov_co/Ec9HQXMeaLVHr0eGAKuyZVkBmUgm__HU_SSKbqdY00Il9g?e=2YrPrE" xr:uid="{02F9D24B-75FC-4FC3-9CE1-397F180EAB6D}"/>
    <hyperlink ref="J16" r:id="rId156" display="=210900/1,19" xr:uid="{E2742761-E50D-4A45-A4E0-373200F810F0}"/>
    <hyperlink ref="J49" r:id="rId157" display="=44900/1,19" xr:uid="{CCCFD53B-8BDA-4F49-8679-EC730BECC511}"/>
    <hyperlink ref="J69" r:id="rId158" display="../../../../../../../:b:/g/personal/42828314_medellin_gov_co/ETNYcRru0ydLpqeurq5vqLwBDLcZjmAjPqeCgckJuG9Fug?e=jbl4Ci" xr:uid="{DC7BE1AC-7F65-4F0B-ACA4-804282B92C2A}"/>
    <hyperlink ref="H61" r:id="rId159" display="=99900/1,19" xr:uid="{3931A13F-FE3F-4CB7-A517-40CB02266689}"/>
    <hyperlink ref="J52" r:id="rId160" display="=89900/1,19" xr:uid="{71576A63-B36A-439B-B22C-58F8A4B83F5E}"/>
    <hyperlink ref="J48" r:id="rId161" display="=199900/1,19" xr:uid="{37E93FD0-F210-4A8F-B99A-FA356B0E36DE}"/>
    <hyperlink ref="J34" r:id="rId162" display="=59900/1,19" xr:uid="{0F03D1E2-E06F-4AE0-8968-6F2B07AB3366}"/>
    <hyperlink ref="J12" r:id="rId163" display="https://medellingovco-my.sharepoint.com/:b:/g/personal/42828314_medellin_gov_co/EfTxbcOW79pIgroB6Bl6U_MBbO8Fx99TosYdWb6ykVSUWQ?e=Qhrhb3" xr:uid="{E93EA5C0-1A41-426E-A4AE-7107F0368E05}"/>
    <hyperlink ref="H15" r:id="rId164" display="https://www.miche.com.co/collections/coleccion-de-instrumentos-musicales-para-ninos/products/acordeon-miche-para-ninos-color-verde" xr:uid="{B62D7065-0E7E-426C-AC54-C806FE7D0E14}"/>
    <hyperlink ref="J9" r:id="rId165" display="https://medellingovco-my.sharepoint.com/:b:/g/personal/42828314_medellin_gov_co/EeYCSkXRP1dFlmuzLNZBFy0BpbWrxAMYvqgziAWdi6kBsA?e=cJebol" xr:uid="{15C4837B-BA77-42A9-B227-F746485D10E0}"/>
    <hyperlink ref="J17" r:id="rId166" display="https://medellingovco-my.sharepoint.com/:b:/g/personal/42828314_medellin_gov_co/EdkJ8z5bXUZAva9IO6FBHfMB1o40fFLfyqEgJoGWWQIJ0A?e=PkWvhp" xr:uid="{6D69561D-2A78-4D66-B8E4-1C07E2698974}"/>
    <hyperlink ref="H17" r:id="rId167" display="https://medellingovco-my.sharepoint.com/:b:/g/personal/42828314_medellin_gov_co/EUTLc6lYOo1OmhIBYS0uAIcBlAgsq1fvzAh93S657lKiUA?e=htPNLa" xr:uid="{B6F632B9-1633-457C-BA9B-B8ECB78177E8}"/>
    <hyperlink ref="J18" r:id="rId168" display="https://medellingovco-my.sharepoint.com/:b:/g/personal/42828314_medellin_gov_co/EfFtiSpU5D5LoCg7x-l8cHABmoa6_nTwXh3ketniltEPNQ?e=zEbAYZ" xr:uid="{43DF704C-284E-4462-A7C8-63FA38BC1184}"/>
    <hyperlink ref="H21" r:id="rId169" display="https://medellingovco-my.sharepoint.com/:b:/g/personal/42828314_medellin_gov_co/EUcJZUKGqU9Imgjxlh8GkVIBK3nRx-loEeZooUZHgrmE2Q?e=gwxhj9" xr:uid="{29D43207-FC5E-485D-B56D-4BEB56923AE1}"/>
    <hyperlink ref="J21" r:id="rId170" display="https://medellingovco-my.sharepoint.com/:b:/g/personal/42828314_medellin_gov_co/EU1PqYxzf9pPslUlJbryPjABgHE8KBizOxrb8co-skr7pg?e=GC0Okn" xr:uid="{6564A003-6A7E-469E-B4A8-47745458AB22}"/>
    <hyperlink ref="J19" r:id="rId171" display="https://medellingovco-my.sharepoint.com/:b:/g/personal/42828314_medellin_gov_co/EZiPlqajh3xMvq0s0ZT-4g0BanYPzqcH35bLa80A4M6fhw?e=qy3MNr" xr:uid="{1C8ABAED-9B1D-4A8C-9C7C-D56476558972}"/>
    <hyperlink ref="H22" r:id="rId172" display="https://medellingovco-my.sharepoint.com/:b:/g/personal/42828314_medellin_gov_co/EYErGppdhT1CqBk-0aeuC1YBFaxBT7-k8Bx5z9A-ndJrtQ?e=6574Ac" xr:uid="{4BDBE24E-13CA-42E4-A816-AB2CE7AF4F3E}"/>
    <hyperlink ref="J59" r:id="rId173" display="=82000/1,19" xr:uid="{AF02D910-7895-477C-BB26-5EE474B11050}"/>
    <hyperlink ref="H45" r:id="rId174" display="=21500/1,19" xr:uid="{C3CBB83E-F7E0-4D4B-B4BB-8323D253D642}"/>
    <hyperlink ref="J67" r:id="rId175" display="=100000/1,19" xr:uid="{A0CD225D-938D-4BF3-A7B5-795345BE0FE2}"/>
    <hyperlink ref="J63" r:id="rId176" display="=195000/1,19" xr:uid="{7829028B-6C4B-4CA4-A760-ADB50D7A96D5}"/>
    <hyperlink ref="J61" r:id="rId177" display="=55000/1,19" xr:uid="{A3ACB8A4-6DC8-4084-B390-63C17E3B20FE}"/>
    <hyperlink ref="J58" r:id="rId178" display="=110000/1,19" xr:uid="{15754D77-4505-4E55-B78D-C9C5400AAA96}"/>
    <hyperlink ref="J56" r:id="rId179" display=" $                   13.900 " xr:uid="{048EF9FE-1F55-4217-BE28-84B7B10B5A8E}"/>
    <hyperlink ref="J44" r:id="rId180" display="COTIZACIONES\4 BUEN COMIENZO LOYOLA.pdf" xr:uid="{ACC84E75-EF12-4135-9D23-187FE46F980F}"/>
    <hyperlink ref="H41" r:id="rId181" display="https://colombia.yaxa.co/products/patifeed-arcilla-de-modelar-para-ninos-kit-de-arcilla-seca-al-aire-de-28-colores-kit-de-manualidades-de-arcilla-magica-con-herramientas-kits-de/?srsltid=AfmBOopl8HotspPwM3NCD_LB0FqMuvHk8rwaJSXxmu5vI6-geF3gkzJO" xr:uid="{5F987768-445A-4D3B-A73C-14463AD98A9B}"/>
    <hyperlink ref="J45" r:id="rId182" display="../../../../../../../:b:/g/personal/42828314_medellin_gov_co/EUayC-LBVohLpy2sLiwBTqcBeogO-zVWEGw2qaKaoHFC6g?e=RzdWLD" xr:uid="{2F22A956-6520-415C-810C-D5E71A11A154}"/>
    <hyperlink ref="H27" r:id="rId183" display="https://colombia.yaxa.co/products/juego-de-arpa-de-lira-16-cuerdas-arpa-de-lira-de-caoba-con-llave-de-afinacion-y-bolsa-negra-para-ninos-adultos-instrumento-profesional/?amp=1&amp;srsltid=AfmBOoqtNBuTV9RfRYM0-JGIfdga5EWa9zPZi36TaqoKbTucY5KlBkm6" xr:uid="{80D9E918-A294-4114-A920-B50EE7141C30}"/>
    <hyperlink ref="J27" r:id="rId184" display="COTIZACIONES\4 BUEN COMIENZO LOYOLA.pdf" xr:uid="{832DC41D-9654-4901-B4CE-2F5502CF7DFF}"/>
    <hyperlink ref="J62" r:id="rId185" display="COTIZACIONES\2_168_202503072119410000001926649221.pdf" xr:uid="{0105C517-C07F-4964-8549-1849C7A07E90}"/>
    <hyperlink ref="H23" r:id="rId186" display="https://medellingovco-my.sharepoint.com/:b:/g/personal/42828314_medellin_gov_co/ESsfv16pN4JKgHsEBsynGGsBOBB8A9huYyrTiqzD2UxnuA?e=zNRQeZ" xr:uid="{C3F3136D-CB79-40B7-B9AB-06CAF840E620}"/>
    <hyperlink ref="J23" r:id="rId187" display="https://medellingovco-my.sharepoint.com/:b:/g/personal/42828314_medellin_gov_co/EWYRzfr1YNhIgqsxMrMARu0BrRz_Ia3q-WCie8gVDqZP8A?e=KNBSen" xr:uid="{B016494F-00AE-46CE-9CBC-EC6464C3662E}"/>
    <hyperlink ref="J22" r:id="rId188" display="https://medellingovco-my.sharepoint.com/:b:/g/personal/42828314_medellin_gov_co/EYErGppdhT1CqBk-0aeuC1YBFaxBT7-k8Bx5z9A-ndJrtQ?e=2OUwQZ" xr:uid="{08E972C5-6038-45B4-95F5-B1F398AB4E19}"/>
    <hyperlink ref="H14" r:id="rId189" display="https://medellingovco-my.sharepoint.com/:b:/g/personal/42828314_medellin_gov_co/EbJq832k5uRDv4sxmaU70LkB9XAZIP4igw27E0DyLsu5sg?e=J3cW73" xr:uid="{5242EE2E-4DC1-4D0A-83F3-9E7CA1E3EB35}"/>
    <hyperlink ref="H11" r:id="rId190" display="https://medellingovco-my.sharepoint.com/:b:/g/personal/42828314_medellin_gov_co/EWaE_p-YflxDsrdXhuc22RUBVam_xRzTvj4zXpdWqRBGbA?e=FNsNSO" xr:uid="{822B99E7-FDE0-4515-B3DB-D3BDE1953437}"/>
    <hyperlink ref="J11" r:id="rId191" display="https://medellingovco-my.sharepoint.com/:b:/g/personal/42828314_medellin_gov_co/EQBHSt7S8T9KheF_lDI0qrQBV9R2BQ821ihcqxWLcZOH3w?e=nGBpWV" xr:uid="{B46B74DD-251B-49BF-9C78-3FEDDC2A838C}"/>
    <hyperlink ref="J68" r:id="rId192" display="COTIZACIONES\4 BUEN COMIENZO LOYOLA.pdf" xr:uid="{06D56205-0705-454A-8479-D2E0A6143373}"/>
    <hyperlink ref="J41" r:id="rId193" display="COTIZACIONES\4 BUEN COMIENZO LOYOLA.pdf" xr:uid="{B5089D1F-744F-4863-8D36-8765B327EE33}"/>
    <hyperlink ref="J14" r:id="rId194" display="https://medellingovco-my.sharepoint.com/:b:/g/personal/42828314_medellin_gov_co/EZPOYnWkxg5Ot4gfZb2xNdAB-ezfd3wwqyHF1dXcku1z6Q?e=b3smOS" xr:uid="{1FC58C91-75EF-40B7-8027-2E75C0664285}"/>
    <hyperlink ref="J55" r:id="rId195" display="COTIZACIONES\FEV8353.pdf" xr:uid="{E798A75E-6E7B-47DA-89EB-0EFAD1D674BA}"/>
    <hyperlink ref="H24" r:id="rId196" display="https://medellingovco-my.sharepoint.com/:b:/g/personal/42828314_medellin_gov_co/EZgfh_-sIh5BgLXabpx-Jo8BFBnUq2ptfd5KOYRRQZWTzg?e=ahPAcH" xr:uid="{E894CAAD-A5F8-4ED6-9104-4402FA35B1CA}"/>
    <hyperlink ref="J24" r:id="rId197" display="../../../../../../../:b:/g/personal/42828314_medellin_gov_co/EV_R40f0tMhEhPMc0o9b7ogBnZcpYvmrpIZXtpmMGJVYfA?e=QSFz0I" xr:uid="{E5C0424D-C053-45F4-9CFB-EFC2EB9ED746}"/>
    <hyperlink ref="F29" r:id="rId198" display="../../../../../../../:b:/g/personal/42828314_medellin_gov_co/EWUoyTm-ly5DlZo6oHh1eIsBPvIZyjOf53IId4QmpIgnkw?e=rWG4vE" xr:uid="{9CCF981B-6AB3-4D25-A860-86AD4DFFEB01}"/>
    <hyperlink ref="F30" r:id="rId199" display="../../../../../../../:b:/g/personal/42828314_medellin_gov_co/EegaCOyNx-NMpXJ7vppspHQBu-t8A8vKBjGLgqq2QmOG9A?e=BMJcZW" xr:uid="{EF833EB4-00C8-4DD9-A292-587D35173D03}"/>
    <hyperlink ref="F32" r:id="rId200" display="COTIZACIONES\4 BUEN COMIENZO LOYOLA.pdf" xr:uid="{93E2C8AA-3CBB-4DBB-A028-58FCEAC92B7A}"/>
    <hyperlink ref="J72" r:id="rId201" display="https://www.sysdidacticos.com/product-page/espejo-acr%C3%ADlico-koala" xr:uid="{415D61B1-70D0-4BDE-A256-50A55BC9A06F}"/>
    <hyperlink ref="H72" r:id="rId202" display="COTIZACIONES\4 BUEN COMIENZO LOYOLA.pdf" xr:uid="{0531BE13-6792-476D-B2F2-68B827C10365}"/>
    <hyperlink ref="F72" r:id="rId203" display="COTIZACIONES\FEV8353.pdf" xr:uid="{C28895CA-BE90-4C08-BD0E-00C5B03D1B39}"/>
    <hyperlink ref="J15" r:id="rId204" display="100000" xr:uid="{F72A56A2-C900-4EFF-8641-AC6D3BC5760F}"/>
  </hyperlinks>
  <pageMargins left="0.7" right="0.7" top="0.75" bottom="0.75" header="0" footer="0"/>
  <pageSetup scale="10" orientation="landscape" r:id="rId205"/>
  <rowBreaks count="2" manualBreakCount="2">
    <brk id="41" max="42" man="1"/>
    <brk id="73" max="4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C5359B-7F3F-4697-A56E-9FC8C8671C5E}">
  <dimension ref="B1:AU646"/>
  <sheetViews>
    <sheetView topLeftCell="AK11" zoomScale="87" zoomScaleNormal="87" workbookViewId="0">
      <selection activeCell="AO9" sqref="AO9"/>
    </sheetView>
  </sheetViews>
  <sheetFormatPr defaultColWidth="14.42578125" defaultRowHeight="15" customHeight="1"/>
  <cols>
    <col min="1" max="1" width="3.28515625" customWidth="1"/>
    <col min="2" max="2" width="17.5703125" customWidth="1"/>
    <col min="3" max="3" width="21.7109375" style="4" customWidth="1"/>
    <col min="4" max="4" width="51.28515625" customWidth="1"/>
    <col min="5" max="5" width="10.7109375" customWidth="1"/>
    <col min="6" max="12" width="17.7109375" style="40" customWidth="1"/>
    <col min="13" max="13" width="18.7109375" style="22" customWidth="1"/>
    <col min="14" max="14" width="14.28515625" style="4" customWidth="1"/>
    <col min="15" max="16" width="18.7109375" style="22" customWidth="1"/>
    <col min="17" max="17" width="14.28515625" style="4" customWidth="1"/>
    <col min="18" max="19" width="18.7109375" style="22" customWidth="1"/>
    <col min="20" max="20" width="14.28515625" style="4" customWidth="1"/>
    <col min="21" max="22" width="18.7109375" style="22" customWidth="1"/>
    <col min="23" max="23" width="14.28515625" style="4" customWidth="1"/>
    <col min="24" max="25" width="18.7109375" style="22" customWidth="1"/>
    <col min="26" max="26" width="14.28515625" style="4" customWidth="1"/>
    <col min="27" max="28" width="18.7109375" style="22" customWidth="1"/>
    <col min="29" max="29" width="14.28515625" style="4" customWidth="1"/>
    <col min="30" max="31" width="18.7109375" style="22" customWidth="1"/>
    <col min="32" max="32" width="14.28515625" style="4" customWidth="1"/>
    <col min="33" max="34" width="18.7109375" style="22" customWidth="1"/>
    <col min="35" max="35" width="14.28515625" style="4" customWidth="1"/>
    <col min="36" max="37" width="18.7109375" style="22" customWidth="1"/>
    <col min="38" max="38" width="14.28515625" style="4" customWidth="1"/>
    <col min="39" max="40" width="18.7109375" style="22" customWidth="1"/>
    <col min="41" max="41" width="14.28515625" style="4" customWidth="1"/>
    <col min="42" max="42" width="17.5703125" style="4" customWidth="1"/>
    <col min="43" max="43" width="21.85546875" style="4" customWidth="1"/>
    <col min="44" max="44" width="18.7109375" style="22" customWidth="1"/>
    <col min="45" max="45" width="23.7109375" style="22" customWidth="1"/>
    <col min="46" max="46" width="29.140625" style="4" customWidth="1"/>
    <col min="47" max="47" width="21" customWidth="1"/>
  </cols>
  <sheetData>
    <row r="1" spans="2:47" ht="15" customHeight="1" thickBot="1"/>
    <row r="2" spans="2:47" ht="30" customHeight="1" thickBot="1">
      <c r="B2" s="217" t="s">
        <v>0</v>
      </c>
      <c r="C2" s="219" t="s">
        <v>1</v>
      </c>
      <c r="D2" s="221" t="s">
        <v>2</v>
      </c>
      <c r="E2" s="223" t="s">
        <v>3</v>
      </c>
      <c r="F2" s="225" t="s">
        <v>4</v>
      </c>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5"/>
      <c r="AO2" s="225"/>
      <c r="AP2" s="225"/>
      <c r="AQ2" s="225"/>
      <c r="AR2" s="225"/>
      <c r="AS2" s="226"/>
      <c r="AT2" s="62"/>
    </row>
    <row r="3" spans="2:47" ht="30" customHeight="1">
      <c r="B3" s="218"/>
      <c r="C3" s="220"/>
      <c r="D3" s="222"/>
      <c r="E3" s="224"/>
      <c r="F3" s="202" t="s">
        <v>5</v>
      </c>
      <c r="G3" s="203"/>
      <c r="H3" s="203"/>
      <c r="I3" s="203"/>
      <c r="J3" s="203"/>
      <c r="K3" s="203"/>
      <c r="L3" s="203"/>
      <c r="M3" s="204"/>
      <c r="N3" s="202" t="s">
        <v>6</v>
      </c>
      <c r="O3" s="203"/>
      <c r="P3" s="203"/>
      <c r="Q3" s="227" t="s">
        <v>7</v>
      </c>
      <c r="R3" s="228"/>
      <c r="S3" s="229"/>
      <c r="T3" s="228" t="s">
        <v>8</v>
      </c>
      <c r="U3" s="228"/>
      <c r="V3" s="229"/>
      <c r="W3" s="227" t="s">
        <v>9</v>
      </c>
      <c r="X3" s="228"/>
      <c r="Y3" s="229"/>
      <c r="Z3" s="202" t="s">
        <v>10</v>
      </c>
      <c r="AA3" s="203"/>
      <c r="AB3" s="204"/>
      <c r="AC3" s="202" t="s">
        <v>11</v>
      </c>
      <c r="AD3" s="203"/>
      <c r="AE3" s="204"/>
      <c r="AF3" s="202" t="s">
        <v>12</v>
      </c>
      <c r="AG3" s="203"/>
      <c r="AH3" s="204"/>
      <c r="AI3" s="202" t="s">
        <v>13</v>
      </c>
      <c r="AJ3" s="203"/>
      <c r="AK3" s="203"/>
      <c r="AL3" s="211" t="s">
        <v>14</v>
      </c>
      <c r="AM3" s="212"/>
      <c r="AN3" s="213"/>
      <c r="AO3" s="211" t="s">
        <v>15</v>
      </c>
      <c r="AP3" s="212"/>
      <c r="AQ3" s="212"/>
      <c r="AR3" s="212"/>
      <c r="AS3" s="213"/>
      <c r="AT3" s="214" t="s">
        <v>16</v>
      </c>
    </row>
    <row r="4" spans="2:47" ht="30" customHeight="1">
      <c r="B4" s="218"/>
      <c r="C4" s="220"/>
      <c r="D4" s="222"/>
      <c r="E4" s="224"/>
      <c r="F4" s="208" t="s">
        <v>17</v>
      </c>
      <c r="G4" s="209"/>
      <c r="H4" s="209"/>
      <c r="I4" s="209"/>
      <c r="J4" s="209"/>
      <c r="K4" s="210"/>
      <c r="L4" s="80" t="s">
        <v>18</v>
      </c>
      <c r="M4" s="28" t="s">
        <v>18</v>
      </c>
      <c r="N4" s="12" t="s">
        <v>19</v>
      </c>
      <c r="O4" s="23" t="s">
        <v>18</v>
      </c>
      <c r="P4" s="28" t="s">
        <v>20</v>
      </c>
      <c r="Q4" s="12" t="s">
        <v>19</v>
      </c>
      <c r="R4" s="23" t="s">
        <v>18</v>
      </c>
      <c r="S4" s="28" t="s">
        <v>20</v>
      </c>
      <c r="T4" s="50" t="s">
        <v>19</v>
      </c>
      <c r="U4" s="23" t="s">
        <v>18</v>
      </c>
      <c r="V4" s="28" t="s">
        <v>20</v>
      </c>
      <c r="W4" s="12" t="s">
        <v>19</v>
      </c>
      <c r="X4" s="23" t="s">
        <v>18</v>
      </c>
      <c r="Y4" s="28" t="s">
        <v>20</v>
      </c>
      <c r="Z4" s="12" t="s">
        <v>19</v>
      </c>
      <c r="AA4" s="23" t="s">
        <v>18</v>
      </c>
      <c r="AB4" s="28" t="s">
        <v>20</v>
      </c>
      <c r="AC4" s="12" t="s">
        <v>21</v>
      </c>
      <c r="AD4" s="23" t="s">
        <v>18</v>
      </c>
      <c r="AE4" s="28" t="s">
        <v>20</v>
      </c>
      <c r="AF4" s="12" t="s">
        <v>21</v>
      </c>
      <c r="AG4" s="23" t="s">
        <v>18</v>
      </c>
      <c r="AH4" s="28" t="s">
        <v>20</v>
      </c>
      <c r="AI4" s="12" t="s">
        <v>21</v>
      </c>
      <c r="AJ4" s="23" t="s">
        <v>18</v>
      </c>
      <c r="AK4" s="35" t="s">
        <v>20</v>
      </c>
      <c r="AL4" s="12" t="s">
        <v>21</v>
      </c>
      <c r="AM4" s="23" t="s">
        <v>18</v>
      </c>
      <c r="AN4" s="28" t="s">
        <v>20</v>
      </c>
      <c r="AO4" s="12" t="s">
        <v>21</v>
      </c>
      <c r="AP4" s="23" t="s">
        <v>22</v>
      </c>
      <c r="AQ4" s="80" t="s">
        <v>23</v>
      </c>
      <c r="AR4" s="23" t="s">
        <v>18</v>
      </c>
      <c r="AS4" s="28" t="s">
        <v>20</v>
      </c>
      <c r="AT4" s="215"/>
    </row>
    <row r="5" spans="2:47" ht="30" customHeight="1">
      <c r="B5" s="218"/>
      <c r="C5" s="220"/>
      <c r="D5" s="222"/>
      <c r="E5" s="224"/>
      <c r="F5" s="85" t="s">
        <v>26</v>
      </c>
      <c r="G5" s="63" t="s">
        <v>27</v>
      </c>
      <c r="H5" s="63" t="s">
        <v>28</v>
      </c>
      <c r="I5" s="63" t="s">
        <v>27</v>
      </c>
      <c r="J5" s="63" t="s">
        <v>29</v>
      </c>
      <c r="K5" s="63" t="s">
        <v>27</v>
      </c>
      <c r="L5" s="86" t="s">
        <v>30</v>
      </c>
      <c r="M5" s="29" t="s">
        <v>32</v>
      </c>
      <c r="N5" s="19">
        <v>50</v>
      </c>
      <c r="O5" s="24" t="s">
        <v>32</v>
      </c>
      <c r="P5" s="29"/>
      <c r="Q5" s="19">
        <v>50</v>
      </c>
      <c r="R5" s="24" t="s">
        <v>32</v>
      </c>
      <c r="S5" s="29"/>
      <c r="T5" s="53" t="s">
        <v>33</v>
      </c>
      <c r="U5" s="24" t="s">
        <v>32</v>
      </c>
      <c r="V5" s="29"/>
      <c r="W5" s="20" t="s">
        <v>33</v>
      </c>
      <c r="X5" s="24" t="s">
        <v>32</v>
      </c>
      <c r="Y5" s="29"/>
      <c r="Z5" s="20" t="s">
        <v>33</v>
      </c>
      <c r="AA5" s="24" t="s">
        <v>32</v>
      </c>
      <c r="AB5" s="29"/>
      <c r="AC5" s="20" t="s">
        <v>34</v>
      </c>
      <c r="AD5" s="24" t="s">
        <v>32</v>
      </c>
      <c r="AE5" s="29"/>
      <c r="AF5" s="20" t="s">
        <v>34</v>
      </c>
      <c r="AG5" s="24" t="s">
        <v>32</v>
      </c>
      <c r="AH5" s="29"/>
      <c r="AI5" s="20" t="s">
        <v>34</v>
      </c>
      <c r="AJ5" s="24" t="s">
        <v>32</v>
      </c>
      <c r="AK5" s="36"/>
      <c r="AL5" s="20" t="s">
        <v>35</v>
      </c>
      <c r="AM5" s="24" t="s">
        <v>32</v>
      </c>
      <c r="AN5" s="29"/>
      <c r="AO5" s="20"/>
      <c r="AP5" s="67"/>
      <c r="AQ5" s="67"/>
      <c r="AR5" s="24" t="s">
        <v>32</v>
      </c>
      <c r="AS5" s="29"/>
      <c r="AT5" s="215"/>
    </row>
    <row r="6" spans="2:47" ht="205.9" customHeight="1" thickBot="1">
      <c r="B6" s="230" t="s">
        <v>175</v>
      </c>
      <c r="C6" s="33" t="s">
        <v>176</v>
      </c>
      <c r="D6" s="7" t="s">
        <v>177</v>
      </c>
      <c r="E6" s="45" t="s">
        <v>39</v>
      </c>
      <c r="F6" s="133">
        <f>525500/1.19</f>
        <v>441596.63865546219</v>
      </c>
      <c r="G6" s="132">
        <f>F6*1.19</f>
        <v>525500</v>
      </c>
      <c r="H6" s="116">
        <f>623900/1.19</f>
        <v>524285.71428571432</v>
      </c>
      <c r="I6" s="92">
        <f t="shared" ref="I6:I12" si="0">H6*1.19</f>
        <v>623900</v>
      </c>
      <c r="J6" s="116">
        <f>660550/1.19</f>
        <v>555084.03361344535</v>
      </c>
      <c r="K6" s="41">
        <f t="shared" ref="K6:K12" si="1">J6*1.19</f>
        <v>660549.99999999988</v>
      </c>
      <c r="L6" s="114">
        <f>AVERAGE(F6,H6,J6)</f>
        <v>506988.79551820731</v>
      </c>
      <c r="M6" s="128">
        <f>AVERAGE(G6,I6,K6)</f>
        <v>603316.66666666663</v>
      </c>
      <c r="N6" s="34">
        <v>2</v>
      </c>
      <c r="O6" s="25">
        <f t="shared" ref="O6:O12" si="2">$M6</f>
        <v>603316.66666666663</v>
      </c>
      <c r="P6" s="30">
        <f t="shared" ref="P6:P12" si="3">N6*O6</f>
        <v>1206633.3333333333</v>
      </c>
      <c r="Q6" s="34">
        <v>2</v>
      </c>
      <c r="R6" s="25">
        <f t="shared" ref="R6:R12" si="4">$M6</f>
        <v>603316.66666666663</v>
      </c>
      <c r="S6" s="30">
        <f t="shared" ref="S6:S12" si="5">Q6*R6</f>
        <v>1206633.3333333333</v>
      </c>
      <c r="T6" s="34">
        <v>2</v>
      </c>
      <c r="U6" s="25">
        <f t="shared" ref="U6:U12" si="6">$M6</f>
        <v>603316.66666666663</v>
      </c>
      <c r="V6" s="30">
        <f t="shared" ref="V6:V12" si="7">T6*U6</f>
        <v>1206633.3333333333</v>
      </c>
      <c r="W6" s="34">
        <v>2</v>
      </c>
      <c r="X6" s="25">
        <f t="shared" ref="X6:X12" si="8">$M6</f>
        <v>603316.66666666663</v>
      </c>
      <c r="Y6" s="30">
        <f t="shared" ref="Y6:Y12" si="9">W6*X6</f>
        <v>1206633.3333333333</v>
      </c>
      <c r="Z6" s="34">
        <v>2</v>
      </c>
      <c r="AA6" s="25">
        <f t="shared" ref="AA6:AA12" si="10">$M6</f>
        <v>603316.66666666663</v>
      </c>
      <c r="AB6" s="30">
        <f t="shared" ref="AB6:AB12" si="11">Z6*AA6</f>
        <v>1206633.3333333333</v>
      </c>
      <c r="AC6" s="34">
        <v>5</v>
      </c>
      <c r="AD6" s="25">
        <f t="shared" ref="AD6:AD12" si="12">$M6</f>
        <v>603316.66666666663</v>
      </c>
      <c r="AE6" s="30">
        <f t="shared" ref="AE6:AE12" si="13">AC6*AD6</f>
        <v>3016583.333333333</v>
      </c>
      <c r="AF6" s="34">
        <v>5</v>
      </c>
      <c r="AG6" s="25">
        <f t="shared" ref="AG6:AG12" si="14">$M6</f>
        <v>603316.66666666663</v>
      </c>
      <c r="AH6" s="30">
        <f t="shared" ref="AH6:AH12" si="15">AF6*AG6</f>
        <v>3016583.333333333</v>
      </c>
      <c r="AI6" s="34">
        <v>5</v>
      </c>
      <c r="AJ6" s="25">
        <f t="shared" ref="AJ6:AJ12" si="16">$M6</f>
        <v>603316.66666666663</v>
      </c>
      <c r="AK6" s="30">
        <f t="shared" ref="AK6:AK12" si="17">AI6*AJ6</f>
        <v>3016583.333333333</v>
      </c>
      <c r="AL6" s="34">
        <v>0</v>
      </c>
      <c r="AM6" s="25">
        <f t="shared" ref="AM6:AM12" si="18">$M6</f>
        <v>603316.66666666663</v>
      </c>
      <c r="AN6" s="30">
        <f t="shared" ref="AN6:AN12" si="19">AL6*AM6</f>
        <v>0</v>
      </c>
      <c r="AO6" s="17">
        <f t="shared" ref="AO6:AO12" si="20">N6+$Q6+$T6+$W6+$Z6+$AC6+$AF6+$AI6+$AL6</f>
        <v>25</v>
      </c>
      <c r="AP6" s="77">
        <f>$L6</f>
        <v>506988.79551820731</v>
      </c>
      <c r="AQ6" s="77">
        <f>AO6*AP6</f>
        <v>12674719.887955183</v>
      </c>
      <c r="AR6" s="25">
        <f t="shared" ref="AR6:AR12" si="21">$M6</f>
        <v>603316.66666666663</v>
      </c>
      <c r="AS6" s="30">
        <f t="shared" ref="AS6:AS12" si="22">AO6*AR6</f>
        <v>15082916.666666666</v>
      </c>
      <c r="AT6" s="56" t="e" vm="67">
        <v>#VALUE!</v>
      </c>
      <c r="AU6" s="83"/>
    </row>
    <row r="7" spans="2:47" ht="121.5" customHeight="1">
      <c r="B7" s="231"/>
      <c r="C7" s="9" t="s">
        <v>178</v>
      </c>
      <c r="D7" s="7" t="s">
        <v>179</v>
      </c>
      <c r="E7" s="46" t="s">
        <v>39</v>
      </c>
      <c r="F7" s="137">
        <f>762000/1.19</f>
        <v>640336.13445378153</v>
      </c>
      <c r="G7" s="125">
        <f t="shared" ref="G7:G12" si="23">F7*1.19</f>
        <v>762000</v>
      </c>
      <c r="H7" s="116">
        <v>916000</v>
      </c>
      <c r="I7" s="41">
        <f t="shared" si="0"/>
        <v>1090040</v>
      </c>
      <c r="J7" s="116">
        <v>916000</v>
      </c>
      <c r="K7" s="41">
        <f t="shared" si="1"/>
        <v>1090040</v>
      </c>
      <c r="L7" s="114">
        <f t="shared" ref="L7:L12" si="24">AVERAGE(F7,H7,J7)</f>
        <v>824112.04481792718</v>
      </c>
      <c r="M7" s="128">
        <f t="shared" ref="M7:M12" si="25">AVERAGE(G7,I7,K7)</f>
        <v>980693.33333333337</v>
      </c>
      <c r="N7" s="14">
        <v>2</v>
      </c>
      <c r="O7" s="26">
        <f t="shared" si="2"/>
        <v>980693.33333333337</v>
      </c>
      <c r="P7" s="37">
        <f t="shared" si="3"/>
        <v>1961386.6666666667</v>
      </c>
      <c r="Q7" s="14">
        <v>2</v>
      </c>
      <c r="R7" s="26">
        <f t="shared" si="4"/>
        <v>980693.33333333337</v>
      </c>
      <c r="S7" s="37">
        <f t="shared" si="5"/>
        <v>1961386.6666666667</v>
      </c>
      <c r="T7" s="14">
        <v>2</v>
      </c>
      <c r="U7" s="26">
        <f t="shared" si="6"/>
        <v>980693.33333333337</v>
      </c>
      <c r="V7" s="37">
        <f t="shared" si="7"/>
        <v>1961386.6666666667</v>
      </c>
      <c r="W7" s="14">
        <v>2</v>
      </c>
      <c r="X7" s="26">
        <f t="shared" si="8"/>
        <v>980693.33333333337</v>
      </c>
      <c r="Y7" s="37">
        <f t="shared" si="9"/>
        <v>1961386.6666666667</v>
      </c>
      <c r="Z7" s="14">
        <v>2</v>
      </c>
      <c r="AA7" s="26">
        <f t="shared" si="10"/>
        <v>980693.33333333337</v>
      </c>
      <c r="AB7" s="37">
        <f t="shared" si="11"/>
        <v>1961386.6666666667</v>
      </c>
      <c r="AC7" s="14">
        <v>3</v>
      </c>
      <c r="AD7" s="26">
        <f t="shared" si="12"/>
        <v>980693.33333333337</v>
      </c>
      <c r="AE7" s="37">
        <f t="shared" si="13"/>
        <v>2942080</v>
      </c>
      <c r="AF7" s="14">
        <v>3</v>
      </c>
      <c r="AG7" s="26">
        <f t="shared" si="14"/>
        <v>980693.33333333337</v>
      </c>
      <c r="AH7" s="37">
        <f t="shared" si="15"/>
        <v>2942080</v>
      </c>
      <c r="AI7" s="14">
        <v>3</v>
      </c>
      <c r="AJ7" s="26">
        <f t="shared" si="16"/>
        <v>980693.33333333337</v>
      </c>
      <c r="AK7" s="37">
        <f t="shared" si="17"/>
        <v>2942080</v>
      </c>
      <c r="AL7" s="14">
        <v>0</v>
      </c>
      <c r="AM7" s="26">
        <f t="shared" si="18"/>
        <v>980693.33333333337</v>
      </c>
      <c r="AN7" s="37">
        <f t="shared" si="19"/>
        <v>0</v>
      </c>
      <c r="AO7" s="13">
        <f t="shared" si="20"/>
        <v>19</v>
      </c>
      <c r="AP7" s="77">
        <f t="shared" ref="AP7:AP12" si="26">$L7</f>
        <v>824112.04481792718</v>
      </c>
      <c r="AQ7" s="77">
        <f>AO7*AP7</f>
        <v>15658128.851540616</v>
      </c>
      <c r="AR7" s="26">
        <f t="shared" si="21"/>
        <v>980693.33333333337</v>
      </c>
      <c r="AS7" s="37">
        <f t="shared" si="22"/>
        <v>18633173.333333336</v>
      </c>
      <c r="AT7" s="174" t="e" vm="68">
        <v>#VALUE!</v>
      </c>
      <c r="AU7" s="83"/>
    </row>
    <row r="8" spans="2:47" ht="121.5" customHeight="1">
      <c r="B8" s="231"/>
      <c r="C8" s="9" t="s">
        <v>180</v>
      </c>
      <c r="D8" s="7" t="s">
        <v>181</v>
      </c>
      <c r="E8" s="46" t="s">
        <v>39</v>
      </c>
      <c r="F8" s="138">
        <f>70000/1.19</f>
        <v>58823.529411764706</v>
      </c>
      <c r="G8" s="41">
        <f t="shared" si="23"/>
        <v>70000</v>
      </c>
      <c r="H8" s="139">
        <f>59900/1.19</f>
        <v>50336.134453781517</v>
      </c>
      <c r="I8" s="41">
        <f t="shared" si="0"/>
        <v>59900</v>
      </c>
      <c r="J8" s="140">
        <f>135000/1.19</f>
        <v>113445.37815126051</v>
      </c>
      <c r="K8" s="125">
        <f t="shared" si="1"/>
        <v>135000</v>
      </c>
      <c r="L8" s="114">
        <f t="shared" si="24"/>
        <v>74201.680672268907</v>
      </c>
      <c r="M8" s="128">
        <f t="shared" si="25"/>
        <v>88300</v>
      </c>
      <c r="N8" s="14">
        <v>50</v>
      </c>
      <c r="O8" s="26">
        <f t="shared" si="2"/>
        <v>88300</v>
      </c>
      <c r="P8" s="37">
        <f t="shared" si="3"/>
        <v>4415000</v>
      </c>
      <c r="Q8" s="14">
        <v>0</v>
      </c>
      <c r="R8" s="26">
        <f t="shared" si="4"/>
        <v>88300</v>
      </c>
      <c r="S8" s="37">
        <f t="shared" si="5"/>
        <v>0</v>
      </c>
      <c r="T8" s="14">
        <v>225</v>
      </c>
      <c r="U8" s="26">
        <f t="shared" si="6"/>
        <v>88300</v>
      </c>
      <c r="V8" s="37">
        <f t="shared" si="7"/>
        <v>19867500</v>
      </c>
      <c r="W8" s="14">
        <v>225</v>
      </c>
      <c r="X8" s="26">
        <f t="shared" si="8"/>
        <v>88300</v>
      </c>
      <c r="Y8" s="37">
        <f t="shared" si="9"/>
        <v>19867500</v>
      </c>
      <c r="Z8" s="14">
        <v>150</v>
      </c>
      <c r="AA8" s="26">
        <f t="shared" si="10"/>
        <v>88300</v>
      </c>
      <c r="AB8" s="37">
        <f t="shared" si="11"/>
        <v>13245000</v>
      </c>
      <c r="AC8" s="14">
        <v>300</v>
      </c>
      <c r="AD8" s="26">
        <f t="shared" si="12"/>
        <v>88300</v>
      </c>
      <c r="AE8" s="37">
        <f t="shared" si="13"/>
        <v>26490000</v>
      </c>
      <c r="AF8" s="14">
        <v>300</v>
      </c>
      <c r="AG8" s="26">
        <f t="shared" si="14"/>
        <v>88300</v>
      </c>
      <c r="AH8" s="37">
        <f t="shared" si="15"/>
        <v>26490000</v>
      </c>
      <c r="AI8" s="14">
        <v>300</v>
      </c>
      <c r="AJ8" s="26">
        <f t="shared" si="16"/>
        <v>88300</v>
      </c>
      <c r="AK8" s="37">
        <f t="shared" si="17"/>
        <v>26490000</v>
      </c>
      <c r="AL8" s="14">
        <v>1800</v>
      </c>
      <c r="AM8" s="26">
        <f t="shared" si="18"/>
        <v>88300</v>
      </c>
      <c r="AN8" s="37">
        <f t="shared" si="19"/>
        <v>158940000</v>
      </c>
      <c r="AO8" s="13">
        <f t="shared" si="20"/>
        <v>3350</v>
      </c>
      <c r="AP8" s="77">
        <f t="shared" si="26"/>
        <v>74201.680672268907</v>
      </c>
      <c r="AQ8" s="77">
        <f>AO8*AP8</f>
        <v>248575630.25210083</v>
      </c>
      <c r="AR8" s="26">
        <f t="shared" si="21"/>
        <v>88300</v>
      </c>
      <c r="AS8" s="37">
        <f t="shared" si="22"/>
        <v>295805000</v>
      </c>
      <c r="AT8" s="56" t="e" vm="69">
        <v>#VALUE!</v>
      </c>
      <c r="AU8" s="83"/>
    </row>
    <row r="9" spans="2:47" ht="121.5" customHeight="1">
      <c r="B9" s="231"/>
      <c r="C9" s="9" t="s">
        <v>182</v>
      </c>
      <c r="D9" s="7" t="s">
        <v>183</v>
      </c>
      <c r="E9" s="46" t="s">
        <v>39</v>
      </c>
      <c r="F9" s="138">
        <f>379000/1.19</f>
        <v>318487.39495798323</v>
      </c>
      <c r="G9" s="41">
        <f t="shared" si="23"/>
        <v>379000</v>
      </c>
      <c r="H9" s="139">
        <f>429900/1.19</f>
        <v>361260.50420168071</v>
      </c>
      <c r="I9" s="41">
        <f t="shared" si="0"/>
        <v>429900</v>
      </c>
      <c r="J9" s="139">
        <f>276913/1.19</f>
        <v>232700</v>
      </c>
      <c r="K9" s="41">
        <f t="shared" si="1"/>
        <v>276913</v>
      </c>
      <c r="L9" s="114">
        <f t="shared" si="24"/>
        <v>304149.29971988796</v>
      </c>
      <c r="M9" s="128">
        <f t="shared" si="25"/>
        <v>361937.66666666669</v>
      </c>
      <c r="N9" s="14">
        <v>17</v>
      </c>
      <c r="O9" s="26">
        <f t="shared" si="2"/>
        <v>361937.66666666669</v>
      </c>
      <c r="P9" s="37">
        <f t="shared" si="3"/>
        <v>6152940.333333334</v>
      </c>
      <c r="Q9" s="14">
        <f>ROUND(Q8/3,0)</f>
        <v>0</v>
      </c>
      <c r="R9" s="26">
        <f t="shared" si="4"/>
        <v>361937.66666666669</v>
      </c>
      <c r="S9" s="37">
        <f t="shared" si="5"/>
        <v>0</v>
      </c>
      <c r="T9" s="14">
        <f>ROUND(T8/3,0)</f>
        <v>75</v>
      </c>
      <c r="U9" s="26">
        <f t="shared" si="6"/>
        <v>361937.66666666669</v>
      </c>
      <c r="V9" s="37">
        <f t="shared" si="7"/>
        <v>27145325</v>
      </c>
      <c r="W9" s="14">
        <f>ROUND(W8/3,0)</f>
        <v>75</v>
      </c>
      <c r="X9" s="26">
        <f t="shared" si="8"/>
        <v>361937.66666666669</v>
      </c>
      <c r="Y9" s="37">
        <f t="shared" si="9"/>
        <v>27145325</v>
      </c>
      <c r="Z9" s="14">
        <f>ROUND(Z8/3,0)</f>
        <v>50</v>
      </c>
      <c r="AA9" s="26">
        <f t="shared" si="10"/>
        <v>361937.66666666669</v>
      </c>
      <c r="AB9" s="37">
        <f t="shared" si="11"/>
        <v>18096883.333333336</v>
      </c>
      <c r="AC9" s="14">
        <f>ROUND(AC8/3,0)</f>
        <v>100</v>
      </c>
      <c r="AD9" s="26">
        <f t="shared" si="12"/>
        <v>361937.66666666669</v>
      </c>
      <c r="AE9" s="37">
        <f t="shared" si="13"/>
        <v>36193766.666666672</v>
      </c>
      <c r="AF9" s="14">
        <f>ROUND(AF8/3,0)</f>
        <v>100</v>
      </c>
      <c r="AG9" s="26">
        <f t="shared" si="14"/>
        <v>361937.66666666669</v>
      </c>
      <c r="AH9" s="37">
        <f t="shared" si="15"/>
        <v>36193766.666666672</v>
      </c>
      <c r="AI9" s="14">
        <f>ROUND(AI8/3,0)</f>
        <v>100</v>
      </c>
      <c r="AJ9" s="26">
        <f t="shared" si="16"/>
        <v>361937.66666666669</v>
      </c>
      <c r="AK9" s="37">
        <f t="shared" si="17"/>
        <v>36193766.666666672</v>
      </c>
      <c r="AL9" s="14">
        <f>ROUND(AL8/3,0)</f>
        <v>600</v>
      </c>
      <c r="AM9" s="26">
        <f t="shared" si="18"/>
        <v>361937.66666666669</v>
      </c>
      <c r="AN9" s="37">
        <f t="shared" si="19"/>
        <v>217162600</v>
      </c>
      <c r="AO9" s="13">
        <f t="shared" si="20"/>
        <v>1117</v>
      </c>
      <c r="AP9" s="77">
        <f t="shared" si="26"/>
        <v>304149.29971988796</v>
      </c>
      <c r="AQ9" s="77">
        <f>AO9*AP9</f>
        <v>339734767.78711486</v>
      </c>
      <c r="AR9" s="26">
        <f t="shared" si="21"/>
        <v>361937.66666666669</v>
      </c>
      <c r="AS9" s="37">
        <f t="shared" si="22"/>
        <v>404284373.66666669</v>
      </c>
      <c r="AT9" s="56" t="e" vm="70">
        <v>#VALUE!</v>
      </c>
      <c r="AU9" s="83"/>
    </row>
    <row r="10" spans="2:47" ht="121.5" customHeight="1">
      <c r="B10" s="231"/>
      <c r="C10" s="8" t="s">
        <v>184</v>
      </c>
      <c r="D10" s="7" t="s">
        <v>185</v>
      </c>
      <c r="E10" s="46" t="s">
        <v>39</v>
      </c>
      <c r="F10" s="109">
        <f>268773</f>
        <v>268773</v>
      </c>
      <c r="G10" s="122">
        <f t="shared" si="23"/>
        <v>319839.87</v>
      </c>
      <c r="H10" s="116">
        <v>212016</v>
      </c>
      <c r="I10" s="41">
        <f t="shared" si="0"/>
        <v>252299.03999999998</v>
      </c>
      <c r="J10" s="141">
        <f>232900/1.19</f>
        <v>195714.28571428571</v>
      </c>
      <c r="K10" s="41">
        <f t="shared" si="1"/>
        <v>232899.99999999997</v>
      </c>
      <c r="L10" s="114">
        <f t="shared" si="24"/>
        <v>225501.09523809524</v>
      </c>
      <c r="M10" s="128">
        <f t="shared" si="25"/>
        <v>268346.30333333329</v>
      </c>
      <c r="N10" s="13">
        <v>6</v>
      </c>
      <c r="O10" s="26">
        <f t="shared" si="2"/>
        <v>268346.30333333329</v>
      </c>
      <c r="P10" s="37">
        <f t="shared" si="3"/>
        <v>1610077.8199999998</v>
      </c>
      <c r="Q10" s="13">
        <v>6</v>
      </c>
      <c r="R10" s="26">
        <f t="shared" si="4"/>
        <v>268346.30333333329</v>
      </c>
      <c r="S10" s="37">
        <f t="shared" si="5"/>
        <v>1610077.8199999998</v>
      </c>
      <c r="T10" s="13">
        <v>6</v>
      </c>
      <c r="U10" s="26">
        <f t="shared" si="6"/>
        <v>268346.30333333329</v>
      </c>
      <c r="V10" s="37">
        <f t="shared" si="7"/>
        <v>1610077.8199999998</v>
      </c>
      <c r="W10" s="13">
        <v>6</v>
      </c>
      <c r="X10" s="26">
        <f t="shared" si="8"/>
        <v>268346.30333333329</v>
      </c>
      <c r="Y10" s="37">
        <f t="shared" si="9"/>
        <v>1610077.8199999998</v>
      </c>
      <c r="Z10" s="13">
        <v>6</v>
      </c>
      <c r="AA10" s="26">
        <f t="shared" si="10"/>
        <v>268346.30333333329</v>
      </c>
      <c r="AB10" s="37">
        <f t="shared" si="11"/>
        <v>1610077.8199999998</v>
      </c>
      <c r="AC10" s="13">
        <v>6</v>
      </c>
      <c r="AD10" s="26">
        <f t="shared" si="12"/>
        <v>268346.30333333329</v>
      </c>
      <c r="AE10" s="37">
        <f t="shared" si="13"/>
        <v>1610077.8199999998</v>
      </c>
      <c r="AF10" s="13">
        <v>6</v>
      </c>
      <c r="AG10" s="26">
        <f t="shared" si="14"/>
        <v>268346.30333333329</v>
      </c>
      <c r="AH10" s="37">
        <f t="shared" si="15"/>
        <v>1610077.8199999998</v>
      </c>
      <c r="AI10" s="13">
        <v>6</v>
      </c>
      <c r="AJ10" s="26">
        <f t="shared" si="16"/>
        <v>268346.30333333329</v>
      </c>
      <c r="AK10" s="37">
        <f t="shared" si="17"/>
        <v>1610077.8199999998</v>
      </c>
      <c r="AL10" s="13">
        <v>52</v>
      </c>
      <c r="AM10" s="26">
        <f t="shared" si="18"/>
        <v>268346.30333333329</v>
      </c>
      <c r="AN10" s="37">
        <f t="shared" si="19"/>
        <v>13954007.773333332</v>
      </c>
      <c r="AO10" s="13">
        <f t="shared" si="20"/>
        <v>100</v>
      </c>
      <c r="AP10" s="77">
        <f t="shared" si="26"/>
        <v>225501.09523809524</v>
      </c>
      <c r="AQ10" s="77">
        <f t="shared" ref="AQ10:AQ12" si="27">AO10*AP10</f>
        <v>22550109.523809522</v>
      </c>
      <c r="AR10" s="26">
        <f t="shared" si="21"/>
        <v>268346.30333333329</v>
      </c>
      <c r="AS10" s="37">
        <f t="shared" si="22"/>
        <v>26834630.333333328</v>
      </c>
      <c r="AT10" s="57" t="e" vm="71">
        <v>#VALUE!</v>
      </c>
      <c r="AU10" s="83"/>
    </row>
    <row r="11" spans="2:47" ht="271.14999999999998" customHeight="1">
      <c r="B11" s="231"/>
      <c r="C11" s="8" t="s">
        <v>186</v>
      </c>
      <c r="D11" s="7" t="s">
        <v>187</v>
      </c>
      <c r="E11" s="46" t="s">
        <v>39</v>
      </c>
      <c r="F11" s="117">
        <v>1650000</v>
      </c>
      <c r="G11" s="41">
        <f t="shared" si="23"/>
        <v>1963500</v>
      </c>
      <c r="H11" s="140">
        <f>1500000/1.19</f>
        <v>1260504.2016806724</v>
      </c>
      <c r="I11" s="125">
        <f t="shared" si="0"/>
        <v>1500000</v>
      </c>
      <c r="J11" s="139">
        <f>1890000/1.19</f>
        <v>1588235.2941176472</v>
      </c>
      <c r="K11" s="41">
        <f t="shared" si="1"/>
        <v>1890000</v>
      </c>
      <c r="L11" s="114">
        <f t="shared" si="24"/>
        <v>1499579.8319327731</v>
      </c>
      <c r="M11" s="128">
        <f t="shared" si="25"/>
        <v>1784500</v>
      </c>
      <c r="N11" s="13">
        <v>0</v>
      </c>
      <c r="O11" s="26">
        <f t="shared" si="2"/>
        <v>1784500</v>
      </c>
      <c r="P11" s="37">
        <f t="shared" si="3"/>
        <v>0</v>
      </c>
      <c r="Q11" s="13">
        <v>0</v>
      </c>
      <c r="R11" s="26">
        <f t="shared" si="4"/>
        <v>1784500</v>
      </c>
      <c r="S11" s="37">
        <f t="shared" si="5"/>
        <v>0</v>
      </c>
      <c r="T11" s="13">
        <v>0</v>
      </c>
      <c r="U11" s="26">
        <f t="shared" si="6"/>
        <v>1784500</v>
      </c>
      <c r="V11" s="37">
        <f t="shared" si="7"/>
        <v>0</v>
      </c>
      <c r="W11" s="13">
        <v>0</v>
      </c>
      <c r="X11" s="26">
        <f t="shared" si="8"/>
        <v>1784500</v>
      </c>
      <c r="Y11" s="37">
        <f t="shared" si="9"/>
        <v>0</v>
      </c>
      <c r="Z11" s="13">
        <v>1</v>
      </c>
      <c r="AA11" s="26">
        <f t="shared" si="10"/>
        <v>1784500</v>
      </c>
      <c r="AB11" s="37">
        <f t="shared" si="11"/>
        <v>1784500</v>
      </c>
      <c r="AC11" s="13">
        <v>1</v>
      </c>
      <c r="AD11" s="26">
        <f t="shared" si="12"/>
        <v>1784500</v>
      </c>
      <c r="AE11" s="37">
        <f t="shared" si="13"/>
        <v>1784500</v>
      </c>
      <c r="AF11" s="13">
        <v>1</v>
      </c>
      <c r="AG11" s="26">
        <f t="shared" si="14"/>
        <v>1784500</v>
      </c>
      <c r="AH11" s="37">
        <f t="shared" si="15"/>
        <v>1784500</v>
      </c>
      <c r="AI11" s="13">
        <v>1</v>
      </c>
      <c r="AJ11" s="26">
        <f t="shared" si="16"/>
        <v>1784500</v>
      </c>
      <c r="AK11" s="37">
        <f t="shared" si="17"/>
        <v>1784500</v>
      </c>
      <c r="AL11" s="13">
        <v>0</v>
      </c>
      <c r="AM11" s="26">
        <f t="shared" si="18"/>
        <v>1784500</v>
      </c>
      <c r="AN11" s="37">
        <f t="shared" si="19"/>
        <v>0</v>
      </c>
      <c r="AO11" s="13">
        <f t="shared" si="20"/>
        <v>4</v>
      </c>
      <c r="AP11" s="77">
        <f t="shared" si="26"/>
        <v>1499579.8319327731</v>
      </c>
      <c r="AQ11" s="77">
        <f t="shared" si="27"/>
        <v>5998319.3277310925</v>
      </c>
      <c r="AR11" s="26">
        <f t="shared" si="21"/>
        <v>1784500</v>
      </c>
      <c r="AS11" s="37">
        <f t="shared" si="22"/>
        <v>7138000</v>
      </c>
      <c r="AT11" s="56" t="e" vm="72">
        <v>#VALUE!</v>
      </c>
      <c r="AU11" s="83"/>
    </row>
    <row r="12" spans="2:47" ht="121.5" customHeight="1" thickBot="1">
      <c r="B12" s="232"/>
      <c r="C12" s="54" t="s">
        <v>188</v>
      </c>
      <c r="D12" s="142" t="s">
        <v>189</v>
      </c>
      <c r="E12" s="55" t="s">
        <v>39</v>
      </c>
      <c r="F12" s="143">
        <f>1399900/1.19</f>
        <v>1176386.5546218487</v>
      </c>
      <c r="G12" s="91">
        <f t="shared" si="23"/>
        <v>1399900</v>
      </c>
      <c r="H12" s="121">
        <v>1245217</v>
      </c>
      <c r="I12" s="91">
        <f t="shared" si="0"/>
        <v>1481808.23</v>
      </c>
      <c r="J12" s="121">
        <v>1404000</v>
      </c>
      <c r="K12" s="91">
        <f t="shared" si="1"/>
        <v>1670760</v>
      </c>
      <c r="L12" s="114">
        <f t="shared" si="24"/>
        <v>1275201.1848739495</v>
      </c>
      <c r="M12" s="128">
        <f t="shared" si="25"/>
        <v>1517489.4100000001</v>
      </c>
      <c r="N12" s="18">
        <v>1</v>
      </c>
      <c r="O12" s="27">
        <f t="shared" si="2"/>
        <v>1517489.4100000001</v>
      </c>
      <c r="P12" s="38">
        <f t="shared" si="3"/>
        <v>1517489.4100000001</v>
      </c>
      <c r="Q12" s="18">
        <v>1</v>
      </c>
      <c r="R12" s="27">
        <f t="shared" si="4"/>
        <v>1517489.4100000001</v>
      </c>
      <c r="S12" s="38">
        <f t="shared" si="5"/>
        <v>1517489.4100000001</v>
      </c>
      <c r="T12" s="18">
        <v>1</v>
      </c>
      <c r="U12" s="27">
        <f t="shared" si="6"/>
        <v>1517489.4100000001</v>
      </c>
      <c r="V12" s="38">
        <f t="shared" si="7"/>
        <v>1517489.4100000001</v>
      </c>
      <c r="W12" s="18">
        <v>1</v>
      </c>
      <c r="X12" s="27">
        <f t="shared" si="8"/>
        <v>1517489.4100000001</v>
      </c>
      <c r="Y12" s="38">
        <f t="shared" si="9"/>
        <v>1517489.4100000001</v>
      </c>
      <c r="Z12" s="18">
        <v>1</v>
      </c>
      <c r="AA12" s="27">
        <f t="shared" si="10"/>
        <v>1517489.4100000001</v>
      </c>
      <c r="AB12" s="38">
        <f t="shared" si="11"/>
        <v>1517489.4100000001</v>
      </c>
      <c r="AC12" s="18">
        <v>1</v>
      </c>
      <c r="AD12" s="27">
        <f t="shared" si="12"/>
        <v>1517489.4100000001</v>
      </c>
      <c r="AE12" s="38">
        <f t="shared" si="13"/>
        <v>1517489.4100000001</v>
      </c>
      <c r="AF12" s="18">
        <v>1</v>
      </c>
      <c r="AG12" s="27">
        <f t="shared" si="14"/>
        <v>1517489.4100000001</v>
      </c>
      <c r="AH12" s="38">
        <f t="shared" si="15"/>
        <v>1517489.4100000001</v>
      </c>
      <c r="AI12" s="18">
        <v>1</v>
      </c>
      <c r="AJ12" s="27">
        <f t="shared" si="16"/>
        <v>1517489.4100000001</v>
      </c>
      <c r="AK12" s="38">
        <f t="shared" si="17"/>
        <v>1517489.4100000001</v>
      </c>
      <c r="AL12" s="18">
        <v>5</v>
      </c>
      <c r="AM12" s="27">
        <f t="shared" si="18"/>
        <v>1517489.4100000001</v>
      </c>
      <c r="AN12" s="38">
        <f t="shared" si="19"/>
        <v>7587447.0500000007</v>
      </c>
      <c r="AO12" s="18">
        <f t="shared" si="20"/>
        <v>13</v>
      </c>
      <c r="AP12" s="82">
        <f t="shared" si="26"/>
        <v>1275201.1848739495</v>
      </c>
      <c r="AQ12" s="82">
        <f t="shared" si="27"/>
        <v>16577615.403361343</v>
      </c>
      <c r="AR12" s="27">
        <f t="shared" si="21"/>
        <v>1517489.4100000001</v>
      </c>
      <c r="AS12" s="38">
        <f t="shared" si="22"/>
        <v>19727362.330000002</v>
      </c>
      <c r="AT12" s="176" t="e" vm="73">
        <v>#VALUE!</v>
      </c>
      <c r="AU12" s="83"/>
    </row>
    <row r="13" spans="2:47" ht="126.75" customHeight="1">
      <c r="B13" s="1"/>
      <c r="C13" s="3"/>
      <c r="L13" s="22"/>
      <c r="M13" s="4"/>
      <c r="N13" s="22"/>
      <c r="P13" s="4"/>
      <c r="Q13" s="22"/>
      <c r="S13" s="4"/>
      <c r="T13" s="22"/>
      <c r="V13" s="4"/>
      <c r="W13" s="22"/>
      <c r="Y13" s="4"/>
      <c r="Z13" s="22"/>
      <c r="AB13" s="4"/>
      <c r="AC13" s="22"/>
      <c r="AE13" s="4"/>
      <c r="AF13" s="22"/>
      <c r="AH13" s="4"/>
      <c r="AI13" s="22"/>
      <c r="AK13" s="4"/>
      <c r="AL13" s="22"/>
      <c r="AN13" s="4"/>
      <c r="AO13" s="22"/>
      <c r="AQ13" s="81">
        <f>SUM(AQ6:AQ12)</f>
        <v>661769291.03361356</v>
      </c>
      <c r="AS13" s="22">
        <f>SUM(AS6:AS12)</f>
        <v>787505456.33000016</v>
      </c>
      <c r="AT13"/>
    </row>
    <row r="14" spans="2:47" ht="114.75" customHeight="1">
      <c r="B14" s="1"/>
      <c r="C14" s="3"/>
      <c r="L14" s="22"/>
      <c r="M14" s="4"/>
      <c r="N14" s="22"/>
      <c r="P14" s="4"/>
      <c r="Q14" s="22"/>
      <c r="S14" s="4"/>
      <c r="T14" s="22"/>
      <c r="V14" s="4"/>
      <c r="W14" s="22"/>
      <c r="Y14" s="4"/>
      <c r="Z14" s="22"/>
      <c r="AB14" s="4"/>
      <c r="AC14" s="22"/>
      <c r="AE14" s="4"/>
      <c r="AF14" s="22"/>
      <c r="AH14" s="4"/>
      <c r="AI14" s="22"/>
      <c r="AL14" s="22"/>
      <c r="AN14" s="4"/>
      <c r="AO14" s="22"/>
      <c r="AS14" s="4"/>
      <c r="AT14"/>
    </row>
    <row r="15" spans="2:47" ht="114.75" customHeight="1">
      <c r="B15" s="1"/>
      <c r="C15" s="3"/>
      <c r="L15" s="22"/>
      <c r="M15" s="4"/>
      <c r="N15" s="22"/>
      <c r="P15" s="4"/>
      <c r="Q15" s="22"/>
      <c r="S15" s="4"/>
      <c r="T15" s="22"/>
      <c r="V15" s="4"/>
      <c r="W15" s="22"/>
      <c r="Y15" s="4"/>
      <c r="Z15" s="22"/>
      <c r="AB15" s="4"/>
      <c r="AC15" s="22"/>
      <c r="AE15" s="4"/>
      <c r="AF15" s="22"/>
      <c r="AH15" s="4"/>
      <c r="AI15" s="22"/>
      <c r="AK15" s="4"/>
      <c r="AL15" s="22"/>
      <c r="AN15" s="4"/>
      <c r="AO15" s="22"/>
      <c r="AS15" s="4"/>
      <c r="AT15"/>
    </row>
    <row r="16" spans="2:47" ht="127.5" customHeight="1">
      <c r="B16" s="1"/>
      <c r="C16" s="3"/>
      <c r="L16" s="22"/>
      <c r="M16" s="4"/>
      <c r="N16" s="22"/>
      <c r="P16" s="4"/>
      <c r="Q16" s="22"/>
      <c r="S16" s="4"/>
      <c r="T16" s="22"/>
      <c r="V16" s="4"/>
      <c r="W16" s="22"/>
      <c r="Y16" s="4"/>
      <c r="Z16" s="22"/>
      <c r="AB16" s="4"/>
      <c r="AC16" s="22"/>
      <c r="AE16" s="4"/>
      <c r="AF16" s="22"/>
      <c r="AH16" s="4"/>
      <c r="AI16" s="22"/>
      <c r="AK16" s="4"/>
      <c r="AL16" s="22"/>
      <c r="AN16" s="4"/>
      <c r="AO16" s="22"/>
      <c r="AS16" s="4"/>
      <c r="AT16"/>
    </row>
    <row r="17" spans="2:46" ht="95.25" customHeight="1">
      <c r="B17" s="1"/>
      <c r="C17" s="3"/>
      <c r="L17" s="22"/>
      <c r="M17" s="4"/>
      <c r="N17" s="22"/>
      <c r="P17" s="4"/>
      <c r="Q17" s="22"/>
      <c r="S17" s="4"/>
      <c r="T17" s="22"/>
      <c r="V17" s="4"/>
      <c r="W17" s="22"/>
      <c r="Y17" s="4"/>
      <c r="Z17" s="22"/>
      <c r="AB17" s="4"/>
      <c r="AC17" s="22"/>
      <c r="AE17" s="4"/>
      <c r="AF17" s="22"/>
      <c r="AH17" s="4"/>
      <c r="AI17" s="22"/>
      <c r="AK17" s="4"/>
      <c r="AL17" s="22"/>
      <c r="AN17" s="4"/>
      <c r="AO17" s="22"/>
      <c r="AS17" s="4"/>
      <c r="AT17"/>
    </row>
    <row r="18" spans="2:46" ht="123" customHeight="1">
      <c r="B18" s="1"/>
      <c r="C18" s="3"/>
      <c r="L18" s="22"/>
      <c r="M18" s="4"/>
      <c r="N18" s="22"/>
      <c r="P18" s="4"/>
      <c r="Q18" s="22"/>
      <c r="S18" s="4"/>
      <c r="T18" s="22"/>
      <c r="V18" s="4"/>
      <c r="W18" s="22"/>
      <c r="Y18" s="4"/>
      <c r="Z18" s="22"/>
      <c r="AB18" s="4"/>
      <c r="AC18" s="22"/>
      <c r="AE18" s="4"/>
      <c r="AF18" s="22"/>
      <c r="AH18" s="4"/>
      <c r="AI18" s="22"/>
      <c r="AK18" s="4"/>
      <c r="AL18" s="22"/>
      <c r="AN18" s="4"/>
      <c r="AO18" s="22"/>
      <c r="AS18" s="4"/>
      <c r="AT18"/>
    </row>
    <row r="19" spans="2:46" ht="114.75" customHeight="1">
      <c r="B19" s="1"/>
      <c r="C19" s="3"/>
      <c r="L19" s="22"/>
      <c r="M19" s="4"/>
      <c r="N19" s="22"/>
      <c r="P19" s="4"/>
      <c r="Q19" s="22"/>
      <c r="S19" s="4"/>
      <c r="T19" s="22"/>
      <c r="V19" s="4"/>
      <c r="W19" s="22"/>
      <c r="Y19" s="4"/>
      <c r="Z19" s="22"/>
      <c r="AB19" s="4"/>
      <c r="AC19" s="22"/>
      <c r="AE19" s="4"/>
      <c r="AF19" s="22"/>
      <c r="AH19" s="4"/>
      <c r="AI19" s="22"/>
      <c r="AK19" s="4"/>
      <c r="AL19" s="22"/>
      <c r="AN19" s="4"/>
      <c r="AO19" s="22"/>
      <c r="AS19" s="4"/>
      <c r="AT19"/>
    </row>
    <row r="20" spans="2:46" ht="114" customHeight="1">
      <c r="B20" s="1"/>
      <c r="C20" s="3"/>
      <c r="L20" s="22"/>
      <c r="M20" s="4"/>
      <c r="N20" s="22"/>
      <c r="P20" s="4"/>
      <c r="Q20" s="22"/>
      <c r="S20" s="4"/>
      <c r="T20" s="22"/>
      <c r="V20" s="4"/>
      <c r="W20" s="22"/>
      <c r="Y20" s="4"/>
      <c r="Z20" s="22"/>
      <c r="AB20" s="4"/>
      <c r="AC20" s="22"/>
      <c r="AE20" s="4"/>
      <c r="AF20" s="22"/>
      <c r="AH20" s="4"/>
      <c r="AI20" s="22"/>
      <c r="AK20" s="4"/>
      <c r="AL20" s="22"/>
      <c r="AN20" s="4"/>
      <c r="AO20" s="22"/>
      <c r="AS20" s="4"/>
      <c r="AT20"/>
    </row>
    <row r="21" spans="2:46" s="2" customFormat="1" ht="113.25" customHeight="1">
      <c r="B21" s="1"/>
      <c r="C21" s="3"/>
      <c r="D21"/>
      <c r="E21"/>
      <c r="F21" s="40"/>
      <c r="G21" s="40"/>
      <c r="H21" s="40"/>
      <c r="I21" s="40"/>
      <c r="J21" s="40"/>
      <c r="K21" s="40"/>
      <c r="L21" s="22"/>
      <c r="M21" s="4"/>
      <c r="N21" s="22"/>
      <c r="O21" s="22"/>
      <c r="P21" s="4"/>
      <c r="Q21" s="22"/>
      <c r="R21" s="22"/>
      <c r="S21" s="4"/>
      <c r="T21" s="22"/>
      <c r="U21" s="22"/>
      <c r="V21" s="4"/>
      <c r="W21" s="22"/>
      <c r="X21" s="22"/>
      <c r="Y21" s="4"/>
      <c r="Z21" s="22"/>
      <c r="AA21" s="22"/>
      <c r="AB21" s="4"/>
      <c r="AC21" s="22"/>
      <c r="AD21" s="22"/>
      <c r="AE21" s="4"/>
      <c r="AF21" s="22"/>
      <c r="AG21" s="22"/>
      <c r="AH21" s="4"/>
      <c r="AI21" s="22"/>
      <c r="AJ21" s="22"/>
      <c r="AK21" s="4"/>
      <c r="AL21" s="22"/>
      <c r="AM21" s="22"/>
      <c r="AN21" s="4"/>
      <c r="AO21" s="22"/>
      <c r="AP21" s="4"/>
      <c r="AQ21" s="4"/>
      <c r="AR21" s="22"/>
      <c r="AS21" s="4"/>
    </row>
    <row r="22" spans="2:46" s="2" customFormat="1" ht="108.75" customHeight="1">
      <c r="B22" s="1"/>
      <c r="C22" s="3"/>
      <c r="D22"/>
      <c r="E22"/>
      <c r="F22" s="40"/>
      <c r="G22" s="40"/>
      <c r="H22" s="40"/>
      <c r="I22" s="40"/>
      <c r="J22" s="40"/>
      <c r="K22" s="40"/>
      <c r="L22" s="22"/>
      <c r="M22" s="4"/>
      <c r="N22" s="22"/>
      <c r="O22" s="22"/>
      <c r="P22" s="4"/>
      <c r="Q22" s="22"/>
      <c r="R22" s="22"/>
      <c r="S22" s="4"/>
      <c r="T22" s="22"/>
      <c r="U22" s="22"/>
      <c r="V22" s="4"/>
      <c r="W22" s="22"/>
      <c r="X22" s="22"/>
      <c r="Y22" s="4"/>
      <c r="Z22" s="22"/>
      <c r="AA22" s="22"/>
      <c r="AB22" s="4"/>
      <c r="AC22" s="22"/>
      <c r="AD22" s="22"/>
      <c r="AE22" s="4"/>
      <c r="AF22" s="22"/>
      <c r="AG22" s="22"/>
      <c r="AH22" s="4"/>
      <c r="AI22" s="22"/>
      <c r="AJ22" s="22"/>
      <c r="AK22" s="4"/>
      <c r="AL22" s="22"/>
      <c r="AM22" s="22"/>
      <c r="AN22" s="4"/>
      <c r="AO22" s="22"/>
      <c r="AP22" s="4"/>
      <c r="AQ22" s="4"/>
      <c r="AR22" s="22"/>
      <c r="AS22" s="4"/>
    </row>
    <row r="23" spans="2:46" s="2" customFormat="1" ht="108.75" customHeight="1">
      <c r="B23" s="1"/>
      <c r="C23" s="3"/>
      <c r="D23"/>
      <c r="E23"/>
      <c r="F23" s="40"/>
      <c r="G23" s="40"/>
      <c r="H23" s="40"/>
      <c r="I23" s="40"/>
      <c r="J23" s="40"/>
      <c r="K23" s="40"/>
      <c r="L23" s="22"/>
      <c r="M23" s="4"/>
      <c r="N23" s="22"/>
      <c r="O23" s="22"/>
      <c r="P23" s="4"/>
      <c r="Q23" s="22"/>
      <c r="R23" s="22"/>
      <c r="S23" s="4"/>
      <c r="T23" s="22"/>
      <c r="U23" s="22"/>
      <c r="V23" s="4"/>
      <c r="W23" s="22"/>
      <c r="X23" s="22"/>
      <c r="Y23" s="4"/>
      <c r="Z23" s="22"/>
      <c r="AA23" s="22"/>
      <c r="AB23" s="4"/>
      <c r="AC23" s="22"/>
      <c r="AD23" s="22"/>
      <c r="AE23" s="4"/>
      <c r="AF23" s="22"/>
      <c r="AG23" s="22"/>
      <c r="AH23" s="4"/>
      <c r="AI23" s="22"/>
      <c r="AJ23" s="22"/>
      <c r="AK23" s="4"/>
      <c r="AL23" s="22"/>
      <c r="AM23" s="22"/>
      <c r="AN23" s="4"/>
      <c r="AO23" s="22"/>
      <c r="AP23" s="4"/>
      <c r="AQ23" s="4"/>
      <c r="AR23" s="22"/>
      <c r="AS23" s="4"/>
    </row>
    <row r="24" spans="2:46" s="2" customFormat="1" ht="108.75" customHeight="1">
      <c r="B24" s="1"/>
      <c r="C24" s="3"/>
      <c r="D24"/>
      <c r="E24"/>
      <c r="F24" s="40"/>
      <c r="G24" s="40"/>
      <c r="H24" s="40"/>
      <c r="I24" s="40"/>
      <c r="J24" s="40"/>
      <c r="K24" s="40"/>
      <c r="L24" s="22"/>
      <c r="M24" s="4"/>
      <c r="N24" s="22"/>
      <c r="O24" s="22"/>
      <c r="P24" s="4"/>
      <c r="Q24" s="22"/>
      <c r="R24" s="22"/>
      <c r="S24" s="4"/>
      <c r="T24" s="22"/>
      <c r="U24" s="22"/>
      <c r="V24" s="4"/>
      <c r="W24" s="22"/>
      <c r="X24" s="22"/>
      <c r="Y24" s="4"/>
      <c r="Z24" s="22"/>
      <c r="AA24" s="22"/>
      <c r="AB24" s="4"/>
      <c r="AC24" s="22"/>
      <c r="AD24" s="22"/>
      <c r="AE24" s="4"/>
      <c r="AF24" s="22"/>
      <c r="AG24" s="22"/>
      <c r="AH24" s="4"/>
      <c r="AI24" s="22"/>
      <c r="AJ24" s="22"/>
      <c r="AK24" s="4"/>
      <c r="AL24" s="22"/>
      <c r="AM24" s="22"/>
      <c r="AN24" s="4"/>
      <c r="AO24" s="22"/>
      <c r="AP24" s="4"/>
      <c r="AQ24" s="4"/>
      <c r="AR24" s="22"/>
      <c r="AS24" s="4"/>
    </row>
    <row r="25" spans="2:46" s="2" customFormat="1" ht="108.75" customHeight="1">
      <c r="B25" s="1"/>
      <c r="C25" s="3"/>
      <c r="D25"/>
      <c r="E25"/>
      <c r="F25" s="40"/>
      <c r="G25" s="40"/>
      <c r="H25" s="40"/>
      <c r="I25" s="40"/>
      <c r="J25" s="40"/>
      <c r="K25" s="40"/>
      <c r="L25" s="22"/>
      <c r="M25" s="4"/>
      <c r="N25" s="22"/>
      <c r="O25" s="22"/>
      <c r="P25" s="4"/>
      <c r="Q25" s="22"/>
      <c r="R25" s="22"/>
      <c r="S25" s="4"/>
      <c r="T25" s="22"/>
      <c r="U25" s="22"/>
      <c r="V25" s="4"/>
      <c r="W25" s="22"/>
      <c r="X25" s="22"/>
      <c r="Y25" s="4"/>
      <c r="Z25" s="22"/>
      <c r="AA25" s="22"/>
      <c r="AB25" s="4"/>
      <c r="AC25" s="22"/>
      <c r="AD25" s="22"/>
      <c r="AE25" s="4"/>
      <c r="AF25" s="22"/>
      <c r="AG25" s="22"/>
      <c r="AH25" s="4"/>
      <c r="AI25" s="22"/>
      <c r="AJ25" s="22"/>
      <c r="AK25" s="4"/>
      <c r="AL25" s="22"/>
      <c r="AM25" s="22"/>
      <c r="AN25" s="4"/>
      <c r="AO25" s="22"/>
      <c r="AP25" s="4"/>
      <c r="AQ25" s="4"/>
      <c r="AR25" s="22"/>
      <c r="AS25" s="4"/>
    </row>
    <row r="26" spans="2:46" s="2" customFormat="1" ht="96" customHeight="1">
      <c r="B26" s="1"/>
      <c r="C26" s="3"/>
      <c r="D26"/>
      <c r="E26"/>
      <c r="F26" s="40"/>
      <c r="G26" s="40"/>
      <c r="H26" s="40"/>
      <c r="I26" s="40"/>
      <c r="J26" s="40"/>
      <c r="K26" s="40"/>
      <c r="L26" s="22"/>
      <c r="M26" s="4"/>
      <c r="N26" s="22"/>
      <c r="O26" s="22"/>
      <c r="P26" s="4"/>
      <c r="Q26" s="22"/>
      <c r="R26" s="22"/>
      <c r="S26" s="4"/>
      <c r="T26" s="22"/>
      <c r="U26" s="22"/>
      <c r="V26" s="4"/>
      <c r="W26" s="22"/>
      <c r="X26" s="22"/>
      <c r="Y26" s="4"/>
      <c r="Z26" s="22"/>
      <c r="AA26" s="22"/>
      <c r="AB26" s="4"/>
      <c r="AC26" s="22"/>
      <c r="AD26" s="22"/>
      <c r="AE26" s="4"/>
      <c r="AF26" s="22"/>
      <c r="AG26" s="22"/>
      <c r="AH26" s="4"/>
      <c r="AI26" s="22"/>
      <c r="AJ26" s="22"/>
      <c r="AK26" s="4"/>
      <c r="AL26" s="22"/>
      <c r="AM26" s="22"/>
      <c r="AN26" s="4"/>
      <c r="AO26" s="22"/>
      <c r="AP26" s="4"/>
      <c r="AQ26" s="4"/>
      <c r="AR26" s="22"/>
      <c r="AS26" s="4"/>
    </row>
    <row r="27" spans="2:46" s="2" customFormat="1" ht="120.75" customHeight="1">
      <c r="B27" s="1"/>
      <c r="C27" s="3"/>
      <c r="D27"/>
      <c r="E27"/>
      <c r="F27" s="40"/>
      <c r="G27" s="40"/>
      <c r="H27" s="40"/>
      <c r="I27" s="40"/>
      <c r="J27" s="40"/>
      <c r="K27" s="40"/>
      <c r="L27" s="22"/>
      <c r="M27" s="4"/>
      <c r="N27" s="22"/>
      <c r="O27" s="22"/>
      <c r="P27" s="4"/>
      <c r="Q27" s="22"/>
      <c r="R27" s="22"/>
      <c r="S27" s="4"/>
      <c r="T27" s="22"/>
      <c r="U27" s="22"/>
      <c r="V27" s="4"/>
      <c r="W27" s="22"/>
      <c r="X27" s="22"/>
      <c r="Y27" s="4"/>
      <c r="Z27" s="22"/>
      <c r="AA27" s="22"/>
      <c r="AB27" s="4"/>
      <c r="AC27" s="22"/>
      <c r="AD27" s="22"/>
      <c r="AE27" s="4"/>
      <c r="AF27" s="22"/>
      <c r="AG27" s="22"/>
      <c r="AH27" s="4"/>
      <c r="AI27" s="22"/>
      <c r="AJ27" s="22"/>
      <c r="AK27" s="4"/>
      <c r="AL27" s="22"/>
      <c r="AM27" s="22"/>
      <c r="AN27" s="4"/>
      <c r="AO27" s="22"/>
      <c r="AP27" s="4"/>
      <c r="AQ27" s="4"/>
      <c r="AR27" s="22"/>
      <c r="AS27" s="4"/>
    </row>
    <row r="28" spans="2:46" s="2" customFormat="1" ht="291" customHeight="1">
      <c r="B28" s="1"/>
      <c r="C28" s="3"/>
      <c r="D28"/>
      <c r="E28"/>
      <c r="F28" s="40"/>
      <c r="G28" s="40"/>
      <c r="H28" s="40"/>
      <c r="I28" s="40"/>
      <c r="J28" s="40"/>
      <c r="K28" s="40"/>
      <c r="L28" s="22"/>
      <c r="M28" s="4"/>
      <c r="N28" s="22"/>
      <c r="O28" s="22"/>
      <c r="P28" s="4"/>
      <c r="Q28" s="22"/>
      <c r="R28" s="22"/>
      <c r="S28" s="4"/>
      <c r="T28" s="22"/>
      <c r="U28" s="22"/>
      <c r="V28" s="4"/>
      <c r="W28" s="32"/>
      <c r="X28" s="22"/>
      <c r="Y28" s="4"/>
      <c r="Z28" s="32"/>
      <c r="AA28" s="22"/>
      <c r="AB28" s="4"/>
      <c r="AC28" s="22"/>
      <c r="AD28" s="22"/>
      <c r="AE28" s="4"/>
      <c r="AF28" s="22"/>
      <c r="AG28" s="22"/>
      <c r="AH28" s="4"/>
      <c r="AI28" s="22"/>
      <c r="AJ28" s="22"/>
      <c r="AK28" s="4"/>
      <c r="AL28" s="22"/>
      <c r="AM28" s="22"/>
      <c r="AN28" s="4"/>
      <c r="AO28" s="22"/>
      <c r="AP28" s="4"/>
      <c r="AQ28" s="4"/>
      <c r="AR28" s="22"/>
      <c r="AS28" s="4"/>
    </row>
    <row r="29" spans="2:46" s="2" customFormat="1" ht="226.15" customHeight="1">
      <c r="B29" s="1"/>
      <c r="C29" s="3"/>
      <c r="D29"/>
      <c r="E29"/>
      <c r="F29" s="40"/>
      <c r="G29" s="40"/>
      <c r="H29" s="40"/>
      <c r="I29" s="40"/>
      <c r="J29" s="40"/>
      <c r="K29" s="40"/>
      <c r="L29" s="22"/>
      <c r="M29" s="4"/>
      <c r="N29" s="22"/>
      <c r="O29" s="22"/>
      <c r="P29" s="4"/>
      <c r="Q29" s="22"/>
      <c r="R29" s="22"/>
      <c r="S29" s="4"/>
      <c r="T29" s="22"/>
      <c r="U29" s="22"/>
      <c r="V29" s="4"/>
      <c r="W29" s="22"/>
      <c r="X29" s="22"/>
      <c r="Y29" s="4"/>
      <c r="Z29" s="22"/>
      <c r="AA29" s="22"/>
      <c r="AB29" s="4"/>
      <c r="AC29" s="22"/>
      <c r="AD29" s="22"/>
      <c r="AE29" s="4"/>
      <c r="AF29" s="22"/>
      <c r="AG29" s="22"/>
      <c r="AH29" s="4"/>
      <c r="AI29" s="22"/>
      <c r="AJ29" s="22"/>
      <c r="AK29" s="4"/>
      <c r="AL29" s="22"/>
      <c r="AM29" s="22"/>
      <c r="AN29" s="4"/>
      <c r="AO29" s="22"/>
      <c r="AP29" s="4"/>
      <c r="AQ29" s="4"/>
      <c r="AR29" s="22"/>
      <c r="AS29" s="4"/>
    </row>
    <row r="30" spans="2:46" s="2" customFormat="1" ht="148.5" customHeight="1">
      <c r="B30" s="1"/>
      <c r="C30" s="3"/>
      <c r="D30"/>
      <c r="E30"/>
      <c r="F30" s="40"/>
      <c r="G30" s="40"/>
      <c r="H30" s="40"/>
      <c r="I30" s="40"/>
      <c r="J30" s="40"/>
      <c r="K30" s="40"/>
      <c r="L30" s="22"/>
      <c r="M30" s="4"/>
      <c r="N30" s="22"/>
      <c r="O30" s="22"/>
      <c r="P30" s="4"/>
      <c r="Q30" s="22"/>
      <c r="R30" s="22"/>
      <c r="S30" s="4"/>
      <c r="T30" s="22"/>
      <c r="U30" s="22"/>
      <c r="V30" s="4"/>
      <c r="W30" s="22"/>
      <c r="X30" s="22"/>
      <c r="Y30" s="4"/>
      <c r="Z30" s="22"/>
      <c r="AA30" s="22"/>
      <c r="AB30" s="4"/>
      <c r="AC30" s="22"/>
      <c r="AD30" s="22"/>
      <c r="AE30" s="4"/>
      <c r="AF30" s="22"/>
      <c r="AG30" s="22"/>
      <c r="AH30" s="4"/>
      <c r="AI30" s="22"/>
      <c r="AJ30" s="22"/>
      <c r="AK30" s="4"/>
      <c r="AL30" s="22"/>
      <c r="AM30" s="22"/>
      <c r="AN30" s="4"/>
      <c r="AO30" s="22"/>
      <c r="AP30" s="4"/>
      <c r="AQ30" s="4"/>
      <c r="AR30" s="22"/>
      <c r="AS30" s="4"/>
    </row>
    <row r="31" spans="2:46" s="2" customFormat="1" ht="124.5" customHeight="1">
      <c r="B31" s="1"/>
      <c r="C31" s="3"/>
      <c r="D31"/>
      <c r="E31"/>
      <c r="F31" s="40"/>
      <c r="G31" s="40"/>
      <c r="H31" s="40"/>
      <c r="I31" s="40"/>
      <c r="J31" s="40"/>
      <c r="K31" s="40"/>
      <c r="L31" s="22"/>
      <c r="M31" s="4"/>
      <c r="N31" s="22"/>
      <c r="O31" s="22"/>
      <c r="P31" s="4"/>
      <c r="Q31" s="22"/>
      <c r="R31" s="22"/>
      <c r="S31" s="4"/>
      <c r="T31" s="22"/>
      <c r="U31" s="22"/>
      <c r="V31" s="4"/>
      <c r="W31" s="22"/>
      <c r="X31" s="22"/>
      <c r="Y31" s="4"/>
      <c r="Z31" s="22"/>
      <c r="AA31" s="22"/>
      <c r="AB31" s="4"/>
      <c r="AC31" s="22"/>
      <c r="AD31" s="22"/>
      <c r="AE31" s="4"/>
      <c r="AF31" s="22"/>
      <c r="AG31" s="22"/>
      <c r="AH31" s="4"/>
      <c r="AI31" s="22"/>
      <c r="AJ31" s="22"/>
      <c r="AK31" s="4"/>
      <c r="AL31" s="22"/>
      <c r="AM31" s="22"/>
      <c r="AN31" s="4"/>
      <c r="AO31" s="22"/>
      <c r="AP31" s="4"/>
      <c r="AQ31" s="4"/>
      <c r="AR31" s="22"/>
      <c r="AS31" s="4"/>
    </row>
    <row r="32" spans="2:46" s="2" customFormat="1" ht="96.75" customHeight="1">
      <c r="B32" s="1"/>
      <c r="C32" s="3"/>
      <c r="D32"/>
      <c r="E32"/>
      <c r="F32" s="40"/>
      <c r="G32" s="40"/>
      <c r="H32" s="40"/>
      <c r="I32" s="40"/>
      <c r="J32" s="40"/>
      <c r="K32" s="40"/>
      <c r="L32" s="22"/>
      <c r="M32" s="4"/>
      <c r="N32" s="22"/>
      <c r="O32" s="22"/>
      <c r="P32" s="4"/>
      <c r="Q32" s="22"/>
      <c r="R32" s="22"/>
      <c r="S32" s="4"/>
      <c r="T32" s="22"/>
      <c r="U32" s="22"/>
      <c r="V32" s="4"/>
      <c r="W32" s="22"/>
      <c r="X32" s="22"/>
      <c r="Y32" s="4"/>
      <c r="Z32" s="22"/>
      <c r="AA32" s="22"/>
      <c r="AB32" s="4"/>
      <c r="AC32" s="22"/>
      <c r="AD32" s="22"/>
      <c r="AE32" s="4"/>
      <c r="AF32" s="22"/>
      <c r="AG32" s="22"/>
      <c r="AH32" s="4"/>
      <c r="AI32" s="22"/>
      <c r="AJ32" s="22"/>
      <c r="AK32" s="4"/>
      <c r="AL32" s="22"/>
      <c r="AM32" s="22"/>
      <c r="AN32" s="4"/>
      <c r="AO32" s="22"/>
      <c r="AP32" s="4"/>
      <c r="AQ32" s="4"/>
      <c r="AR32" s="22"/>
      <c r="AS32" s="4"/>
    </row>
    <row r="33" spans="2:45" s="2" customFormat="1" ht="137.25" customHeight="1">
      <c r="B33" s="1"/>
      <c r="C33" s="3"/>
      <c r="D33"/>
      <c r="E33"/>
      <c r="F33" s="40"/>
      <c r="G33" s="40"/>
      <c r="H33" s="40"/>
      <c r="I33" s="40"/>
      <c r="J33" s="40"/>
      <c r="K33" s="40"/>
      <c r="L33" s="22"/>
      <c r="M33" s="4"/>
      <c r="N33" s="22"/>
      <c r="O33" s="22"/>
      <c r="P33" s="4"/>
      <c r="Q33" s="22"/>
      <c r="R33" s="22"/>
      <c r="S33" s="4"/>
      <c r="T33" s="22"/>
      <c r="U33" s="22"/>
      <c r="V33" s="4"/>
      <c r="W33" s="22"/>
      <c r="X33" s="22"/>
      <c r="Y33" s="4"/>
      <c r="Z33" s="22"/>
      <c r="AA33" s="22"/>
      <c r="AB33" s="4"/>
      <c r="AC33" s="22"/>
      <c r="AD33" s="22"/>
      <c r="AE33" s="4"/>
      <c r="AF33" s="22"/>
      <c r="AG33" s="22"/>
      <c r="AH33" s="4"/>
      <c r="AI33" s="22"/>
      <c r="AJ33" s="22"/>
      <c r="AK33" s="4"/>
      <c r="AL33" s="22"/>
      <c r="AM33" s="22"/>
      <c r="AN33" s="4"/>
      <c r="AO33" s="22"/>
      <c r="AP33" s="4"/>
      <c r="AQ33" s="4"/>
      <c r="AR33" s="22"/>
      <c r="AS33" s="4"/>
    </row>
    <row r="34" spans="2:45" s="2" customFormat="1" ht="143.25" customHeight="1">
      <c r="B34" s="1"/>
      <c r="C34" s="3"/>
      <c r="D34"/>
      <c r="E34"/>
      <c r="F34" s="40"/>
      <c r="G34" s="40"/>
      <c r="H34" s="40"/>
      <c r="I34" s="40"/>
      <c r="J34" s="40"/>
      <c r="K34" s="40"/>
      <c r="L34" s="22"/>
      <c r="M34" s="4"/>
      <c r="N34" s="22"/>
      <c r="O34" s="22"/>
      <c r="P34" s="4"/>
      <c r="Q34" s="22"/>
      <c r="R34" s="22"/>
      <c r="S34" s="4"/>
      <c r="T34" s="22"/>
      <c r="U34" s="22"/>
      <c r="V34" s="4"/>
      <c r="W34" s="22"/>
      <c r="X34" s="22"/>
      <c r="Y34" s="4"/>
      <c r="Z34" s="22"/>
      <c r="AA34" s="22"/>
      <c r="AB34" s="4"/>
      <c r="AC34" s="22"/>
      <c r="AD34" s="22"/>
      <c r="AE34" s="4"/>
      <c r="AF34" s="22"/>
      <c r="AG34" s="22"/>
      <c r="AH34" s="4"/>
      <c r="AI34" s="22"/>
      <c r="AJ34" s="22"/>
      <c r="AK34" s="4"/>
      <c r="AL34" s="22"/>
      <c r="AM34" s="22"/>
      <c r="AN34" s="4"/>
      <c r="AO34" s="22"/>
      <c r="AP34" s="4"/>
      <c r="AQ34" s="4"/>
      <c r="AR34" s="22"/>
      <c r="AS34" s="4"/>
    </row>
    <row r="35" spans="2:45" s="2" customFormat="1" ht="147" customHeight="1">
      <c r="B35" s="1"/>
      <c r="C35" s="3"/>
      <c r="D35"/>
      <c r="E35"/>
      <c r="F35" s="40"/>
      <c r="G35" s="40"/>
      <c r="H35" s="40"/>
      <c r="I35" s="40"/>
      <c r="J35" s="40"/>
      <c r="K35" s="40"/>
      <c r="L35" s="22"/>
      <c r="M35" s="4"/>
      <c r="N35" s="22"/>
      <c r="O35" s="22"/>
      <c r="P35" s="4"/>
      <c r="Q35" s="22"/>
      <c r="R35" s="22"/>
      <c r="S35" s="4"/>
      <c r="T35" s="22"/>
      <c r="U35" s="22"/>
      <c r="V35" s="4"/>
      <c r="W35" s="22"/>
      <c r="X35" s="22"/>
      <c r="Y35" s="4"/>
      <c r="Z35" s="22"/>
      <c r="AA35" s="22"/>
      <c r="AB35" s="4"/>
      <c r="AC35" s="22"/>
      <c r="AD35" s="22"/>
      <c r="AE35" s="4"/>
      <c r="AF35" s="22"/>
      <c r="AG35" s="22"/>
      <c r="AH35" s="4"/>
      <c r="AI35" s="22"/>
      <c r="AJ35" s="22"/>
      <c r="AK35" s="4"/>
      <c r="AL35" s="22"/>
      <c r="AM35" s="22"/>
      <c r="AN35" s="4"/>
      <c r="AO35" s="22"/>
      <c r="AP35" s="4"/>
      <c r="AQ35" s="4"/>
      <c r="AR35" s="22"/>
      <c r="AS35" s="4"/>
    </row>
    <row r="36" spans="2:45" s="2" customFormat="1" ht="148.5" customHeight="1">
      <c r="B36" s="1"/>
      <c r="C36" s="3"/>
      <c r="D36"/>
      <c r="E36"/>
      <c r="F36" s="40"/>
      <c r="G36" s="40"/>
      <c r="H36" s="40"/>
      <c r="I36" s="40"/>
      <c r="J36" s="40"/>
      <c r="K36" s="40"/>
      <c r="L36" s="22"/>
      <c r="M36" s="4"/>
      <c r="N36" s="22"/>
      <c r="O36" s="22"/>
      <c r="P36" s="4"/>
      <c r="Q36" s="22"/>
      <c r="R36" s="22"/>
      <c r="S36" s="4"/>
      <c r="T36" s="22"/>
      <c r="U36" s="22"/>
      <c r="V36" s="4"/>
      <c r="W36" s="22"/>
      <c r="X36" s="22"/>
      <c r="Y36" s="4"/>
      <c r="Z36" s="22"/>
      <c r="AA36" s="22"/>
      <c r="AB36" s="4"/>
      <c r="AC36" s="22"/>
      <c r="AD36" s="22"/>
      <c r="AE36" s="4"/>
      <c r="AF36" s="22"/>
      <c r="AG36" s="22"/>
      <c r="AH36" s="4"/>
      <c r="AI36" s="22"/>
      <c r="AJ36" s="22"/>
      <c r="AK36" s="4"/>
      <c r="AL36" s="22"/>
      <c r="AM36" s="22"/>
      <c r="AN36" s="4"/>
      <c r="AO36" s="22"/>
      <c r="AP36" s="4"/>
      <c r="AQ36" s="4"/>
      <c r="AR36" s="22"/>
      <c r="AS36" s="4"/>
    </row>
    <row r="37" spans="2:45" s="2" customFormat="1" ht="150" customHeight="1">
      <c r="B37" s="1"/>
      <c r="C37" s="3"/>
      <c r="D37"/>
      <c r="E37"/>
      <c r="F37" s="40"/>
      <c r="G37" s="40"/>
      <c r="H37" s="40"/>
      <c r="I37" s="40"/>
      <c r="J37" s="40"/>
      <c r="K37" s="40"/>
      <c r="L37" s="22"/>
      <c r="M37" s="4"/>
      <c r="N37" s="22"/>
      <c r="O37" s="22"/>
      <c r="P37" s="4"/>
      <c r="Q37" s="22"/>
      <c r="R37" s="22"/>
      <c r="S37" s="4"/>
      <c r="T37" s="22"/>
      <c r="U37" s="22"/>
      <c r="V37" s="4"/>
      <c r="W37" s="22"/>
      <c r="X37" s="22"/>
      <c r="Y37" s="4"/>
      <c r="Z37" s="22"/>
      <c r="AA37" s="22"/>
      <c r="AB37" s="4"/>
      <c r="AC37" s="22"/>
      <c r="AD37" s="22"/>
      <c r="AE37" s="4"/>
      <c r="AF37" s="22"/>
      <c r="AG37" s="22"/>
      <c r="AH37" s="4"/>
      <c r="AI37" s="22"/>
      <c r="AJ37" s="22"/>
      <c r="AK37" s="4"/>
      <c r="AL37" s="22"/>
      <c r="AM37" s="22"/>
      <c r="AN37" s="4"/>
      <c r="AO37" s="22"/>
      <c r="AP37" s="4"/>
      <c r="AQ37" s="4"/>
      <c r="AR37" s="22"/>
      <c r="AS37" s="4"/>
    </row>
    <row r="38" spans="2:45" s="2" customFormat="1" ht="220.5" customHeight="1">
      <c r="B38" s="1"/>
      <c r="C38" s="3"/>
      <c r="D38"/>
      <c r="E38"/>
      <c r="F38" s="40"/>
      <c r="G38" s="40"/>
      <c r="H38" s="40"/>
      <c r="I38" s="40"/>
      <c r="J38" s="40"/>
      <c r="K38" s="40"/>
      <c r="L38" s="22"/>
      <c r="M38" s="4"/>
      <c r="N38" s="22"/>
      <c r="O38" s="22"/>
      <c r="P38" s="4"/>
      <c r="Q38" s="22"/>
      <c r="R38" s="22"/>
      <c r="S38" s="4"/>
      <c r="T38" s="22"/>
      <c r="U38" s="22"/>
      <c r="V38" s="4"/>
      <c r="W38" s="22"/>
      <c r="X38" s="22"/>
      <c r="Y38" s="4"/>
      <c r="Z38" s="22"/>
      <c r="AA38" s="22"/>
      <c r="AB38" s="4"/>
      <c r="AC38" s="22"/>
      <c r="AD38" s="22"/>
      <c r="AE38" s="4"/>
      <c r="AF38" s="22"/>
      <c r="AG38" s="22"/>
      <c r="AH38" s="4"/>
      <c r="AI38" s="22"/>
      <c r="AJ38" s="22"/>
      <c r="AK38" s="4"/>
      <c r="AL38" s="22"/>
      <c r="AM38" s="22"/>
      <c r="AN38" s="4"/>
      <c r="AO38" s="22"/>
      <c r="AP38" s="4"/>
      <c r="AQ38" s="4"/>
      <c r="AR38" s="22"/>
      <c r="AS38" s="4"/>
    </row>
    <row r="39" spans="2:45" s="2" customFormat="1" ht="113.25" customHeight="1">
      <c r="B39" s="1"/>
      <c r="C39" s="3"/>
      <c r="D39"/>
      <c r="E39"/>
      <c r="F39" s="40"/>
      <c r="G39" s="40"/>
      <c r="H39" s="40"/>
      <c r="I39" s="40"/>
      <c r="J39" s="40"/>
      <c r="K39" s="40"/>
      <c r="L39" s="22"/>
      <c r="M39" s="4"/>
      <c r="N39" s="22"/>
      <c r="O39" s="22"/>
      <c r="P39" s="4"/>
      <c r="Q39" s="22"/>
      <c r="R39" s="22"/>
      <c r="S39" s="4"/>
      <c r="T39" s="22"/>
      <c r="U39" s="22"/>
      <c r="V39" s="4"/>
      <c r="W39" s="22"/>
      <c r="X39" s="22"/>
      <c r="Y39" s="4"/>
      <c r="Z39" s="22"/>
      <c r="AA39" s="22"/>
      <c r="AB39" s="4"/>
      <c r="AC39" s="22"/>
      <c r="AD39" s="22"/>
      <c r="AE39" s="4"/>
      <c r="AF39" s="22"/>
      <c r="AG39" s="22"/>
      <c r="AH39" s="4"/>
      <c r="AI39" s="22"/>
      <c r="AJ39" s="22"/>
      <c r="AK39" s="4"/>
      <c r="AL39" s="22"/>
      <c r="AM39" s="22"/>
      <c r="AN39" s="4"/>
      <c r="AO39" s="22"/>
      <c r="AP39" s="4"/>
      <c r="AQ39" s="4"/>
      <c r="AR39" s="22"/>
      <c r="AS39" s="4"/>
    </row>
    <row r="40" spans="2:45" s="2" customFormat="1" ht="97.5" customHeight="1">
      <c r="B40" s="1"/>
      <c r="C40" s="3"/>
      <c r="D40"/>
      <c r="E40"/>
      <c r="F40" s="40"/>
      <c r="G40" s="40"/>
      <c r="H40" s="40"/>
      <c r="I40" s="40"/>
      <c r="J40" s="40"/>
      <c r="K40" s="40"/>
      <c r="L40" s="22"/>
      <c r="M40" s="4"/>
      <c r="N40" s="22"/>
      <c r="O40" s="22"/>
      <c r="P40" s="4"/>
      <c r="Q40" s="22"/>
      <c r="R40" s="22"/>
      <c r="S40" s="4"/>
      <c r="T40" s="22"/>
      <c r="U40" s="22"/>
      <c r="V40" s="4"/>
      <c r="W40" s="22"/>
      <c r="X40" s="22"/>
      <c r="Y40" s="4"/>
      <c r="Z40" s="22"/>
      <c r="AA40" s="22"/>
      <c r="AB40" s="4"/>
      <c r="AC40" s="22"/>
      <c r="AD40" s="22"/>
      <c r="AE40" s="4"/>
      <c r="AF40" s="22"/>
      <c r="AG40" s="22"/>
      <c r="AH40" s="4"/>
      <c r="AI40" s="22"/>
      <c r="AJ40" s="22"/>
      <c r="AK40" s="4"/>
      <c r="AL40" s="22"/>
      <c r="AM40" s="22"/>
      <c r="AN40" s="4"/>
      <c r="AO40" s="22"/>
      <c r="AP40" s="4"/>
      <c r="AQ40" s="4"/>
      <c r="AR40" s="22"/>
      <c r="AS40" s="4"/>
    </row>
    <row r="41" spans="2:45" s="2" customFormat="1" ht="201" customHeight="1">
      <c r="B41" s="1"/>
      <c r="C41" s="3"/>
      <c r="D41"/>
      <c r="E41"/>
      <c r="F41" s="40"/>
      <c r="G41" s="40"/>
      <c r="H41" s="40"/>
      <c r="I41" s="40"/>
      <c r="J41" s="40"/>
      <c r="K41" s="40"/>
      <c r="L41" s="22"/>
      <c r="M41" s="4"/>
      <c r="N41" s="22"/>
      <c r="O41" s="22"/>
      <c r="P41" s="4"/>
      <c r="Q41" s="22"/>
      <c r="R41" s="22"/>
      <c r="S41" s="4"/>
      <c r="T41" s="22"/>
      <c r="U41" s="22"/>
      <c r="V41" s="4"/>
      <c r="W41" s="22"/>
      <c r="X41" s="22"/>
      <c r="Y41" s="4"/>
      <c r="Z41" s="22"/>
      <c r="AA41" s="22"/>
      <c r="AB41" s="4"/>
      <c r="AC41" s="22"/>
      <c r="AD41" s="22"/>
      <c r="AE41" s="4"/>
      <c r="AF41" s="22"/>
      <c r="AG41" s="22"/>
      <c r="AH41" s="4"/>
      <c r="AI41" s="22"/>
      <c r="AJ41" s="22"/>
      <c r="AK41" s="4"/>
      <c r="AL41" s="22"/>
      <c r="AM41" s="22"/>
      <c r="AN41" s="4"/>
      <c r="AO41" s="22"/>
      <c r="AP41" s="4"/>
      <c r="AQ41" s="4"/>
      <c r="AR41" s="22"/>
      <c r="AS41" s="4"/>
    </row>
    <row r="42" spans="2:45" s="2" customFormat="1" ht="125.25" customHeight="1">
      <c r="B42" s="1"/>
      <c r="C42" s="3"/>
      <c r="D42"/>
      <c r="E42"/>
      <c r="F42" s="40"/>
      <c r="G42" s="40"/>
      <c r="H42" s="40"/>
      <c r="I42" s="40"/>
      <c r="J42" s="40"/>
      <c r="K42" s="40"/>
      <c r="L42" s="22"/>
      <c r="M42" s="4"/>
      <c r="N42" s="22"/>
      <c r="O42" s="22"/>
      <c r="P42" s="4"/>
      <c r="Q42" s="22"/>
      <c r="R42" s="22"/>
      <c r="S42" s="4"/>
      <c r="T42" s="22"/>
      <c r="U42" s="22"/>
      <c r="V42" s="4"/>
      <c r="W42" s="22"/>
      <c r="X42" s="22"/>
      <c r="Y42" s="4"/>
      <c r="Z42" s="22"/>
      <c r="AA42" s="22"/>
      <c r="AB42" s="4"/>
      <c r="AC42" s="22"/>
      <c r="AD42" s="22"/>
      <c r="AE42" s="4"/>
      <c r="AF42" s="22"/>
      <c r="AG42" s="22"/>
      <c r="AH42" s="4"/>
      <c r="AI42" s="22"/>
      <c r="AJ42" s="22"/>
      <c r="AK42" s="4"/>
      <c r="AL42" s="22"/>
      <c r="AM42" s="22"/>
      <c r="AN42" s="4"/>
      <c r="AO42" s="22"/>
      <c r="AP42" s="4"/>
      <c r="AQ42" s="4"/>
      <c r="AR42" s="22"/>
      <c r="AS42" s="4"/>
    </row>
    <row r="43" spans="2:45" s="2" customFormat="1" ht="138.75" customHeight="1">
      <c r="B43" s="1"/>
      <c r="C43" s="3"/>
      <c r="D43"/>
      <c r="E43"/>
      <c r="F43" s="40"/>
      <c r="G43" s="40"/>
      <c r="H43" s="40"/>
      <c r="I43" s="40"/>
      <c r="J43" s="40"/>
      <c r="K43" s="40"/>
      <c r="L43" s="22"/>
      <c r="M43" s="4"/>
      <c r="N43" s="22"/>
      <c r="O43" s="22"/>
      <c r="P43" s="4"/>
      <c r="Q43" s="22"/>
      <c r="R43" s="22"/>
      <c r="S43" s="4"/>
      <c r="T43" s="22"/>
      <c r="U43" s="22"/>
      <c r="V43" s="4"/>
      <c r="W43" s="22"/>
      <c r="X43" s="22"/>
      <c r="Y43" s="4"/>
      <c r="Z43" s="22"/>
      <c r="AA43" s="22"/>
      <c r="AB43" s="4"/>
      <c r="AC43" s="22"/>
      <c r="AD43" s="22"/>
      <c r="AE43" s="4"/>
      <c r="AF43" s="22"/>
      <c r="AG43" s="22"/>
      <c r="AH43" s="4"/>
      <c r="AI43" s="22"/>
      <c r="AJ43" s="22"/>
      <c r="AK43" s="4"/>
      <c r="AL43" s="22"/>
      <c r="AM43" s="22"/>
      <c r="AN43" s="4"/>
      <c r="AO43" s="22"/>
      <c r="AP43" s="4"/>
      <c r="AQ43" s="4"/>
      <c r="AR43" s="22"/>
      <c r="AS43" s="4"/>
    </row>
    <row r="44" spans="2:45" s="2" customFormat="1" ht="114.75" customHeight="1">
      <c r="B44" s="1"/>
      <c r="C44" s="3"/>
      <c r="D44"/>
      <c r="E44"/>
      <c r="F44" s="40"/>
      <c r="G44" s="40"/>
      <c r="H44" s="40"/>
      <c r="I44" s="40"/>
      <c r="J44" s="40"/>
      <c r="K44" s="40"/>
      <c r="L44" s="22"/>
      <c r="M44" s="4"/>
      <c r="N44" s="22"/>
      <c r="O44" s="22"/>
      <c r="P44" s="4"/>
      <c r="Q44" s="22"/>
      <c r="R44" s="22"/>
      <c r="S44" s="4"/>
      <c r="T44" s="22"/>
      <c r="U44" s="22"/>
      <c r="V44" s="4"/>
      <c r="W44" s="22"/>
      <c r="X44" s="22"/>
      <c r="Y44" s="4"/>
      <c r="Z44" s="22"/>
      <c r="AA44" s="22"/>
      <c r="AB44" s="4"/>
      <c r="AC44" s="22"/>
      <c r="AD44" s="22"/>
      <c r="AE44" s="4"/>
      <c r="AF44" s="22"/>
      <c r="AG44" s="22"/>
      <c r="AH44" s="4"/>
      <c r="AI44" s="22"/>
      <c r="AJ44" s="22"/>
      <c r="AK44" s="4"/>
      <c r="AL44" s="22"/>
      <c r="AM44" s="22"/>
      <c r="AN44" s="4"/>
      <c r="AO44" s="22"/>
      <c r="AP44" s="4"/>
      <c r="AQ44" s="4"/>
      <c r="AR44" s="22"/>
      <c r="AS44" s="4"/>
    </row>
    <row r="45" spans="2:45" s="2" customFormat="1" ht="137.25" customHeight="1">
      <c r="B45" s="1"/>
      <c r="C45" s="3"/>
      <c r="D45"/>
      <c r="E45"/>
      <c r="F45" s="40"/>
      <c r="G45" s="40"/>
      <c r="H45" s="40"/>
      <c r="I45" s="40"/>
      <c r="J45" s="40"/>
      <c r="K45" s="40"/>
      <c r="L45" s="22"/>
      <c r="M45" s="4"/>
      <c r="N45" s="22"/>
      <c r="O45" s="22"/>
      <c r="P45" s="4"/>
      <c r="Q45" s="22"/>
      <c r="R45" s="22"/>
      <c r="S45" s="4"/>
      <c r="T45" s="22"/>
      <c r="U45" s="22"/>
      <c r="V45" s="4"/>
      <c r="W45" s="22"/>
      <c r="X45" s="22"/>
      <c r="Y45" s="4"/>
      <c r="Z45" s="22"/>
      <c r="AA45" s="22"/>
      <c r="AB45" s="4"/>
      <c r="AC45" s="22"/>
      <c r="AD45" s="22"/>
      <c r="AE45" s="4"/>
      <c r="AF45" s="22"/>
      <c r="AG45" s="22"/>
      <c r="AH45" s="4"/>
      <c r="AI45" s="22"/>
      <c r="AJ45" s="22"/>
      <c r="AK45" s="4"/>
      <c r="AL45" s="22"/>
      <c r="AM45" s="22"/>
      <c r="AN45" s="4"/>
      <c r="AO45" s="22"/>
      <c r="AP45" s="4"/>
      <c r="AQ45" s="4"/>
      <c r="AR45" s="22"/>
      <c r="AS45" s="4"/>
    </row>
    <row r="46" spans="2:45" s="2" customFormat="1" ht="123.75" customHeight="1">
      <c r="B46" s="1"/>
      <c r="C46" s="3"/>
      <c r="D46"/>
      <c r="E46"/>
      <c r="F46" s="40"/>
      <c r="G46" s="40"/>
      <c r="H46" s="40"/>
      <c r="I46" s="40"/>
      <c r="J46" s="40"/>
      <c r="K46" s="40"/>
      <c r="L46" s="22"/>
      <c r="M46" s="4"/>
      <c r="N46" s="22"/>
      <c r="O46" s="22"/>
      <c r="P46" s="4"/>
      <c r="Q46" s="22"/>
      <c r="R46" s="22"/>
      <c r="S46" s="4"/>
      <c r="T46" s="22"/>
      <c r="U46" s="22"/>
      <c r="V46" s="4"/>
      <c r="W46" s="22"/>
      <c r="X46" s="22"/>
      <c r="Y46" s="4"/>
      <c r="Z46" s="22"/>
      <c r="AA46" s="22"/>
      <c r="AB46" s="4"/>
      <c r="AC46" s="22"/>
      <c r="AD46" s="22"/>
      <c r="AE46" s="4"/>
      <c r="AF46" s="22"/>
      <c r="AG46" s="22"/>
      <c r="AH46" s="4"/>
      <c r="AI46" s="22"/>
      <c r="AJ46" s="22"/>
      <c r="AK46" s="4"/>
      <c r="AL46" s="22"/>
      <c r="AM46" s="22"/>
      <c r="AN46" s="4"/>
      <c r="AO46" s="22"/>
      <c r="AP46" s="4"/>
      <c r="AQ46" s="4"/>
      <c r="AR46" s="22"/>
      <c r="AS46" s="4"/>
    </row>
    <row r="47" spans="2:45" s="2" customFormat="1" ht="100.5" customHeight="1">
      <c r="B47" s="1"/>
      <c r="C47" s="3"/>
      <c r="D47"/>
      <c r="E47"/>
      <c r="F47" s="40"/>
      <c r="G47" s="40"/>
      <c r="H47" s="40"/>
      <c r="I47" s="40"/>
      <c r="J47" s="40"/>
      <c r="K47" s="40"/>
      <c r="L47" s="22"/>
      <c r="M47" s="4"/>
      <c r="N47" s="22"/>
      <c r="O47" s="22"/>
      <c r="P47" s="4"/>
      <c r="Q47" s="22"/>
      <c r="R47" s="22"/>
      <c r="S47" s="4"/>
      <c r="T47" s="22"/>
      <c r="U47" s="22"/>
      <c r="V47" s="4"/>
      <c r="W47" s="22"/>
      <c r="X47" s="22"/>
      <c r="Y47" s="4"/>
      <c r="Z47" s="22"/>
      <c r="AA47" s="22"/>
      <c r="AB47" s="4"/>
      <c r="AC47" s="22"/>
      <c r="AD47" s="22"/>
      <c r="AE47" s="4"/>
      <c r="AF47" s="22"/>
      <c r="AG47" s="22"/>
      <c r="AH47" s="4"/>
      <c r="AI47" s="22"/>
      <c r="AJ47" s="22"/>
      <c r="AK47" s="4"/>
      <c r="AL47" s="22"/>
      <c r="AM47" s="22"/>
      <c r="AN47" s="4"/>
      <c r="AO47" s="22"/>
      <c r="AP47" s="4"/>
      <c r="AQ47" s="4"/>
      <c r="AR47" s="22"/>
      <c r="AS47" s="4"/>
    </row>
    <row r="48" spans="2:45" s="2" customFormat="1" ht="108.75" customHeight="1">
      <c r="B48" s="1"/>
      <c r="C48" s="3"/>
      <c r="D48"/>
      <c r="E48"/>
      <c r="F48" s="40"/>
      <c r="G48" s="40"/>
      <c r="H48" s="40"/>
      <c r="I48" s="40"/>
      <c r="J48" s="40"/>
      <c r="K48" s="40"/>
      <c r="L48" s="22"/>
      <c r="M48" s="4"/>
      <c r="N48" s="22"/>
      <c r="O48" s="22"/>
      <c r="P48" s="4"/>
      <c r="Q48" s="22"/>
      <c r="R48" s="22"/>
      <c r="S48" s="4"/>
      <c r="T48" s="22"/>
      <c r="U48" s="22"/>
      <c r="V48" s="4"/>
      <c r="W48" s="22"/>
      <c r="X48" s="22"/>
      <c r="Y48" s="4"/>
      <c r="Z48" s="22"/>
      <c r="AA48" s="22"/>
      <c r="AB48" s="4"/>
      <c r="AC48" s="22"/>
      <c r="AD48" s="22"/>
      <c r="AE48" s="4"/>
      <c r="AF48" s="22"/>
      <c r="AG48" s="22"/>
      <c r="AH48" s="4"/>
      <c r="AI48" s="22"/>
      <c r="AJ48" s="22"/>
      <c r="AK48" s="4"/>
      <c r="AL48" s="22"/>
      <c r="AM48" s="22"/>
      <c r="AN48" s="4"/>
      <c r="AO48" s="22"/>
      <c r="AP48" s="4"/>
      <c r="AQ48" s="4"/>
      <c r="AR48" s="22"/>
      <c r="AS48" s="4"/>
    </row>
    <row r="49" spans="2:46" ht="126.75" customHeight="1">
      <c r="B49" s="1"/>
      <c r="C49" s="3"/>
      <c r="L49" s="22"/>
      <c r="M49" s="4"/>
      <c r="N49" s="22"/>
      <c r="P49" s="4"/>
      <c r="Q49" s="22"/>
      <c r="S49" s="4"/>
      <c r="T49" s="22"/>
      <c r="V49" s="4"/>
      <c r="W49" s="22"/>
      <c r="Y49" s="4"/>
      <c r="Z49" s="22"/>
      <c r="AB49" s="4"/>
      <c r="AC49" s="22"/>
      <c r="AE49" s="4"/>
      <c r="AF49" s="22"/>
      <c r="AH49" s="4"/>
      <c r="AI49" s="22"/>
      <c r="AK49" s="4"/>
      <c r="AL49" s="22"/>
      <c r="AN49" s="4"/>
      <c r="AO49" s="22"/>
      <c r="AS49" s="4"/>
      <c r="AT49"/>
    </row>
    <row r="50" spans="2:46" ht="123.75" customHeight="1">
      <c r="B50" s="1"/>
      <c r="C50" s="3"/>
      <c r="L50" s="22"/>
      <c r="M50" s="4"/>
      <c r="N50" s="22"/>
      <c r="P50" s="4"/>
      <c r="Q50" s="22"/>
      <c r="S50" s="4"/>
      <c r="T50" s="22"/>
      <c r="V50" s="4"/>
      <c r="W50" s="22"/>
      <c r="Y50" s="4"/>
      <c r="Z50" s="22"/>
      <c r="AB50" s="4"/>
      <c r="AC50" s="22"/>
      <c r="AE50" s="4"/>
      <c r="AF50" s="22"/>
      <c r="AH50" s="4"/>
      <c r="AI50" s="22"/>
      <c r="AK50" s="4"/>
      <c r="AL50" s="22"/>
      <c r="AN50" s="4"/>
      <c r="AO50" s="22"/>
      <c r="AS50" s="4"/>
      <c r="AT50"/>
    </row>
    <row r="51" spans="2:46" ht="131.25" customHeight="1">
      <c r="B51" s="1"/>
      <c r="C51" s="3"/>
      <c r="L51" s="22"/>
      <c r="M51" s="4"/>
      <c r="N51" s="22"/>
      <c r="P51" s="4"/>
      <c r="Q51" s="22"/>
      <c r="S51" s="4"/>
      <c r="T51" s="22"/>
      <c r="V51" s="4"/>
      <c r="W51" s="22"/>
      <c r="Y51" s="4"/>
      <c r="Z51" s="22"/>
      <c r="AB51" s="4"/>
      <c r="AC51" s="22"/>
      <c r="AE51" s="4"/>
      <c r="AF51" s="22"/>
      <c r="AH51" s="4"/>
      <c r="AI51" s="22"/>
      <c r="AK51" s="4"/>
      <c r="AL51" s="22"/>
      <c r="AN51" s="4"/>
      <c r="AO51" s="22"/>
      <c r="AS51" s="4"/>
      <c r="AT51"/>
    </row>
    <row r="52" spans="2:46" ht="112.5" customHeight="1">
      <c r="B52" s="1"/>
      <c r="C52" s="3"/>
      <c r="L52" s="22"/>
      <c r="M52" s="4"/>
      <c r="N52" s="22"/>
      <c r="P52" s="4"/>
      <c r="Q52" s="22"/>
      <c r="S52" s="4"/>
      <c r="T52" s="22"/>
      <c r="V52" s="4"/>
      <c r="W52" s="22"/>
      <c r="Y52" s="4"/>
      <c r="Z52" s="22"/>
      <c r="AB52" s="4"/>
      <c r="AC52" s="22"/>
      <c r="AE52" s="4"/>
      <c r="AF52" s="22"/>
      <c r="AH52" s="4"/>
      <c r="AI52" s="22"/>
      <c r="AK52" s="4"/>
      <c r="AL52" s="22"/>
      <c r="AN52" s="4"/>
      <c r="AO52" s="22"/>
      <c r="AS52" s="4"/>
      <c r="AT52"/>
    </row>
    <row r="53" spans="2:46" ht="143.25" customHeight="1">
      <c r="B53" s="1"/>
      <c r="C53" s="3"/>
      <c r="L53" s="22"/>
      <c r="M53" s="4"/>
      <c r="N53" s="22"/>
      <c r="P53" s="4"/>
      <c r="Q53" s="22"/>
      <c r="S53" s="4"/>
      <c r="T53" s="22"/>
      <c r="V53" s="4"/>
      <c r="W53" s="22"/>
      <c r="Y53" s="4"/>
      <c r="Z53" s="22"/>
      <c r="AB53" s="4"/>
      <c r="AC53" s="22"/>
      <c r="AE53" s="4"/>
      <c r="AF53" s="22"/>
      <c r="AH53" s="4"/>
      <c r="AI53" s="22"/>
      <c r="AK53" s="4"/>
      <c r="AL53" s="22"/>
      <c r="AN53" s="4"/>
      <c r="AO53" s="22"/>
      <c r="AS53" s="4"/>
      <c r="AT53"/>
    </row>
    <row r="54" spans="2:46" ht="121.5" customHeight="1">
      <c r="B54" s="1"/>
      <c r="C54" s="3"/>
      <c r="L54" s="22"/>
      <c r="M54" s="4"/>
      <c r="N54" s="22"/>
      <c r="P54" s="4"/>
      <c r="Q54" s="22"/>
      <c r="S54" s="4"/>
      <c r="T54" s="22"/>
      <c r="V54" s="4"/>
      <c r="W54" s="22"/>
      <c r="Y54" s="4"/>
      <c r="Z54" s="22"/>
      <c r="AB54" s="4"/>
      <c r="AC54" s="22"/>
      <c r="AE54" s="4"/>
      <c r="AF54" s="22"/>
      <c r="AH54" s="4"/>
      <c r="AI54" s="22"/>
      <c r="AK54" s="4"/>
      <c r="AL54" s="22"/>
      <c r="AN54" s="4"/>
      <c r="AO54" s="22"/>
      <c r="AS54" s="4"/>
      <c r="AT54"/>
    </row>
    <row r="55" spans="2:46" ht="102" customHeight="1">
      <c r="B55" s="1"/>
      <c r="C55" s="3"/>
      <c r="L55" s="22"/>
      <c r="M55" s="4"/>
      <c r="N55" s="22"/>
      <c r="P55" s="4"/>
      <c r="Q55" s="22"/>
      <c r="S55" s="4"/>
      <c r="T55" s="22"/>
      <c r="V55" s="4"/>
      <c r="W55" s="22"/>
      <c r="Y55" s="4"/>
      <c r="Z55" s="22"/>
      <c r="AB55" s="4"/>
      <c r="AC55" s="22"/>
      <c r="AE55" s="4"/>
      <c r="AF55" s="22"/>
      <c r="AH55" s="4"/>
      <c r="AI55" s="22"/>
      <c r="AK55" s="4"/>
      <c r="AL55" s="22"/>
      <c r="AN55" s="4"/>
      <c r="AO55" s="22"/>
      <c r="AS55" s="4"/>
      <c r="AT55"/>
    </row>
    <row r="56" spans="2:46" ht="120" customHeight="1">
      <c r="B56" s="1"/>
      <c r="C56" s="3"/>
      <c r="L56" s="22"/>
      <c r="M56" s="4"/>
      <c r="N56" s="22"/>
      <c r="P56" s="4"/>
      <c r="Q56" s="22"/>
      <c r="S56" s="4"/>
      <c r="T56" s="22"/>
      <c r="V56" s="4"/>
      <c r="W56" s="22"/>
      <c r="Y56" s="4"/>
      <c r="Z56" s="22"/>
      <c r="AB56" s="4"/>
      <c r="AC56" s="22"/>
      <c r="AE56" s="4"/>
      <c r="AF56" s="22"/>
      <c r="AH56" s="4"/>
      <c r="AI56" s="22"/>
      <c r="AK56" s="4"/>
      <c r="AL56" s="22"/>
      <c r="AN56" s="4"/>
      <c r="AO56" s="22"/>
      <c r="AS56" s="4"/>
      <c r="AT56"/>
    </row>
    <row r="57" spans="2:46" s="2" customFormat="1" ht="123.75" customHeight="1">
      <c r="B57" s="1"/>
      <c r="C57" s="3"/>
      <c r="D57"/>
      <c r="E57"/>
      <c r="F57" s="40"/>
      <c r="G57" s="40"/>
      <c r="H57" s="40"/>
      <c r="I57" s="40"/>
      <c r="J57" s="40"/>
      <c r="K57" s="40"/>
      <c r="L57" s="22"/>
      <c r="M57" s="4"/>
      <c r="N57" s="22"/>
      <c r="O57" s="22"/>
      <c r="P57" s="4"/>
      <c r="Q57" s="22"/>
      <c r="R57" s="22"/>
      <c r="S57" s="4"/>
      <c r="T57" s="22"/>
      <c r="U57" s="22"/>
      <c r="V57" s="4"/>
      <c r="W57" s="22"/>
      <c r="X57" s="22"/>
      <c r="Y57" s="4"/>
      <c r="Z57" s="22"/>
      <c r="AA57" s="22"/>
      <c r="AB57" s="4"/>
      <c r="AC57" s="22"/>
      <c r="AD57" s="22"/>
      <c r="AE57" s="4"/>
      <c r="AF57" s="22"/>
      <c r="AG57" s="22"/>
      <c r="AH57" s="4"/>
      <c r="AI57" s="22"/>
      <c r="AJ57" s="22"/>
      <c r="AK57" s="4"/>
      <c r="AL57" s="22"/>
      <c r="AM57" s="22"/>
      <c r="AN57" s="4"/>
      <c r="AO57" s="22"/>
      <c r="AP57" s="4"/>
      <c r="AQ57" s="4"/>
      <c r="AR57" s="22"/>
      <c r="AS57" s="4"/>
    </row>
    <row r="58" spans="2:46" s="2" customFormat="1" ht="116.25" customHeight="1">
      <c r="B58" s="1"/>
      <c r="C58" s="3"/>
      <c r="D58"/>
      <c r="E58"/>
      <c r="F58" s="40"/>
      <c r="G58" s="40"/>
      <c r="H58" s="40"/>
      <c r="I58" s="40"/>
      <c r="J58" s="40"/>
      <c r="K58" s="40"/>
      <c r="L58" s="22"/>
      <c r="M58" s="4"/>
      <c r="N58" s="22"/>
      <c r="O58" s="22"/>
      <c r="P58" s="4"/>
      <c r="Q58" s="22"/>
      <c r="R58" s="22"/>
      <c r="S58" s="4"/>
      <c r="T58" s="22"/>
      <c r="U58" s="22"/>
      <c r="V58" s="4"/>
      <c r="W58" s="22"/>
      <c r="X58" s="22"/>
      <c r="Y58" s="4"/>
      <c r="Z58" s="22"/>
      <c r="AA58" s="22"/>
      <c r="AB58" s="4"/>
      <c r="AC58" s="22"/>
      <c r="AD58" s="22"/>
      <c r="AE58" s="4"/>
      <c r="AF58" s="22"/>
      <c r="AG58" s="22"/>
      <c r="AH58" s="4"/>
      <c r="AI58" s="22"/>
      <c r="AJ58" s="22"/>
      <c r="AK58" s="4"/>
      <c r="AL58" s="22"/>
      <c r="AM58" s="22"/>
      <c r="AN58" s="4"/>
      <c r="AO58" s="22"/>
      <c r="AP58" s="4"/>
      <c r="AQ58" s="4"/>
      <c r="AR58" s="22"/>
      <c r="AS58" s="4"/>
    </row>
    <row r="59" spans="2:46" s="2" customFormat="1" ht="150.75" customHeight="1">
      <c r="B59" s="1"/>
      <c r="C59" s="3"/>
      <c r="D59"/>
      <c r="E59"/>
      <c r="F59" s="40"/>
      <c r="G59" s="40"/>
      <c r="H59" s="40"/>
      <c r="I59" s="40"/>
      <c r="J59" s="40"/>
      <c r="K59" s="40"/>
      <c r="L59" s="22"/>
      <c r="M59" s="4"/>
      <c r="N59" s="22"/>
      <c r="O59" s="22"/>
      <c r="P59" s="4"/>
      <c r="Q59" s="22"/>
      <c r="R59" s="22"/>
      <c r="S59" s="4"/>
      <c r="T59" s="22"/>
      <c r="U59" s="22"/>
      <c r="V59" s="4"/>
      <c r="W59" s="22"/>
      <c r="X59" s="22"/>
      <c r="Y59" s="4"/>
      <c r="Z59" s="22"/>
      <c r="AA59" s="22"/>
      <c r="AB59" s="4"/>
      <c r="AC59" s="22"/>
      <c r="AD59" s="22"/>
      <c r="AE59" s="4"/>
      <c r="AF59" s="22"/>
      <c r="AG59" s="22"/>
      <c r="AH59" s="4"/>
      <c r="AI59" s="22"/>
      <c r="AJ59" s="22"/>
      <c r="AK59" s="4"/>
      <c r="AL59" s="22"/>
      <c r="AM59" s="22"/>
      <c r="AN59" s="4"/>
      <c r="AO59" s="22"/>
      <c r="AP59" s="4"/>
      <c r="AQ59" s="4"/>
      <c r="AR59" s="22"/>
      <c r="AS59" s="4"/>
    </row>
    <row r="60" spans="2:46" s="2" customFormat="1" ht="123" customHeight="1">
      <c r="B60" s="1"/>
      <c r="C60" s="3"/>
      <c r="D60"/>
      <c r="E60"/>
      <c r="F60" s="40"/>
      <c r="G60" s="40"/>
      <c r="H60" s="40"/>
      <c r="I60" s="40"/>
      <c r="J60" s="40"/>
      <c r="K60" s="40"/>
      <c r="L60" s="22"/>
      <c r="M60" s="4"/>
      <c r="N60" s="22"/>
      <c r="O60" s="22"/>
      <c r="P60" s="4"/>
      <c r="Q60" s="22"/>
      <c r="R60" s="22"/>
      <c r="S60" s="4"/>
      <c r="T60" s="22"/>
      <c r="U60" s="22"/>
      <c r="V60" s="4"/>
      <c r="W60" s="22"/>
      <c r="X60" s="22"/>
      <c r="Y60" s="4"/>
      <c r="Z60" s="22"/>
      <c r="AA60" s="22"/>
      <c r="AB60" s="4"/>
      <c r="AC60" s="22"/>
      <c r="AD60" s="22"/>
      <c r="AE60" s="4"/>
      <c r="AF60" s="22"/>
      <c r="AG60" s="22"/>
      <c r="AH60" s="4"/>
      <c r="AI60" s="22"/>
      <c r="AJ60" s="22"/>
      <c r="AK60" s="4"/>
      <c r="AL60" s="22"/>
      <c r="AM60" s="22"/>
      <c r="AN60" s="4"/>
      <c r="AO60" s="22"/>
      <c r="AP60" s="4"/>
      <c r="AQ60" s="4"/>
      <c r="AR60" s="22"/>
      <c r="AS60" s="4"/>
    </row>
    <row r="61" spans="2:46" s="2" customFormat="1" ht="166.5" customHeight="1">
      <c r="B61" s="1"/>
      <c r="C61" s="3"/>
      <c r="D61"/>
      <c r="E61"/>
      <c r="F61" s="40"/>
      <c r="G61" s="40"/>
      <c r="H61" s="40"/>
      <c r="I61" s="40"/>
      <c r="J61" s="40"/>
      <c r="K61" s="40"/>
      <c r="L61" s="22"/>
      <c r="M61" s="4"/>
      <c r="N61" s="22"/>
      <c r="O61" s="22"/>
      <c r="P61" s="4"/>
      <c r="Q61" s="22"/>
      <c r="R61" s="22"/>
      <c r="S61" s="4"/>
      <c r="T61" s="22"/>
      <c r="U61" s="22"/>
      <c r="V61" s="4"/>
      <c r="W61" s="22"/>
      <c r="X61" s="22"/>
      <c r="Y61" s="4"/>
      <c r="Z61" s="22"/>
      <c r="AA61" s="22"/>
      <c r="AB61" s="4"/>
      <c r="AC61" s="22"/>
      <c r="AD61" s="22"/>
      <c r="AE61" s="4"/>
      <c r="AF61" s="22"/>
      <c r="AG61" s="22"/>
      <c r="AH61" s="4"/>
      <c r="AI61" s="22"/>
      <c r="AJ61" s="22"/>
      <c r="AK61" s="4"/>
      <c r="AL61" s="22"/>
      <c r="AM61" s="22"/>
      <c r="AN61" s="4"/>
      <c r="AO61" s="22"/>
      <c r="AP61" s="4"/>
      <c r="AQ61" s="4"/>
      <c r="AR61" s="22"/>
      <c r="AS61" s="4"/>
    </row>
    <row r="62" spans="2:46" s="2" customFormat="1" ht="144" customHeight="1">
      <c r="B62" s="1"/>
      <c r="C62" s="3"/>
      <c r="D62"/>
      <c r="E62"/>
      <c r="F62" s="40"/>
      <c r="G62" s="40"/>
      <c r="H62" s="40"/>
      <c r="I62" s="40"/>
      <c r="J62" s="40"/>
      <c r="K62" s="40"/>
      <c r="L62" s="22"/>
      <c r="M62" s="4"/>
      <c r="N62" s="22"/>
      <c r="O62" s="22"/>
      <c r="P62" s="4"/>
      <c r="Q62" s="22"/>
      <c r="R62" s="22"/>
      <c r="S62" s="4"/>
      <c r="T62" s="22"/>
      <c r="U62" s="22"/>
      <c r="V62" s="4"/>
      <c r="W62" s="22"/>
      <c r="X62" s="22"/>
      <c r="Y62" s="4"/>
      <c r="Z62" s="22"/>
      <c r="AA62" s="22"/>
      <c r="AB62" s="4"/>
      <c r="AC62" s="22"/>
      <c r="AD62" s="22"/>
      <c r="AE62" s="4"/>
      <c r="AF62" s="22"/>
      <c r="AG62" s="22"/>
      <c r="AH62" s="4"/>
      <c r="AI62" s="22"/>
      <c r="AJ62" s="22"/>
      <c r="AK62" s="4"/>
      <c r="AL62" s="22"/>
      <c r="AM62" s="22"/>
      <c r="AN62" s="4"/>
      <c r="AO62" s="22"/>
      <c r="AP62" s="4"/>
      <c r="AQ62" s="4"/>
      <c r="AR62" s="22"/>
      <c r="AS62" s="4"/>
    </row>
    <row r="63" spans="2:46" ht="129" customHeight="1">
      <c r="B63" s="1"/>
      <c r="C63" s="3"/>
      <c r="L63" s="22"/>
      <c r="M63" s="4"/>
      <c r="N63" s="22"/>
      <c r="P63" s="4"/>
      <c r="Q63" s="22"/>
      <c r="S63" s="4"/>
      <c r="T63" s="22"/>
      <c r="V63" s="4"/>
      <c r="W63" s="22"/>
      <c r="Y63" s="4"/>
      <c r="Z63" s="22"/>
      <c r="AB63" s="4"/>
      <c r="AC63" s="22"/>
      <c r="AE63" s="4"/>
      <c r="AF63" s="22"/>
      <c r="AH63" s="4"/>
      <c r="AI63" s="22"/>
      <c r="AK63" s="4"/>
      <c r="AL63" s="22"/>
      <c r="AN63" s="4"/>
      <c r="AO63" s="22"/>
      <c r="AS63" s="4"/>
      <c r="AT63"/>
    </row>
    <row r="64" spans="2:46" ht="122.25" customHeight="1">
      <c r="B64" s="1"/>
      <c r="C64" s="3"/>
      <c r="L64" s="22"/>
      <c r="M64" s="4"/>
      <c r="N64" s="22"/>
      <c r="P64" s="4"/>
      <c r="Q64" s="22"/>
      <c r="S64" s="4"/>
      <c r="T64" s="22"/>
      <c r="V64" s="4"/>
      <c r="W64" s="22"/>
      <c r="Y64" s="4"/>
      <c r="Z64" s="22"/>
      <c r="AB64" s="4"/>
      <c r="AC64" s="22"/>
      <c r="AE64" s="4"/>
      <c r="AF64" s="22"/>
      <c r="AH64" s="4"/>
      <c r="AI64" s="22"/>
      <c r="AK64" s="4"/>
      <c r="AL64" s="22"/>
      <c r="AN64" s="4"/>
      <c r="AO64" s="22"/>
      <c r="AS64" s="4"/>
      <c r="AT64"/>
    </row>
    <row r="65" spans="2:46" ht="115.5" customHeight="1">
      <c r="B65" s="1"/>
      <c r="C65" s="3"/>
      <c r="L65" s="22"/>
      <c r="M65" s="4"/>
      <c r="N65" s="22"/>
      <c r="P65" s="4"/>
      <c r="Q65" s="22"/>
      <c r="S65" s="4"/>
      <c r="T65" s="22"/>
      <c r="V65" s="4"/>
      <c r="W65" s="22"/>
      <c r="Y65" s="4"/>
      <c r="Z65" s="22"/>
      <c r="AB65" s="4"/>
      <c r="AC65" s="22"/>
      <c r="AE65" s="4"/>
      <c r="AF65" s="22"/>
      <c r="AH65" s="4"/>
      <c r="AI65" s="22"/>
      <c r="AK65" s="4"/>
      <c r="AL65" s="22"/>
      <c r="AN65" s="4"/>
      <c r="AO65" s="22"/>
      <c r="AS65" s="4"/>
      <c r="AT65"/>
    </row>
    <row r="66" spans="2:46" ht="102" customHeight="1">
      <c r="B66" s="1"/>
      <c r="C66" s="3"/>
      <c r="L66" s="22"/>
      <c r="M66" s="4"/>
      <c r="N66" s="22"/>
      <c r="P66" s="4"/>
      <c r="Q66" s="22"/>
      <c r="S66" s="4"/>
      <c r="T66" s="22"/>
      <c r="V66" s="4"/>
      <c r="W66" s="22"/>
      <c r="Y66" s="4"/>
      <c r="Z66" s="22"/>
      <c r="AB66" s="4"/>
      <c r="AC66" s="22"/>
      <c r="AE66" s="4"/>
      <c r="AF66" s="22"/>
      <c r="AH66" s="4"/>
      <c r="AI66" s="22"/>
      <c r="AK66" s="4"/>
      <c r="AL66" s="22"/>
      <c r="AN66" s="4"/>
      <c r="AO66" s="22"/>
      <c r="AS66" s="4"/>
      <c r="AT66"/>
    </row>
    <row r="67" spans="2:46" ht="222.6" customHeight="1">
      <c r="B67" s="1"/>
      <c r="C67" s="3"/>
      <c r="L67" s="22"/>
      <c r="M67" s="4"/>
      <c r="N67" s="22"/>
      <c r="P67" s="4"/>
      <c r="Q67" s="22"/>
      <c r="S67" s="4"/>
      <c r="T67" s="22"/>
      <c r="V67" s="4"/>
      <c r="W67" s="22"/>
      <c r="Y67" s="4"/>
      <c r="Z67" s="22"/>
      <c r="AB67" s="4"/>
      <c r="AC67" s="22"/>
      <c r="AE67" s="4"/>
      <c r="AF67" s="22"/>
      <c r="AH67" s="4"/>
      <c r="AI67" s="22"/>
      <c r="AK67" s="4"/>
      <c r="AL67" s="22"/>
      <c r="AN67" s="4"/>
      <c r="AO67" s="22"/>
      <c r="AS67" s="4"/>
      <c r="AT67"/>
    </row>
    <row r="68" spans="2:46" ht="117.75" customHeight="1">
      <c r="B68" s="1"/>
      <c r="C68" s="3"/>
      <c r="L68" s="22"/>
      <c r="M68" s="4"/>
      <c r="N68" s="22"/>
      <c r="P68" s="4"/>
      <c r="Q68" s="22"/>
      <c r="S68" s="4"/>
      <c r="T68" s="22"/>
      <c r="V68" s="4"/>
      <c r="W68" s="22"/>
      <c r="Y68" s="4"/>
      <c r="Z68" s="22"/>
      <c r="AB68" s="4"/>
      <c r="AC68" s="22"/>
      <c r="AE68" s="4"/>
      <c r="AF68" s="22"/>
      <c r="AH68" s="4"/>
      <c r="AI68" s="22"/>
      <c r="AK68" s="4"/>
      <c r="AL68" s="22"/>
      <c r="AN68" s="4"/>
      <c r="AO68" s="22"/>
      <c r="AS68" s="4"/>
      <c r="AT68"/>
    </row>
    <row r="69" spans="2:46" ht="117.75" customHeight="1">
      <c r="B69" s="1"/>
      <c r="C69" s="3"/>
      <c r="L69" s="22"/>
      <c r="M69" s="4"/>
      <c r="N69" s="22"/>
      <c r="P69" s="4"/>
      <c r="Q69" s="22"/>
      <c r="S69" s="4"/>
      <c r="T69" s="22"/>
      <c r="V69" s="4"/>
      <c r="W69" s="22"/>
      <c r="Y69" s="4"/>
      <c r="Z69" s="22"/>
      <c r="AB69" s="4"/>
      <c r="AC69" s="22"/>
      <c r="AE69" s="4"/>
      <c r="AF69" s="22"/>
      <c r="AH69" s="4"/>
      <c r="AI69" s="22"/>
      <c r="AK69" s="4"/>
      <c r="AL69" s="22"/>
      <c r="AN69" s="4"/>
      <c r="AO69" s="22"/>
      <c r="AS69" s="4"/>
      <c r="AT69"/>
    </row>
    <row r="70" spans="2:46" ht="117.75" customHeight="1">
      <c r="B70" s="1"/>
      <c r="C70" s="3"/>
      <c r="L70" s="22"/>
      <c r="M70" s="4"/>
      <c r="N70" s="22"/>
      <c r="P70" s="4"/>
      <c r="Q70" s="22"/>
      <c r="S70" s="4"/>
      <c r="T70" s="22"/>
      <c r="V70" s="4"/>
      <c r="W70" s="22"/>
      <c r="Y70" s="4"/>
      <c r="Z70" s="22"/>
      <c r="AB70" s="4"/>
      <c r="AC70" s="22"/>
      <c r="AE70" s="4"/>
      <c r="AF70" s="22"/>
      <c r="AH70" s="4"/>
      <c r="AI70" s="22"/>
      <c r="AK70" s="4"/>
      <c r="AL70" s="22"/>
      <c r="AN70" s="4"/>
      <c r="AO70" s="22"/>
      <c r="AS70" s="4"/>
      <c r="AT70"/>
    </row>
    <row r="71" spans="2:46" ht="117.75" customHeight="1">
      <c r="B71" s="1"/>
      <c r="C71" s="3"/>
      <c r="L71" s="22"/>
      <c r="M71" s="4"/>
      <c r="N71" s="22"/>
      <c r="P71" s="4"/>
      <c r="Q71" s="22"/>
      <c r="S71" s="4"/>
      <c r="T71" s="22"/>
      <c r="V71" s="4"/>
      <c r="W71" s="22"/>
      <c r="Y71" s="4"/>
      <c r="Z71" s="22"/>
      <c r="AB71" s="4"/>
      <c r="AC71" s="22"/>
      <c r="AE71" s="4"/>
      <c r="AF71" s="22"/>
      <c r="AH71" s="4"/>
      <c r="AI71" s="22"/>
      <c r="AK71" s="4"/>
      <c r="AL71" s="22"/>
      <c r="AN71" s="4"/>
      <c r="AO71" s="22"/>
      <c r="AS71" s="4"/>
      <c r="AT71"/>
    </row>
    <row r="72" spans="2:46" s="2" customFormat="1" ht="143.25" customHeight="1">
      <c r="B72" s="1"/>
      <c r="C72" s="3"/>
      <c r="D72"/>
      <c r="E72"/>
      <c r="F72" s="40"/>
      <c r="G72" s="40"/>
      <c r="H72" s="40"/>
      <c r="I72" s="40"/>
      <c r="J72" s="40"/>
      <c r="K72" s="40"/>
      <c r="L72" s="22"/>
      <c r="M72" s="4"/>
      <c r="N72" s="22"/>
      <c r="O72" s="22"/>
      <c r="P72" s="4"/>
      <c r="Q72" s="22"/>
      <c r="R72" s="22"/>
      <c r="S72" s="4"/>
      <c r="T72" s="22"/>
      <c r="U72" s="22"/>
      <c r="V72" s="4"/>
      <c r="W72" s="22"/>
      <c r="X72" s="22"/>
      <c r="Y72" s="4"/>
      <c r="Z72" s="22"/>
      <c r="AA72" s="22"/>
      <c r="AB72" s="4"/>
      <c r="AC72" s="22"/>
      <c r="AD72" s="22"/>
      <c r="AE72" s="4"/>
      <c r="AF72" s="22"/>
      <c r="AG72" s="22"/>
      <c r="AH72" s="4"/>
      <c r="AI72" s="22"/>
      <c r="AJ72" s="22"/>
      <c r="AK72" s="4"/>
      <c r="AL72" s="22"/>
      <c r="AM72" s="22"/>
      <c r="AN72" s="4"/>
      <c r="AO72" s="22"/>
      <c r="AP72" s="4"/>
      <c r="AQ72" s="4"/>
      <c r="AR72" s="22"/>
      <c r="AS72" s="4"/>
    </row>
    <row r="73" spans="2:46" s="2" customFormat="1">
      <c r="B73" s="1"/>
      <c r="C73" s="3"/>
      <c r="D73"/>
      <c r="E73"/>
      <c r="F73" s="40"/>
      <c r="G73" s="40"/>
      <c r="H73" s="40"/>
      <c r="I73" s="40"/>
      <c r="J73" s="40"/>
      <c r="K73" s="40"/>
      <c r="L73" s="22"/>
      <c r="M73" s="4"/>
      <c r="N73" s="22"/>
      <c r="O73" s="22"/>
      <c r="P73" s="4"/>
      <c r="Q73" s="22"/>
      <c r="R73" s="22"/>
      <c r="S73" s="4"/>
      <c r="T73" s="22"/>
      <c r="U73" s="22"/>
      <c r="V73" s="4"/>
      <c r="W73" s="22"/>
      <c r="X73" s="22"/>
      <c r="Y73" s="4"/>
      <c r="Z73" s="22"/>
      <c r="AA73" s="22"/>
      <c r="AB73" s="4"/>
      <c r="AC73" s="22"/>
      <c r="AD73" s="22"/>
      <c r="AE73" s="4"/>
      <c r="AF73" s="22"/>
      <c r="AG73" s="22"/>
      <c r="AH73" s="4"/>
      <c r="AI73" s="22"/>
      <c r="AJ73" s="22"/>
      <c r="AK73" s="4"/>
      <c r="AL73" s="22"/>
      <c r="AM73" s="22"/>
      <c r="AN73" s="4"/>
      <c r="AO73" s="22"/>
      <c r="AP73" s="4"/>
      <c r="AQ73" s="4"/>
      <c r="AR73" s="22"/>
      <c r="AS73" s="4"/>
    </row>
    <row r="74" spans="2:46" s="2" customFormat="1" ht="144" customHeight="1">
      <c r="B74" s="1"/>
      <c r="C74" s="3"/>
      <c r="D74"/>
      <c r="E74"/>
      <c r="F74" s="40"/>
      <c r="G74" s="40"/>
      <c r="H74" s="40"/>
      <c r="I74" s="40"/>
      <c r="J74" s="40"/>
      <c r="K74" s="40"/>
      <c r="L74" s="22"/>
      <c r="M74" s="4"/>
      <c r="N74" s="22"/>
      <c r="O74" s="22"/>
      <c r="P74" s="4"/>
      <c r="Q74" s="22"/>
      <c r="R74" s="22"/>
      <c r="S74" s="4"/>
      <c r="T74" s="22"/>
      <c r="U74" s="22"/>
      <c r="V74" s="4"/>
      <c r="W74" s="22"/>
      <c r="X74" s="22"/>
      <c r="Y74" s="4"/>
      <c r="Z74" s="22"/>
      <c r="AA74" s="22"/>
      <c r="AB74" s="4"/>
      <c r="AC74" s="22"/>
      <c r="AD74" s="22"/>
      <c r="AE74" s="4"/>
      <c r="AF74" s="22"/>
      <c r="AG74" s="22"/>
      <c r="AH74" s="4"/>
      <c r="AI74" s="22"/>
      <c r="AJ74" s="22"/>
      <c r="AK74" s="4"/>
      <c r="AL74" s="22"/>
      <c r="AM74" s="22"/>
      <c r="AN74" s="4"/>
      <c r="AO74" s="22"/>
      <c r="AP74" s="4"/>
      <c r="AQ74" s="4"/>
      <c r="AR74" s="22"/>
      <c r="AS74" s="4"/>
    </row>
    <row r="75" spans="2:46" s="2" customFormat="1" ht="109.5" customHeight="1">
      <c r="B75" s="1"/>
      <c r="C75" s="3"/>
      <c r="D75"/>
      <c r="E75"/>
      <c r="F75" s="40"/>
      <c r="G75" s="40"/>
      <c r="H75" s="40"/>
      <c r="I75" s="40"/>
      <c r="J75" s="40"/>
      <c r="K75" s="40"/>
      <c r="L75" s="40"/>
      <c r="M75" s="22"/>
      <c r="N75" s="4"/>
      <c r="O75" s="22"/>
      <c r="P75" s="22"/>
      <c r="Q75" s="4"/>
      <c r="R75" s="22"/>
      <c r="S75" s="22"/>
      <c r="T75" s="4"/>
      <c r="U75" s="22"/>
      <c r="V75" s="22"/>
      <c r="W75" s="4"/>
      <c r="X75" s="22"/>
      <c r="Y75" s="22"/>
      <c r="Z75" s="4"/>
      <c r="AA75" s="22"/>
      <c r="AB75" s="22"/>
      <c r="AC75" s="4"/>
      <c r="AD75" s="22"/>
      <c r="AE75" s="22"/>
      <c r="AF75" s="4"/>
      <c r="AG75" s="22"/>
      <c r="AH75" s="22"/>
      <c r="AI75" s="4"/>
      <c r="AJ75" s="22"/>
      <c r="AK75" s="22"/>
      <c r="AL75" s="4"/>
      <c r="AM75" s="22"/>
      <c r="AN75" s="22"/>
      <c r="AO75" s="4"/>
      <c r="AP75" s="4"/>
      <c r="AQ75" s="4"/>
      <c r="AR75" s="22"/>
      <c r="AS75" s="22"/>
      <c r="AT75" s="4"/>
    </row>
    <row r="76" spans="2:46" s="2" customFormat="1" ht="109.5" customHeight="1">
      <c r="B76" s="1"/>
      <c r="C76" s="3"/>
      <c r="D76"/>
      <c r="E76"/>
      <c r="F76" s="40"/>
      <c r="G76" s="40"/>
      <c r="H76" s="40"/>
      <c r="I76" s="40"/>
      <c r="J76" s="40"/>
      <c r="K76" s="40"/>
      <c r="L76" s="40"/>
      <c r="M76" s="22"/>
      <c r="N76" s="4"/>
      <c r="O76" s="22"/>
      <c r="P76" s="22"/>
      <c r="Q76" s="4"/>
      <c r="R76" s="22"/>
      <c r="S76" s="22"/>
      <c r="T76" s="4"/>
      <c r="U76" s="22"/>
      <c r="V76" s="22"/>
      <c r="W76" s="4"/>
      <c r="X76" s="22"/>
      <c r="Y76" s="22"/>
      <c r="Z76" s="4"/>
      <c r="AA76" s="22"/>
      <c r="AB76" s="22"/>
      <c r="AC76" s="4"/>
      <c r="AD76" s="22"/>
      <c r="AE76" s="22"/>
      <c r="AF76" s="4"/>
      <c r="AG76" s="22"/>
      <c r="AH76" s="22"/>
      <c r="AI76" s="4"/>
      <c r="AJ76" s="22"/>
      <c r="AK76" s="22"/>
      <c r="AL76" s="4"/>
      <c r="AM76" s="22"/>
      <c r="AN76" s="22"/>
      <c r="AO76" s="4"/>
      <c r="AP76" s="4"/>
      <c r="AQ76" s="4"/>
      <c r="AR76" s="22"/>
      <c r="AS76" s="22"/>
      <c r="AT76" s="4"/>
    </row>
    <row r="77" spans="2:46" s="2" customFormat="1" ht="291.60000000000002" customHeight="1">
      <c r="B77" s="1"/>
      <c r="C77" s="3"/>
      <c r="D77"/>
      <c r="E77"/>
      <c r="F77" s="40"/>
      <c r="G77" s="40"/>
      <c r="H77" s="40"/>
      <c r="I77" s="40"/>
      <c r="J77" s="40"/>
      <c r="K77" s="40"/>
      <c r="L77" s="40"/>
      <c r="M77" s="22"/>
      <c r="N77" s="4"/>
      <c r="O77" s="22"/>
      <c r="P77" s="22"/>
      <c r="Q77" s="4"/>
      <c r="R77" s="22"/>
      <c r="S77" s="22"/>
      <c r="T77" s="4"/>
      <c r="U77" s="22"/>
      <c r="V77" s="22"/>
      <c r="W77" s="4"/>
      <c r="X77" s="22"/>
      <c r="Y77" s="22"/>
      <c r="Z77" s="4"/>
      <c r="AA77" s="22"/>
      <c r="AB77" s="22"/>
      <c r="AC77" s="4"/>
      <c r="AD77" s="22"/>
      <c r="AE77" s="22"/>
      <c r="AF77" s="4"/>
      <c r="AG77" s="22"/>
      <c r="AH77" s="22"/>
      <c r="AI77" s="4"/>
      <c r="AJ77" s="22"/>
      <c r="AK77" s="22"/>
      <c r="AL77" s="4"/>
      <c r="AM77" s="22"/>
      <c r="AN77" s="22"/>
      <c r="AO77" s="4"/>
      <c r="AP77" s="4"/>
      <c r="AQ77" s="4"/>
      <c r="AR77" s="22"/>
      <c r="AS77" s="22"/>
      <c r="AT77" s="4"/>
    </row>
    <row r="78" spans="2:46" s="2" customFormat="1" ht="110.25" customHeight="1">
      <c r="B78" s="1"/>
      <c r="C78" s="3"/>
      <c r="D78"/>
      <c r="E78"/>
      <c r="F78" s="40"/>
      <c r="G78" s="40"/>
      <c r="H78" s="40"/>
      <c r="I78" s="40"/>
      <c r="J78" s="40"/>
      <c r="K78" s="40"/>
      <c r="L78" s="40"/>
      <c r="M78" s="22"/>
      <c r="N78" s="4"/>
      <c r="O78" s="22"/>
      <c r="P78" s="22"/>
      <c r="Q78" s="4"/>
      <c r="R78" s="22"/>
      <c r="S78" s="22"/>
      <c r="T78" s="4"/>
      <c r="U78" s="22"/>
      <c r="V78" s="22"/>
      <c r="W78" s="4"/>
      <c r="X78" s="22"/>
      <c r="Y78" s="22"/>
      <c r="Z78" s="4"/>
      <c r="AA78" s="22"/>
      <c r="AB78" s="22"/>
      <c r="AC78" s="4"/>
      <c r="AD78" s="22"/>
      <c r="AE78" s="22"/>
      <c r="AF78" s="4"/>
      <c r="AG78" s="22"/>
      <c r="AH78" s="22"/>
      <c r="AI78" s="4"/>
      <c r="AJ78" s="22"/>
      <c r="AK78" s="22"/>
      <c r="AL78" s="4"/>
      <c r="AM78" s="22"/>
      <c r="AN78" s="22"/>
      <c r="AO78" s="4"/>
      <c r="AP78" s="4"/>
      <c r="AQ78" s="4"/>
      <c r="AR78" s="22"/>
      <c r="AS78" s="22"/>
      <c r="AT78" s="4"/>
    </row>
    <row r="79" spans="2:46" s="2" customFormat="1" ht="119.25" customHeight="1">
      <c r="B79" s="1"/>
      <c r="C79" s="3"/>
      <c r="D79"/>
      <c r="E79"/>
      <c r="F79" s="40"/>
      <c r="G79" s="40"/>
      <c r="H79" s="40"/>
      <c r="I79" s="40"/>
      <c r="J79" s="40"/>
      <c r="K79" s="40"/>
      <c r="L79" s="40"/>
      <c r="M79" s="22"/>
      <c r="N79" s="4"/>
      <c r="O79" s="22"/>
      <c r="P79" s="22"/>
      <c r="Q79" s="4"/>
      <c r="R79" s="22"/>
      <c r="S79" s="22"/>
      <c r="T79" s="4"/>
      <c r="U79" s="22"/>
      <c r="V79" s="22"/>
      <c r="W79" s="4"/>
      <c r="X79" s="22"/>
      <c r="Y79" s="22"/>
      <c r="Z79" s="4"/>
      <c r="AA79" s="22"/>
      <c r="AB79" s="22"/>
      <c r="AC79" s="4"/>
      <c r="AD79" s="22"/>
      <c r="AE79" s="22"/>
      <c r="AF79" s="4"/>
      <c r="AG79" s="22"/>
      <c r="AH79" s="22"/>
      <c r="AI79" s="4"/>
      <c r="AJ79" s="22"/>
      <c r="AK79" s="22"/>
      <c r="AL79" s="4"/>
      <c r="AM79" s="22"/>
      <c r="AN79" s="22"/>
      <c r="AO79" s="4"/>
      <c r="AP79" s="4"/>
      <c r="AQ79" s="4"/>
      <c r="AR79" s="22"/>
      <c r="AS79" s="22"/>
      <c r="AT79" s="4"/>
    </row>
    <row r="80" spans="2:46" s="2" customFormat="1" ht="112.5" customHeight="1">
      <c r="B80" s="1"/>
      <c r="C80" s="3"/>
      <c r="D80"/>
      <c r="E80"/>
      <c r="F80" s="40"/>
      <c r="G80" s="40"/>
      <c r="H80" s="40"/>
      <c r="I80" s="40"/>
      <c r="J80" s="40"/>
      <c r="K80" s="40"/>
      <c r="L80" s="40"/>
      <c r="M80" s="22"/>
      <c r="N80" s="4"/>
      <c r="O80" s="22"/>
      <c r="P80" s="22"/>
      <c r="Q80" s="4"/>
      <c r="R80" s="22"/>
      <c r="S80" s="22"/>
      <c r="T80" s="4"/>
      <c r="U80" s="22"/>
      <c r="V80" s="22"/>
      <c r="W80" s="4"/>
      <c r="X80" s="22"/>
      <c r="Y80" s="22"/>
      <c r="Z80" s="4"/>
      <c r="AA80" s="22"/>
      <c r="AB80" s="22"/>
      <c r="AC80" s="4"/>
      <c r="AD80" s="22"/>
      <c r="AE80" s="22"/>
      <c r="AF80" s="4"/>
      <c r="AG80" s="22"/>
      <c r="AH80" s="22"/>
      <c r="AI80" s="4"/>
      <c r="AJ80" s="22"/>
      <c r="AK80" s="22"/>
      <c r="AL80" s="4"/>
      <c r="AM80" s="22"/>
      <c r="AN80" s="22"/>
      <c r="AO80" s="4"/>
      <c r="AP80" s="4"/>
      <c r="AQ80" s="4"/>
      <c r="AR80" s="22"/>
      <c r="AS80" s="22"/>
      <c r="AT80" s="4"/>
    </row>
    <row r="81" spans="2:46" s="2" customFormat="1" ht="111" customHeight="1">
      <c r="B81" s="1"/>
      <c r="C81" s="3"/>
      <c r="D81"/>
      <c r="E81"/>
      <c r="F81" s="40"/>
      <c r="G81" s="40"/>
      <c r="H81" s="40"/>
      <c r="I81" s="40"/>
      <c r="J81" s="40"/>
      <c r="K81" s="40"/>
      <c r="L81" s="40"/>
      <c r="M81" s="22"/>
      <c r="N81" s="4"/>
      <c r="O81" s="22"/>
      <c r="P81" s="22"/>
      <c r="Q81" s="4"/>
      <c r="R81" s="22"/>
      <c r="S81" s="22"/>
      <c r="T81" s="4"/>
      <c r="U81" s="22"/>
      <c r="V81" s="22"/>
      <c r="W81" s="4"/>
      <c r="X81" s="22"/>
      <c r="Y81" s="22"/>
      <c r="Z81" s="4"/>
      <c r="AA81" s="22"/>
      <c r="AB81" s="22"/>
      <c r="AC81" s="4"/>
      <c r="AD81" s="22"/>
      <c r="AE81" s="22"/>
      <c r="AF81" s="4"/>
      <c r="AG81" s="22"/>
      <c r="AH81" s="22"/>
      <c r="AI81" s="4"/>
      <c r="AJ81" s="22"/>
      <c r="AK81" s="22"/>
      <c r="AL81" s="4"/>
      <c r="AM81" s="22"/>
      <c r="AN81" s="22"/>
      <c r="AO81" s="4"/>
      <c r="AP81" s="4"/>
      <c r="AQ81" s="4"/>
      <c r="AR81" s="22"/>
      <c r="AS81" s="22"/>
      <c r="AT81" s="4"/>
    </row>
    <row r="82" spans="2:46" s="2" customFormat="1" ht="107.25" customHeight="1">
      <c r="B82" s="1"/>
      <c r="C82" s="3"/>
      <c r="D82"/>
      <c r="E82"/>
      <c r="F82" s="40"/>
      <c r="G82" s="40"/>
      <c r="H82" s="40"/>
      <c r="I82" s="40"/>
      <c r="J82" s="40"/>
      <c r="K82" s="40"/>
      <c r="L82" s="40"/>
      <c r="M82" s="22"/>
      <c r="N82" s="4"/>
      <c r="O82" s="22"/>
      <c r="P82" s="22"/>
      <c r="Q82" s="4"/>
      <c r="R82" s="22"/>
      <c r="S82" s="22"/>
      <c r="T82" s="4"/>
      <c r="U82" s="22"/>
      <c r="V82" s="22"/>
      <c r="W82" s="4"/>
      <c r="X82" s="22"/>
      <c r="Y82" s="22"/>
      <c r="Z82" s="4"/>
      <c r="AA82" s="22"/>
      <c r="AB82" s="22"/>
      <c r="AC82" s="4"/>
      <c r="AD82" s="22"/>
      <c r="AE82" s="22"/>
      <c r="AF82" s="4"/>
      <c r="AG82" s="22"/>
      <c r="AH82" s="22"/>
      <c r="AI82" s="4"/>
      <c r="AJ82" s="22"/>
      <c r="AK82" s="22"/>
      <c r="AL82" s="4"/>
      <c r="AM82" s="22"/>
      <c r="AN82" s="22"/>
      <c r="AO82" s="4"/>
      <c r="AP82" s="4"/>
      <c r="AQ82" s="4"/>
      <c r="AR82" s="22"/>
      <c r="AS82" s="22"/>
      <c r="AT82" s="4"/>
    </row>
    <row r="83" spans="2:46" s="2" customFormat="1" ht="97.5" customHeight="1">
      <c r="B83" s="1"/>
      <c r="C83" s="3"/>
      <c r="D83"/>
      <c r="E83"/>
      <c r="F83" s="40"/>
      <c r="G83" s="40"/>
      <c r="H83" s="40"/>
      <c r="I83" s="40"/>
      <c r="J83" s="40"/>
      <c r="K83" s="40"/>
      <c r="L83" s="40"/>
      <c r="M83" s="22"/>
      <c r="N83" s="4"/>
      <c r="O83" s="22"/>
      <c r="P83" s="22"/>
      <c r="Q83" s="4"/>
      <c r="R83" s="22"/>
      <c r="S83" s="22"/>
      <c r="T83" s="4"/>
      <c r="U83" s="22"/>
      <c r="V83" s="22"/>
      <c r="W83" s="4"/>
      <c r="X83" s="22"/>
      <c r="Y83" s="22"/>
      <c r="Z83" s="4"/>
      <c r="AA83" s="22"/>
      <c r="AB83" s="22"/>
      <c r="AC83" s="4"/>
      <c r="AD83" s="22"/>
      <c r="AE83" s="22"/>
      <c r="AF83" s="4"/>
      <c r="AG83" s="22"/>
      <c r="AH83" s="22"/>
      <c r="AI83" s="4"/>
      <c r="AJ83" s="22"/>
      <c r="AK83" s="22"/>
      <c r="AL83" s="4"/>
      <c r="AM83" s="22"/>
      <c r="AN83" s="22"/>
      <c r="AO83" s="4"/>
      <c r="AP83" s="4"/>
      <c r="AQ83" s="4"/>
      <c r="AR83" s="22"/>
      <c r="AS83" s="22"/>
      <c r="AT83" s="4"/>
    </row>
    <row r="84" spans="2:46" s="2" customFormat="1" ht="84.75" customHeight="1">
      <c r="B84" s="1"/>
      <c r="C84" s="3"/>
      <c r="D84"/>
      <c r="E84"/>
      <c r="F84" s="40"/>
      <c r="G84" s="40"/>
      <c r="H84" s="40"/>
      <c r="I84" s="40"/>
      <c r="J84" s="40"/>
      <c r="K84" s="40"/>
      <c r="L84" s="40"/>
      <c r="M84" s="22"/>
      <c r="N84" s="4"/>
      <c r="O84" s="22"/>
      <c r="P84" s="22"/>
      <c r="Q84" s="4"/>
      <c r="R84" s="22"/>
      <c r="S84" s="22"/>
      <c r="T84" s="4"/>
      <c r="U84" s="22"/>
      <c r="V84" s="22"/>
      <c r="W84" s="4"/>
      <c r="X84" s="22"/>
      <c r="Y84" s="22"/>
      <c r="Z84" s="4"/>
      <c r="AA84" s="22"/>
      <c r="AB84" s="22"/>
      <c r="AC84" s="4"/>
      <c r="AD84" s="22"/>
      <c r="AE84" s="22"/>
      <c r="AF84" s="4"/>
      <c r="AG84" s="22"/>
      <c r="AH84" s="22"/>
      <c r="AI84" s="4"/>
      <c r="AJ84" s="22"/>
      <c r="AK84" s="22"/>
      <c r="AL84" s="4"/>
      <c r="AM84" s="22"/>
      <c r="AN84" s="22"/>
      <c r="AO84" s="4"/>
      <c r="AP84" s="4"/>
      <c r="AQ84" s="4"/>
      <c r="AR84" s="22"/>
      <c r="AS84" s="22"/>
      <c r="AT84" s="4"/>
    </row>
    <row r="85" spans="2:46" s="2" customFormat="1" ht="116.25" customHeight="1">
      <c r="B85" s="1"/>
      <c r="C85" s="3"/>
      <c r="D85"/>
      <c r="E85"/>
      <c r="F85" s="40"/>
      <c r="G85" s="40"/>
      <c r="H85" s="40"/>
      <c r="I85" s="40"/>
      <c r="J85" s="40"/>
      <c r="K85" s="40"/>
      <c r="L85" s="40"/>
      <c r="M85" s="22"/>
      <c r="N85" s="4"/>
      <c r="O85" s="22"/>
      <c r="P85" s="22"/>
      <c r="Q85" s="4"/>
      <c r="R85" s="22"/>
      <c r="S85" s="22"/>
      <c r="T85" s="4"/>
      <c r="U85" s="22"/>
      <c r="V85" s="22"/>
      <c r="W85" s="4"/>
      <c r="X85" s="22"/>
      <c r="Y85" s="22"/>
      <c r="Z85" s="4"/>
      <c r="AA85" s="22"/>
      <c r="AB85" s="22"/>
      <c r="AC85" s="4"/>
      <c r="AD85" s="22"/>
      <c r="AE85" s="22"/>
      <c r="AF85" s="4"/>
      <c r="AG85" s="22"/>
      <c r="AH85" s="22"/>
      <c r="AI85" s="4"/>
      <c r="AJ85" s="22"/>
      <c r="AK85" s="22"/>
      <c r="AL85" s="4"/>
      <c r="AM85" s="22"/>
      <c r="AN85" s="22"/>
      <c r="AO85" s="4"/>
      <c r="AP85" s="4"/>
      <c r="AQ85" s="4"/>
      <c r="AR85" s="22"/>
      <c r="AS85" s="22"/>
      <c r="AT85" s="4"/>
    </row>
    <row r="86" spans="2:46" s="2" customFormat="1" ht="117.75" customHeight="1">
      <c r="B86" s="1"/>
      <c r="C86" s="3"/>
      <c r="D86"/>
      <c r="E86"/>
      <c r="F86" s="40"/>
      <c r="G86" s="40"/>
      <c r="H86" s="40"/>
      <c r="I86" s="40"/>
      <c r="J86" s="40"/>
      <c r="K86" s="40"/>
      <c r="L86" s="40"/>
      <c r="M86" s="22"/>
      <c r="N86" s="4"/>
      <c r="O86" s="22"/>
      <c r="P86" s="22"/>
      <c r="Q86" s="4"/>
      <c r="R86" s="22"/>
      <c r="S86" s="22"/>
      <c r="T86" s="4"/>
      <c r="U86" s="22"/>
      <c r="V86" s="22"/>
      <c r="W86" s="4"/>
      <c r="X86" s="22"/>
      <c r="Y86" s="22"/>
      <c r="Z86" s="4"/>
      <c r="AA86" s="22"/>
      <c r="AB86" s="22"/>
      <c r="AC86" s="4"/>
      <c r="AD86" s="22"/>
      <c r="AE86" s="22"/>
      <c r="AF86" s="4"/>
      <c r="AG86" s="22"/>
      <c r="AH86" s="22"/>
      <c r="AI86" s="4"/>
      <c r="AJ86" s="22"/>
      <c r="AK86" s="22"/>
      <c r="AL86" s="4"/>
      <c r="AM86" s="22"/>
      <c r="AN86" s="22"/>
      <c r="AO86" s="4"/>
      <c r="AP86" s="4"/>
      <c r="AQ86" s="4"/>
      <c r="AR86" s="22"/>
      <c r="AS86" s="22"/>
      <c r="AT86" s="4"/>
    </row>
    <row r="87" spans="2:46" s="2" customFormat="1" ht="124.5" customHeight="1">
      <c r="B87" s="1"/>
      <c r="C87" s="3"/>
      <c r="D87"/>
      <c r="E87"/>
      <c r="F87" s="40"/>
      <c r="G87" s="40"/>
      <c r="H87" s="40"/>
      <c r="I87" s="40"/>
      <c r="J87" s="40"/>
      <c r="K87" s="40"/>
      <c r="L87" s="40"/>
      <c r="M87" s="22"/>
      <c r="N87" s="4"/>
      <c r="O87" s="22"/>
      <c r="P87" s="22"/>
      <c r="Q87" s="4"/>
      <c r="R87" s="22"/>
      <c r="S87" s="22"/>
      <c r="T87" s="4"/>
      <c r="U87" s="22"/>
      <c r="V87" s="22"/>
      <c r="W87" s="4"/>
      <c r="X87" s="22"/>
      <c r="Y87" s="22"/>
      <c r="Z87" s="4"/>
      <c r="AA87" s="22"/>
      <c r="AB87" s="22"/>
      <c r="AC87" s="4"/>
      <c r="AD87" s="22"/>
      <c r="AE87" s="22"/>
      <c r="AF87" s="4"/>
      <c r="AG87" s="22"/>
      <c r="AH87" s="22"/>
      <c r="AI87" s="4"/>
      <c r="AJ87" s="22"/>
      <c r="AK87" s="22"/>
      <c r="AL87" s="4"/>
      <c r="AM87" s="22"/>
      <c r="AN87" s="22"/>
      <c r="AO87" s="4"/>
      <c r="AP87" s="4"/>
      <c r="AQ87" s="4"/>
      <c r="AR87" s="22"/>
      <c r="AS87" s="22"/>
      <c r="AT87" s="4"/>
    </row>
    <row r="88" spans="2:46" s="2" customFormat="1" ht="135.75" customHeight="1">
      <c r="B88" s="1"/>
      <c r="C88" s="3"/>
      <c r="D88"/>
      <c r="E88"/>
      <c r="F88" s="40"/>
      <c r="G88" s="40"/>
      <c r="H88" s="40"/>
      <c r="I88" s="40"/>
      <c r="J88" s="40"/>
      <c r="K88" s="40"/>
      <c r="L88" s="40"/>
      <c r="M88" s="22"/>
      <c r="N88" s="4"/>
      <c r="O88" s="22"/>
      <c r="P88" s="22"/>
      <c r="Q88" s="4"/>
      <c r="R88" s="22"/>
      <c r="S88" s="22"/>
      <c r="T88" s="4"/>
      <c r="U88" s="22"/>
      <c r="V88" s="22"/>
      <c r="W88" s="4"/>
      <c r="X88" s="22"/>
      <c r="Y88" s="22"/>
      <c r="Z88" s="4"/>
      <c r="AA88" s="22"/>
      <c r="AB88" s="22"/>
      <c r="AC88" s="4"/>
      <c r="AD88" s="22"/>
      <c r="AE88" s="22"/>
      <c r="AF88" s="4"/>
      <c r="AG88" s="22"/>
      <c r="AH88" s="22"/>
      <c r="AI88" s="4"/>
      <c r="AJ88" s="22"/>
      <c r="AK88" s="22"/>
      <c r="AL88" s="4"/>
      <c r="AM88" s="22"/>
      <c r="AN88" s="22"/>
      <c r="AO88" s="4"/>
      <c r="AP88" s="4"/>
      <c r="AQ88" s="4"/>
      <c r="AR88" s="22"/>
      <c r="AS88" s="22"/>
      <c r="AT88" s="4"/>
    </row>
    <row r="89" spans="2:46" s="2" customFormat="1" ht="105.75" customHeight="1">
      <c r="B89" s="1"/>
      <c r="C89" s="3"/>
      <c r="D89"/>
      <c r="E89"/>
      <c r="F89" s="40"/>
      <c r="G89" s="40"/>
      <c r="H89" s="40"/>
      <c r="I89" s="40"/>
      <c r="J89" s="40"/>
      <c r="K89" s="40"/>
      <c r="L89" s="40"/>
      <c r="M89" s="22"/>
      <c r="N89" s="4"/>
      <c r="O89" s="22"/>
      <c r="P89" s="22"/>
      <c r="Q89" s="4"/>
      <c r="R89" s="22"/>
      <c r="S89" s="22"/>
      <c r="T89" s="4"/>
      <c r="U89" s="22"/>
      <c r="V89" s="22"/>
      <c r="W89" s="4"/>
      <c r="X89" s="22"/>
      <c r="Y89" s="22"/>
      <c r="Z89" s="4"/>
      <c r="AA89" s="22"/>
      <c r="AB89" s="22"/>
      <c r="AC89" s="4"/>
      <c r="AD89" s="22"/>
      <c r="AE89" s="22"/>
      <c r="AF89" s="4"/>
      <c r="AG89" s="22"/>
      <c r="AH89" s="22"/>
      <c r="AI89" s="4"/>
      <c r="AJ89" s="22"/>
      <c r="AK89" s="22"/>
      <c r="AL89" s="4"/>
      <c r="AM89" s="22"/>
      <c r="AN89" s="22"/>
      <c r="AO89" s="4"/>
      <c r="AP89" s="4"/>
      <c r="AQ89" s="4"/>
      <c r="AR89" s="22"/>
      <c r="AS89" s="22"/>
      <c r="AT89" s="4"/>
    </row>
    <row r="90" spans="2:46" s="2" customFormat="1" ht="409.5" customHeight="1">
      <c r="B90" s="1"/>
      <c r="C90" s="3"/>
      <c r="D90"/>
      <c r="E90"/>
      <c r="F90" s="40"/>
      <c r="G90" s="40"/>
      <c r="H90" s="40"/>
      <c r="I90" s="40"/>
      <c r="J90" s="40"/>
      <c r="K90" s="40"/>
      <c r="L90" s="40"/>
      <c r="M90" s="22"/>
      <c r="N90" s="4"/>
      <c r="O90" s="22"/>
      <c r="P90" s="22"/>
      <c r="Q90" s="4"/>
      <c r="R90" s="22"/>
      <c r="S90" s="22"/>
      <c r="T90" s="4"/>
      <c r="U90" s="22"/>
      <c r="V90" s="22"/>
      <c r="W90" s="4"/>
      <c r="X90" s="22"/>
      <c r="Y90" s="22"/>
      <c r="Z90" s="4"/>
      <c r="AA90" s="22"/>
      <c r="AB90" s="22"/>
      <c r="AC90" s="4"/>
      <c r="AD90" s="22"/>
      <c r="AE90" s="22"/>
      <c r="AF90" s="4"/>
      <c r="AG90" s="22"/>
      <c r="AH90" s="22"/>
      <c r="AI90" s="4"/>
      <c r="AJ90" s="22"/>
      <c r="AK90" s="22"/>
      <c r="AL90" s="4"/>
      <c r="AM90" s="22"/>
      <c r="AN90" s="22"/>
      <c r="AO90" s="4"/>
      <c r="AP90" s="4"/>
      <c r="AQ90" s="4"/>
      <c r="AR90" s="22"/>
      <c r="AS90" s="22"/>
      <c r="AT90" s="4"/>
    </row>
    <row r="91" spans="2:46" s="2" customFormat="1" ht="120" customHeight="1">
      <c r="B91" s="1"/>
      <c r="C91" s="3"/>
      <c r="D91"/>
      <c r="E91"/>
      <c r="F91" s="40"/>
      <c r="G91" s="40"/>
      <c r="H91" s="40"/>
      <c r="I91" s="40"/>
      <c r="J91" s="40"/>
      <c r="K91" s="40"/>
      <c r="L91" s="40"/>
      <c r="M91" s="22"/>
      <c r="N91" s="4"/>
      <c r="O91" s="22"/>
      <c r="P91" s="22"/>
      <c r="Q91" s="4"/>
      <c r="R91" s="22"/>
      <c r="S91" s="22"/>
      <c r="T91" s="4"/>
      <c r="U91" s="22"/>
      <c r="V91" s="22"/>
      <c r="W91" s="4"/>
      <c r="X91" s="22"/>
      <c r="Y91" s="22"/>
      <c r="Z91" s="4"/>
      <c r="AA91" s="22"/>
      <c r="AB91" s="22"/>
      <c r="AC91" s="4"/>
      <c r="AD91" s="22"/>
      <c r="AE91" s="22"/>
      <c r="AF91" s="4"/>
      <c r="AG91" s="22"/>
      <c r="AH91" s="22"/>
      <c r="AI91" s="4"/>
      <c r="AJ91" s="22"/>
      <c r="AK91" s="22"/>
      <c r="AL91" s="4"/>
      <c r="AM91" s="22"/>
      <c r="AN91" s="22"/>
      <c r="AO91" s="4"/>
      <c r="AP91" s="4"/>
      <c r="AQ91" s="4"/>
      <c r="AR91" s="22"/>
      <c r="AS91" s="22"/>
      <c r="AT91" s="4"/>
    </row>
    <row r="92" spans="2:46" s="2" customFormat="1" ht="174" customHeight="1">
      <c r="B92" s="1"/>
      <c r="C92" s="3"/>
      <c r="D92"/>
      <c r="E92"/>
      <c r="F92" s="40"/>
      <c r="G92" s="40"/>
      <c r="H92" s="40"/>
      <c r="I92" s="40"/>
      <c r="J92" s="40"/>
      <c r="K92" s="40"/>
      <c r="L92" s="40"/>
      <c r="M92" s="22"/>
      <c r="N92" s="4"/>
      <c r="O92" s="22"/>
      <c r="P92" s="22"/>
      <c r="Q92" s="4"/>
      <c r="R92" s="22"/>
      <c r="S92" s="22"/>
      <c r="T92" s="4"/>
      <c r="U92" s="22"/>
      <c r="V92" s="22"/>
      <c r="W92" s="4"/>
      <c r="X92" s="22"/>
      <c r="Y92" s="22"/>
      <c r="Z92" s="4"/>
      <c r="AA92" s="22"/>
      <c r="AB92" s="22"/>
      <c r="AC92" s="4"/>
      <c r="AD92" s="22"/>
      <c r="AE92" s="22"/>
      <c r="AF92" s="4"/>
      <c r="AG92" s="22"/>
      <c r="AH92" s="22"/>
      <c r="AI92" s="4"/>
      <c r="AJ92" s="22"/>
      <c r="AK92" s="22"/>
      <c r="AL92" s="4"/>
      <c r="AM92" s="22"/>
      <c r="AN92" s="22"/>
      <c r="AO92" s="4"/>
      <c r="AP92" s="4"/>
      <c r="AQ92" s="4"/>
      <c r="AR92" s="22"/>
      <c r="AS92" s="22"/>
      <c r="AT92" s="4"/>
    </row>
    <row r="93" spans="2:46" s="2" customFormat="1" ht="102" customHeight="1">
      <c r="B93" s="1"/>
      <c r="C93" s="3"/>
      <c r="D93"/>
      <c r="E93"/>
      <c r="F93" s="40"/>
      <c r="G93" s="40"/>
      <c r="H93" s="40"/>
      <c r="I93" s="40"/>
      <c r="J93" s="40"/>
      <c r="K93" s="40"/>
      <c r="L93" s="40"/>
      <c r="M93" s="22"/>
      <c r="N93" s="4"/>
      <c r="O93" s="22"/>
      <c r="P93" s="22"/>
      <c r="Q93" s="4"/>
      <c r="R93" s="22"/>
      <c r="S93" s="22"/>
      <c r="T93" s="4"/>
      <c r="U93" s="22"/>
      <c r="V93" s="22"/>
      <c r="W93" s="4"/>
      <c r="X93" s="22"/>
      <c r="Y93" s="22"/>
      <c r="Z93" s="4"/>
      <c r="AA93" s="22"/>
      <c r="AB93" s="22"/>
      <c r="AC93" s="4"/>
      <c r="AD93" s="22"/>
      <c r="AE93" s="22"/>
      <c r="AF93" s="4"/>
      <c r="AG93" s="22"/>
      <c r="AH93" s="22"/>
      <c r="AI93" s="4"/>
      <c r="AJ93" s="22"/>
      <c r="AK93" s="22"/>
      <c r="AL93" s="4"/>
      <c r="AM93" s="22"/>
      <c r="AN93" s="22"/>
      <c r="AO93" s="4"/>
      <c r="AP93" s="4"/>
      <c r="AQ93" s="4"/>
      <c r="AR93" s="22"/>
      <c r="AS93" s="22"/>
      <c r="AT93" s="4"/>
    </row>
    <row r="94" spans="2:46" s="2" customFormat="1" ht="102" customHeight="1">
      <c r="B94" s="1"/>
      <c r="C94" s="3"/>
      <c r="D94"/>
      <c r="E94"/>
      <c r="F94" s="40"/>
      <c r="G94" s="40"/>
      <c r="H94" s="40"/>
      <c r="I94" s="40"/>
      <c r="J94" s="40"/>
      <c r="K94" s="40"/>
      <c r="L94" s="40"/>
      <c r="M94" s="22"/>
      <c r="N94" s="4"/>
      <c r="O94" s="22"/>
      <c r="P94" s="22"/>
      <c r="Q94" s="4"/>
      <c r="R94" s="22"/>
      <c r="S94" s="22"/>
      <c r="T94" s="4"/>
      <c r="U94" s="22"/>
      <c r="V94" s="22"/>
      <c r="W94" s="4"/>
      <c r="X94" s="22"/>
      <c r="Y94" s="22"/>
      <c r="Z94" s="4"/>
      <c r="AA94" s="22"/>
      <c r="AB94" s="22"/>
      <c r="AC94" s="4"/>
      <c r="AD94" s="22"/>
      <c r="AE94" s="22"/>
      <c r="AF94" s="4"/>
      <c r="AG94" s="22"/>
      <c r="AH94" s="22"/>
      <c r="AI94" s="4"/>
      <c r="AJ94" s="22"/>
      <c r="AK94" s="22"/>
      <c r="AL94" s="4"/>
      <c r="AM94" s="22"/>
      <c r="AN94" s="22"/>
      <c r="AO94" s="4"/>
      <c r="AP94" s="4"/>
      <c r="AQ94" s="4"/>
      <c r="AR94" s="22"/>
      <c r="AS94" s="22"/>
      <c r="AT94" s="4"/>
    </row>
    <row r="95" spans="2:46" ht="64.150000000000006" customHeight="1">
      <c r="B95" s="1"/>
      <c r="C95" s="3"/>
    </row>
    <row r="96" spans="2:46" ht="64.150000000000006" customHeight="1">
      <c r="B96" s="1"/>
      <c r="C96" s="3"/>
    </row>
    <row r="97" spans="2:46" ht="36" customHeight="1">
      <c r="B97" s="1"/>
      <c r="C97" s="3"/>
    </row>
    <row r="98" spans="2:46" ht="36" customHeight="1">
      <c r="B98" s="1"/>
      <c r="C98" s="3"/>
    </row>
    <row r="99" spans="2:46" ht="36" customHeight="1">
      <c r="B99" s="1"/>
      <c r="C99" s="3"/>
    </row>
    <row r="100" spans="2:46" ht="36" customHeight="1">
      <c r="B100" s="1"/>
      <c r="C100" s="3"/>
    </row>
    <row r="101" spans="2:46" ht="36" customHeight="1">
      <c r="B101" s="1"/>
      <c r="C101" s="3"/>
    </row>
    <row r="102" spans="2:46" ht="15.75" customHeight="1">
      <c r="B102" s="1"/>
      <c r="C102" s="3"/>
    </row>
    <row r="103" spans="2:46" ht="15.75" customHeight="1">
      <c r="B103" s="1"/>
      <c r="C103" s="3"/>
    </row>
    <row r="104" spans="2:46" ht="15.75" customHeight="1">
      <c r="B104" s="1"/>
      <c r="C104" s="3"/>
    </row>
    <row r="105" spans="2:46" ht="15.75" customHeight="1">
      <c r="B105" s="1"/>
      <c r="C105" s="3"/>
    </row>
    <row r="106" spans="2:46" ht="15.75" customHeight="1">
      <c r="B106" s="1"/>
      <c r="C106" s="3"/>
    </row>
    <row r="107" spans="2:46" ht="15.75" customHeight="1">
      <c r="B107" s="1"/>
      <c r="C107" s="3"/>
    </row>
    <row r="108" spans="2:46" s="22" customFormat="1" ht="15.75" customHeight="1">
      <c r="B108" s="1"/>
      <c r="C108" s="3"/>
      <c r="D108"/>
      <c r="E108"/>
      <c r="F108" s="40"/>
      <c r="G108" s="40"/>
      <c r="H108" s="40"/>
      <c r="I108" s="40"/>
      <c r="J108" s="40"/>
      <c r="K108" s="40"/>
      <c r="L108" s="40"/>
      <c r="N108" s="4"/>
      <c r="Q108" s="4"/>
      <c r="T108" s="4"/>
      <c r="W108" s="4"/>
      <c r="Z108" s="4"/>
      <c r="AC108" s="4"/>
      <c r="AF108" s="4"/>
      <c r="AI108" s="4"/>
      <c r="AL108" s="4"/>
      <c r="AO108" s="4"/>
      <c r="AP108" s="4"/>
      <c r="AQ108" s="4"/>
      <c r="AT108" s="4"/>
    </row>
    <row r="109" spans="2:46" s="22" customFormat="1" ht="15.75" customHeight="1">
      <c r="B109" s="1"/>
      <c r="C109" s="3"/>
      <c r="D109"/>
      <c r="E109"/>
      <c r="F109" s="40"/>
      <c r="G109" s="40"/>
      <c r="H109" s="40"/>
      <c r="I109" s="40"/>
      <c r="J109" s="40"/>
      <c r="K109" s="40"/>
      <c r="L109" s="40"/>
      <c r="N109" s="4"/>
      <c r="Q109" s="4"/>
      <c r="T109" s="4"/>
      <c r="W109" s="4"/>
      <c r="Z109" s="4"/>
      <c r="AC109" s="4"/>
      <c r="AF109" s="4"/>
      <c r="AI109" s="4"/>
      <c r="AL109" s="4"/>
      <c r="AO109" s="4"/>
      <c r="AP109" s="4"/>
      <c r="AQ109" s="4"/>
      <c r="AT109" s="4"/>
    </row>
    <row r="110" spans="2:46" s="22" customFormat="1" ht="15.75" customHeight="1">
      <c r="B110" s="1"/>
      <c r="C110" s="3"/>
      <c r="D110"/>
      <c r="E110"/>
      <c r="F110" s="40"/>
      <c r="G110" s="40"/>
      <c r="H110" s="40"/>
      <c r="I110" s="40"/>
      <c r="J110" s="40"/>
      <c r="K110" s="40"/>
      <c r="L110" s="40"/>
      <c r="N110" s="4"/>
      <c r="Q110" s="4"/>
      <c r="T110" s="4"/>
      <c r="W110" s="4"/>
      <c r="Z110" s="4"/>
      <c r="AC110" s="4"/>
      <c r="AF110" s="4"/>
      <c r="AI110" s="4"/>
      <c r="AL110" s="4"/>
      <c r="AO110" s="4"/>
      <c r="AP110" s="4"/>
      <c r="AQ110" s="4"/>
      <c r="AT110" s="4"/>
    </row>
    <row r="111" spans="2:46" s="22" customFormat="1" ht="15.75" customHeight="1">
      <c r="B111" s="1"/>
      <c r="C111" s="3"/>
      <c r="D111"/>
      <c r="E111"/>
      <c r="F111" s="40"/>
      <c r="G111" s="40"/>
      <c r="H111" s="40"/>
      <c r="I111" s="40"/>
      <c r="J111" s="40"/>
      <c r="K111" s="40"/>
      <c r="L111" s="40"/>
      <c r="N111" s="4"/>
      <c r="Q111" s="4"/>
      <c r="T111" s="4"/>
      <c r="W111" s="4"/>
      <c r="Z111" s="4"/>
      <c r="AC111" s="4"/>
      <c r="AF111" s="4"/>
      <c r="AI111" s="4"/>
      <c r="AL111" s="4"/>
      <c r="AO111" s="4"/>
      <c r="AP111" s="4"/>
      <c r="AQ111" s="4"/>
      <c r="AT111" s="4"/>
    </row>
    <row r="112" spans="2:46" s="22" customFormat="1" ht="15.75" customHeight="1">
      <c r="B112" s="1"/>
      <c r="C112" s="3"/>
      <c r="D112"/>
      <c r="E112"/>
      <c r="F112" s="40"/>
      <c r="G112" s="40"/>
      <c r="H112" s="40"/>
      <c r="I112" s="40"/>
      <c r="J112" s="40"/>
      <c r="K112" s="40"/>
      <c r="L112" s="40"/>
      <c r="N112" s="4"/>
      <c r="Q112" s="4"/>
      <c r="T112" s="4"/>
      <c r="W112" s="4"/>
      <c r="Z112" s="4"/>
      <c r="AC112" s="4"/>
      <c r="AF112" s="4"/>
      <c r="AI112" s="4"/>
      <c r="AL112" s="4"/>
      <c r="AO112" s="4"/>
      <c r="AP112" s="4"/>
      <c r="AQ112" s="4"/>
      <c r="AT112" s="4"/>
    </row>
    <row r="113" spans="2:46" s="22" customFormat="1" ht="15.75" customHeight="1">
      <c r="B113" s="1"/>
      <c r="C113" s="3"/>
      <c r="D113"/>
      <c r="E113"/>
      <c r="F113" s="40"/>
      <c r="G113" s="40"/>
      <c r="H113" s="40"/>
      <c r="I113" s="40"/>
      <c r="J113" s="40"/>
      <c r="K113" s="40"/>
      <c r="L113" s="40"/>
      <c r="N113" s="4"/>
      <c r="Q113" s="4"/>
      <c r="T113" s="4"/>
      <c r="W113" s="4"/>
      <c r="Z113" s="4"/>
      <c r="AC113" s="4"/>
      <c r="AF113" s="4"/>
      <c r="AI113" s="4"/>
      <c r="AL113" s="4"/>
      <c r="AO113" s="4"/>
      <c r="AP113" s="4"/>
      <c r="AQ113" s="4"/>
      <c r="AT113" s="4"/>
    </row>
    <row r="114" spans="2:46" s="22" customFormat="1" ht="15.75" customHeight="1">
      <c r="B114" s="1"/>
      <c r="C114" s="3"/>
      <c r="D114"/>
      <c r="E114"/>
      <c r="F114" s="40"/>
      <c r="G114" s="40"/>
      <c r="H114" s="40"/>
      <c r="I114" s="40"/>
      <c r="J114" s="40"/>
      <c r="K114" s="40"/>
      <c r="L114" s="40"/>
      <c r="N114" s="4"/>
      <c r="Q114" s="4"/>
      <c r="T114" s="4"/>
      <c r="W114" s="4"/>
      <c r="Z114" s="4"/>
      <c r="AC114" s="4"/>
      <c r="AF114" s="4"/>
      <c r="AI114" s="4"/>
      <c r="AL114" s="4"/>
      <c r="AO114" s="4"/>
      <c r="AP114" s="4"/>
      <c r="AQ114" s="4"/>
      <c r="AT114" s="4"/>
    </row>
    <row r="115" spans="2:46" s="22" customFormat="1" ht="15.75" customHeight="1">
      <c r="B115" s="1"/>
      <c r="C115" s="3"/>
      <c r="D115"/>
      <c r="E115"/>
      <c r="F115" s="40"/>
      <c r="G115" s="40"/>
      <c r="H115" s="40"/>
      <c r="I115" s="40"/>
      <c r="J115" s="40"/>
      <c r="K115" s="40"/>
      <c r="L115" s="40"/>
      <c r="N115" s="4"/>
      <c r="Q115" s="4"/>
      <c r="T115" s="4"/>
      <c r="W115" s="4"/>
      <c r="Z115" s="4"/>
      <c r="AC115" s="4"/>
      <c r="AF115" s="4"/>
      <c r="AI115" s="4"/>
      <c r="AL115" s="4"/>
      <c r="AO115" s="4"/>
      <c r="AP115" s="4"/>
      <c r="AQ115" s="4"/>
      <c r="AT115" s="4"/>
    </row>
    <row r="116" spans="2:46" s="22" customFormat="1" ht="15.75" customHeight="1">
      <c r="B116" s="1"/>
      <c r="C116" s="3"/>
      <c r="D116"/>
      <c r="E116"/>
      <c r="F116" s="40"/>
      <c r="G116" s="40"/>
      <c r="H116" s="40"/>
      <c r="I116" s="40"/>
      <c r="J116" s="40"/>
      <c r="K116" s="40"/>
      <c r="L116" s="40"/>
      <c r="N116" s="4"/>
      <c r="Q116" s="4"/>
      <c r="T116" s="4"/>
      <c r="W116" s="4"/>
      <c r="Z116" s="4"/>
      <c r="AC116" s="4"/>
      <c r="AF116" s="4"/>
      <c r="AI116" s="4"/>
      <c r="AL116" s="4"/>
      <c r="AO116" s="4"/>
      <c r="AP116" s="4"/>
      <c r="AQ116" s="4"/>
      <c r="AT116" s="4"/>
    </row>
    <row r="117" spans="2:46" s="22" customFormat="1" ht="15.75" customHeight="1">
      <c r="B117" s="1"/>
      <c r="C117" s="3"/>
      <c r="D117"/>
      <c r="E117"/>
      <c r="F117" s="40"/>
      <c r="G117" s="40"/>
      <c r="H117" s="40"/>
      <c r="I117" s="40"/>
      <c r="J117" s="40"/>
      <c r="K117" s="40"/>
      <c r="L117" s="40"/>
      <c r="N117" s="4"/>
      <c r="Q117" s="4"/>
      <c r="T117" s="4"/>
      <c r="W117" s="4"/>
      <c r="Z117" s="4"/>
      <c r="AC117" s="4"/>
      <c r="AF117" s="4"/>
      <c r="AI117" s="4"/>
      <c r="AL117" s="4"/>
      <c r="AO117" s="4"/>
      <c r="AP117" s="4"/>
      <c r="AQ117" s="4"/>
      <c r="AT117" s="4"/>
    </row>
    <row r="118" spans="2:46" s="22" customFormat="1" ht="15.75" customHeight="1">
      <c r="B118" s="1"/>
      <c r="C118" s="3"/>
      <c r="D118"/>
      <c r="E118"/>
      <c r="F118" s="40"/>
      <c r="G118" s="40"/>
      <c r="H118" s="40"/>
      <c r="I118" s="40"/>
      <c r="J118" s="40"/>
      <c r="K118" s="40"/>
      <c r="L118" s="40"/>
      <c r="N118" s="4"/>
      <c r="Q118" s="4"/>
      <c r="T118" s="4"/>
      <c r="W118" s="4"/>
      <c r="Z118" s="4"/>
      <c r="AC118" s="4"/>
      <c r="AF118" s="4"/>
      <c r="AI118" s="4"/>
      <c r="AL118" s="4"/>
      <c r="AO118" s="4"/>
      <c r="AP118" s="4"/>
      <c r="AQ118" s="4"/>
      <c r="AT118" s="4"/>
    </row>
    <row r="119" spans="2:46" s="22" customFormat="1" ht="15.75" customHeight="1">
      <c r="B119" s="1"/>
      <c r="C119" s="3"/>
      <c r="D119"/>
      <c r="E119"/>
      <c r="F119" s="40"/>
      <c r="G119" s="40"/>
      <c r="H119" s="40"/>
      <c r="I119" s="40"/>
      <c r="J119" s="40"/>
      <c r="K119" s="40"/>
      <c r="L119" s="40"/>
      <c r="N119" s="4"/>
      <c r="Q119" s="4"/>
      <c r="T119" s="4"/>
      <c r="W119" s="4"/>
      <c r="Z119" s="4"/>
      <c r="AC119" s="4"/>
      <c r="AF119" s="4"/>
      <c r="AI119" s="4"/>
      <c r="AL119" s="4"/>
      <c r="AO119" s="4"/>
      <c r="AP119" s="4"/>
      <c r="AQ119" s="4"/>
      <c r="AT119" s="4"/>
    </row>
    <row r="120" spans="2:46" s="22" customFormat="1" ht="15.75" customHeight="1">
      <c r="B120" s="1"/>
      <c r="C120" s="3"/>
      <c r="D120"/>
      <c r="E120"/>
      <c r="F120" s="40"/>
      <c r="G120" s="40"/>
      <c r="H120" s="40"/>
      <c r="I120" s="40"/>
      <c r="J120" s="40"/>
      <c r="K120" s="40"/>
      <c r="L120" s="40"/>
      <c r="N120" s="4"/>
      <c r="Q120" s="4"/>
      <c r="T120" s="4"/>
      <c r="W120" s="4"/>
      <c r="Z120" s="4"/>
      <c r="AC120" s="4"/>
      <c r="AF120" s="4"/>
      <c r="AI120" s="4"/>
      <c r="AL120" s="4"/>
      <c r="AO120" s="4"/>
      <c r="AP120" s="4"/>
      <c r="AQ120" s="4"/>
      <c r="AT120" s="4"/>
    </row>
    <row r="121" spans="2:46" s="22" customFormat="1" ht="15.75" customHeight="1">
      <c r="B121" s="1"/>
      <c r="C121" s="3"/>
      <c r="D121"/>
      <c r="E121"/>
      <c r="F121" s="40"/>
      <c r="G121" s="40"/>
      <c r="H121" s="40"/>
      <c r="I121" s="40"/>
      <c r="J121" s="40"/>
      <c r="K121" s="40"/>
      <c r="L121" s="40"/>
      <c r="N121" s="4"/>
      <c r="Q121" s="4"/>
      <c r="T121" s="4"/>
      <c r="W121" s="4"/>
      <c r="Z121" s="4"/>
      <c r="AC121" s="4"/>
      <c r="AF121" s="4"/>
      <c r="AI121" s="4"/>
      <c r="AL121" s="4"/>
      <c r="AO121" s="4"/>
      <c r="AP121" s="4"/>
      <c r="AQ121" s="4"/>
      <c r="AT121" s="4"/>
    </row>
    <row r="122" spans="2:46" s="22" customFormat="1" ht="15.75" customHeight="1">
      <c r="B122" s="1"/>
      <c r="C122" s="3"/>
      <c r="D122"/>
      <c r="E122"/>
      <c r="F122" s="40"/>
      <c r="G122" s="40"/>
      <c r="H122" s="40"/>
      <c r="I122" s="40"/>
      <c r="J122" s="40"/>
      <c r="K122" s="40"/>
      <c r="L122" s="40"/>
      <c r="N122" s="4"/>
      <c r="Q122" s="4"/>
      <c r="T122" s="4"/>
      <c r="W122" s="4"/>
      <c r="Z122" s="4"/>
      <c r="AC122" s="4"/>
      <c r="AF122" s="4"/>
      <c r="AI122" s="4"/>
      <c r="AL122" s="4"/>
      <c r="AO122" s="4"/>
      <c r="AP122" s="4"/>
      <c r="AQ122" s="4"/>
      <c r="AT122" s="4"/>
    </row>
    <row r="123" spans="2:46" s="22" customFormat="1" ht="15.75" customHeight="1">
      <c r="B123" s="1"/>
      <c r="C123" s="3"/>
      <c r="D123"/>
      <c r="E123"/>
      <c r="F123" s="40"/>
      <c r="G123" s="40"/>
      <c r="H123" s="40"/>
      <c r="I123" s="40"/>
      <c r="J123" s="40"/>
      <c r="K123" s="40"/>
      <c r="L123" s="40"/>
      <c r="N123" s="4"/>
      <c r="Q123" s="4"/>
      <c r="T123" s="4"/>
      <c r="W123" s="4"/>
      <c r="Z123" s="4"/>
      <c r="AC123" s="4"/>
      <c r="AF123" s="4"/>
      <c r="AI123" s="4"/>
      <c r="AL123" s="4"/>
      <c r="AO123" s="4"/>
      <c r="AP123" s="4"/>
      <c r="AQ123" s="4"/>
      <c r="AT123" s="4"/>
    </row>
    <row r="124" spans="2:46" ht="15.75" customHeight="1">
      <c r="B124" s="1"/>
      <c r="C124" s="3"/>
    </row>
    <row r="125" spans="2:46" ht="15.75" customHeight="1">
      <c r="B125" s="1"/>
      <c r="C125" s="3"/>
    </row>
    <row r="126" spans="2:46" ht="15.75" customHeight="1">
      <c r="B126" s="1"/>
      <c r="C126" s="3"/>
    </row>
    <row r="127" spans="2:46" ht="15.75" customHeight="1">
      <c r="B127" s="1"/>
      <c r="C127" s="3"/>
    </row>
    <row r="128" spans="2:46" ht="15.75" customHeight="1">
      <c r="B128" s="1"/>
      <c r="C128" s="3"/>
    </row>
    <row r="129" spans="2:3" ht="15.75" customHeight="1">
      <c r="B129" s="1"/>
      <c r="C129" s="3"/>
    </row>
    <row r="130" spans="2:3" ht="15.75" customHeight="1">
      <c r="B130" s="1"/>
      <c r="C130" s="3"/>
    </row>
    <row r="131" spans="2:3" ht="15.75" customHeight="1">
      <c r="B131" s="1"/>
      <c r="C131" s="3"/>
    </row>
    <row r="132" spans="2:3" ht="15.75" customHeight="1">
      <c r="B132" s="1"/>
      <c r="C132" s="3"/>
    </row>
    <row r="133" spans="2:3" ht="15.75" customHeight="1">
      <c r="B133" s="1"/>
      <c r="C133" s="3"/>
    </row>
    <row r="134" spans="2:3" ht="15.75" customHeight="1">
      <c r="B134" s="1"/>
      <c r="C134" s="3"/>
    </row>
    <row r="135" spans="2:3" ht="15.75" customHeight="1">
      <c r="B135" s="1"/>
      <c r="C135" s="3"/>
    </row>
    <row r="136" spans="2:3" ht="15.75" customHeight="1">
      <c r="B136" s="1"/>
      <c r="C136" s="3"/>
    </row>
    <row r="137" spans="2:3" ht="15.75" customHeight="1">
      <c r="B137" s="1"/>
      <c r="C137" s="3"/>
    </row>
    <row r="138" spans="2:3" ht="15.75" customHeight="1">
      <c r="B138" s="1"/>
      <c r="C138" s="3"/>
    </row>
    <row r="139" spans="2:3" ht="15.75" customHeight="1">
      <c r="B139" s="1"/>
      <c r="C139" s="3"/>
    </row>
    <row r="140" spans="2:3" ht="15.75" customHeight="1">
      <c r="B140" s="1"/>
      <c r="C140" s="3"/>
    </row>
    <row r="141" spans="2:3" ht="15.75" customHeight="1">
      <c r="B141" s="1"/>
      <c r="C141" s="3"/>
    </row>
    <row r="142" spans="2:3" ht="15.75" customHeight="1">
      <c r="B142" s="1"/>
      <c r="C142" s="3"/>
    </row>
    <row r="143" spans="2:3" ht="15.75" customHeight="1">
      <c r="B143" s="1"/>
      <c r="C143" s="3"/>
    </row>
    <row r="144" spans="2:3" ht="15.75" customHeight="1">
      <c r="B144" s="1"/>
      <c r="C144" s="3"/>
    </row>
    <row r="145" spans="2:3" ht="15.75" customHeight="1">
      <c r="B145" s="1"/>
      <c r="C145" s="3"/>
    </row>
    <row r="146" spans="2:3" ht="15.75" customHeight="1">
      <c r="B146" s="1"/>
      <c r="C146" s="3"/>
    </row>
    <row r="147" spans="2:3" ht="15.75" customHeight="1">
      <c r="B147" s="1"/>
      <c r="C147" s="3"/>
    </row>
    <row r="148" spans="2:3" ht="15.75" customHeight="1">
      <c r="B148" s="1"/>
      <c r="C148" s="3"/>
    </row>
    <row r="149" spans="2:3" ht="15.75" customHeight="1">
      <c r="B149" s="1"/>
      <c r="C149" s="3"/>
    </row>
    <row r="150" spans="2:3" ht="15.75" customHeight="1">
      <c r="B150" s="1"/>
      <c r="C150" s="3"/>
    </row>
    <row r="151" spans="2:3" ht="15.75" customHeight="1">
      <c r="B151" s="1"/>
      <c r="C151" s="3"/>
    </row>
    <row r="152" spans="2:3" ht="15.75" customHeight="1">
      <c r="B152" s="1"/>
      <c r="C152" s="3"/>
    </row>
    <row r="153" spans="2:3" ht="15.75" customHeight="1">
      <c r="B153" s="1"/>
      <c r="C153" s="3"/>
    </row>
    <row r="154" spans="2:3" ht="15.75" customHeight="1">
      <c r="B154" s="1"/>
      <c r="C154" s="3"/>
    </row>
    <row r="155" spans="2:3" ht="15.75" customHeight="1">
      <c r="B155" s="1"/>
      <c r="C155" s="3"/>
    </row>
    <row r="156" spans="2:3" ht="15.75" customHeight="1">
      <c r="B156" s="1"/>
      <c r="C156" s="3"/>
    </row>
    <row r="157" spans="2:3" ht="15.75" customHeight="1">
      <c r="B157" s="1"/>
      <c r="C157" s="3"/>
    </row>
    <row r="158" spans="2:3" ht="15.75" customHeight="1">
      <c r="B158" s="1"/>
      <c r="C158" s="3"/>
    </row>
    <row r="159" spans="2:3" ht="15.75" customHeight="1">
      <c r="B159" s="1"/>
      <c r="C159" s="3"/>
    </row>
    <row r="160" spans="2:3" ht="15.75" customHeight="1">
      <c r="B160" s="1"/>
      <c r="C160" s="3"/>
    </row>
    <row r="161" spans="2:3" ht="15.75" customHeight="1">
      <c r="B161" s="1"/>
      <c r="C161" s="3"/>
    </row>
    <row r="162" spans="2:3" ht="15.75" customHeight="1">
      <c r="B162" s="1"/>
      <c r="C162" s="3"/>
    </row>
    <row r="163" spans="2:3" ht="15.75" customHeight="1">
      <c r="B163" s="1"/>
      <c r="C163" s="3"/>
    </row>
    <row r="164" spans="2:3" ht="15.75" customHeight="1">
      <c r="B164" s="1"/>
      <c r="C164" s="3"/>
    </row>
    <row r="165" spans="2:3" ht="15.75" customHeight="1">
      <c r="B165" s="1"/>
      <c r="C165" s="3"/>
    </row>
    <row r="166" spans="2:3" ht="15.75" customHeight="1">
      <c r="B166" s="1"/>
      <c r="C166" s="3"/>
    </row>
    <row r="167" spans="2:3" ht="15.75" customHeight="1">
      <c r="B167" s="1"/>
      <c r="C167" s="3"/>
    </row>
    <row r="168" spans="2:3" ht="15.75" customHeight="1">
      <c r="B168" s="1"/>
      <c r="C168" s="3"/>
    </row>
    <row r="169" spans="2:3" ht="15.75" customHeight="1">
      <c r="B169" s="1"/>
      <c r="C169" s="3"/>
    </row>
    <row r="170" spans="2:3" ht="15.75" customHeight="1">
      <c r="B170" s="1"/>
      <c r="C170" s="3"/>
    </row>
    <row r="171" spans="2:3" ht="15.75" customHeight="1">
      <c r="B171" s="1"/>
      <c r="C171" s="3"/>
    </row>
    <row r="172" spans="2:3" ht="15.75" customHeight="1">
      <c r="B172" s="1"/>
      <c r="C172" s="3"/>
    </row>
    <row r="173" spans="2:3" ht="15.75" customHeight="1">
      <c r="B173" s="1"/>
      <c r="C173" s="3"/>
    </row>
    <row r="174" spans="2:3" ht="15.75" customHeight="1">
      <c r="B174" s="1"/>
      <c r="C174" s="3"/>
    </row>
    <row r="175" spans="2:3" ht="15.75" customHeight="1">
      <c r="B175" s="1"/>
      <c r="C175" s="3"/>
    </row>
    <row r="176" spans="2:3" ht="15.75" customHeight="1">
      <c r="B176" s="1"/>
      <c r="C176" s="3"/>
    </row>
    <row r="177" spans="2:3" ht="15.75" customHeight="1">
      <c r="B177" s="1"/>
      <c r="C177" s="3"/>
    </row>
    <row r="178" spans="2:3" ht="15.75" customHeight="1">
      <c r="B178" s="1"/>
      <c r="C178" s="3"/>
    </row>
    <row r="179" spans="2:3" ht="15.75" customHeight="1">
      <c r="B179" s="1"/>
      <c r="C179" s="3"/>
    </row>
    <row r="180" spans="2:3" ht="15.75" customHeight="1">
      <c r="B180" s="1"/>
      <c r="C180" s="3"/>
    </row>
    <row r="181" spans="2:3" ht="15.75" customHeight="1">
      <c r="B181" s="1"/>
      <c r="C181" s="3"/>
    </row>
    <row r="182" spans="2:3" ht="15.75" customHeight="1">
      <c r="B182" s="1"/>
      <c r="C182" s="3"/>
    </row>
    <row r="183" spans="2:3" ht="15.75" customHeight="1">
      <c r="B183" s="1"/>
      <c r="C183" s="3"/>
    </row>
    <row r="184" spans="2:3" ht="15.75" customHeight="1">
      <c r="B184" s="1"/>
      <c r="C184" s="3"/>
    </row>
    <row r="185" spans="2:3" ht="15.75" customHeight="1">
      <c r="B185" s="1"/>
      <c r="C185" s="3"/>
    </row>
    <row r="186" spans="2:3" ht="15.75" customHeight="1">
      <c r="B186" s="1"/>
      <c r="C186" s="3"/>
    </row>
    <row r="187" spans="2:3" ht="15.75" customHeight="1">
      <c r="B187" s="1"/>
      <c r="C187" s="3"/>
    </row>
    <row r="188" spans="2:3" ht="15.75" customHeight="1">
      <c r="B188" s="1"/>
      <c r="C188" s="3"/>
    </row>
    <row r="189" spans="2:3" ht="15.75" customHeight="1">
      <c r="B189" s="1"/>
      <c r="C189" s="3"/>
    </row>
    <row r="190" spans="2:3" ht="15.75" customHeight="1">
      <c r="B190" s="1"/>
      <c r="C190" s="3"/>
    </row>
    <row r="191" spans="2:3" ht="15.75" customHeight="1">
      <c r="B191" s="1"/>
      <c r="C191" s="3"/>
    </row>
    <row r="192" spans="2:3" ht="15.75" customHeight="1">
      <c r="B192" s="1"/>
      <c r="C192" s="3"/>
    </row>
    <row r="193" spans="2:3" ht="15.75" customHeight="1">
      <c r="B193" s="1"/>
      <c r="C193" s="3"/>
    </row>
    <row r="194" spans="2:3" ht="15.75" customHeight="1">
      <c r="B194" s="1"/>
      <c r="C194" s="3"/>
    </row>
    <row r="195" spans="2:3" ht="15.75" customHeight="1">
      <c r="B195" s="1"/>
      <c r="C195" s="3"/>
    </row>
    <row r="196" spans="2:3" ht="15.75" customHeight="1">
      <c r="B196" s="1"/>
      <c r="C196" s="3"/>
    </row>
    <row r="197" spans="2:3" ht="15.75" customHeight="1">
      <c r="B197" s="1"/>
      <c r="C197" s="3"/>
    </row>
    <row r="198" spans="2:3" ht="15.75" customHeight="1">
      <c r="B198" s="1"/>
      <c r="C198" s="3"/>
    </row>
    <row r="199" spans="2:3" ht="15.75" customHeight="1">
      <c r="B199" s="1"/>
      <c r="C199" s="3"/>
    </row>
    <row r="200" spans="2:3" ht="15.75" customHeight="1">
      <c r="B200" s="1"/>
      <c r="C200" s="3"/>
    </row>
    <row r="201" spans="2:3" ht="15.75" customHeight="1">
      <c r="B201" s="1"/>
      <c r="C201" s="3"/>
    </row>
    <row r="202" spans="2:3" ht="15.75" customHeight="1">
      <c r="B202" s="1"/>
      <c r="C202" s="3"/>
    </row>
    <row r="203" spans="2:3" ht="15.75" customHeight="1">
      <c r="B203" s="1"/>
      <c r="C203" s="3"/>
    </row>
    <row r="204" spans="2:3" ht="15.75" customHeight="1">
      <c r="B204" s="1"/>
      <c r="C204" s="3"/>
    </row>
    <row r="205" spans="2:3" ht="15.75" customHeight="1">
      <c r="B205" s="1"/>
      <c r="C205" s="3"/>
    </row>
    <row r="206" spans="2:3" ht="15.75" customHeight="1">
      <c r="B206" s="1"/>
      <c r="C206" s="3"/>
    </row>
    <row r="207" spans="2:3" ht="15.75" customHeight="1">
      <c r="B207" s="1"/>
      <c r="C207" s="3"/>
    </row>
    <row r="208" spans="2:3" ht="15.75" customHeight="1">
      <c r="B208" s="1"/>
      <c r="C208" s="3"/>
    </row>
    <row r="209" spans="2:3" ht="15.75" customHeight="1">
      <c r="B209" s="1"/>
      <c r="C209" s="3"/>
    </row>
    <row r="210" spans="2:3" ht="15.75" customHeight="1">
      <c r="B210" s="1"/>
      <c r="C210" s="3"/>
    </row>
    <row r="211" spans="2:3" ht="15.75" customHeight="1">
      <c r="B211" s="1"/>
      <c r="C211" s="3"/>
    </row>
    <row r="212" spans="2:3" ht="15.75" customHeight="1">
      <c r="B212" s="1"/>
      <c r="C212" s="3"/>
    </row>
    <row r="213" spans="2:3" ht="15.75" customHeight="1">
      <c r="B213" s="1"/>
      <c r="C213" s="3"/>
    </row>
    <row r="214" spans="2:3" ht="15.75" customHeight="1">
      <c r="B214" s="1"/>
      <c r="C214" s="3"/>
    </row>
    <row r="215" spans="2:3" ht="15.75" customHeight="1">
      <c r="B215" s="1"/>
      <c r="C215" s="3"/>
    </row>
    <row r="216" spans="2:3" ht="15.75" customHeight="1">
      <c r="B216" s="1"/>
      <c r="C216" s="3"/>
    </row>
    <row r="217" spans="2:3" ht="15.75" customHeight="1">
      <c r="B217" s="1"/>
      <c r="C217" s="3"/>
    </row>
    <row r="218" spans="2:3" ht="15.75" customHeight="1">
      <c r="B218" s="1"/>
      <c r="C218" s="3"/>
    </row>
    <row r="219" spans="2:3" ht="15.75" customHeight="1">
      <c r="B219" s="1"/>
      <c r="C219" s="3"/>
    </row>
    <row r="220" spans="2:3" ht="15.75" customHeight="1">
      <c r="B220" s="1"/>
      <c r="C220" s="3"/>
    </row>
    <row r="221" spans="2:3" ht="15.75" customHeight="1">
      <c r="B221" s="1"/>
      <c r="C221" s="3"/>
    </row>
    <row r="222" spans="2:3" ht="15.75" customHeight="1">
      <c r="B222" s="1"/>
      <c r="C222" s="3"/>
    </row>
    <row r="223" spans="2:3" ht="15.75" customHeight="1">
      <c r="B223" s="1"/>
      <c r="C223" s="3"/>
    </row>
    <row r="224" spans="2:3" ht="15.75" customHeight="1">
      <c r="B224" s="1"/>
      <c r="C224" s="3"/>
    </row>
    <row r="225" spans="2:3" ht="15.75" customHeight="1">
      <c r="B225" s="1"/>
      <c r="C225" s="3"/>
    </row>
    <row r="226" spans="2:3" ht="15.75" customHeight="1">
      <c r="B226" s="1"/>
      <c r="C226" s="3"/>
    </row>
    <row r="227" spans="2:3" ht="15.75" customHeight="1">
      <c r="B227" s="1"/>
      <c r="C227" s="3"/>
    </row>
    <row r="228" spans="2:3" ht="15.75" customHeight="1">
      <c r="B228" s="1"/>
      <c r="C228" s="3"/>
    </row>
    <row r="229" spans="2:3" ht="15.75" customHeight="1">
      <c r="B229" s="1"/>
      <c r="C229" s="3"/>
    </row>
    <row r="230" spans="2:3" ht="15.75" customHeight="1">
      <c r="B230" s="1"/>
      <c r="C230" s="3"/>
    </row>
    <row r="231" spans="2:3" ht="15.75" customHeight="1">
      <c r="B231" s="1"/>
      <c r="C231" s="3"/>
    </row>
    <row r="232" spans="2:3" ht="15.75" customHeight="1">
      <c r="B232" s="1"/>
      <c r="C232" s="3"/>
    </row>
    <row r="233" spans="2:3" ht="15.75" customHeight="1">
      <c r="B233" s="1"/>
      <c r="C233" s="3"/>
    </row>
    <row r="234" spans="2:3" ht="15.75" customHeight="1">
      <c r="B234" s="1"/>
      <c r="C234" s="3"/>
    </row>
    <row r="235" spans="2:3" ht="15.75" customHeight="1">
      <c r="B235" s="1"/>
      <c r="C235" s="3"/>
    </row>
    <row r="236" spans="2:3" ht="15.75" customHeight="1">
      <c r="B236" s="1"/>
      <c r="C236" s="3"/>
    </row>
    <row r="237" spans="2:3" ht="15.75" customHeight="1">
      <c r="B237" s="1"/>
      <c r="C237" s="3"/>
    </row>
    <row r="238" spans="2:3" ht="15.75" customHeight="1">
      <c r="B238" s="1"/>
      <c r="C238" s="3"/>
    </row>
    <row r="239" spans="2:3" ht="15.75" customHeight="1">
      <c r="B239" s="1"/>
      <c r="C239" s="3"/>
    </row>
    <row r="240" spans="2:3" ht="15.75" customHeight="1">
      <c r="B240" s="1"/>
      <c r="C240" s="3"/>
    </row>
    <row r="241" spans="2:3" ht="15.75" customHeight="1">
      <c r="B241" s="1"/>
      <c r="C241" s="3"/>
    </row>
    <row r="242" spans="2:3" ht="15.75" customHeight="1">
      <c r="B242" s="1"/>
      <c r="C242" s="3"/>
    </row>
    <row r="243" spans="2:3" ht="15.75" customHeight="1">
      <c r="B243" s="1"/>
      <c r="C243" s="3"/>
    </row>
    <row r="244" spans="2:3" ht="15.75" customHeight="1">
      <c r="B244" s="1"/>
      <c r="C244" s="3"/>
    </row>
    <row r="245" spans="2:3" ht="15.75" customHeight="1">
      <c r="B245" s="1"/>
      <c r="C245" s="3"/>
    </row>
    <row r="246" spans="2:3" ht="15.75" customHeight="1">
      <c r="B246" s="1"/>
      <c r="C246" s="3"/>
    </row>
    <row r="247" spans="2:3" ht="15.75" customHeight="1">
      <c r="B247" s="1"/>
      <c r="C247" s="3"/>
    </row>
    <row r="248" spans="2:3" ht="15.75" customHeight="1">
      <c r="B248" s="1"/>
      <c r="C248" s="3"/>
    </row>
    <row r="249" spans="2:3" ht="15.75" customHeight="1">
      <c r="B249" s="1"/>
      <c r="C249" s="3"/>
    </row>
    <row r="250" spans="2:3" ht="15.75" customHeight="1">
      <c r="B250" s="1"/>
      <c r="C250" s="3"/>
    </row>
    <row r="251" spans="2:3" ht="15.75" customHeight="1">
      <c r="B251" s="1"/>
      <c r="C251" s="3"/>
    </row>
    <row r="252" spans="2:3" ht="15.75" customHeight="1">
      <c r="B252" s="1"/>
      <c r="C252" s="3"/>
    </row>
    <row r="253" spans="2:3" ht="15.75" customHeight="1">
      <c r="B253" s="1"/>
      <c r="C253" s="3"/>
    </row>
    <row r="254" spans="2:3" ht="15.75" customHeight="1">
      <c r="B254" s="1"/>
      <c r="C254" s="3"/>
    </row>
    <row r="255" spans="2:3" ht="15.75" customHeight="1">
      <c r="B255" s="1"/>
      <c r="C255" s="3"/>
    </row>
    <row r="256" spans="2:3" ht="15.75" customHeight="1">
      <c r="B256" s="1"/>
      <c r="C256" s="3"/>
    </row>
    <row r="257" spans="2:3" ht="15.75" customHeight="1">
      <c r="B257" s="1"/>
      <c r="C257" s="3"/>
    </row>
    <row r="258" spans="2:3" ht="15.75" customHeight="1">
      <c r="B258" s="1"/>
      <c r="C258" s="3"/>
    </row>
    <row r="259" spans="2:3" ht="15.75" customHeight="1">
      <c r="B259" s="1"/>
      <c r="C259" s="3"/>
    </row>
    <row r="260" spans="2:3" ht="15.75" customHeight="1">
      <c r="B260" s="1"/>
      <c r="C260" s="3"/>
    </row>
    <row r="261" spans="2:3" ht="15.75" customHeight="1">
      <c r="B261" s="1"/>
      <c r="C261" s="3"/>
    </row>
    <row r="262" spans="2:3" ht="15.75" customHeight="1">
      <c r="B262" s="1"/>
      <c r="C262" s="3"/>
    </row>
    <row r="263" spans="2:3" ht="15.75" customHeight="1">
      <c r="B263" s="1"/>
      <c r="C263" s="3"/>
    </row>
    <row r="264" spans="2:3" ht="15.75" customHeight="1">
      <c r="B264" s="1"/>
      <c r="C264" s="3"/>
    </row>
    <row r="265" spans="2:3" ht="15.75" customHeight="1">
      <c r="B265" s="1"/>
      <c r="C265" s="3"/>
    </row>
    <row r="266" spans="2:3" ht="15.75" customHeight="1">
      <c r="B266" s="1"/>
      <c r="C266" s="3"/>
    </row>
    <row r="267" spans="2:3" ht="15.75" customHeight="1">
      <c r="B267" s="1"/>
      <c r="C267" s="3"/>
    </row>
    <row r="268" spans="2:3" ht="15.75" customHeight="1">
      <c r="B268" s="1"/>
      <c r="C268" s="3"/>
    </row>
    <row r="269" spans="2:3" ht="15.75" customHeight="1">
      <c r="B269" s="1"/>
      <c r="C269" s="3"/>
    </row>
    <row r="270" spans="2:3" ht="15.75" customHeight="1">
      <c r="B270" s="1"/>
      <c r="C270" s="3"/>
    </row>
    <row r="271" spans="2:3" ht="15.75" customHeight="1">
      <c r="B271" s="1"/>
      <c r="C271" s="3"/>
    </row>
    <row r="272" spans="2:3" ht="15.75" customHeight="1">
      <c r="B272" s="1"/>
      <c r="C272" s="3"/>
    </row>
    <row r="273" spans="2:3" ht="15.75" customHeight="1">
      <c r="B273" s="1"/>
      <c r="C273" s="3"/>
    </row>
    <row r="274" spans="2:3" ht="15.75" customHeight="1">
      <c r="B274" s="1"/>
      <c r="C274" s="3"/>
    </row>
    <row r="275" spans="2:3" ht="15.75" customHeight="1">
      <c r="B275" s="1"/>
      <c r="C275" s="3"/>
    </row>
    <row r="276" spans="2:3" ht="15.75" customHeight="1">
      <c r="B276" s="1"/>
      <c r="C276" s="3"/>
    </row>
    <row r="277" spans="2:3" ht="15.75" customHeight="1">
      <c r="B277" s="1"/>
      <c r="C277" s="3"/>
    </row>
    <row r="278" spans="2:3" ht="15.75" customHeight="1">
      <c r="B278" s="1"/>
      <c r="C278" s="3"/>
    </row>
    <row r="279" spans="2:3" ht="15.75" customHeight="1">
      <c r="B279" s="1"/>
      <c r="C279" s="3"/>
    </row>
    <row r="280" spans="2:3" ht="15.75" customHeight="1">
      <c r="B280" s="1"/>
      <c r="C280" s="3"/>
    </row>
    <row r="281" spans="2:3" ht="15.75" customHeight="1">
      <c r="B281" s="1"/>
      <c r="C281" s="3"/>
    </row>
    <row r="282" spans="2:3" ht="15.75" customHeight="1">
      <c r="B282" s="1"/>
      <c r="C282" s="3"/>
    </row>
    <row r="283" spans="2:3" ht="15.75" customHeight="1">
      <c r="B283" s="1"/>
      <c r="C283" s="3"/>
    </row>
    <row r="284" spans="2:3" ht="15.75" customHeight="1">
      <c r="B284" s="1"/>
      <c r="C284" s="3"/>
    </row>
    <row r="285" spans="2:3" ht="15.75" customHeight="1">
      <c r="B285" s="1"/>
      <c r="C285" s="3"/>
    </row>
    <row r="286" spans="2:3" ht="15.75" customHeight="1">
      <c r="B286" s="1"/>
      <c r="C286" s="3"/>
    </row>
    <row r="287" spans="2:3" ht="15.75" customHeight="1">
      <c r="B287" s="1"/>
      <c r="C287" s="3"/>
    </row>
    <row r="288" spans="2:3" ht="15.75" customHeight="1">
      <c r="B288" s="1"/>
      <c r="C288" s="3"/>
    </row>
    <row r="289" spans="2:3" ht="15.75" customHeight="1">
      <c r="B289" s="1"/>
      <c r="C289" s="3"/>
    </row>
    <row r="290" spans="2:3" ht="15.75" customHeight="1">
      <c r="B290" s="1"/>
      <c r="C290" s="3"/>
    </row>
    <row r="291" spans="2:3" ht="15.75" customHeight="1">
      <c r="B291" s="1"/>
      <c r="C291" s="3"/>
    </row>
    <row r="292" spans="2:3" ht="15.75" customHeight="1">
      <c r="B292" s="1"/>
      <c r="C292" s="3"/>
    </row>
    <row r="293" spans="2:3" ht="15.75" customHeight="1">
      <c r="B293" s="1"/>
      <c r="C293" s="3"/>
    </row>
    <row r="294" spans="2:3" ht="15.75" customHeight="1">
      <c r="B294" s="1"/>
      <c r="C294" s="3"/>
    </row>
    <row r="295" spans="2:3" ht="15.75" customHeight="1">
      <c r="B295" s="1"/>
      <c r="C295" s="3"/>
    </row>
    <row r="296" spans="2:3" ht="15.75" customHeight="1">
      <c r="B296" s="1"/>
      <c r="C296" s="3"/>
    </row>
    <row r="297" spans="2:3" ht="15.75" customHeight="1">
      <c r="B297" s="1"/>
      <c r="C297" s="3"/>
    </row>
    <row r="298" spans="2:3" ht="15.75" customHeight="1">
      <c r="B298" s="1"/>
      <c r="C298" s="3"/>
    </row>
    <row r="299" spans="2:3" ht="15.75" customHeight="1">
      <c r="B299" s="1"/>
      <c r="C299" s="3"/>
    </row>
    <row r="300" spans="2:3" ht="15.75" customHeight="1">
      <c r="B300" s="1"/>
      <c r="C300" s="3"/>
    </row>
    <row r="301" spans="2:3" ht="15.75" customHeight="1">
      <c r="B301" s="1"/>
      <c r="C301" s="3"/>
    </row>
    <row r="302" spans="2:3" ht="15.75" customHeight="1">
      <c r="B302" s="1"/>
      <c r="C302" s="3"/>
    </row>
    <row r="303" spans="2:3" ht="15.75" customHeight="1">
      <c r="B303" s="1"/>
      <c r="C303" s="3"/>
    </row>
    <row r="304" spans="2:3" ht="15.75" customHeight="1">
      <c r="B304" s="1"/>
      <c r="C304" s="3"/>
    </row>
    <row r="305" spans="2:3" ht="15.75" customHeight="1">
      <c r="B305" s="1"/>
      <c r="C305" s="3"/>
    </row>
    <row r="306" spans="2:3" ht="15.75" customHeight="1">
      <c r="B306" s="1"/>
      <c r="C306" s="3"/>
    </row>
    <row r="307" spans="2:3" ht="15.75" customHeight="1">
      <c r="B307" s="1"/>
      <c r="C307" s="3"/>
    </row>
    <row r="308" spans="2:3" ht="15.75" customHeight="1">
      <c r="B308" s="1"/>
      <c r="C308" s="3"/>
    </row>
    <row r="309" spans="2:3" ht="15.75" customHeight="1">
      <c r="B309" s="1"/>
      <c r="C309" s="3"/>
    </row>
    <row r="310" spans="2:3" ht="15.75" customHeight="1">
      <c r="B310" s="1"/>
      <c r="C310" s="3"/>
    </row>
    <row r="311" spans="2:3" ht="15.75" customHeight="1">
      <c r="B311" s="1"/>
      <c r="C311" s="3"/>
    </row>
    <row r="312" spans="2:3" ht="15.75" customHeight="1">
      <c r="B312" s="1"/>
      <c r="C312" s="3"/>
    </row>
    <row r="313" spans="2:3" ht="15.75" customHeight="1">
      <c r="B313" s="1"/>
      <c r="C313" s="3"/>
    </row>
    <row r="314" spans="2:3" ht="15.75" customHeight="1">
      <c r="B314" s="1"/>
      <c r="C314" s="3"/>
    </row>
    <row r="315" spans="2:3" ht="15.75" customHeight="1">
      <c r="B315" s="1"/>
      <c r="C315" s="3"/>
    </row>
    <row r="316" spans="2:3" ht="15.75" customHeight="1">
      <c r="B316" s="1"/>
      <c r="C316" s="3"/>
    </row>
    <row r="317" spans="2:3" ht="15.75" customHeight="1">
      <c r="B317" s="1"/>
      <c r="C317" s="3"/>
    </row>
    <row r="318" spans="2:3" ht="15.75" customHeight="1">
      <c r="B318" s="1"/>
      <c r="C318" s="3"/>
    </row>
    <row r="319" spans="2:3" ht="15.75" customHeight="1">
      <c r="B319" s="1"/>
      <c r="C319" s="3"/>
    </row>
    <row r="320" spans="2:3" ht="15.75" customHeight="1">
      <c r="B320" s="1"/>
      <c r="C320" s="3"/>
    </row>
    <row r="321" spans="2:3" ht="15.75" customHeight="1">
      <c r="B321" s="1"/>
      <c r="C321" s="3"/>
    </row>
    <row r="322" spans="2:3" ht="15.75" customHeight="1">
      <c r="B322" s="1"/>
      <c r="C322" s="3"/>
    </row>
    <row r="323" spans="2:3" ht="15.75" customHeight="1">
      <c r="B323" s="1"/>
      <c r="C323" s="3"/>
    </row>
    <row r="324" spans="2:3" ht="15.75" customHeight="1">
      <c r="B324" s="1"/>
      <c r="C324" s="3"/>
    </row>
    <row r="325" spans="2:3" ht="15.75" customHeight="1">
      <c r="B325" s="1"/>
      <c r="C325" s="3"/>
    </row>
    <row r="326" spans="2:3" ht="15.75" customHeight="1">
      <c r="B326" s="1"/>
      <c r="C326" s="3"/>
    </row>
    <row r="327" spans="2:3" ht="15.75" customHeight="1">
      <c r="B327" s="1"/>
      <c r="C327" s="3"/>
    </row>
    <row r="328" spans="2:3" ht="15.75" customHeight="1">
      <c r="B328" s="1"/>
      <c r="C328" s="3"/>
    </row>
    <row r="329" spans="2:3" ht="15.75" customHeight="1">
      <c r="B329" s="1"/>
      <c r="C329" s="3"/>
    </row>
    <row r="330" spans="2:3" ht="15.75" customHeight="1">
      <c r="B330" s="1"/>
      <c r="C330" s="3"/>
    </row>
    <row r="331" spans="2:3" ht="15.75" customHeight="1">
      <c r="B331" s="1"/>
      <c r="C331" s="3"/>
    </row>
    <row r="332" spans="2:3" ht="15.75" customHeight="1">
      <c r="B332" s="1"/>
      <c r="C332" s="3"/>
    </row>
    <row r="333" spans="2:3" ht="15.75" customHeight="1">
      <c r="B333" s="1"/>
      <c r="C333" s="3"/>
    </row>
    <row r="334" spans="2:3" ht="15.75" customHeight="1">
      <c r="B334" s="1"/>
      <c r="C334" s="3"/>
    </row>
    <row r="335" spans="2:3" ht="15.75" customHeight="1">
      <c r="B335" s="1"/>
      <c r="C335" s="3"/>
    </row>
    <row r="336" spans="2:3" ht="15.75" customHeight="1">
      <c r="B336" s="1"/>
      <c r="C336" s="3"/>
    </row>
    <row r="337" spans="2:3" ht="15.75" customHeight="1">
      <c r="B337" s="1"/>
      <c r="C337" s="3"/>
    </row>
    <row r="338" spans="2:3" ht="15.75" customHeight="1">
      <c r="B338" s="1"/>
      <c r="C338" s="3"/>
    </row>
    <row r="339" spans="2:3" ht="15.75" customHeight="1">
      <c r="B339" s="1"/>
      <c r="C339" s="3"/>
    </row>
    <row r="340" spans="2:3" ht="15.75" customHeight="1">
      <c r="B340" s="1"/>
      <c r="C340" s="3"/>
    </row>
    <row r="341" spans="2:3" ht="15.75" customHeight="1">
      <c r="B341" s="1"/>
      <c r="C341" s="3"/>
    </row>
    <row r="342" spans="2:3" ht="15.75" customHeight="1">
      <c r="B342" s="1"/>
      <c r="C342" s="3"/>
    </row>
    <row r="343" spans="2:3" ht="15.75" customHeight="1">
      <c r="B343" s="1"/>
      <c r="C343" s="3"/>
    </row>
    <row r="344" spans="2:3" ht="15.75" customHeight="1">
      <c r="B344" s="1"/>
      <c r="C344" s="3"/>
    </row>
    <row r="345" spans="2:3" ht="15.75" customHeight="1">
      <c r="B345" s="1"/>
      <c r="C345" s="3"/>
    </row>
    <row r="346" spans="2:3" ht="15.75" customHeight="1">
      <c r="B346" s="1"/>
      <c r="C346" s="3"/>
    </row>
    <row r="347" spans="2:3" ht="15.75" customHeight="1">
      <c r="B347" s="1"/>
      <c r="C347" s="3"/>
    </row>
    <row r="348" spans="2:3" ht="15.75" customHeight="1">
      <c r="B348" s="1"/>
      <c r="C348" s="3"/>
    </row>
    <row r="349" spans="2:3" ht="15.75" customHeight="1">
      <c r="B349" s="1"/>
      <c r="C349" s="3"/>
    </row>
    <row r="350" spans="2:3" ht="15.75" customHeight="1">
      <c r="B350" s="1"/>
      <c r="C350" s="3"/>
    </row>
    <row r="351" spans="2:3" ht="15.75" customHeight="1">
      <c r="B351" s="1"/>
      <c r="C351" s="3"/>
    </row>
    <row r="352" spans="2:3" ht="15.75" customHeight="1">
      <c r="B352" s="1"/>
      <c r="C352" s="3"/>
    </row>
    <row r="353" spans="2:3" ht="15.75" customHeight="1">
      <c r="B353" s="1"/>
      <c r="C353" s="3"/>
    </row>
    <row r="354" spans="2:3" ht="15.75" customHeight="1">
      <c r="B354" s="1"/>
      <c r="C354" s="3"/>
    </row>
    <row r="355" spans="2:3" ht="15.75" customHeight="1">
      <c r="B355" s="1"/>
      <c r="C355" s="3"/>
    </row>
    <row r="356" spans="2:3" ht="15.75" customHeight="1">
      <c r="B356" s="1"/>
      <c r="C356" s="3"/>
    </row>
    <row r="357" spans="2:3" ht="15.75" customHeight="1">
      <c r="B357" s="1"/>
      <c r="C357" s="3"/>
    </row>
    <row r="358" spans="2:3" ht="15.75" customHeight="1">
      <c r="B358" s="1"/>
      <c r="C358" s="3"/>
    </row>
    <row r="359" spans="2:3" ht="15.75" customHeight="1">
      <c r="B359" s="1"/>
      <c r="C359" s="3"/>
    </row>
    <row r="360" spans="2:3" ht="15.75" customHeight="1">
      <c r="B360" s="1"/>
      <c r="C360" s="3"/>
    </row>
    <row r="361" spans="2:3" ht="15.75" customHeight="1">
      <c r="B361" s="1"/>
      <c r="C361" s="3"/>
    </row>
    <row r="362" spans="2:3" ht="15.75" customHeight="1">
      <c r="B362" s="1"/>
      <c r="C362" s="3"/>
    </row>
    <row r="363" spans="2:3" ht="15.75" customHeight="1">
      <c r="B363" s="1"/>
      <c r="C363" s="3"/>
    </row>
    <row r="364" spans="2:3" ht="15.75" customHeight="1">
      <c r="B364" s="1"/>
      <c r="C364" s="3"/>
    </row>
    <row r="365" spans="2:3" ht="15.75" customHeight="1">
      <c r="B365" s="1"/>
      <c r="C365" s="3"/>
    </row>
    <row r="366" spans="2:3" ht="15.75" customHeight="1">
      <c r="B366" s="1"/>
      <c r="C366" s="3"/>
    </row>
    <row r="367" spans="2:3" ht="15.75" customHeight="1">
      <c r="B367" s="1"/>
      <c r="C367" s="3"/>
    </row>
    <row r="368" spans="2:3" ht="15.75" customHeight="1">
      <c r="B368" s="1"/>
      <c r="C368" s="3"/>
    </row>
    <row r="369" spans="2:3" ht="15.75" customHeight="1">
      <c r="B369" s="1"/>
      <c r="C369" s="3"/>
    </row>
    <row r="370" spans="2:3" ht="15.75" customHeight="1">
      <c r="B370" s="1"/>
      <c r="C370" s="3"/>
    </row>
    <row r="371" spans="2:3" ht="15.75" customHeight="1">
      <c r="B371" s="1"/>
      <c r="C371" s="3"/>
    </row>
    <row r="372" spans="2:3" ht="15.75" customHeight="1">
      <c r="B372" s="1"/>
      <c r="C372" s="3"/>
    </row>
    <row r="373" spans="2:3" ht="15.75" customHeight="1">
      <c r="B373" s="1"/>
      <c r="C373" s="3"/>
    </row>
    <row r="374" spans="2:3" ht="15.75" customHeight="1">
      <c r="B374" s="1"/>
      <c r="C374" s="3"/>
    </row>
    <row r="375" spans="2:3" ht="15.75" customHeight="1">
      <c r="B375" s="1"/>
      <c r="C375" s="3"/>
    </row>
    <row r="376" spans="2:3" ht="15.75" customHeight="1">
      <c r="B376" s="1"/>
      <c r="C376" s="3"/>
    </row>
    <row r="377" spans="2:3" ht="15.75" customHeight="1">
      <c r="B377" s="1"/>
      <c r="C377" s="3"/>
    </row>
    <row r="378" spans="2:3" ht="15.75" customHeight="1">
      <c r="B378" s="1"/>
      <c r="C378" s="3"/>
    </row>
    <row r="379" spans="2:3" ht="15.75" customHeight="1">
      <c r="B379" s="1"/>
      <c r="C379" s="3"/>
    </row>
    <row r="380" spans="2:3" ht="15.75" customHeight="1">
      <c r="B380" s="1"/>
      <c r="C380" s="3"/>
    </row>
    <row r="381" spans="2:3" ht="15.75" customHeight="1">
      <c r="B381" s="1"/>
      <c r="C381" s="3"/>
    </row>
    <row r="382" spans="2:3" ht="15.75" customHeight="1">
      <c r="B382" s="1"/>
      <c r="C382" s="3"/>
    </row>
    <row r="383" spans="2:3" ht="15.75" customHeight="1">
      <c r="B383" s="1"/>
      <c r="C383" s="3"/>
    </row>
    <row r="384" spans="2:3" ht="15.75" customHeight="1">
      <c r="B384" s="1"/>
      <c r="C384" s="3"/>
    </row>
    <row r="385" spans="2:3" ht="15.75" customHeight="1">
      <c r="B385" s="1"/>
      <c r="C385" s="3"/>
    </row>
    <row r="386" spans="2:3" ht="15.75" customHeight="1">
      <c r="B386" s="1"/>
      <c r="C386" s="3"/>
    </row>
    <row r="387" spans="2:3" ht="15.75" customHeight="1">
      <c r="B387" s="1"/>
      <c r="C387" s="3"/>
    </row>
    <row r="388" spans="2:3" ht="15.75" customHeight="1">
      <c r="B388" s="1"/>
      <c r="C388" s="3"/>
    </row>
    <row r="389" spans="2:3" ht="15.75" customHeight="1">
      <c r="B389" s="1"/>
      <c r="C389" s="3"/>
    </row>
    <row r="390" spans="2:3" ht="15.75" customHeight="1">
      <c r="B390" s="1"/>
      <c r="C390" s="3"/>
    </row>
    <row r="391" spans="2:3" ht="15.75" customHeight="1">
      <c r="B391" s="1"/>
      <c r="C391" s="3"/>
    </row>
    <row r="392" spans="2:3" ht="15.75" customHeight="1">
      <c r="B392" s="1"/>
      <c r="C392" s="3"/>
    </row>
    <row r="393" spans="2:3" ht="15.75" customHeight="1">
      <c r="B393" s="1"/>
      <c r="C393" s="3"/>
    </row>
    <row r="394" spans="2:3" ht="15.75" customHeight="1">
      <c r="B394" s="1"/>
      <c r="C394" s="3"/>
    </row>
    <row r="395" spans="2:3" ht="15.75" customHeight="1">
      <c r="B395" s="1"/>
      <c r="C395" s="3"/>
    </row>
    <row r="396" spans="2:3" ht="15.75" customHeight="1">
      <c r="B396" s="1"/>
      <c r="C396" s="3"/>
    </row>
    <row r="397" spans="2:3" ht="15.75" customHeight="1">
      <c r="B397" s="1"/>
      <c r="C397" s="3"/>
    </row>
    <row r="398" spans="2:3" ht="15.75" customHeight="1">
      <c r="B398" s="1"/>
      <c r="C398" s="3"/>
    </row>
    <row r="399" spans="2:3" ht="15.75" customHeight="1">
      <c r="B399" s="1"/>
      <c r="C399" s="3"/>
    </row>
    <row r="400" spans="2:3" ht="15.75" customHeight="1">
      <c r="B400" s="1"/>
      <c r="C400" s="3"/>
    </row>
    <row r="401" spans="2:3" ht="15.75" customHeight="1">
      <c r="B401" s="1"/>
      <c r="C401" s="3"/>
    </row>
    <row r="402" spans="2:3" ht="15.75" customHeight="1">
      <c r="B402" s="1"/>
      <c r="C402" s="3"/>
    </row>
    <row r="403" spans="2:3" ht="15.75" customHeight="1">
      <c r="B403" s="1"/>
      <c r="C403" s="3"/>
    </row>
    <row r="404" spans="2:3" ht="15.75" customHeight="1">
      <c r="B404" s="1"/>
      <c r="C404" s="3"/>
    </row>
    <row r="405" spans="2:3" ht="15.75" customHeight="1">
      <c r="B405" s="1"/>
      <c r="C405" s="3"/>
    </row>
    <row r="406" spans="2:3" ht="15.75" customHeight="1">
      <c r="B406" s="1"/>
      <c r="C406" s="3"/>
    </row>
    <row r="407" spans="2:3" ht="15.75" customHeight="1">
      <c r="B407" s="1"/>
      <c r="C407" s="3"/>
    </row>
    <row r="408" spans="2:3" ht="15.75" customHeight="1">
      <c r="B408" s="1"/>
      <c r="C408" s="3"/>
    </row>
    <row r="409" spans="2:3" ht="15.75" customHeight="1">
      <c r="B409" s="1"/>
      <c r="C409" s="3"/>
    </row>
    <row r="410" spans="2:3" ht="15.75" customHeight="1">
      <c r="B410" s="1"/>
      <c r="C410" s="3"/>
    </row>
    <row r="411" spans="2:3" ht="15.75" customHeight="1">
      <c r="B411" s="1"/>
      <c r="C411" s="3"/>
    </row>
    <row r="412" spans="2:3" ht="15.75" customHeight="1">
      <c r="B412" s="1"/>
      <c r="C412" s="3"/>
    </row>
    <row r="413" spans="2:3" ht="15.75" customHeight="1">
      <c r="B413" s="1"/>
      <c r="C413" s="3"/>
    </row>
    <row r="414" spans="2:3" ht="15.75" customHeight="1">
      <c r="B414" s="1"/>
      <c r="C414" s="3"/>
    </row>
    <row r="415" spans="2:3" ht="15.75" customHeight="1">
      <c r="B415" s="1"/>
      <c r="C415" s="3"/>
    </row>
    <row r="416" spans="2:3" ht="15.75" customHeight="1">
      <c r="B416" s="1"/>
      <c r="C416" s="3"/>
    </row>
    <row r="417" spans="2:3" ht="15.75" customHeight="1">
      <c r="B417" s="1"/>
      <c r="C417" s="3"/>
    </row>
    <row r="418" spans="2:3" ht="15.75" customHeight="1">
      <c r="B418" s="1"/>
      <c r="C418" s="3"/>
    </row>
    <row r="419" spans="2:3" ht="15.75" customHeight="1">
      <c r="B419" s="1"/>
      <c r="C419" s="3"/>
    </row>
    <row r="420" spans="2:3" ht="15.75" customHeight="1">
      <c r="B420" s="1"/>
      <c r="C420" s="3"/>
    </row>
    <row r="421" spans="2:3" ht="15.75" customHeight="1">
      <c r="B421" s="1"/>
      <c r="C421" s="3"/>
    </row>
    <row r="422" spans="2:3" ht="15.75" customHeight="1">
      <c r="B422" s="1"/>
      <c r="C422" s="3"/>
    </row>
    <row r="423" spans="2:3" ht="15.75" customHeight="1">
      <c r="B423" s="1"/>
      <c r="C423" s="3"/>
    </row>
    <row r="424" spans="2:3" ht="15.75" customHeight="1">
      <c r="B424" s="1"/>
      <c r="C424" s="3"/>
    </row>
    <row r="425" spans="2:3" ht="15.75" customHeight="1">
      <c r="B425" s="1"/>
      <c r="C425" s="3"/>
    </row>
    <row r="426" spans="2:3" ht="15.75" customHeight="1">
      <c r="B426" s="1"/>
      <c r="C426" s="3"/>
    </row>
    <row r="427" spans="2:3" ht="15.75" customHeight="1">
      <c r="B427" s="1"/>
      <c r="C427" s="3"/>
    </row>
    <row r="428" spans="2:3" ht="15.75" customHeight="1">
      <c r="B428" s="1"/>
      <c r="C428" s="3"/>
    </row>
    <row r="429" spans="2:3" ht="15.75" customHeight="1">
      <c r="B429" s="1"/>
      <c r="C429" s="3"/>
    </row>
    <row r="430" spans="2:3" ht="15.75" customHeight="1">
      <c r="B430" s="1"/>
      <c r="C430" s="3"/>
    </row>
    <row r="431" spans="2:3" ht="15.75" customHeight="1">
      <c r="B431" s="1"/>
      <c r="C431" s="3"/>
    </row>
    <row r="432" spans="2:3" ht="15.75" customHeight="1">
      <c r="B432" s="1"/>
      <c r="C432" s="3"/>
    </row>
    <row r="433" spans="2:3" ht="15.75" customHeight="1">
      <c r="B433" s="1"/>
      <c r="C433" s="3"/>
    </row>
    <row r="434" spans="2:3" ht="15.75" customHeight="1">
      <c r="B434" s="1"/>
      <c r="C434" s="3"/>
    </row>
    <row r="435" spans="2:3" ht="15.75" customHeight="1">
      <c r="B435" s="1"/>
      <c r="C435" s="3"/>
    </row>
    <row r="436" spans="2:3" ht="15.75" customHeight="1">
      <c r="B436" s="1"/>
      <c r="C436" s="3"/>
    </row>
    <row r="437" spans="2:3" ht="15.75" customHeight="1">
      <c r="B437" s="1"/>
      <c r="C437" s="3"/>
    </row>
    <row r="438" spans="2:3" ht="15.75" customHeight="1">
      <c r="B438" s="1"/>
      <c r="C438" s="3"/>
    </row>
    <row r="439" spans="2:3" ht="15.75" customHeight="1">
      <c r="B439" s="1"/>
      <c r="C439" s="3"/>
    </row>
    <row r="440" spans="2:3" ht="15.75" customHeight="1">
      <c r="B440" s="1"/>
      <c r="C440" s="3"/>
    </row>
    <row r="441" spans="2:3" ht="15.75" customHeight="1">
      <c r="B441" s="1"/>
      <c r="C441" s="3"/>
    </row>
    <row r="442" spans="2:3" ht="15.75" customHeight="1">
      <c r="B442" s="1"/>
      <c r="C442" s="3"/>
    </row>
    <row r="443" spans="2:3" ht="15.75" customHeight="1">
      <c r="B443" s="1"/>
      <c r="C443" s="3"/>
    </row>
    <row r="444" spans="2:3" ht="15.75" customHeight="1">
      <c r="B444" s="1"/>
      <c r="C444" s="3"/>
    </row>
    <row r="445" spans="2:3" ht="15.75" customHeight="1">
      <c r="B445" s="1"/>
      <c r="C445" s="3"/>
    </row>
    <row r="446" spans="2:3" ht="15.75" customHeight="1">
      <c r="B446" s="1"/>
      <c r="C446" s="3"/>
    </row>
    <row r="447" spans="2:3" ht="15.75" customHeight="1">
      <c r="B447" s="1"/>
      <c r="C447" s="3"/>
    </row>
    <row r="448" spans="2:3" ht="15.75" customHeight="1">
      <c r="B448" s="1"/>
      <c r="C448" s="3"/>
    </row>
    <row r="449" spans="2:3" ht="15.75" customHeight="1">
      <c r="B449" s="1"/>
      <c r="C449" s="3"/>
    </row>
    <row r="450" spans="2:3" ht="15.75" customHeight="1">
      <c r="B450" s="1"/>
      <c r="C450" s="3"/>
    </row>
    <row r="451" spans="2:3" ht="15.75" customHeight="1">
      <c r="B451" s="1"/>
      <c r="C451" s="3"/>
    </row>
    <row r="452" spans="2:3" ht="15.75" customHeight="1">
      <c r="B452" s="1"/>
      <c r="C452" s="3"/>
    </row>
    <row r="453" spans="2:3" ht="15.75" customHeight="1">
      <c r="B453" s="1"/>
      <c r="C453" s="3"/>
    </row>
    <row r="454" spans="2:3" ht="15.75" customHeight="1">
      <c r="B454" s="1"/>
      <c r="C454" s="3"/>
    </row>
    <row r="455" spans="2:3" ht="15.75" customHeight="1">
      <c r="B455" s="1"/>
      <c r="C455" s="3"/>
    </row>
    <row r="456" spans="2:3" ht="15.75" customHeight="1">
      <c r="B456" s="1"/>
      <c r="C456" s="3"/>
    </row>
    <row r="457" spans="2:3" ht="15.75" customHeight="1">
      <c r="B457" s="1"/>
      <c r="C457" s="3"/>
    </row>
    <row r="458" spans="2:3" ht="15.75" customHeight="1">
      <c r="B458" s="1"/>
      <c r="C458" s="3"/>
    </row>
    <row r="459" spans="2:3" ht="15.75" customHeight="1">
      <c r="B459" s="1"/>
      <c r="C459" s="3"/>
    </row>
    <row r="460" spans="2:3" ht="15.75" customHeight="1">
      <c r="B460" s="1"/>
      <c r="C460" s="3"/>
    </row>
    <row r="461" spans="2:3" ht="15.75" customHeight="1">
      <c r="B461" s="1"/>
      <c r="C461" s="3"/>
    </row>
    <row r="462" spans="2:3" ht="15.75" customHeight="1">
      <c r="B462" s="1"/>
      <c r="C462" s="3"/>
    </row>
    <row r="463" spans="2:3" ht="15.75" customHeight="1">
      <c r="B463" s="1"/>
      <c r="C463" s="3"/>
    </row>
    <row r="464" spans="2:3" ht="15.75" customHeight="1">
      <c r="B464" s="1"/>
      <c r="C464" s="3"/>
    </row>
    <row r="465" spans="2:3" ht="15.75" customHeight="1">
      <c r="B465" s="1"/>
      <c r="C465" s="3"/>
    </row>
    <row r="466" spans="2:3" ht="15.75" customHeight="1">
      <c r="B466" s="1"/>
      <c r="C466" s="3"/>
    </row>
    <row r="467" spans="2:3" ht="15.75" customHeight="1">
      <c r="B467" s="1"/>
      <c r="C467" s="3"/>
    </row>
    <row r="468" spans="2:3" ht="15.75" customHeight="1">
      <c r="B468" s="1"/>
      <c r="C468" s="3"/>
    </row>
    <row r="469" spans="2:3" ht="15.75" customHeight="1">
      <c r="B469" s="1"/>
      <c r="C469" s="3"/>
    </row>
    <row r="470" spans="2:3" ht="15.75" customHeight="1">
      <c r="B470" s="1"/>
      <c r="C470" s="3"/>
    </row>
    <row r="471" spans="2:3" ht="15.75" customHeight="1">
      <c r="B471" s="1"/>
      <c r="C471" s="3"/>
    </row>
    <row r="472" spans="2:3" ht="15.75" customHeight="1">
      <c r="B472" s="1"/>
      <c r="C472" s="3"/>
    </row>
    <row r="473" spans="2:3" ht="15.75" customHeight="1">
      <c r="B473" s="1"/>
      <c r="C473" s="3"/>
    </row>
    <row r="474" spans="2:3" ht="15.75" customHeight="1">
      <c r="B474" s="1"/>
      <c r="C474" s="3"/>
    </row>
    <row r="475" spans="2:3" ht="15.75" customHeight="1">
      <c r="B475" s="1"/>
      <c r="C475" s="3"/>
    </row>
    <row r="476" spans="2:3" ht="15.75" customHeight="1">
      <c r="B476" s="1"/>
      <c r="C476" s="3"/>
    </row>
    <row r="477" spans="2:3" ht="15.75" customHeight="1">
      <c r="B477" s="1"/>
      <c r="C477" s="3"/>
    </row>
    <row r="478" spans="2:3" ht="15.75" customHeight="1">
      <c r="B478" s="1"/>
      <c r="C478" s="3"/>
    </row>
    <row r="479" spans="2:3" ht="15.75" customHeight="1">
      <c r="B479" s="1"/>
      <c r="C479" s="3"/>
    </row>
    <row r="480" spans="2:3" ht="15.75" customHeight="1">
      <c r="B480" s="1"/>
      <c r="C480" s="3"/>
    </row>
    <row r="481" spans="2:3" ht="15.75" customHeight="1">
      <c r="B481" s="1"/>
      <c r="C481" s="3"/>
    </row>
    <row r="482" spans="2:3" ht="15.75" customHeight="1">
      <c r="B482" s="1"/>
      <c r="C482" s="3"/>
    </row>
    <row r="483" spans="2:3" ht="15.75" customHeight="1">
      <c r="B483" s="1"/>
      <c r="C483" s="3"/>
    </row>
    <row r="484" spans="2:3" ht="15.75" customHeight="1">
      <c r="B484" s="1"/>
      <c r="C484" s="3"/>
    </row>
    <row r="485" spans="2:3" ht="15.75" customHeight="1">
      <c r="B485" s="1"/>
      <c r="C485" s="3"/>
    </row>
    <row r="486" spans="2:3" ht="15.75" customHeight="1">
      <c r="B486" s="1"/>
      <c r="C486" s="3"/>
    </row>
    <row r="487" spans="2:3" ht="15.75" customHeight="1">
      <c r="B487" s="1"/>
      <c r="C487" s="3"/>
    </row>
    <row r="488" spans="2:3" ht="15.75" customHeight="1">
      <c r="B488" s="1"/>
      <c r="C488" s="3"/>
    </row>
    <row r="489" spans="2:3" ht="15.75" customHeight="1">
      <c r="B489" s="1"/>
      <c r="C489" s="3"/>
    </row>
    <row r="490" spans="2:3" ht="15.75" customHeight="1">
      <c r="B490" s="1"/>
      <c r="C490" s="3"/>
    </row>
    <row r="491" spans="2:3" ht="15.75" customHeight="1">
      <c r="B491" s="1"/>
      <c r="C491" s="3"/>
    </row>
    <row r="492" spans="2:3" ht="15.75" customHeight="1">
      <c r="B492" s="1"/>
      <c r="C492" s="3"/>
    </row>
    <row r="493" spans="2:3" ht="15.75" customHeight="1">
      <c r="B493" s="1"/>
      <c r="C493" s="3"/>
    </row>
    <row r="494" spans="2:3" ht="15.75" customHeight="1">
      <c r="B494" s="1"/>
      <c r="C494" s="3"/>
    </row>
    <row r="495" spans="2:3" ht="15.75" customHeight="1">
      <c r="B495" s="1"/>
      <c r="C495" s="3"/>
    </row>
    <row r="496" spans="2:3" ht="15.75" customHeight="1">
      <c r="B496" s="1"/>
      <c r="C496" s="3"/>
    </row>
    <row r="497" spans="2:3" ht="15.75" customHeight="1">
      <c r="B497" s="1"/>
      <c r="C497" s="3"/>
    </row>
    <row r="498" spans="2:3" ht="15.75" customHeight="1">
      <c r="B498" s="1"/>
      <c r="C498" s="3"/>
    </row>
    <row r="499" spans="2:3" ht="15.75" customHeight="1">
      <c r="B499" s="1"/>
      <c r="C499" s="3"/>
    </row>
    <row r="500" spans="2:3" ht="15.75" customHeight="1">
      <c r="B500" s="1"/>
      <c r="C500" s="3"/>
    </row>
    <row r="501" spans="2:3" ht="15.75" customHeight="1">
      <c r="B501" s="1"/>
      <c r="C501" s="3"/>
    </row>
    <row r="502" spans="2:3" ht="15.75" customHeight="1">
      <c r="B502" s="1"/>
      <c r="C502" s="3"/>
    </row>
    <row r="503" spans="2:3" ht="15.75" customHeight="1">
      <c r="B503" s="1"/>
      <c r="C503" s="3"/>
    </row>
    <row r="504" spans="2:3" ht="15.75" customHeight="1">
      <c r="B504" s="1"/>
      <c r="C504" s="3"/>
    </row>
    <row r="505" spans="2:3" ht="15.75" customHeight="1">
      <c r="B505" s="1"/>
      <c r="C505" s="3"/>
    </row>
    <row r="506" spans="2:3" ht="15.75" customHeight="1">
      <c r="B506" s="1"/>
      <c r="C506" s="3"/>
    </row>
    <row r="507" spans="2:3" ht="15.75" customHeight="1">
      <c r="B507" s="1"/>
      <c r="C507" s="3"/>
    </row>
    <row r="508" spans="2:3" ht="15.75" customHeight="1">
      <c r="B508" s="1"/>
      <c r="C508" s="3"/>
    </row>
    <row r="509" spans="2:3" ht="15.75" customHeight="1">
      <c r="B509" s="1"/>
      <c r="C509" s="3"/>
    </row>
    <row r="510" spans="2:3" ht="15.75" customHeight="1">
      <c r="B510" s="1"/>
      <c r="C510" s="3"/>
    </row>
    <row r="511" spans="2:3" ht="15.75" customHeight="1">
      <c r="B511" s="1"/>
      <c r="C511" s="3"/>
    </row>
    <row r="512" spans="2:3" ht="15.75" customHeight="1">
      <c r="B512" s="1"/>
      <c r="C512" s="3"/>
    </row>
    <row r="513" spans="2:3" ht="15.75" customHeight="1">
      <c r="B513" s="1"/>
      <c r="C513" s="3"/>
    </row>
    <row r="514" spans="2:3" ht="15.75" customHeight="1">
      <c r="B514" s="1"/>
      <c r="C514" s="3"/>
    </row>
    <row r="515" spans="2:3" ht="15.75" customHeight="1">
      <c r="B515" s="1"/>
      <c r="C515" s="3"/>
    </row>
    <row r="516" spans="2:3" ht="15.75" customHeight="1">
      <c r="B516" s="1"/>
      <c r="C516" s="3"/>
    </row>
    <row r="517" spans="2:3" ht="15.75" customHeight="1">
      <c r="B517" s="1"/>
      <c r="C517" s="3"/>
    </row>
    <row r="518" spans="2:3" ht="15.75" customHeight="1">
      <c r="B518" s="1"/>
      <c r="C518" s="3"/>
    </row>
    <row r="519" spans="2:3" ht="15.75" customHeight="1">
      <c r="B519" s="1"/>
      <c r="C519" s="3"/>
    </row>
    <row r="520" spans="2:3" ht="15.75" customHeight="1">
      <c r="B520" s="1"/>
      <c r="C520" s="3"/>
    </row>
    <row r="521" spans="2:3" ht="15.75" customHeight="1">
      <c r="B521" s="1"/>
      <c r="C521" s="3"/>
    </row>
    <row r="522" spans="2:3" ht="15.75" customHeight="1">
      <c r="B522" s="1"/>
      <c r="C522" s="3"/>
    </row>
    <row r="523" spans="2:3" ht="15.75" customHeight="1">
      <c r="B523" s="1"/>
      <c r="C523" s="3"/>
    </row>
    <row r="524" spans="2:3" ht="15.75" customHeight="1">
      <c r="B524" s="1"/>
      <c r="C524" s="3"/>
    </row>
    <row r="525" spans="2:3" ht="15.75" customHeight="1">
      <c r="B525" s="1"/>
      <c r="C525" s="3"/>
    </row>
    <row r="526" spans="2:3" ht="15.75" customHeight="1">
      <c r="B526" s="1"/>
      <c r="C526" s="3"/>
    </row>
    <row r="527" spans="2:3" ht="15.75" customHeight="1">
      <c r="B527" s="1"/>
      <c r="C527" s="3"/>
    </row>
    <row r="528" spans="2:3" ht="15.75" customHeight="1">
      <c r="B528" s="1"/>
      <c r="C528" s="3"/>
    </row>
    <row r="529" spans="2:3" ht="15.75" customHeight="1">
      <c r="B529" s="1"/>
      <c r="C529" s="3"/>
    </row>
    <row r="530" spans="2:3" ht="15.75" customHeight="1">
      <c r="B530" s="1"/>
      <c r="C530" s="3"/>
    </row>
    <row r="531" spans="2:3" ht="15.75" customHeight="1">
      <c r="B531" s="1"/>
      <c r="C531" s="3"/>
    </row>
    <row r="532" spans="2:3" ht="15.75" customHeight="1">
      <c r="B532" s="1"/>
      <c r="C532" s="3"/>
    </row>
    <row r="533" spans="2:3" ht="15.75" customHeight="1">
      <c r="B533" s="1"/>
      <c r="C533" s="3"/>
    </row>
    <row r="534" spans="2:3" ht="15.75" customHeight="1">
      <c r="B534" s="1"/>
      <c r="C534" s="3"/>
    </row>
    <row r="535" spans="2:3" ht="15.75" customHeight="1">
      <c r="B535" s="1"/>
      <c r="C535" s="3"/>
    </row>
    <row r="536" spans="2:3" ht="15.75" customHeight="1">
      <c r="B536" s="1"/>
      <c r="C536" s="3"/>
    </row>
    <row r="537" spans="2:3" ht="15.75" customHeight="1">
      <c r="B537" s="1"/>
      <c r="C537" s="3"/>
    </row>
    <row r="538" spans="2:3" ht="15.75" customHeight="1">
      <c r="B538" s="1"/>
      <c r="C538" s="3"/>
    </row>
    <row r="539" spans="2:3" ht="15.75" customHeight="1">
      <c r="B539" s="1"/>
      <c r="C539" s="3"/>
    </row>
    <row r="540" spans="2:3" ht="15.75" customHeight="1">
      <c r="B540" s="1"/>
      <c r="C540" s="3"/>
    </row>
    <row r="541" spans="2:3" ht="15.75" customHeight="1">
      <c r="B541" s="1"/>
      <c r="C541" s="3"/>
    </row>
    <row r="542" spans="2:3" ht="15.75" customHeight="1">
      <c r="B542" s="1"/>
      <c r="C542" s="3"/>
    </row>
    <row r="543" spans="2:3" ht="15.75" customHeight="1">
      <c r="B543" s="1"/>
      <c r="C543" s="3"/>
    </row>
    <row r="544" spans="2:3" ht="15.75" customHeight="1">
      <c r="B544" s="1"/>
      <c r="C544" s="3"/>
    </row>
    <row r="545" spans="2:3" ht="15.75" customHeight="1">
      <c r="B545" s="1"/>
      <c r="C545" s="3"/>
    </row>
    <row r="546" spans="2:3" ht="15.75" customHeight="1">
      <c r="B546" s="1"/>
      <c r="C546" s="3"/>
    </row>
    <row r="547" spans="2:3" ht="15.75" customHeight="1">
      <c r="B547" s="1"/>
      <c r="C547" s="3"/>
    </row>
    <row r="548" spans="2:3" ht="15.75" customHeight="1">
      <c r="B548" s="1"/>
      <c r="C548" s="3"/>
    </row>
    <row r="549" spans="2:3" ht="15.75" customHeight="1">
      <c r="B549" s="1"/>
      <c r="C549" s="3"/>
    </row>
    <row r="550" spans="2:3" ht="15.75" customHeight="1">
      <c r="B550" s="1"/>
      <c r="C550" s="3"/>
    </row>
    <row r="551" spans="2:3" ht="15.75" customHeight="1">
      <c r="B551" s="1"/>
      <c r="C551" s="3"/>
    </row>
    <row r="552" spans="2:3" ht="15.75" customHeight="1">
      <c r="B552" s="1"/>
      <c r="C552" s="3"/>
    </row>
    <row r="553" spans="2:3" ht="15.75" customHeight="1">
      <c r="B553" s="1"/>
      <c r="C553" s="3"/>
    </row>
    <row r="554" spans="2:3" ht="15.75" customHeight="1">
      <c r="B554" s="1"/>
      <c r="C554" s="3"/>
    </row>
    <row r="555" spans="2:3" ht="15.75" customHeight="1">
      <c r="B555" s="1"/>
      <c r="C555" s="3"/>
    </row>
    <row r="556" spans="2:3" ht="15.75" customHeight="1">
      <c r="B556" s="1"/>
      <c r="C556" s="3"/>
    </row>
    <row r="557" spans="2:3" ht="15.75" customHeight="1">
      <c r="B557" s="1"/>
      <c r="C557" s="3"/>
    </row>
    <row r="558" spans="2:3" ht="15.75" customHeight="1">
      <c r="B558" s="1"/>
      <c r="C558" s="3"/>
    </row>
    <row r="559" spans="2:3" ht="15.75" customHeight="1">
      <c r="B559" s="1"/>
      <c r="C559" s="3"/>
    </row>
    <row r="560" spans="2:3" ht="15.75" customHeight="1">
      <c r="B560" s="1"/>
      <c r="C560" s="3"/>
    </row>
    <row r="561" spans="2:3" ht="15.75" customHeight="1">
      <c r="B561" s="1"/>
      <c r="C561" s="3"/>
    </row>
    <row r="562" spans="2:3" ht="15.75" customHeight="1">
      <c r="B562" s="1"/>
      <c r="C562" s="3"/>
    </row>
    <row r="563" spans="2:3" ht="15.75" customHeight="1"/>
    <row r="564" spans="2:3" ht="15.75" customHeight="1"/>
    <row r="565" spans="2:3" ht="15.75" customHeight="1"/>
    <row r="566" spans="2:3" ht="15.75" customHeight="1"/>
    <row r="567" spans="2:3" ht="15.75" customHeight="1"/>
    <row r="568" spans="2:3" ht="15.75" customHeight="1"/>
    <row r="569" spans="2:3" ht="15.75" customHeight="1"/>
    <row r="570" spans="2:3" ht="15.75" customHeight="1"/>
    <row r="571" spans="2:3" ht="15.75" customHeight="1"/>
    <row r="572" spans="2:3" ht="15.75" customHeight="1"/>
    <row r="573" spans="2:3" ht="15.75" customHeight="1"/>
    <row r="574" spans="2:3" ht="15.75" customHeight="1"/>
    <row r="575" spans="2:3" ht="15.75" customHeight="1"/>
    <row r="576" spans="2:3"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sheetData>
  <autoFilter ref="F5:K13" xr:uid="{B3C5359B-7F3F-4697-A56E-9FC8C8671C5E}"/>
  <mergeCells count="19">
    <mergeCell ref="B6:B12"/>
    <mergeCell ref="AC3:AE3"/>
    <mergeCell ref="AF3:AH3"/>
    <mergeCell ref="AI3:AK3"/>
    <mergeCell ref="N3:P3"/>
    <mergeCell ref="F4:K4"/>
    <mergeCell ref="AL3:AN3"/>
    <mergeCell ref="AO3:AS3"/>
    <mergeCell ref="AT3:AT5"/>
    <mergeCell ref="B2:B5"/>
    <mergeCell ref="C2:C5"/>
    <mergeCell ref="D2:D5"/>
    <mergeCell ref="E2:E5"/>
    <mergeCell ref="F3:M3"/>
    <mergeCell ref="Q3:S3"/>
    <mergeCell ref="T3:V3"/>
    <mergeCell ref="W3:Y3"/>
    <mergeCell ref="Z3:AB3"/>
    <mergeCell ref="F2:AS2"/>
  </mergeCells>
  <dataValidations disablePrompts="1" count="1">
    <dataValidation allowBlank="1" showDropDown="1" sqref="C6:C7" xr:uid="{F6561CC4-35B0-44FA-A096-283E1F9ADF79}"/>
  </dataValidations>
  <hyperlinks>
    <hyperlink ref="F10" r:id="rId1" display="COTIZACIONES\FEV8352.pdf" xr:uid="{630F3ECA-F936-4E89-9769-535AC06E073F}"/>
    <hyperlink ref="H10" r:id="rId2" display="COTIZACIONES\FE2456.pdf" xr:uid="{1C8B7577-FA43-45A6-96C0-C045221C6EBB}"/>
    <hyperlink ref="F12" r:id="rId3" display="../../../../../../../:b:/g/personal/42828314_medellin_gov_co/EQINdLJ1uLdBp15_4EeAC_4BbfsnWzvcj86lwWYTHgeJIg?e=ssCTHh" xr:uid="{09A0CF2C-C9A3-4DE3-87D9-2C436FAEC25C}"/>
    <hyperlink ref="F11" r:id="rId4" display="COTIZACIONES\LCDS762.pdf" xr:uid="{D7208D43-0CD2-432D-9AAD-9A3B7DA33AC5}"/>
    <hyperlink ref="H12" r:id="rId5" display="COTIZACIONES\FEV-1008982.pdf" xr:uid="{41FF5B78-3EBB-4486-957F-3FDA3C732712}"/>
    <hyperlink ref="J10" r:id="rId6" display="../../../../../../../:b:/g/personal/42828314_medellin_gov_co/EQuEAcqGXHRPmp5-37-t6BwBUTcY0nXF0ZHmPB9bzKRf1Q?e=fOK3ri" xr:uid="{CD8BEB85-D14B-4682-BA94-9E2DD0446F3B}"/>
    <hyperlink ref="J12" r:id="rId7" display="COTIZACIONES\MEMY7016.pdf" xr:uid="{E05DD3CB-2E2E-49A0-87D4-148ADCBE929D}"/>
    <hyperlink ref="H7" r:id="rId8" display="COTIZACIONES\4 BUEN COMIENZO LOYOLA.pdf" xr:uid="{884C96D8-80EE-4254-8BE9-61D5AAB5AB40}"/>
    <hyperlink ref="F8" r:id="rId9" display="=70000/1,19" xr:uid="{48548213-22DE-446D-977E-75288490D437}"/>
    <hyperlink ref="F9" r:id="rId10" display="=379000/1,19" xr:uid="{ECD212E5-5CB1-4E1A-B621-77767EC05734}"/>
    <hyperlink ref="F7" r:id="rId11" display="=762000/1,19" xr:uid="{D73CAF7A-452D-4AF1-BF10-3DD56FB3A66F}"/>
    <hyperlink ref="F6" r:id="rId12" display="../../../../../../../:b:/g/personal/42828314_medellin_gov_co/EZ6k9KAtasREqApgdm0ncUYBZX0KOT3RqF3-zraWRq8XDA?e=Nvky1H" xr:uid="{ED622769-770F-4442-A6DA-F3DD9A9B031E}"/>
    <hyperlink ref="J6" r:id="rId13" display="=660550/1,19" xr:uid="{FF6F175E-C508-468A-88A8-DFDF9741A343}"/>
    <hyperlink ref="H8" r:id="rId14" display="=59900/1,19" xr:uid="{D8F57EF2-F8B6-424B-9DA5-E84CAAC3A73F}"/>
    <hyperlink ref="J8" r:id="rId15" display="=135000/1,19" xr:uid="{97E255C2-7AD0-4279-9B39-219CC7037997}"/>
    <hyperlink ref="H9" r:id="rId16" display="=429900/1,19" xr:uid="{C6748EEF-74DF-4839-8C01-237B507B6174}"/>
    <hyperlink ref="J9" r:id="rId17" display="=276913/1,19" xr:uid="{1728A8CA-7F6C-4D02-AF4F-7ED71C8AC61A}"/>
    <hyperlink ref="H11" r:id="rId18" display="=1500000/1,19" xr:uid="{35953669-A3DC-4253-9A39-37D1D4F0C461}"/>
    <hyperlink ref="J11" r:id="rId19" display="=1890000/1,19" xr:uid="{18C6D869-4107-486E-AF9F-E672109E56E4}"/>
    <hyperlink ref="J7" r:id="rId20" display="COTIZACIONES\4 BUEN COMIENZO LOYOLA.pdf" xr:uid="{61E41298-A447-444B-BDEA-E5BBDCCB462C}"/>
    <hyperlink ref="H6" r:id="rId21" display="=623900/1,19" xr:uid="{476BAE2E-7780-4E48-B733-4F141BADDA76}"/>
  </hyperlinks>
  <pageMargins left="0.7" right="0.7" top="0.75" bottom="0.75" header="0" footer="0"/>
  <pageSetup scale="10" orientation="landscape" r:id="rId2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DBD8F-1102-4F3F-A64F-D5603F4ABA80}">
  <dimension ref="B1:BA645"/>
  <sheetViews>
    <sheetView topLeftCell="AJ9" zoomScale="87" zoomScaleNormal="87" workbookViewId="0">
      <selection activeCell="AS11" sqref="AS11"/>
    </sheetView>
  </sheetViews>
  <sheetFormatPr defaultColWidth="14.42578125" defaultRowHeight="15" customHeight="1"/>
  <cols>
    <col min="1" max="1" width="3.28515625" customWidth="1"/>
    <col min="2" max="2" width="17.5703125" customWidth="1"/>
    <col min="3" max="3" width="21.7109375" style="4" customWidth="1"/>
    <col min="4" max="4" width="51.28515625" customWidth="1"/>
    <col min="5" max="5" width="10.7109375" customWidth="1"/>
    <col min="6" max="12" width="17.7109375" style="40" customWidth="1"/>
    <col min="13" max="13" width="18.7109375" style="22" customWidth="1"/>
    <col min="14" max="14" width="14.28515625" style="4" customWidth="1"/>
    <col min="15" max="16" width="18.7109375" style="22" customWidth="1"/>
    <col min="17" max="17" width="14.28515625" style="4" customWidth="1"/>
    <col min="18" max="19" width="18.7109375" style="22" customWidth="1"/>
    <col min="20" max="20" width="14.28515625" style="4" customWidth="1"/>
    <col min="21" max="22" width="18.7109375" style="22" customWidth="1"/>
    <col min="23" max="23" width="14.28515625" style="4" customWidth="1"/>
    <col min="24" max="25" width="18.7109375" style="22" customWidth="1"/>
    <col min="26" max="26" width="14.28515625" style="4" customWidth="1"/>
    <col min="27" max="28" width="18.7109375" style="22" customWidth="1"/>
    <col min="29" max="29" width="14.28515625" style="4" customWidth="1"/>
    <col min="30" max="31" width="18.7109375" style="22" customWidth="1"/>
    <col min="32" max="32" width="14.28515625" style="4" customWidth="1"/>
    <col min="33" max="34" width="18.7109375" style="22" customWidth="1"/>
    <col min="35" max="35" width="14.28515625" style="4" customWidth="1"/>
    <col min="36" max="37" width="18.7109375" style="22" customWidth="1"/>
    <col min="38" max="38" width="14.28515625" style="4" customWidth="1"/>
    <col min="39" max="40" width="18.7109375" style="22" customWidth="1"/>
    <col min="41" max="41" width="14.28515625" style="4" customWidth="1"/>
    <col min="42" max="42" width="17.5703125" style="4" customWidth="1"/>
    <col min="43" max="43" width="21.85546875" style="4" customWidth="1"/>
    <col min="44" max="44" width="18.7109375" style="22" customWidth="1"/>
    <col min="45" max="45" width="23.7109375" style="22" customWidth="1"/>
    <col min="46" max="46" width="29.140625" style="4" customWidth="1"/>
    <col min="47" max="47" width="25" customWidth="1"/>
  </cols>
  <sheetData>
    <row r="1" spans="2:53" ht="15" customHeight="1" thickBot="1"/>
    <row r="2" spans="2:53" ht="30" customHeight="1" thickBot="1">
      <c r="B2" s="217" t="s">
        <v>0</v>
      </c>
      <c r="C2" s="219" t="s">
        <v>1</v>
      </c>
      <c r="D2" s="221" t="s">
        <v>2</v>
      </c>
      <c r="E2" s="223" t="s">
        <v>3</v>
      </c>
      <c r="F2" s="233" t="s">
        <v>4</v>
      </c>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5"/>
      <c r="AO2" s="225"/>
      <c r="AP2" s="225"/>
      <c r="AQ2" s="225"/>
      <c r="AR2" s="225"/>
      <c r="AS2" s="225"/>
      <c r="AT2" s="226"/>
    </row>
    <row r="3" spans="2:53" ht="30" customHeight="1">
      <c r="B3" s="218"/>
      <c r="C3" s="220"/>
      <c r="D3" s="222"/>
      <c r="E3" s="224"/>
      <c r="F3" s="202" t="s">
        <v>5</v>
      </c>
      <c r="G3" s="203"/>
      <c r="H3" s="203"/>
      <c r="I3" s="203"/>
      <c r="J3" s="203"/>
      <c r="K3" s="203"/>
      <c r="L3" s="203"/>
      <c r="M3" s="204"/>
      <c r="N3" s="202" t="s">
        <v>6</v>
      </c>
      <c r="O3" s="203"/>
      <c r="P3" s="204"/>
      <c r="Q3" s="227" t="s">
        <v>7</v>
      </c>
      <c r="R3" s="228"/>
      <c r="S3" s="229"/>
      <c r="T3" s="227" t="s">
        <v>8</v>
      </c>
      <c r="U3" s="228"/>
      <c r="V3" s="229"/>
      <c r="W3" s="227" t="s">
        <v>9</v>
      </c>
      <c r="X3" s="228"/>
      <c r="Y3" s="229"/>
      <c r="Z3" s="202" t="s">
        <v>10</v>
      </c>
      <c r="AA3" s="203"/>
      <c r="AB3" s="204"/>
      <c r="AC3" s="202" t="s">
        <v>11</v>
      </c>
      <c r="AD3" s="203"/>
      <c r="AE3" s="204"/>
      <c r="AF3" s="202" t="s">
        <v>12</v>
      </c>
      <c r="AG3" s="203"/>
      <c r="AH3" s="204"/>
      <c r="AI3" s="202" t="s">
        <v>13</v>
      </c>
      <c r="AJ3" s="203"/>
      <c r="AK3" s="204"/>
      <c r="AL3" s="211" t="s">
        <v>14</v>
      </c>
      <c r="AM3" s="212"/>
      <c r="AN3" s="213"/>
      <c r="AO3" s="211" t="s">
        <v>15</v>
      </c>
      <c r="AP3" s="212"/>
      <c r="AQ3" s="212"/>
      <c r="AR3" s="212"/>
      <c r="AS3" s="213"/>
      <c r="AT3" s="214" t="s">
        <v>16</v>
      </c>
    </row>
    <row r="4" spans="2:53" ht="30" customHeight="1">
      <c r="B4" s="218"/>
      <c r="C4" s="220"/>
      <c r="D4" s="222"/>
      <c r="E4" s="224"/>
      <c r="F4" s="208" t="s">
        <v>17</v>
      </c>
      <c r="G4" s="209"/>
      <c r="H4" s="209"/>
      <c r="I4" s="209"/>
      <c r="J4" s="209"/>
      <c r="K4" s="210"/>
      <c r="L4" s="80" t="s">
        <v>18</v>
      </c>
      <c r="M4" s="28" t="s">
        <v>18</v>
      </c>
      <c r="N4" s="12" t="s">
        <v>19</v>
      </c>
      <c r="O4" s="23" t="s">
        <v>18</v>
      </c>
      <c r="P4" s="28" t="s">
        <v>20</v>
      </c>
      <c r="Q4" s="12" t="s">
        <v>19</v>
      </c>
      <c r="R4" s="23" t="s">
        <v>18</v>
      </c>
      <c r="S4" s="28" t="s">
        <v>20</v>
      </c>
      <c r="T4" s="12" t="s">
        <v>19</v>
      </c>
      <c r="U4" s="23" t="s">
        <v>18</v>
      </c>
      <c r="V4" s="28" t="s">
        <v>20</v>
      </c>
      <c r="W4" s="12" t="s">
        <v>19</v>
      </c>
      <c r="X4" s="23" t="s">
        <v>18</v>
      </c>
      <c r="Y4" s="28" t="s">
        <v>20</v>
      </c>
      <c r="Z4" s="12" t="s">
        <v>19</v>
      </c>
      <c r="AA4" s="23" t="s">
        <v>18</v>
      </c>
      <c r="AB4" s="28" t="s">
        <v>20</v>
      </c>
      <c r="AC4" s="12" t="s">
        <v>21</v>
      </c>
      <c r="AD4" s="23" t="s">
        <v>18</v>
      </c>
      <c r="AE4" s="28" t="s">
        <v>20</v>
      </c>
      <c r="AF4" s="12" t="s">
        <v>21</v>
      </c>
      <c r="AG4" s="23" t="s">
        <v>18</v>
      </c>
      <c r="AH4" s="28" t="s">
        <v>20</v>
      </c>
      <c r="AI4" s="12" t="s">
        <v>21</v>
      </c>
      <c r="AJ4" s="23" t="s">
        <v>18</v>
      </c>
      <c r="AK4" s="28" t="s">
        <v>20</v>
      </c>
      <c r="AL4" s="12" t="s">
        <v>21</v>
      </c>
      <c r="AM4" s="23" t="s">
        <v>18</v>
      </c>
      <c r="AN4" s="28" t="s">
        <v>20</v>
      </c>
      <c r="AO4" s="12" t="s">
        <v>21</v>
      </c>
      <c r="AP4" s="23" t="s">
        <v>22</v>
      </c>
      <c r="AQ4" s="80" t="s">
        <v>23</v>
      </c>
      <c r="AR4" s="23" t="s">
        <v>18</v>
      </c>
      <c r="AS4" s="28" t="s">
        <v>20</v>
      </c>
      <c r="AT4" s="215"/>
    </row>
    <row r="5" spans="2:53" ht="30" customHeight="1">
      <c r="B5" s="236"/>
      <c r="C5" s="237"/>
      <c r="D5" s="238"/>
      <c r="E5" s="239"/>
      <c r="F5" s="85" t="s">
        <v>26</v>
      </c>
      <c r="G5" s="63" t="s">
        <v>27</v>
      </c>
      <c r="H5" s="63" t="s">
        <v>28</v>
      </c>
      <c r="I5" s="63" t="s">
        <v>27</v>
      </c>
      <c r="J5" s="63" t="s">
        <v>29</v>
      </c>
      <c r="K5" s="63" t="s">
        <v>27</v>
      </c>
      <c r="L5" s="86" t="s">
        <v>30</v>
      </c>
      <c r="M5" s="66" t="s">
        <v>32</v>
      </c>
      <c r="N5" s="65">
        <v>50</v>
      </c>
      <c r="O5" s="64" t="s">
        <v>32</v>
      </c>
      <c r="P5" s="66"/>
      <c r="Q5" s="65">
        <v>50</v>
      </c>
      <c r="R5" s="64" t="s">
        <v>32</v>
      </c>
      <c r="S5" s="66"/>
      <c r="T5" s="68" t="s">
        <v>33</v>
      </c>
      <c r="U5" s="64" t="s">
        <v>32</v>
      </c>
      <c r="V5" s="66"/>
      <c r="W5" s="68" t="s">
        <v>33</v>
      </c>
      <c r="X5" s="64" t="s">
        <v>32</v>
      </c>
      <c r="Y5" s="66"/>
      <c r="Z5" s="68" t="s">
        <v>33</v>
      </c>
      <c r="AA5" s="64" t="s">
        <v>32</v>
      </c>
      <c r="AB5" s="66"/>
      <c r="AC5" s="68" t="s">
        <v>34</v>
      </c>
      <c r="AD5" s="64" t="s">
        <v>32</v>
      </c>
      <c r="AE5" s="66"/>
      <c r="AF5" s="157" t="s">
        <v>34</v>
      </c>
      <c r="AG5" s="64" t="s">
        <v>32</v>
      </c>
      <c r="AH5" s="66"/>
      <c r="AI5" s="157" t="s">
        <v>34</v>
      </c>
      <c r="AJ5" s="64" t="s">
        <v>32</v>
      </c>
      <c r="AK5" s="66"/>
      <c r="AL5" s="68" t="s">
        <v>35</v>
      </c>
      <c r="AM5" s="64" t="s">
        <v>32</v>
      </c>
      <c r="AN5" s="66"/>
      <c r="AO5" s="68"/>
      <c r="AP5" s="67"/>
      <c r="AQ5" s="67"/>
      <c r="AR5" s="64" t="s">
        <v>32</v>
      </c>
      <c r="AS5" s="66"/>
      <c r="AT5" s="216"/>
    </row>
    <row r="6" spans="2:53" ht="121.5" customHeight="1">
      <c r="B6" s="234"/>
      <c r="C6" s="147" t="s">
        <v>190</v>
      </c>
      <c r="D6" s="146" t="s">
        <v>191</v>
      </c>
      <c r="E6" s="148" t="s">
        <v>39</v>
      </c>
      <c r="F6" s="156">
        <f>2860000/1.19</f>
        <v>2403361.3445378151</v>
      </c>
      <c r="G6" s="41">
        <f t="shared" ref="G6:G15" si="0">F6*1.19</f>
        <v>2860000</v>
      </c>
      <c r="H6" s="116">
        <f>2750000/1.19</f>
        <v>2310924.3697478995</v>
      </c>
      <c r="I6" s="41">
        <f t="shared" ref="I6:I15" si="1">H6*1.19</f>
        <v>2750000.0000000005</v>
      </c>
      <c r="J6" s="153">
        <f>2944550/1.19</f>
        <v>2474411.7647058824</v>
      </c>
      <c r="K6" s="41">
        <f t="shared" ref="K6:K15" si="2">J6*1.19</f>
        <v>2944550</v>
      </c>
      <c r="L6" s="89">
        <f>AVERAGE(F6,H6,J6)</f>
        <v>2396232.4929971988</v>
      </c>
      <c r="M6" s="90">
        <f>AVERAGE(G6,I6,K6)</f>
        <v>2851516.6666666665</v>
      </c>
      <c r="N6" s="14">
        <v>1</v>
      </c>
      <c r="O6" s="26">
        <f t="shared" ref="O6:O15" si="3">$M6</f>
        <v>2851516.6666666665</v>
      </c>
      <c r="P6" s="37">
        <f t="shared" ref="P6:P10" si="4">N6*O6</f>
        <v>2851516.6666666665</v>
      </c>
      <c r="Q6" s="14">
        <v>0</v>
      </c>
      <c r="R6" s="26">
        <f t="shared" ref="R6:R9" si="5">$M6</f>
        <v>2851516.6666666665</v>
      </c>
      <c r="S6" s="37">
        <f t="shared" ref="S6:S10" si="6">Q6*R6</f>
        <v>0</v>
      </c>
      <c r="T6" s="14">
        <v>0</v>
      </c>
      <c r="U6" s="26">
        <f t="shared" ref="U6:U15" si="7">$M6</f>
        <v>2851516.6666666665</v>
      </c>
      <c r="V6" s="37">
        <f t="shared" ref="V6:V10" si="8">T6*U6</f>
        <v>0</v>
      </c>
      <c r="W6" s="14">
        <v>0</v>
      </c>
      <c r="X6" s="26">
        <f t="shared" ref="X6:X15" si="9">$M6</f>
        <v>2851516.6666666665</v>
      </c>
      <c r="Y6" s="37">
        <f t="shared" ref="Y6:Y10" si="10">W6*X6</f>
        <v>0</v>
      </c>
      <c r="Z6" s="14">
        <v>1</v>
      </c>
      <c r="AA6" s="26">
        <f t="shared" ref="AA6:AA15" si="11">$M6</f>
        <v>2851516.6666666665</v>
      </c>
      <c r="AB6" s="37">
        <f t="shared" ref="AB6:AB10" si="12">Z6*AA6</f>
        <v>2851516.6666666665</v>
      </c>
      <c r="AC6" s="14">
        <v>1</v>
      </c>
      <c r="AD6" s="26" t="s">
        <v>192</v>
      </c>
      <c r="AE6" s="37" t="e">
        <f t="shared" ref="AE6:AE10" si="13">AC6*AD6</f>
        <v>#VALUE!</v>
      </c>
      <c r="AF6" s="14">
        <v>1</v>
      </c>
      <c r="AG6" s="26">
        <f t="shared" ref="AG6:AG15" si="14">$M6</f>
        <v>2851516.6666666665</v>
      </c>
      <c r="AH6" s="37">
        <f t="shared" ref="AH6:AH10" si="15">AF6*AG6</f>
        <v>2851516.6666666665</v>
      </c>
      <c r="AI6" s="14">
        <v>1</v>
      </c>
      <c r="AJ6" s="26">
        <f t="shared" ref="AJ6:AJ15" si="16">$M6</f>
        <v>2851516.6666666665</v>
      </c>
      <c r="AK6" s="37">
        <f t="shared" ref="AK6:AK10" si="17">AI6*AJ6</f>
        <v>2851516.6666666665</v>
      </c>
      <c r="AL6" s="14">
        <v>0</v>
      </c>
      <c r="AM6" s="26">
        <f t="shared" ref="AM6:AM15" si="18">$M6</f>
        <v>2851516.6666666665</v>
      </c>
      <c r="AN6" s="37">
        <f t="shared" ref="AN6:AN10" si="19">AL6*AM6</f>
        <v>0</v>
      </c>
      <c r="AO6" s="13">
        <f t="shared" ref="AO6:AO15" si="20">N6+$Q6+$T6+$W6+$Z6+$AC6+$AF6+$AI6+$AL6</f>
        <v>5</v>
      </c>
      <c r="AP6" s="77">
        <f t="shared" ref="AP6:AP17" si="21">$L6</f>
        <v>2396232.4929971988</v>
      </c>
      <c r="AQ6" s="77">
        <f>AO6*AP6</f>
        <v>11981162.464985995</v>
      </c>
      <c r="AR6" s="26">
        <f t="shared" ref="AR6:AR15" si="22">$M6</f>
        <v>2851516.6666666665</v>
      </c>
      <c r="AS6" s="37">
        <f t="shared" ref="AS6:AS15" si="23">AO6*AR6</f>
        <v>14257583.333333332</v>
      </c>
      <c r="AT6" s="69" t="e" vm="74">
        <v>#VALUE!</v>
      </c>
      <c r="AU6" s="83"/>
      <c r="AV6" s="83"/>
      <c r="AW6" s="112"/>
      <c r="AX6" s="113"/>
      <c r="AY6" s="113"/>
    </row>
    <row r="7" spans="2:53" ht="121.5" customHeight="1">
      <c r="B7" s="234"/>
      <c r="C7" s="9" t="s">
        <v>193</v>
      </c>
      <c r="D7" s="169" t="s">
        <v>194</v>
      </c>
      <c r="E7" s="99" t="s">
        <v>39</v>
      </c>
      <c r="F7" s="172">
        <v>50165</v>
      </c>
      <c r="G7" s="159">
        <f t="shared" si="0"/>
        <v>59696.35</v>
      </c>
      <c r="H7" s="154">
        <v>45700</v>
      </c>
      <c r="I7" s="160">
        <f t="shared" si="1"/>
        <v>54383</v>
      </c>
      <c r="J7" s="153">
        <f>35900/1.19</f>
        <v>30168.067226890758</v>
      </c>
      <c r="K7" s="159">
        <f t="shared" si="2"/>
        <v>35900</v>
      </c>
      <c r="L7" s="89">
        <f t="shared" ref="L7:L15" si="24">AVERAGE(F7,H7,J7)</f>
        <v>42011.022408963589</v>
      </c>
      <c r="M7" s="90">
        <f t="shared" ref="M7:M15" si="25">AVERAGE(G7,I7,K7)</f>
        <v>49993.116666666669</v>
      </c>
      <c r="N7" s="100">
        <v>2</v>
      </c>
      <c r="O7" s="26">
        <f t="shared" si="3"/>
        <v>49993.116666666669</v>
      </c>
      <c r="P7" s="37">
        <f t="shared" si="4"/>
        <v>99986.233333333337</v>
      </c>
      <c r="Q7" s="100">
        <v>0</v>
      </c>
      <c r="R7" s="26">
        <f t="shared" si="5"/>
        <v>49993.116666666669</v>
      </c>
      <c r="S7" s="37">
        <f t="shared" si="6"/>
        <v>0</v>
      </c>
      <c r="T7" s="14">
        <v>0</v>
      </c>
      <c r="U7" s="26">
        <f t="shared" si="7"/>
        <v>49993.116666666669</v>
      </c>
      <c r="V7" s="37">
        <f t="shared" si="8"/>
        <v>0</v>
      </c>
      <c r="W7" s="14">
        <v>0</v>
      </c>
      <c r="X7" s="26">
        <f t="shared" si="9"/>
        <v>49993.116666666669</v>
      </c>
      <c r="Y7" s="37">
        <f t="shared" si="10"/>
        <v>0</v>
      </c>
      <c r="Z7" s="100">
        <v>2</v>
      </c>
      <c r="AA7" s="26">
        <f t="shared" si="11"/>
        <v>49993.116666666669</v>
      </c>
      <c r="AB7" s="37">
        <f t="shared" si="12"/>
        <v>99986.233333333337</v>
      </c>
      <c r="AC7" s="100">
        <v>2</v>
      </c>
      <c r="AD7" s="26">
        <f t="shared" ref="AD7:AD15" si="26">$M7</f>
        <v>49993.116666666669</v>
      </c>
      <c r="AE7" s="37">
        <f t="shared" si="13"/>
        <v>99986.233333333337</v>
      </c>
      <c r="AF7" s="100">
        <v>2</v>
      </c>
      <c r="AG7" s="26">
        <f t="shared" si="14"/>
        <v>49993.116666666669</v>
      </c>
      <c r="AH7" s="37">
        <f t="shared" si="15"/>
        <v>99986.233333333337</v>
      </c>
      <c r="AI7" s="100">
        <v>2</v>
      </c>
      <c r="AJ7" s="26">
        <f t="shared" si="16"/>
        <v>49993.116666666669</v>
      </c>
      <c r="AK7" s="37">
        <f t="shared" si="17"/>
        <v>99986.233333333337</v>
      </c>
      <c r="AL7" s="100">
        <v>0</v>
      </c>
      <c r="AM7" s="26">
        <f t="shared" si="18"/>
        <v>49993.116666666669</v>
      </c>
      <c r="AN7" s="37">
        <f t="shared" si="19"/>
        <v>0</v>
      </c>
      <c r="AO7" s="13">
        <f t="shared" si="20"/>
        <v>10</v>
      </c>
      <c r="AP7" s="77">
        <f t="shared" si="21"/>
        <v>42011.022408963589</v>
      </c>
      <c r="AQ7" s="77">
        <f>AO7*AP7</f>
        <v>420110.22408963589</v>
      </c>
      <c r="AR7" s="26">
        <f t="shared" si="22"/>
        <v>49993.116666666669</v>
      </c>
      <c r="AS7" s="37">
        <f t="shared" si="23"/>
        <v>499931.16666666669</v>
      </c>
      <c r="AT7" s="70" t="e" vm="75">
        <v>#VALUE!</v>
      </c>
      <c r="AU7" s="83"/>
      <c r="AV7" s="83"/>
      <c r="AW7" s="112"/>
      <c r="AX7" s="113"/>
      <c r="AY7" s="113"/>
    </row>
    <row r="8" spans="2:53" ht="121.5" customHeight="1">
      <c r="B8" s="234"/>
      <c r="C8" s="136" t="s">
        <v>195</v>
      </c>
      <c r="D8" s="10" t="s">
        <v>196</v>
      </c>
      <c r="E8" s="99" t="s">
        <v>39</v>
      </c>
      <c r="F8" s="161">
        <f>475000/1.19</f>
        <v>399159.66386554623</v>
      </c>
      <c r="G8" s="159">
        <f t="shared" si="0"/>
        <v>475000</v>
      </c>
      <c r="H8" s="154">
        <v>315000</v>
      </c>
      <c r="I8" s="160">
        <f t="shared" si="1"/>
        <v>374850</v>
      </c>
      <c r="J8" s="116">
        <v>460000</v>
      </c>
      <c r="K8" s="159">
        <f t="shared" si="2"/>
        <v>547400</v>
      </c>
      <c r="L8" s="89">
        <f t="shared" si="24"/>
        <v>391386.55462184874</v>
      </c>
      <c r="M8" s="90">
        <f t="shared" si="25"/>
        <v>465750</v>
      </c>
      <c r="N8" s="14">
        <v>2</v>
      </c>
      <c r="O8" s="26">
        <f t="shared" si="3"/>
        <v>465750</v>
      </c>
      <c r="P8" s="37">
        <f t="shared" si="4"/>
        <v>931500</v>
      </c>
      <c r="Q8" s="14">
        <v>0</v>
      </c>
      <c r="R8" s="26">
        <f t="shared" si="5"/>
        <v>465750</v>
      </c>
      <c r="S8" s="37">
        <f t="shared" si="6"/>
        <v>0</v>
      </c>
      <c r="T8" s="14">
        <v>0</v>
      </c>
      <c r="U8" s="26">
        <f t="shared" si="7"/>
        <v>465750</v>
      </c>
      <c r="V8" s="37">
        <f t="shared" si="8"/>
        <v>0</v>
      </c>
      <c r="W8" s="14">
        <v>0</v>
      </c>
      <c r="X8" s="26">
        <f t="shared" si="9"/>
        <v>465750</v>
      </c>
      <c r="Y8" s="37">
        <f t="shared" si="10"/>
        <v>0</v>
      </c>
      <c r="Z8" s="14">
        <v>2</v>
      </c>
      <c r="AA8" s="26">
        <f t="shared" si="11"/>
        <v>465750</v>
      </c>
      <c r="AB8" s="37">
        <f t="shared" si="12"/>
        <v>931500</v>
      </c>
      <c r="AC8" s="14">
        <v>2</v>
      </c>
      <c r="AD8" s="26">
        <f t="shared" si="26"/>
        <v>465750</v>
      </c>
      <c r="AE8" s="37">
        <f t="shared" si="13"/>
        <v>931500</v>
      </c>
      <c r="AF8" s="14">
        <v>2</v>
      </c>
      <c r="AG8" s="26">
        <f t="shared" si="14"/>
        <v>465750</v>
      </c>
      <c r="AH8" s="37">
        <f t="shared" si="15"/>
        <v>931500</v>
      </c>
      <c r="AI8" s="14">
        <v>2</v>
      </c>
      <c r="AJ8" s="26">
        <f t="shared" si="16"/>
        <v>465750</v>
      </c>
      <c r="AK8" s="37">
        <f t="shared" si="17"/>
        <v>931500</v>
      </c>
      <c r="AL8" s="14">
        <v>0</v>
      </c>
      <c r="AM8" s="26">
        <f t="shared" si="18"/>
        <v>465750</v>
      </c>
      <c r="AN8" s="37">
        <f t="shared" si="19"/>
        <v>0</v>
      </c>
      <c r="AO8" s="13">
        <f t="shared" si="20"/>
        <v>10</v>
      </c>
      <c r="AP8" s="77">
        <f t="shared" si="21"/>
        <v>391386.55462184874</v>
      </c>
      <c r="AQ8" s="77">
        <f>AO8*AP8</f>
        <v>3913865.5462184874</v>
      </c>
      <c r="AR8" s="26">
        <f t="shared" si="22"/>
        <v>465750</v>
      </c>
      <c r="AS8" s="37">
        <f t="shared" si="23"/>
        <v>4657500</v>
      </c>
      <c r="AT8" s="70" t="e" vm="76">
        <v>#VALUE!</v>
      </c>
      <c r="AU8" s="83"/>
      <c r="AV8" s="83"/>
      <c r="AW8" s="112"/>
      <c r="AX8" s="113"/>
      <c r="AY8" s="113"/>
    </row>
    <row r="9" spans="2:53" ht="121.5" customHeight="1">
      <c r="B9" s="234"/>
      <c r="C9" s="9" t="s">
        <v>197</v>
      </c>
      <c r="D9" s="10" t="s">
        <v>198</v>
      </c>
      <c r="E9" s="99" t="s">
        <v>39</v>
      </c>
      <c r="F9" s="156">
        <f>550000/1.19</f>
        <v>462184.87394957984</v>
      </c>
      <c r="G9" s="168">
        <f t="shared" si="0"/>
        <v>550000</v>
      </c>
      <c r="H9" s="153">
        <f>639900/1.19</f>
        <v>537731.09243697487</v>
      </c>
      <c r="I9" s="41">
        <f t="shared" si="1"/>
        <v>639900.00000000012</v>
      </c>
      <c r="J9" s="154">
        <f>974610/1.19</f>
        <v>819000</v>
      </c>
      <c r="K9" s="125">
        <f t="shared" si="2"/>
        <v>974610</v>
      </c>
      <c r="L9" s="89">
        <f t="shared" si="24"/>
        <v>606305.32212885155</v>
      </c>
      <c r="M9" s="90">
        <f t="shared" si="25"/>
        <v>721503.33333333337</v>
      </c>
      <c r="N9" s="14">
        <v>3</v>
      </c>
      <c r="O9" s="26">
        <f t="shared" si="3"/>
        <v>721503.33333333337</v>
      </c>
      <c r="P9" s="37">
        <f t="shared" si="4"/>
        <v>2164510</v>
      </c>
      <c r="Q9" s="14">
        <v>0</v>
      </c>
      <c r="R9" s="26">
        <f t="shared" si="5"/>
        <v>721503.33333333337</v>
      </c>
      <c r="S9" s="37">
        <f t="shared" si="6"/>
        <v>0</v>
      </c>
      <c r="T9" s="14">
        <v>0</v>
      </c>
      <c r="U9" s="26">
        <f t="shared" si="7"/>
        <v>721503.33333333337</v>
      </c>
      <c r="V9" s="37">
        <f t="shared" si="8"/>
        <v>0</v>
      </c>
      <c r="W9" s="14">
        <v>0</v>
      </c>
      <c r="X9" s="26">
        <f t="shared" si="9"/>
        <v>721503.33333333337</v>
      </c>
      <c r="Y9" s="37">
        <f t="shared" si="10"/>
        <v>0</v>
      </c>
      <c r="Z9" s="14">
        <v>4</v>
      </c>
      <c r="AA9" s="26">
        <f t="shared" si="11"/>
        <v>721503.33333333337</v>
      </c>
      <c r="AB9" s="37">
        <f t="shared" si="12"/>
        <v>2886013.3333333335</v>
      </c>
      <c r="AC9" s="14">
        <v>4</v>
      </c>
      <c r="AD9" s="26">
        <f t="shared" si="26"/>
        <v>721503.33333333337</v>
      </c>
      <c r="AE9" s="37">
        <f t="shared" si="13"/>
        <v>2886013.3333333335</v>
      </c>
      <c r="AF9" s="14">
        <v>4</v>
      </c>
      <c r="AG9" s="26">
        <f t="shared" si="14"/>
        <v>721503.33333333337</v>
      </c>
      <c r="AH9" s="37">
        <f t="shared" si="15"/>
        <v>2886013.3333333335</v>
      </c>
      <c r="AI9" s="14">
        <v>4</v>
      </c>
      <c r="AJ9" s="26">
        <f t="shared" si="16"/>
        <v>721503.33333333337</v>
      </c>
      <c r="AK9" s="37">
        <f t="shared" si="17"/>
        <v>2886013.3333333335</v>
      </c>
      <c r="AL9" s="14">
        <v>0</v>
      </c>
      <c r="AM9" s="26">
        <f t="shared" si="18"/>
        <v>721503.33333333337</v>
      </c>
      <c r="AN9" s="37">
        <f t="shared" si="19"/>
        <v>0</v>
      </c>
      <c r="AO9" s="13">
        <f t="shared" si="20"/>
        <v>19</v>
      </c>
      <c r="AP9" s="77">
        <f t="shared" si="21"/>
        <v>606305.32212885155</v>
      </c>
      <c r="AQ9" s="77">
        <f t="shared" ref="AQ9:AQ15" si="27">AO9*AP9</f>
        <v>11519801.12044818</v>
      </c>
      <c r="AR9" s="26">
        <f t="shared" si="22"/>
        <v>721503.33333333337</v>
      </c>
      <c r="AS9" s="37">
        <f t="shared" si="23"/>
        <v>13708563.333333334</v>
      </c>
      <c r="AT9" s="69" t="e" vm="77">
        <v>#VALUE!</v>
      </c>
      <c r="AU9" s="83"/>
      <c r="AV9" s="83"/>
      <c r="AW9" s="112"/>
      <c r="AX9" s="113"/>
      <c r="AY9" s="113"/>
    </row>
    <row r="10" spans="2:53" ht="121.5" customHeight="1">
      <c r="B10" s="234"/>
      <c r="C10" s="136" t="s">
        <v>199</v>
      </c>
      <c r="D10" s="10" t="s">
        <v>200</v>
      </c>
      <c r="E10" s="99" t="s">
        <v>39</v>
      </c>
      <c r="F10" s="166">
        <v>77820</v>
      </c>
      <c r="G10" s="165">
        <f>F10*1.19</f>
        <v>92605.8</v>
      </c>
      <c r="H10" s="167">
        <v>71400</v>
      </c>
      <c r="I10" s="41">
        <f>H10*1.19</f>
        <v>84966</v>
      </c>
      <c r="J10" s="154">
        <v>71400</v>
      </c>
      <c r="K10" s="41">
        <f t="shared" si="2"/>
        <v>84966</v>
      </c>
      <c r="L10" s="89">
        <f t="shared" si="24"/>
        <v>73540</v>
      </c>
      <c r="M10" s="90">
        <f t="shared" si="25"/>
        <v>87512.599999999991</v>
      </c>
      <c r="N10" s="14">
        <v>1</v>
      </c>
      <c r="O10" s="26">
        <f t="shared" si="3"/>
        <v>87512.599999999991</v>
      </c>
      <c r="P10" s="37">
        <f t="shared" si="4"/>
        <v>87512.599999999991</v>
      </c>
      <c r="Q10" s="14">
        <v>0</v>
      </c>
      <c r="R10" s="26">
        <f>$M10</f>
        <v>87512.599999999991</v>
      </c>
      <c r="S10" s="37">
        <f t="shared" si="6"/>
        <v>0</v>
      </c>
      <c r="T10" s="14">
        <v>0</v>
      </c>
      <c r="U10" s="26">
        <f t="shared" si="7"/>
        <v>87512.599999999991</v>
      </c>
      <c r="V10" s="37">
        <f t="shared" si="8"/>
        <v>0</v>
      </c>
      <c r="W10" s="14">
        <v>0</v>
      </c>
      <c r="X10" s="26">
        <f t="shared" si="9"/>
        <v>87512.599999999991</v>
      </c>
      <c r="Y10" s="37">
        <f t="shared" si="10"/>
        <v>0</v>
      </c>
      <c r="Z10" s="14">
        <v>1</v>
      </c>
      <c r="AA10" s="26">
        <f t="shared" si="11"/>
        <v>87512.599999999991</v>
      </c>
      <c r="AB10" s="37">
        <f t="shared" si="12"/>
        <v>87512.599999999991</v>
      </c>
      <c r="AC10" s="14">
        <v>1</v>
      </c>
      <c r="AD10" s="26">
        <f t="shared" si="26"/>
        <v>87512.599999999991</v>
      </c>
      <c r="AE10" s="37">
        <f t="shared" si="13"/>
        <v>87512.599999999991</v>
      </c>
      <c r="AF10" s="14">
        <v>1</v>
      </c>
      <c r="AG10" s="26">
        <f t="shared" si="14"/>
        <v>87512.599999999991</v>
      </c>
      <c r="AH10" s="37">
        <f t="shared" si="15"/>
        <v>87512.599999999991</v>
      </c>
      <c r="AI10" s="14">
        <v>1</v>
      </c>
      <c r="AJ10" s="26">
        <f t="shared" si="16"/>
        <v>87512.599999999991</v>
      </c>
      <c r="AK10" s="37">
        <f t="shared" si="17"/>
        <v>87512.599999999991</v>
      </c>
      <c r="AL10" s="14">
        <v>0</v>
      </c>
      <c r="AM10" s="26">
        <f t="shared" si="18"/>
        <v>87512.599999999991</v>
      </c>
      <c r="AN10" s="37">
        <f t="shared" si="19"/>
        <v>0</v>
      </c>
      <c r="AO10" s="13">
        <f t="shared" si="20"/>
        <v>5</v>
      </c>
      <c r="AP10" s="77">
        <f t="shared" si="21"/>
        <v>73540</v>
      </c>
      <c r="AQ10" s="77">
        <f t="shared" si="27"/>
        <v>367700</v>
      </c>
      <c r="AR10" s="26">
        <f t="shared" si="22"/>
        <v>87512.599999999991</v>
      </c>
      <c r="AS10" s="37">
        <f t="shared" si="23"/>
        <v>437562.99999999994</v>
      </c>
      <c r="AT10" s="69" t="e" vm="78">
        <v>#VALUE!</v>
      </c>
      <c r="AU10" s="83"/>
      <c r="AV10" s="83"/>
      <c r="AW10" s="112"/>
      <c r="AX10" s="113"/>
      <c r="AY10" s="113"/>
      <c r="BA10" s="83"/>
    </row>
    <row r="11" spans="2:53" ht="121.5" customHeight="1">
      <c r="B11" s="234"/>
      <c r="C11" s="136" t="s">
        <v>201</v>
      </c>
      <c r="D11" s="10" t="s">
        <v>202</v>
      </c>
      <c r="E11" s="99" t="s">
        <v>39</v>
      </c>
      <c r="F11" s="124">
        <f>2570800/1.19</f>
        <v>2160336.1344537814</v>
      </c>
      <c r="G11" s="125">
        <f t="shared" si="0"/>
        <v>2570800</v>
      </c>
      <c r="H11" s="153">
        <v>2782000</v>
      </c>
      <c r="I11" s="41">
        <f>H11*1.19</f>
        <v>3310580</v>
      </c>
      <c r="J11" s="153">
        <v>2429000</v>
      </c>
      <c r="K11" s="41">
        <f>J11*1.19</f>
        <v>2890510</v>
      </c>
      <c r="L11" s="89">
        <f t="shared" si="24"/>
        <v>2457112.0448179268</v>
      </c>
      <c r="M11" s="90">
        <f t="shared" si="25"/>
        <v>2923963.3333333335</v>
      </c>
      <c r="N11" s="14">
        <v>0</v>
      </c>
      <c r="O11" s="26">
        <f t="shared" si="3"/>
        <v>2923963.3333333335</v>
      </c>
      <c r="P11" s="37">
        <f t="shared" ref="P11:P15" si="28">N11*O11</f>
        <v>0</v>
      </c>
      <c r="Q11" s="14">
        <v>0</v>
      </c>
      <c r="R11" s="26">
        <f t="shared" ref="R11:R15" si="29">$M11</f>
        <v>2923963.3333333335</v>
      </c>
      <c r="S11" s="37">
        <f t="shared" ref="S11:S15" si="30">Q11*R11</f>
        <v>0</v>
      </c>
      <c r="T11" s="14">
        <v>0</v>
      </c>
      <c r="U11" s="26">
        <f t="shared" si="7"/>
        <v>2923963.3333333335</v>
      </c>
      <c r="V11" s="37">
        <f t="shared" ref="V11:V15" si="31">T11*U11</f>
        <v>0</v>
      </c>
      <c r="W11" s="14">
        <v>0</v>
      </c>
      <c r="X11" s="26">
        <f t="shared" si="9"/>
        <v>2923963.3333333335</v>
      </c>
      <c r="Y11" s="37">
        <f t="shared" ref="Y11:Y15" si="32">W11*X11</f>
        <v>0</v>
      </c>
      <c r="Z11" s="14">
        <v>1</v>
      </c>
      <c r="AA11" s="26">
        <f t="shared" si="11"/>
        <v>2923963.3333333335</v>
      </c>
      <c r="AB11" s="37">
        <f t="shared" ref="AB11:AB15" si="33">Z11*AA11</f>
        <v>2923963.3333333335</v>
      </c>
      <c r="AC11" s="14">
        <v>1</v>
      </c>
      <c r="AD11" s="26">
        <f t="shared" si="26"/>
        <v>2923963.3333333335</v>
      </c>
      <c r="AE11" s="37">
        <f t="shared" ref="AE11:AE15" si="34">AC11*AD11</f>
        <v>2923963.3333333335</v>
      </c>
      <c r="AF11" s="14">
        <v>1</v>
      </c>
      <c r="AG11" s="26">
        <f t="shared" si="14"/>
        <v>2923963.3333333335</v>
      </c>
      <c r="AH11" s="37">
        <f t="shared" ref="AH11:AH15" si="35">AF11*AG11</f>
        <v>2923963.3333333335</v>
      </c>
      <c r="AI11" s="14">
        <v>1</v>
      </c>
      <c r="AJ11" s="26">
        <f t="shared" si="16"/>
        <v>2923963.3333333335</v>
      </c>
      <c r="AK11" s="37">
        <f t="shared" ref="AK11:AK15" si="36">AI11*AJ11</f>
        <v>2923963.3333333335</v>
      </c>
      <c r="AL11" s="14">
        <v>0</v>
      </c>
      <c r="AM11" s="26">
        <f t="shared" si="18"/>
        <v>2923963.3333333335</v>
      </c>
      <c r="AN11" s="37">
        <f t="shared" ref="AN11:AN15" si="37">AL11*AM11</f>
        <v>0</v>
      </c>
      <c r="AO11" s="13">
        <f t="shared" si="20"/>
        <v>4</v>
      </c>
      <c r="AP11" s="77">
        <f t="shared" si="21"/>
        <v>2457112.0448179268</v>
      </c>
      <c r="AQ11" s="77">
        <f t="shared" si="27"/>
        <v>9828448.1792717073</v>
      </c>
      <c r="AR11" s="26">
        <f t="shared" si="22"/>
        <v>2923963.3333333335</v>
      </c>
      <c r="AS11" s="37">
        <f t="shared" si="23"/>
        <v>11695853.333333334</v>
      </c>
      <c r="AT11" s="69" t="e" vm="79">
        <v>#VALUE!</v>
      </c>
      <c r="AU11" s="83"/>
      <c r="AV11" s="83"/>
      <c r="AW11" s="112"/>
      <c r="AX11" s="113"/>
      <c r="AY11" s="113"/>
    </row>
    <row r="12" spans="2:53" ht="128.25">
      <c r="B12" s="234"/>
      <c r="C12" s="136" t="s">
        <v>203</v>
      </c>
      <c r="D12" s="10" t="s">
        <v>204</v>
      </c>
      <c r="E12" s="99" t="s">
        <v>39</v>
      </c>
      <c r="F12" s="172">
        <v>5670000</v>
      </c>
      <c r="G12" s="41">
        <f t="shared" si="0"/>
        <v>6747300</v>
      </c>
      <c r="H12" s="173">
        <v>5416800</v>
      </c>
      <c r="I12" s="41">
        <f t="shared" si="1"/>
        <v>6445992</v>
      </c>
      <c r="J12" s="173">
        <v>4957983</v>
      </c>
      <c r="K12" s="41">
        <f t="shared" si="2"/>
        <v>5899999.7699999996</v>
      </c>
      <c r="L12" s="89">
        <f t="shared" si="24"/>
        <v>5348261</v>
      </c>
      <c r="M12" s="90">
        <f t="shared" si="25"/>
        <v>6364430.5899999999</v>
      </c>
      <c r="N12" s="14">
        <v>1</v>
      </c>
      <c r="O12" s="26">
        <f t="shared" si="3"/>
        <v>6364430.5899999999</v>
      </c>
      <c r="P12" s="37">
        <f t="shared" si="28"/>
        <v>6364430.5899999999</v>
      </c>
      <c r="Q12" s="14">
        <v>0</v>
      </c>
      <c r="R12" s="26">
        <f t="shared" si="29"/>
        <v>6364430.5899999999</v>
      </c>
      <c r="S12" s="37">
        <f t="shared" si="30"/>
        <v>0</v>
      </c>
      <c r="T12" s="14">
        <v>0</v>
      </c>
      <c r="U12" s="26">
        <f t="shared" si="7"/>
        <v>6364430.5899999999</v>
      </c>
      <c r="V12" s="37">
        <f t="shared" si="31"/>
        <v>0</v>
      </c>
      <c r="W12" s="14">
        <v>0</v>
      </c>
      <c r="X12" s="26">
        <f t="shared" si="9"/>
        <v>6364430.5899999999</v>
      </c>
      <c r="Y12" s="37">
        <f t="shared" si="32"/>
        <v>0</v>
      </c>
      <c r="Z12" s="14">
        <v>1</v>
      </c>
      <c r="AA12" s="26">
        <f t="shared" si="11"/>
        <v>6364430.5899999999</v>
      </c>
      <c r="AB12" s="37">
        <f t="shared" si="33"/>
        <v>6364430.5899999999</v>
      </c>
      <c r="AC12" s="14">
        <v>1</v>
      </c>
      <c r="AD12" s="26">
        <f t="shared" si="26"/>
        <v>6364430.5899999999</v>
      </c>
      <c r="AE12" s="37">
        <f t="shared" si="34"/>
        <v>6364430.5899999999</v>
      </c>
      <c r="AF12" s="14">
        <v>1</v>
      </c>
      <c r="AG12" s="26">
        <f t="shared" si="14"/>
        <v>6364430.5899999999</v>
      </c>
      <c r="AH12" s="37">
        <f t="shared" si="35"/>
        <v>6364430.5899999999</v>
      </c>
      <c r="AI12" s="14">
        <v>1</v>
      </c>
      <c r="AJ12" s="26">
        <f t="shared" si="16"/>
        <v>6364430.5899999999</v>
      </c>
      <c r="AK12" s="37">
        <f t="shared" si="36"/>
        <v>6364430.5899999999</v>
      </c>
      <c r="AL12" s="14">
        <v>0</v>
      </c>
      <c r="AM12" s="26">
        <f t="shared" si="18"/>
        <v>6364430.5899999999</v>
      </c>
      <c r="AN12" s="37">
        <f t="shared" si="37"/>
        <v>0</v>
      </c>
      <c r="AO12" s="13">
        <f t="shared" si="20"/>
        <v>5</v>
      </c>
      <c r="AP12" s="77">
        <f t="shared" si="21"/>
        <v>5348261</v>
      </c>
      <c r="AQ12" s="77">
        <f t="shared" si="27"/>
        <v>26741305</v>
      </c>
      <c r="AR12" s="26">
        <f t="shared" si="22"/>
        <v>6364430.5899999999</v>
      </c>
      <c r="AS12" s="37">
        <f t="shared" si="23"/>
        <v>31822152.949999999</v>
      </c>
      <c r="AT12" s="69" t="e" vm="80">
        <v>#VALUE!</v>
      </c>
      <c r="AU12" s="83"/>
      <c r="AV12" s="83"/>
      <c r="AW12" s="112"/>
      <c r="AX12" s="113"/>
      <c r="AY12" s="113"/>
    </row>
    <row r="13" spans="2:53" ht="114.75" customHeight="1">
      <c r="B13" s="234"/>
      <c r="C13" s="136" t="s">
        <v>205</v>
      </c>
      <c r="D13" s="10" t="s">
        <v>206</v>
      </c>
      <c r="E13" s="99" t="s">
        <v>39</v>
      </c>
      <c r="F13" s="117">
        <v>53646</v>
      </c>
      <c r="G13" s="159">
        <f t="shared" si="0"/>
        <v>63838.74</v>
      </c>
      <c r="H13" s="161">
        <f>79900/1.19</f>
        <v>67142.857142857145</v>
      </c>
      <c r="I13" s="159">
        <f t="shared" si="1"/>
        <v>79900</v>
      </c>
      <c r="J13" s="139">
        <f>78000/1.19</f>
        <v>65546.218487394959</v>
      </c>
      <c r="K13" s="159">
        <f t="shared" si="2"/>
        <v>78000</v>
      </c>
      <c r="L13" s="89">
        <f t="shared" si="24"/>
        <v>62111.691876750701</v>
      </c>
      <c r="M13" s="90">
        <f t="shared" si="25"/>
        <v>73912.91333333333</v>
      </c>
      <c r="N13" s="51">
        <v>1</v>
      </c>
      <c r="O13" s="43">
        <f t="shared" si="3"/>
        <v>73912.91333333333</v>
      </c>
      <c r="P13" s="52">
        <f t="shared" si="28"/>
        <v>73912.91333333333</v>
      </c>
      <c r="Q13" s="51">
        <v>0</v>
      </c>
      <c r="R13" s="43">
        <f t="shared" si="29"/>
        <v>73912.91333333333</v>
      </c>
      <c r="S13" s="52">
        <f t="shared" si="30"/>
        <v>0</v>
      </c>
      <c r="T13" s="51">
        <v>0</v>
      </c>
      <c r="U13" s="43">
        <f t="shared" si="7"/>
        <v>73912.91333333333</v>
      </c>
      <c r="V13" s="52">
        <f t="shared" si="31"/>
        <v>0</v>
      </c>
      <c r="W13" s="51">
        <v>0</v>
      </c>
      <c r="X13" s="43">
        <f t="shared" si="9"/>
        <v>73912.91333333333</v>
      </c>
      <c r="Y13" s="52">
        <f t="shared" si="32"/>
        <v>0</v>
      </c>
      <c r="Z13" s="51">
        <v>1</v>
      </c>
      <c r="AA13" s="43">
        <f t="shared" si="11"/>
        <v>73912.91333333333</v>
      </c>
      <c r="AB13" s="52">
        <f t="shared" si="33"/>
        <v>73912.91333333333</v>
      </c>
      <c r="AC13" s="51">
        <v>1</v>
      </c>
      <c r="AD13" s="43">
        <f t="shared" si="26"/>
        <v>73912.91333333333</v>
      </c>
      <c r="AE13" s="52">
        <f t="shared" si="34"/>
        <v>73912.91333333333</v>
      </c>
      <c r="AF13" s="51">
        <v>1</v>
      </c>
      <c r="AG13" s="43">
        <f t="shared" si="14"/>
        <v>73912.91333333333</v>
      </c>
      <c r="AH13" s="52">
        <f t="shared" si="35"/>
        <v>73912.91333333333</v>
      </c>
      <c r="AI13" s="51">
        <v>1</v>
      </c>
      <c r="AJ13" s="43">
        <f t="shared" si="16"/>
        <v>73912.91333333333</v>
      </c>
      <c r="AK13" s="52">
        <f t="shared" si="36"/>
        <v>73912.91333333333</v>
      </c>
      <c r="AL13" s="51">
        <v>0</v>
      </c>
      <c r="AM13" s="43">
        <f t="shared" si="18"/>
        <v>73912.91333333333</v>
      </c>
      <c r="AN13" s="52">
        <f t="shared" si="37"/>
        <v>0</v>
      </c>
      <c r="AO13" s="51">
        <f t="shared" si="20"/>
        <v>5</v>
      </c>
      <c r="AP13" s="77">
        <f t="shared" si="21"/>
        <v>62111.691876750701</v>
      </c>
      <c r="AQ13" s="77">
        <f t="shared" si="27"/>
        <v>310558.45938375348</v>
      </c>
      <c r="AR13" s="43">
        <f t="shared" si="22"/>
        <v>73912.91333333333</v>
      </c>
      <c r="AS13" s="52">
        <f t="shared" si="23"/>
        <v>369564.56666666665</v>
      </c>
      <c r="AT13" s="69" t="e" vm="81">
        <v>#VALUE!</v>
      </c>
      <c r="AU13" s="83"/>
      <c r="AV13" s="83"/>
      <c r="AW13" s="112"/>
      <c r="AX13" s="113"/>
      <c r="AY13" s="113"/>
    </row>
    <row r="14" spans="2:53" ht="114.75" customHeight="1">
      <c r="B14" s="234"/>
      <c r="C14" s="136" t="s">
        <v>207</v>
      </c>
      <c r="D14" s="10" t="s">
        <v>208</v>
      </c>
      <c r="E14" s="101" t="s">
        <v>209</v>
      </c>
      <c r="F14" s="138">
        <f>475680/1.19</f>
        <v>399731.09243697481</v>
      </c>
      <c r="G14" s="41">
        <f t="shared" si="0"/>
        <v>475680</v>
      </c>
      <c r="H14" s="139">
        <f>478200/1.19</f>
        <v>401848.73949579836</v>
      </c>
      <c r="I14" s="41">
        <f t="shared" si="1"/>
        <v>478200.00000000006</v>
      </c>
      <c r="J14" s="140">
        <f>531600/1.19</f>
        <v>446722.68907563027</v>
      </c>
      <c r="K14" s="125">
        <f t="shared" si="2"/>
        <v>531600</v>
      </c>
      <c r="L14" s="89">
        <f t="shared" si="24"/>
        <v>416100.84033613448</v>
      </c>
      <c r="M14" s="90">
        <f t="shared" si="25"/>
        <v>495160</v>
      </c>
      <c r="N14" s="14">
        <v>0</v>
      </c>
      <c r="O14" s="26">
        <f t="shared" si="3"/>
        <v>495160</v>
      </c>
      <c r="P14" s="37">
        <f t="shared" si="28"/>
        <v>0</v>
      </c>
      <c r="Q14" s="14"/>
      <c r="R14" s="26">
        <f t="shared" si="29"/>
        <v>495160</v>
      </c>
      <c r="S14" s="37">
        <f t="shared" si="30"/>
        <v>0</v>
      </c>
      <c r="T14" s="14"/>
      <c r="U14" s="26">
        <f t="shared" si="7"/>
        <v>495160</v>
      </c>
      <c r="V14" s="37">
        <f t="shared" si="31"/>
        <v>0</v>
      </c>
      <c r="W14" s="14"/>
      <c r="X14" s="26">
        <f t="shared" si="9"/>
        <v>495160</v>
      </c>
      <c r="Y14" s="37">
        <f t="shared" si="32"/>
        <v>0</v>
      </c>
      <c r="Z14" s="14"/>
      <c r="AA14" s="26">
        <f t="shared" si="11"/>
        <v>495160</v>
      </c>
      <c r="AB14" s="37">
        <f t="shared" si="33"/>
        <v>0</v>
      </c>
      <c r="AC14" s="14"/>
      <c r="AD14" s="26">
        <f t="shared" si="26"/>
        <v>495160</v>
      </c>
      <c r="AE14" s="37">
        <f t="shared" si="34"/>
        <v>0</v>
      </c>
      <c r="AF14" s="14"/>
      <c r="AG14" s="26">
        <f t="shared" si="14"/>
        <v>495160</v>
      </c>
      <c r="AH14" s="37">
        <f t="shared" si="35"/>
        <v>0</v>
      </c>
      <c r="AI14" s="14"/>
      <c r="AJ14" s="26">
        <f t="shared" si="16"/>
        <v>495160</v>
      </c>
      <c r="AK14" s="37">
        <f t="shared" si="36"/>
        <v>0</v>
      </c>
      <c r="AL14" s="14">
        <v>3</v>
      </c>
      <c r="AM14" s="26">
        <f t="shared" si="18"/>
        <v>495160</v>
      </c>
      <c r="AN14" s="37">
        <f t="shared" si="37"/>
        <v>1485480</v>
      </c>
      <c r="AO14" s="13">
        <f t="shared" si="20"/>
        <v>3</v>
      </c>
      <c r="AP14" s="77">
        <f t="shared" si="21"/>
        <v>416100.84033613448</v>
      </c>
      <c r="AQ14" s="77">
        <f t="shared" si="27"/>
        <v>1248302.5210084035</v>
      </c>
      <c r="AR14" s="26">
        <f t="shared" si="22"/>
        <v>495160</v>
      </c>
      <c r="AS14" s="37">
        <f t="shared" si="23"/>
        <v>1485480</v>
      </c>
      <c r="AT14" s="69" t="e" vm="82">
        <v>#VALUE!</v>
      </c>
      <c r="AU14" s="83"/>
      <c r="AV14" s="83"/>
      <c r="AW14" s="112"/>
      <c r="AX14" s="113"/>
      <c r="AY14" s="113"/>
    </row>
    <row r="15" spans="2:53" ht="127.5" customHeight="1" thickBot="1">
      <c r="B15" s="235"/>
      <c r="C15" s="171" t="s">
        <v>210</v>
      </c>
      <c r="D15" s="135" t="s">
        <v>211</v>
      </c>
      <c r="E15" s="102" t="s">
        <v>209</v>
      </c>
      <c r="F15" s="162">
        <f>1823200/1.19</f>
        <v>1532100.8403361344</v>
      </c>
      <c r="G15" s="91">
        <f t="shared" si="0"/>
        <v>1823199.9999999998</v>
      </c>
      <c r="H15" s="170">
        <f>1547000/1.19</f>
        <v>1300000</v>
      </c>
      <c r="I15" s="91">
        <f t="shared" si="1"/>
        <v>1547000</v>
      </c>
      <c r="J15" s="163">
        <f>1350000/1.19</f>
        <v>1134453.781512605</v>
      </c>
      <c r="K15" s="164">
        <f t="shared" si="2"/>
        <v>1350000</v>
      </c>
      <c r="L15" s="89">
        <f t="shared" si="24"/>
        <v>1322184.8739495799</v>
      </c>
      <c r="M15" s="90">
        <f t="shared" si="25"/>
        <v>1573400</v>
      </c>
      <c r="N15" s="71">
        <v>0</v>
      </c>
      <c r="O15" s="27">
        <f t="shared" si="3"/>
        <v>1573400</v>
      </c>
      <c r="P15" s="38">
        <f t="shared" si="28"/>
        <v>0</v>
      </c>
      <c r="Q15" s="71"/>
      <c r="R15" s="27">
        <f t="shared" si="29"/>
        <v>1573400</v>
      </c>
      <c r="S15" s="38">
        <f t="shared" si="30"/>
        <v>0</v>
      </c>
      <c r="T15" s="71"/>
      <c r="U15" s="27">
        <f t="shared" si="7"/>
        <v>1573400</v>
      </c>
      <c r="V15" s="38">
        <f t="shared" si="31"/>
        <v>0</v>
      </c>
      <c r="W15" s="71"/>
      <c r="X15" s="27">
        <f t="shared" si="9"/>
        <v>1573400</v>
      </c>
      <c r="Y15" s="38">
        <f t="shared" si="32"/>
        <v>0</v>
      </c>
      <c r="Z15" s="71"/>
      <c r="AA15" s="27">
        <f t="shared" si="11"/>
        <v>1573400</v>
      </c>
      <c r="AB15" s="38">
        <f t="shared" si="33"/>
        <v>0</v>
      </c>
      <c r="AC15" s="71"/>
      <c r="AD15" s="27">
        <f t="shared" si="26"/>
        <v>1573400</v>
      </c>
      <c r="AE15" s="38">
        <f t="shared" si="34"/>
        <v>0</v>
      </c>
      <c r="AF15" s="71"/>
      <c r="AG15" s="27">
        <f t="shared" si="14"/>
        <v>1573400</v>
      </c>
      <c r="AH15" s="38">
        <f t="shared" si="35"/>
        <v>0</v>
      </c>
      <c r="AI15" s="71"/>
      <c r="AJ15" s="27">
        <f t="shared" si="16"/>
        <v>1573400</v>
      </c>
      <c r="AK15" s="38">
        <f t="shared" si="36"/>
        <v>0</v>
      </c>
      <c r="AL15" s="71">
        <v>1</v>
      </c>
      <c r="AM15" s="27">
        <f t="shared" si="18"/>
        <v>1573400</v>
      </c>
      <c r="AN15" s="38">
        <f t="shared" si="37"/>
        <v>1573400</v>
      </c>
      <c r="AO15" s="18">
        <f t="shared" si="20"/>
        <v>1</v>
      </c>
      <c r="AP15" s="82">
        <f t="shared" si="21"/>
        <v>1322184.8739495799</v>
      </c>
      <c r="AQ15" s="82">
        <f t="shared" si="27"/>
        <v>1322184.8739495799</v>
      </c>
      <c r="AR15" s="27">
        <f t="shared" si="22"/>
        <v>1573400</v>
      </c>
      <c r="AS15" s="38">
        <f t="shared" si="23"/>
        <v>1573400</v>
      </c>
      <c r="AT15" s="49" t="e" vm="83">
        <v>#VALUE!</v>
      </c>
      <c r="AU15" s="83"/>
      <c r="AV15" s="83"/>
      <c r="AW15" s="112"/>
      <c r="AX15" s="113"/>
      <c r="AY15" s="113"/>
    </row>
    <row r="16" spans="2:53" ht="95.25" customHeight="1">
      <c r="B16" s="1"/>
      <c r="C16" s="3"/>
      <c r="L16" s="40">
        <f>SUM(L6:L15)</f>
        <v>13115245.843137255</v>
      </c>
      <c r="M16" s="40">
        <f>SUM(M6:M15)</f>
        <v>15607142.553333335</v>
      </c>
      <c r="AP16" s="4">
        <f t="shared" si="21"/>
        <v>13115245.843137255</v>
      </c>
      <c r="AQ16" s="81">
        <f>SUM(AQ6:AQ15)</f>
        <v>67653438.389355749</v>
      </c>
      <c r="AS16" s="22">
        <f>SUM(AS6:AS15)</f>
        <v>80507591.683333337</v>
      </c>
    </row>
    <row r="17" spans="2:46" ht="123" customHeight="1">
      <c r="B17" s="1"/>
      <c r="C17" s="3"/>
      <c r="L17" s="40">
        <f>+L16*19%</f>
        <v>2491896.7101960783</v>
      </c>
      <c r="M17" s="22">
        <f>+M16-L18</f>
        <v>0</v>
      </c>
      <c r="AP17" s="4">
        <f t="shared" si="21"/>
        <v>2491896.7101960783</v>
      </c>
      <c r="AQ17" s="4">
        <f>+AQ16*19%</f>
        <v>12854153.293977592</v>
      </c>
      <c r="AR17" s="22">
        <f>+AQ17+AQ16</f>
        <v>80507591.683333337</v>
      </c>
    </row>
    <row r="18" spans="2:46" ht="114.75" customHeight="1">
      <c r="B18" s="1"/>
      <c r="C18" s="3"/>
      <c r="L18" s="40">
        <f>+L16+L17</f>
        <v>15607142.553333333</v>
      </c>
      <c r="AQ18" s="81">
        <f>+AQ16+AQ17</f>
        <v>80507591.683333337</v>
      </c>
    </row>
    <row r="19" spans="2:46" ht="114" customHeight="1">
      <c r="B19" s="1"/>
      <c r="C19" s="3"/>
    </row>
    <row r="20" spans="2:46" s="2" customFormat="1" ht="113.25" customHeight="1">
      <c r="B20" s="1"/>
      <c r="C20" s="3"/>
      <c r="D20"/>
      <c r="E20"/>
      <c r="F20" s="40"/>
      <c r="G20" s="40"/>
      <c r="H20" s="40"/>
      <c r="I20" s="40"/>
      <c r="J20" s="40"/>
      <c r="K20" s="40"/>
      <c r="L20" s="40"/>
      <c r="M20" s="22"/>
      <c r="N20" s="4"/>
      <c r="O20" s="22"/>
      <c r="P20" s="22"/>
      <c r="Q20" s="4"/>
      <c r="R20" s="22"/>
      <c r="S20" s="22"/>
      <c r="T20" s="4"/>
      <c r="U20" s="22"/>
      <c r="V20" s="22"/>
      <c r="W20" s="4"/>
      <c r="X20" s="22"/>
      <c r="Y20" s="22"/>
      <c r="Z20" s="4"/>
      <c r="AA20" s="22"/>
      <c r="AB20" s="22"/>
      <c r="AC20" s="4"/>
      <c r="AD20" s="22"/>
      <c r="AE20" s="22"/>
      <c r="AF20" s="4"/>
      <c r="AG20" s="22"/>
      <c r="AH20" s="22"/>
      <c r="AI20" s="4"/>
      <c r="AJ20" s="22"/>
      <c r="AK20" s="22"/>
      <c r="AL20" s="4"/>
      <c r="AM20" s="22"/>
      <c r="AN20" s="22"/>
      <c r="AO20" s="4"/>
      <c r="AP20" s="4"/>
      <c r="AQ20" s="4"/>
      <c r="AR20" s="22"/>
      <c r="AS20" s="22"/>
      <c r="AT20" s="4"/>
    </row>
    <row r="21" spans="2:46" s="2" customFormat="1" ht="108.75" customHeight="1">
      <c r="B21" s="1"/>
      <c r="C21" s="3"/>
      <c r="D21"/>
      <c r="E21"/>
      <c r="F21" s="40"/>
      <c r="G21" s="40"/>
      <c r="H21" s="40"/>
      <c r="I21" s="40"/>
      <c r="J21" s="40"/>
      <c r="K21" s="40"/>
      <c r="L21" s="40"/>
      <c r="M21" s="22"/>
      <c r="N21" s="4"/>
      <c r="O21" s="22"/>
      <c r="P21" s="22"/>
      <c r="Q21" s="4"/>
      <c r="R21" s="22"/>
      <c r="S21" s="22"/>
      <c r="T21" s="4"/>
      <c r="U21" s="22"/>
      <c r="V21" s="22"/>
      <c r="W21" s="4"/>
      <c r="X21" s="22"/>
      <c r="Y21" s="22"/>
      <c r="Z21" s="4"/>
      <c r="AA21" s="22"/>
      <c r="AB21" s="22"/>
      <c r="AC21" s="4"/>
      <c r="AD21" s="22"/>
      <c r="AE21" s="22"/>
      <c r="AF21" s="4"/>
      <c r="AG21" s="22"/>
      <c r="AH21" s="22"/>
      <c r="AI21" s="4"/>
      <c r="AJ21" s="22"/>
      <c r="AK21" s="22"/>
      <c r="AL21" s="4"/>
      <c r="AM21" s="22"/>
      <c r="AN21" s="22"/>
      <c r="AO21" s="4"/>
      <c r="AP21" s="4"/>
      <c r="AQ21" s="4"/>
      <c r="AR21" s="22"/>
      <c r="AS21" s="22"/>
      <c r="AT21" s="4"/>
    </row>
    <row r="22" spans="2:46" s="2" customFormat="1" ht="108.75" customHeight="1">
      <c r="B22" s="1"/>
      <c r="C22" s="3"/>
      <c r="D22"/>
      <c r="E22"/>
      <c r="F22" s="40"/>
      <c r="G22" s="40"/>
      <c r="H22" s="40"/>
      <c r="I22" s="40"/>
      <c r="J22" s="40"/>
      <c r="K22" s="40"/>
      <c r="L22" s="40"/>
      <c r="M22" s="22"/>
      <c r="N22" s="4"/>
      <c r="O22" s="22"/>
      <c r="P22" s="22"/>
      <c r="Q22" s="4"/>
      <c r="R22" s="22"/>
      <c r="S22" s="22"/>
      <c r="T22" s="4"/>
      <c r="U22" s="22"/>
      <c r="V22" s="22"/>
      <c r="W22" s="4"/>
      <c r="X22" s="22"/>
      <c r="Y22" s="22"/>
      <c r="Z22" s="4"/>
      <c r="AA22" s="22"/>
      <c r="AB22" s="22"/>
      <c r="AC22" s="4"/>
      <c r="AD22" s="22"/>
      <c r="AE22" s="22"/>
      <c r="AF22" s="4"/>
      <c r="AG22" s="22"/>
      <c r="AH22" s="22"/>
      <c r="AI22" s="4"/>
      <c r="AJ22" s="22"/>
      <c r="AK22" s="22"/>
      <c r="AL22" s="4"/>
      <c r="AM22" s="22"/>
      <c r="AN22" s="22"/>
      <c r="AO22" s="4"/>
      <c r="AP22" s="4"/>
      <c r="AQ22" s="4"/>
      <c r="AR22" s="22"/>
      <c r="AS22" s="22"/>
      <c r="AT22" s="4"/>
    </row>
    <row r="23" spans="2:46" s="2" customFormat="1" ht="108.75" customHeight="1">
      <c r="B23" s="1"/>
      <c r="C23" s="3"/>
      <c r="D23"/>
      <c r="E23"/>
      <c r="F23" s="40"/>
      <c r="G23" s="40"/>
      <c r="H23" s="40"/>
      <c r="I23" s="40"/>
      <c r="J23" s="40"/>
      <c r="K23" s="40"/>
      <c r="L23" s="40"/>
      <c r="M23" s="22"/>
      <c r="N23" s="4"/>
      <c r="O23" s="22"/>
      <c r="P23" s="22"/>
      <c r="Q23" s="4"/>
      <c r="R23" s="22"/>
      <c r="S23" s="22"/>
      <c r="T23" s="4"/>
      <c r="U23" s="22"/>
      <c r="V23" s="22"/>
      <c r="W23" s="4"/>
      <c r="X23" s="22"/>
      <c r="Y23" s="22"/>
      <c r="Z23" s="4"/>
      <c r="AA23" s="22"/>
      <c r="AB23" s="22"/>
      <c r="AC23" s="4"/>
      <c r="AD23" s="22"/>
      <c r="AE23" s="22"/>
      <c r="AF23" s="4"/>
      <c r="AG23" s="22"/>
      <c r="AH23" s="22"/>
      <c r="AI23" s="4"/>
      <c r="AJ23" s="22"/>
      <c r="AK23" s="22"/>
      <c r="AL23" s="4"/>
      <c r="AM23" s="22"/>
      <c r="AN23" s="22"/>
      <c r="AO23" s="4"/>
      <c r="AP23" s="4"/>
      <c r="AQ23" s="4"/>
      <c r="AR23" s="22"/>
      <c r="AS23" s="22"/>
      <c r="AT23" s="4"/>
    </row>
    <row r="24" spans="2:46" s="2" customFormat="1" ht="108.75" customHeight="1">
      <c r="B24" s="1"/>
      <c r="C24" s="3"/>
      <c r="D24"/>
      <c r="E24"/>
      <c r="F24" s="40"/>
      <c r="G24" s="40"/>
      <c r="H24" s="40"/>
      <c r="I24" s="40"/>
      <c r="J24" s="40"/>
      <c r="K24" s="40"/>
      <c r="L24" s="40"/>
      <c r="M24" s="22"/>
      <c r="N24" s="4"/>
      <c r="O24" s="22"/>
      <c r="P24" s="22"/>
      <c r="Q24" s="4"/>
      <c r="R24" s="22"/>
      <c r="S24" s="22"/>
      <c r="T24" s="4"/>
      <c r="U24" s="22"/>
      <c r="V24" s="22"/>
      <c r="W24" s="4"/>
      <c r="X24" s="22"/>
      <c r="Y24" s="22"/>
      <c r="Z24" s="4"/>
      <c r="AA24" s="22"/>
      <c r="AB24" s="22"/>
      <c r="AC24" s="4"/>
      <c r="AD24" s="22"/>
      <c r="AE24" s="22"/>
      <c r="AF24" s="4"/>
      <c r="AG24" s="22"/>
      <c r="AH24" s="22"/>
      <c r="AI24" s="4"/>
      <c r="AJ24" s="22"/>
      <c r="AK24" s="22"/>
      <c r="AL24" s="4"/>
      <c r="AM24" s="22"/>
      <c r="AN24" s="22"/>
      <c r="AO24" s="4"/>
      <c r="AP24" s="4"/>
      <c r="AQ24" s="4"/>
      <c r="AR24" s="22"/>
      <c r="AS24" s="22"/>
      <c r="AT24" s="4"/>
    </row>
    <row r="25" spans="2:46" s="2" customFormat="1" ht="96" customHeight="1">
      <c r="B25" s="1"/>
      <c r="C25" s="3"/>
      <c r="D25"/>
      <c r="E25"/>
      <c r="F25" s="40"/>
      <c r="G25" s="40"/>
      <c r="H25" s="40"/>
      <c r="I25" s="40"/>
      <c r="J25" s="40"/>
      <c r="K25" s="40"/>
      <c r="L25" s="40"/>
      <c r="M25" s="22"/>
      <c r="N25" s="4"/>
      <c r="O25" s="22"/>
      <c r="P25" s="22"/>
      <c r="Q25" s="4"/>
      <c r="R25" s="22"/>
      <c r="S25" s="22"/>
      <c r="T25" s="4"/>
      <c r="U25" s="22"/>
      <c r="V25" s="22"/>
      <c r="W25" s="4"/>
      <c r="X25" s="22"/>
      <c r="Y25" s="22"/>
      <c r="Z25" s="4"/>
      <c r="AA25" s="22"/>
      <c r="AB25" s="22"/>
      <c r="AC25" s="4"/>
      <c r="AD25" s="22"/>
      <c r="AE25" s="22"/>
      <c r="AF25" s="4"/>
      <c r="AG25" s="22"/>
      <c r="AH25" s="22"/>
      <c r="AI25" s="4"/>
      <c r="AJ25" s="22"/>
      <c r="AK25" s="22"/>
      <c r="AL25" s="4"/>
      <c r="AM25" s="22"/>
      <c r="AN25" s="22"/>
      <c r="AO25" s="4"/>
      <c r="AP25" s="4"/>
      <c r="AQ25" s="4"/>
      <c r="AR25" s="22"/>
      <c r="AS25" s="22"/>
      <c r="AT25" s="4"/>
    </row>
    <row r="26" spans="2:46" s="2" customFormat="1" ht="120.75" customHeight="1">
      <c r="B26" s="1"/>
      <c r="C26" s="3"/>
      <c r="D26"/>
      <c r="E26"/>
      <c r="F26" s="40"/>
      <c r="G26" s="40"/>
      <c r="H26" s="40"/>
      <c r="I26" s="40"/>
      <c r="J26" s="40"/>
      <c r="K26" s="40"/>
      <c r="L26" s="40"/>
      <c r="M26" s="22"/>
      <c r="N26" s="4"/>
      <c r="O26" s="22"/>
      <c r="P26" s="22"/>
      <c r="Q26" s="4"/>
      <c r="R26" s="22"/>
      <c r="S26" s="22"/>
      <c r="T26" s="4"/>
      <c r="U26" s="22"/>
      <c r="V26" s="22"/>
      <c r="W26" s="4"/>
      <c r="X26" s="22"/>
      <c r="Y26" s="22"/>
      <c r="Z26" s="4"/>
      <c r="AA26" s="22"/>
      <c r="AB26" s="22"/>
      <c r="AC26" s="4"/>
      <c r="AD26" s="22"/>
      <c r="AE26" s="22"/>
      <c r="AF26" s="4"/>
      <c r="AG26" s="22"/>
      <c r="AH26" s="22"/>
      <c r="AI26" s="4"/>
      <c r="AJ26" s="22"/>
      <c r="AK26" s="22"/>
      <c r="AL26" s="4"/>
      <c r="AM26" s="22"/>
      <c r="AN26" s="22"/>
      <c r="AO26" s="4"/>
      <c r="AP26" s="4"/>
      <c r="AQ26" s="4"/>
      <c r="AR26" s="22"/>
      <c r="AS26" s="22"/>
      <c r="AT26" s="4"/>
    </row>
    <row r="27" spans="2:46" s="2" customFormat="1" ht="291" customHeight="1">
      <c r="B27" s="1"/>
      <c r="C27" s="3"/>
      <c r="D27"/>
      <c r="E27"/>
      <c r="F27" s="40"/>
      <c r="G27" s="40"/>
      <c r="H27" s="40"/>
      <c r="I27" s="40"/>
      <c r="J27" s="40"/>
      <c r="K27" s="40"/>
      <c r="L27" s="40"/>
      <c r="M27" s="22"/>
      <c r="N27" s="4"/>
      <c r="O27" s="22"/>
      <c r="P27" s="22"/>
      <c r="Q27" s="4"/>
      <c r="R27" s="22"/>
      <c r="S27" s="22"/>
      <c r="T27" s="4"/>
      <c r="U27" s="22"/>
      <c r="V27" s="22"/>
      <c r="W27" s="4"/>
      <c r="X27" s="22"/>
      <c r="Y27" s="22"/>
      <c r="Z27" s="4"/>
      <c r="AA27" s="22"/>
      <c r="AB27" s="22"/>
      <c r="AC27" s="4"/>
      <c r="AD27" s="22"/>
      <c r="AE27" s="22"/>
      <c r="AF27" s="4"/>
      <c r="AG27" s="22"/>
      <c r="AH27" s="22"/>
      <c r="AI27" s="4"/>
      <c r="AJ27" s="22"/>
      <c r="AK27" s="22"/>
      <c r="AL27" s="4"/>
      <c r="AM27" s="22"/>
      <c r="AN27" s="22"/>
      <c r="AO27" s="4"/>
      <c r="AP27" s="4"/>
      <c r="AQ27" s="4"/>
      <c r="AR27" s="22"/>
      <c r="AS27" s="22"/>
      <c r="AT27" s="4"/>
    </row>
    <row r="28" spans="2:46" s="2" customFormat="1" ht="226.15" customHeight="1">
      <c r="B28" s="1"/>
      <c r="C28" s="3"/>
      <c r="D28"/>
      <c r="E28"/>
      <c r="F28" s="40"/>
      <c r="G28" s="40"/>
      <c r="H28" s="40"/>
      <c r="I28" s="40"/>
      <c r="J28" s="40"/>
      <c r="K28" s="40"/>
      <c r="L28" s="40"/>
      <c r="M28" s="22"/>
      <c r="N28" s="4"/>
      <c r="O28" s="22"/>
      <c r="P28" s="22"/>
      <c r="Q28" s="4"/>
      <c r="R28" s="22"/>
      <c r="S28" s="22"/>
      <c r="T28" s="4"/>
      <c r="U28" s="22"/>
      <c r="V28" s="22"/>
      <c r="W28" s="4"/>
      <c r="X28" s="32"/>
      <c r="Y28" s="22"/>
      <c r="Z28" s="4"/>
      <c r="AA28" s="32"/>
      <c r="AB28" s="22"/>
      <c r="AC28" s="4"/>
      <c r="AD28" s="22"/>
      <c r="AE28" s="22"/>
      <c r="AF28" s="4"/>
      <c r="AG28" s="22"/>
      <c r="AH28" s="22"/>
      <c r="AI28" s="4"/>
      <c r="AJ28" s="22"/>
      <c r="AK28" s="22"/>
      <c r="AL28" s="4"/>
      <c r="AM28" s="22"/>
      <c r="AN28" s="22"/>
      <c r="AO28" s="4"/>
      <c r="AP28" s="4"/>
      <c r="AQ28" s="4"/>
      <c r="AR28" s="22"/>
      <c r="AS28" s="22"/>
      <c r="AT28" s="4"/>
    </row>
    <row r="29" spans="2:46" s="2" customFormat="1" ht="148.5" customHeight="1">
      <c r="B29" s="1"/>
      <c r="C29" s="3"/>
      <c r="D29"/>
      <c r="E29"/>
      <c r="F29" s="40"/>
      <c r="G29" s="40"/>
      <c r="H29" s="40"/>
      <c r="I29" s="40"/>
      <c r="J29" s="40"/>
      <c r="K29" s="40"/>
      <c r="L29" s="40"/>
      <c r="M29" s="22"/>
      <c r="N29" s="4"/>
      <c r="O29" s="22"/>
      <c r="P29" s="22"/>
      <c r="Q29" s="4"/>
      <c r="R29" s="22"/>
      <c r="S29" s="22"/>
      <c r="T29" s="4"/>
      <c r="U29" s="22"/>
      <c r="V29" s="22"/>
      <c r="W29" s="4"/>
      <c r="X29" s="22"/>
      <c r="Y29" s="22"/>
      <c r="Z29" s="4"/>
      <c r="AA29" s="22"/>
      <c r="AB29" s="22"/>
      <c r="AC29" s="4"/>
      <c r="AD29" s="22"/>
      <c r="AE29" s="22"/>
      <c r="AF29" s="4"/>
      <c r="AG29" s="22"/>
      <c r="AH29" s="22"/>
      <c r="AI29" s="4"/>
      <c r="AJ29" s="22"/>
      <c r="AK29" s="22"/>
      <c r="AL29" s="4"/>
      <c r="AM29" s="22"/>
      <c r="AN29" s="22"/>
      <c r="AO29" s="4"/>
      <c r="AP29" s="4"/>
      <c r="AQ29" s="4"/>
      <c r="AR29" s="22"/>
      <c r="AS29" s="22"/>
      <c r="AT29" s="4"/>
    </row>
    <row r="30" spans="2:46" s="2" customFormat="1" ht="124.5" customHeight="1">
      <c r="B30" s="1"/>
      <c r="C30" s="3"/>
      <c r="D30"/>
      <c r="E30"/>
      <c r="F30" s="40"/>
      <c r="G30" s="40"/>
      <c r="H30" s="40"/>
      <c r="I30" s="40"/>
      <c r="J30" s="40"/>
      <c r="K30" s="40"/>
      <c r="L30" s="40"/>
      <c r="M30" s="22"/>
      <c r="N30" s="4"/>
      <c r="O30" s="22"/>
      <c r="P30" s="22"/>
      <c r="Q30" s="4"/>
      <c r="R30" s="22"/>
      <c r="S30" s="22"/>
      <c r="T30" s="4"/>
      <c r="U30" s="22"/>
      <c r="V30" s="22"/>
      <c r="W30" s="4"/>
      <c r="X30" s="22"/>
      <c r="Y30" s="22"/>
      <c r="Z30" s="4"/>
      <c r="AA30" s="22"/>
      <c r="AB30" s="22"/>
      <c r="AC30" s="4"/>
      <c r="AD30" s="22"/>
      <c r="AE30" s="22"/>
      <c r="AF30" s="4"/>
      <c r="AG30" s="22"/>
      <c r="AH30" s="22"/>
      <c r="AI30" s="4"/>
      <c r="AJ30" s="22"/>
      <c r="AK30" s="22"/>
      <c r="AL30" s="4"/>
      <c r="AM30" s="22"/>
      <c r="AN30" s="22"/>
      <c r="AO30" s="4"/>
      <c r="AP30" s="4"/>
      <c r="AQ30" s="4"/>
      <c r="AR30" s="22"/>
      <c r="AS30" s="22"/>
      <c r="AT30" s="4"/>
    </row>
    <row r="31" spans="2:46" s="2" customFormat="1" ht="96.75" customHeight="1">
      <c r="B31" s="1"/>
      <c r="C31" s="3"/>
      <c r="D31"/>
      <c r="E31"/>
      <c r="F31" s="40"/>
      <c r="G31" s="40"/>
      <c r="H31" s="40"/>
      <c r="I31" s="40"/>
      <c r="J31" s="40"/>
      <c r="K31" s="40"/>
      <c r="L31" s="40"/>
      <c r="M31" s="22"/>
      <c r="N31" s="4"/>
      <c r="O31" s="22"/>
      <c r="P31" s="22"/>
      <c r="Q31" s="4"/>
      <c r="R31" s="22"/>
      <c r="S31" s="22"/>
      <c r="T31" s="4"/>
      <c r="U31" s="22"/>
      <c r="V31" s="22"/>
      <c r="W31" s="4"/>
      <c r="X31" s="22"/>
      <c r="Y31" s="22"/>
      <c r="Z31" s="4"/>
      <c r="AA31" s="22"/>
      <c r="AB31" s="22"/>
      <c r="AC31" s="4"/>
      <c r="AD31" s="22"/>
      <c r="AE31" s="22"/>
      <c r="AF31" s="4"/>
      <c r="AG31" s="22"/>
      <c r="AH31" s="22"/>
      <c r="AI31" s="4"/>
      <c r="AJ31" s="22"/>
      <c r="AK31" s="22"/>
      <c r="AL31" s="4"/>
      <c r="AM31" s="22"/>
      <c r="AN31" s="22"/>
      <c r="AO31" s="4"/>
      <c r="AP31" s="4"/>
      <c r="AQ31" s="4"/>
      <c r="AR31" s="22"/>
      <c r="AS31" s="22"/>
      <c r="AT31" s="4"/>
    </row>
    <row r="32" spans="2:46" s="2" customFormat="1" ht="137.25" customHeight="1">
      <c r="B32" s="1"/>
      <c r="C32" s="3"/>
      <c r="D32"/>
      <c r="E32"/>
      <c r="F32" s="40"/>
      <c r="G32" s="40"/>
      <c r="H32" s="40"/>
      <c r="I32" s="40"/>
      <c r="J32" s="40"/>
      <c r="K32" s="40"/>
      <c r="L32" s="40"/>
      <c r="M32" s="22"/>
      <c r="N32" s="4"/>
      <c r="O32" s="22"/>
      <c r="P32" s="22"/>
      <c r="Q32" s="4"/>
      <c r="R32" s="22"/>
      <c r="S32" s="22"/>
      <c r="T32" s="4"/>
      <c r="U32" s="22"/>
      <c r="V32" s="22"/>
      <c r="W32" s="4"/>
      <c r="X32" s="22"/>
      <c r="Y32" s="22"/>
      <c r="Z32" s="4"/>
      <c r="AA32" s="22"/>
      <c r="AB32" s="22"/>
      <c r="AC32" s="4"/>
      <c r="AD32" s="22"/>
      <c r="AE32" s="22"/>
      <c r="AF32" s="4"/>
      <c r="AG32" s="22"/>
      <c r="AH32" s="22"/>
      <c r="AI32" s="4"/>
      <c r="AJ32" s="22"/>
      <c r="AK32" s="22"/>
      <c r="AL32" s="4"/>
      <c r="AM32" s="22"/>
      <c r="AN32" s="22"/>
      <c r="AO32" s="4"/>
      <c r="AP32" s="4"/>
      <c r="AQ32" s="4"/>
      <c r="AR32" s="22"/>
      <c r="AS32" s="22"/>
      <c r="AT32" s="4"/>
    </row>
    <row r="33" spans="2:46" s="2" customFormat="1" ht="143.25" customHeight="1">
      <c r="B33" s="1"/>
      <c r="C33" s="3"/>
      <c r="D33"/>
      <c r="E33"/>
      <c r="F33" s="40"/>
      <c r="G33" s="40"/>
      <c r="H33" s="40"/>
      <c r="I33" s="40"/>
      <c r="J33" s="40"/>
      <c r="K33" s="40"/>
      <c r="L33" s="40"/>
      <c r="M33" s="22"/>
      <c r="N33" s="4"/>
      <c r="O33" s="22"/>
      <c r="P33" s="22"/>
      <c r="Q33" s="4"/>
      <c r="R33" s="22"/>
      <c r="S33" s="22"/>
      <c r="T33" s="4"/>
      <c r="U33" s="22"/>
      <c r="V33" s="22"/>
      <c r="W33" s="4"/>
      <c r="X33" s="22"/>
      <c r="Y33" s="22"/>
      <c r="Z33" s="4"/>
      <c r="AA33" s="22"/>
      <c r="AB33" s="22"/>
      <c r="AC33" s="4"/>
      <c r="AD33" s="22"/>
      <c r="AE33" s="22"/>
      <c r="AF33" s="4"/>
      <c r="AG33" s="22"/>
      <c r="AH33" s="22"/>
      <c r="AI33" s="4"/>
      <c r="AJ33" s="22"/>
      <c r="AK33" s="22"/>
      <c r="AL33" s="4"/>
      <c r="AM33" s="22"/>
      <c r="AN33" s="22"/>
      <c r="AO33" s="4"/>
      <c r="AP33" s="4"/>
      <c r="AQ33" s="4"/>
      <c r="AR33" s="22"/>
      <c r="AS33" s="22"/>
      <c r="AT33" s="4"/>
    </row>
    <row r="34" spans="2:46" s="2" customFormat="1" ht="147" customHeight="1">
      <c r="B34" s="1"/>
      <c r="C34" s="3"/>
      <c r="D34"/>
      <c r="E34"/>
      <c r="F34" s="40"/>
      <c r="G34" s="40"/>
      <c r="H34" s="40"/>
      <c r="I34" s="40"/>
      <c r="J34" s="40"/>
      <c r="K34" s="40"/>
      <c r="L34" s="40"/>
      <c r="M34" s="22"/>
      <c r="N34" s="4"/>
      <c r="O34" s="22"/>
      <c r="P34" s="22"/>
      <c r="Q34" s="4"/>
      <c r="R34" s="22"/>
      <c r="S34" s="22"/>
      <c r="T34" s="4"/>
      <c r="U34" s="22"/>
      <c r="V34" s="22"/>
      <c r="W34" s="4"/>
      <c r="X34" s="22"/>
      <c r="Y34" s="22"/>
      <c r="Z34" s="4"/>
      <c r="AA34" s="22"/>
      <c r="AB34" s="22"/>
      <c r="AC34" s="4"/>
      <c r="AD34" s="22"/>
      <c r="AE34" s="22"/>
      <c r="AF34" s="4"/>
      <c r="AG34" s="22"/>
      <c r="AH34" s="22"/>
      <c r="AI34" s="4"/>
      <c r="AJ34" s="22"/>
      <c r="AK34" s="22"/>
      <c r="AL34" s="4"/>
      <c r="AM34" s="22"/>
      <c r="AN34" s="22"/>
      <c r="AO34" s="4"/>
      <c r="AP34" s="4"/>
      <c r="AQ34" s="4"/>
      <c r="AR34" s="22"/>
      <c r="AS34" s="22"/>
      <c r="AT34" s="4"/>
    </row>
    <row r="35" spans="2:46" s="2" customFormat="1" ht="148.5" customHeight="1">
      <c r="B35" s="1"/>
      <c r="C35" s="3"/>
      <c r="D35"/>
      <c r="E35"/>
      <c r="F35" s="40"/>
      <c r="G35" s="40"/>
      <c r="H35" s="40"/>
      <c r="I35" s="40"/>
      <c r="J35" s="40"/>
      <c r="K35" s="40"/>
      <c r="L35" s="40"/>
      <c r="M35" s="22"/>
      <c r="N35" s="4"/>
      <c r="O35" s="22"/>
      <c r="P35" s="22"/>
      <c r="Q35" s="4"/>
      <c r="R35" s="22"/>
      <c r="S35" s="22"/>
      <c r="T35" s="4"/>
      <c r="U35" s="22"/>
      <c r="V35" s="22"/>
      <c r="W35" s="4"/>
      <c r="X35" s="22"/>
      <c r="Y35" s="22"/>
      <c r="Z35" s="4"/>
      <c r="AA35" s="22"/>
      <c r="AB35" s="22"/>
      <c r="AC35" s="4"/>
      <c r="AD35" s="22"/>
      <c r="AE35" s="22"/>
      <c r="AF35" s="4"/>
      <c r="AG35" s="22"/>
      <c r="AH35" s="22"/>
      <c r="AI35" s="4"/>
      <c r="AJ35" s="22"/>
      <c r="AK35" s="22"/>
      <c r="AL35" s="4"/>
      <c r="AM35" s="22"/>
      <c r="AN35" s="22"/>
      <c r="AO35" s="4"/>
      <c r="AP35" s="4"/>
      <c r="AQ35" s="4"/>
      <c r="AR35" s="22"/>
      <c r="AS35" s="22"/>
      <c r="AT35" s="4"/>
    </row>
    <row r="36" spans="2:46" s="2" customFormat="1" ht="150" customHeight="1">
      <c r="B36" s="1"/>
      <c r="C36" s="3"/>
      <c r="D36"/>
      <c r="E36"/>
      <c r="F36" s="40"/>
      <c r="G36" s="40"/>
      <c r="H36" s="40"/>
      <c r="I36" s="40"/>
      <c r="J36" s="40"/>
      <c r="K36" s="40"/>
      <c r="L36" s="40"/>
      <c r="M36" s="22"/>
      <c r="N36" s="4"/>
      <c r="O36" s="22"/>
      <c r="P36" s="22"/>
      <c r="Q36" s="4"/>
      <c r="R36" s="22"/>
      <c r="S36" s="22"/>
      <c r="T36" s="4"/>
      <c r="U36" s="22"/>
      <c r="V36" s="22"/>
      <c r="W36" s="4"/>
      <c r="X36" s="22"/>
      <c r="Y36" s="22"/>
      <c r="Z36" s="4"/>
      <c r="AA36" s="22"/>
      <c r="AB36" s="22"/>
      <c r="AC36" s="4"/>
      <c r="AD36" s="22"/>
      <c r="AE36" s="22"/>
      <c r="AF36" s="4"/>
      <c r="AG36" s="22"/>
      <c r="AH36" s="22"/>
      <c r="AI36" s="4"/>
      <c r="AJ36" s="22"/>
      <c r="AK36" s="22"/>
      <c r="AL36" s="4"/>
      <c r="AM36" s="22"/>
      <c r="AN36" s="22"/>
      <c r="AO36" s="4"/>
      <c r="AP36" s="4"/>
      <c r="AQ36" s="4"/>
      <c r="AR36" s="22"/>
      <c r="AS36" s="22"/>
      <c r="AT36" s="4"/>
    </row>
    <row r="37" spans="2:46" s="2" customFormat="1" ht="220.5" customHeight="1">
      <c r="B37" s="1"/>
      <c r="C37" s="3"/>
      <c r="D37"/>
      <c r="E37"/>
      <c r="F37" s="40"/>
      <c r="G37" s="40"/>
      <c r="H37" s="40"/>
      <c r="I37" s="40"/>
      <c r="J37" s="40"/>
      <c r="K37" s="40"/>
      <c r="L37" s="40"/>
      <c r="M37" s="22"/>
      <c r="N37" s="4"/>
      <c r="O37" s="22"/>
      <c r="P37" s="22"/>
      <c r="Q37" s="4"/>
      <c r="R37" s="22"/>
      <c r="S37" s="22"/>
      <c r="T37" s="4"/>
      <c r="U37" s="22"/>
      <c r="V37" s="22"/>
      <c r="W37" s="4"/>
      <c r="X37" s="22"/>
      <c r="Y37" s="22"/>
      <c r="Z37" s="4"/>
      <c r="AA37" s="22"/>
      <c r="AB37" s="22"/>
      <c r="AC37" s="4"/>
      <c r="AD37" s="22"/>
      <c r="AE37" s="22"/>
      <c r="AF37" s="4"/>
      <c r="AG37" s="22"/>
      <c r="AH37" s="22"/>
      <c r="AI37" s="4"/>
      <c r="AJ37" s="22"/>
      <c r="AK37" s="22"/>
      <c r="AL37" s="4"/>
      <c r="AM37" s="22"/>
      <c r="AN37" s="22"/>
      <c r="AO37" s="4"/>
      <c r="AP37" s="4"/>
      <c r="AQ37" s="4"/>
      <c r="AR37" s="22"/>
      <c r="AS37" s="22"/>
      <c r="AT37" s="4"/>
    </row>
    <row r="38" spans="2:46" s="2" customFormat="1" ht="113.25" customHeight="1">
      <c r="B38" s="1"/>
      <c r="C38" s="3"/>
      <c r="D38"/>
      <c r="E38"/>
      <c r="F38" s="40"/>
      <c r="G38" s="40"/>
      <c r="H38" s="40"/>
      <c r="I38" s="40"/>
      <c r="J38" s="40"/>
      <c r="K38" s="40"/>
      <c r="L38" s="40"/>
      <c r="M38" s="22"/>
      <c r="N38" s="4"/>
      <c r="O38" s="22"/>
      <c r="P38" s="22"/>
      <c r="Q38" s="4"/>
      <c r="R38" s="22"/>
      <c r="S38" s="22"/>
      <c r="T38" s="4"/>
      <c r="U38" s="22"/>
      <c r="V38" s="22"/>
      <c r="W38" s="4"/>
      <c r="X38" s="22"/>
      <c r="Y38" s="22"/>
      <c r="Z38" s="4"/>
      <c r="AA38" s="22"/>
      <c r="AB38" s="22"/>
      <c r="AC38" s="4"/>
      <c r="AD38" s="22"/>
      <c r="AE38" s="22"/>
      <c r="AF38" s="4"/>
      <c r="AG38" s="22"/>
      <c r="AH38" s="22"/>
      <c r="AI38" s="4"/>
      <c r="AJ38" s="22"/>
      <c r="AK38" s="22"/>
      <c r="AL38" s="4"/>
      <c r="AM38" s="22"/>
      <c r="AN38" s="22"/>
      <c r="AO38" s="4"/>
      <c r="AP38" s="4"/>
      <c r="AQ38" s="4"/>
      <c r="AR38" s="22"/>
      <c r="AS38" s="22"/>
      <c r="AT38" s="4"/>
    </row>
    <row r="39" spans="2:46" s="2" customFormat="1" ht="97.5" customHeight="1">
      <c r="B39" s="1"/>
      <c r="C39" s="3"/>
      <c r="D39"/>
      <c r="E39"/>
      <c r="F39" s="40"/>
      <c r="G39" s="40"/>
      <c r="H39" s="40"/>
      <c r="I39" s="40"/>
      <c r="J39" s="40"/>
      <c r="K39" s="40"/>
      <c r="L39" s="40"/>
      <c r="M39" s="22"/>
      <c r="N39" s="4"/>
      <c r="O39" s="22"/>
      <c r="P39" s="22"/>
      <c r="Q39" s="4"/>
      <c r="R39" s="22"/>
      <c r="S39" s="22"/>
      <c r="T39" s="4"/>
      <c r="U39" s="22"/>
      <c r="V39" s="22"/>
      <c r="W39" s="4"/>
      <c r="X39" s="22"/>
      <c r="Y39" s="22"/>
      <c r="Z39" s="4"/>
      <c r="AA39" s="22"/>
      <c r="AB39" s="22"/>
      <c r="AC39" s="4"/>
      <c r="AD39" s="22"/>
      <c r="AE39" s="22"/>
      <c r="AF39" s="4"/>
      <c r="AG39" s="22"/>
      <c r="AH39" s="22"/>
      <c r="AI39" s="4"/>
      <c r="AJ39" s="22"/>
      <c r="AK39" s="22"/>
      <c r="AL39" s="4"/>
      <c r="AM39" s="22"/>
      <c r="AN39" s="22"/>
      <c r="AO39" s="4"/>
      <c r="AP39" s="4"/>
      <c r="AQ39" s="4"/>
      <c r="AR39" s="22"/>
      <c r="AS39" s="22"/>
      <c r="AT39" s="4"/>
    </row>
    <row r="40" spans="2:46" s="2" customFormat="1" ht="201" customHeight="1">
      <c r="B40" s="1"/>
      <c r="C40" s="3"/>
      <c r="D40"/>
      <c r="E40"/>
      <c r="F40" s="40"/>
      <c r="G40" s="40"/>
      <c r="H40" s="40"/>
      <c r="I40" s="40"/>
      <c r="J40" s="40"/>
      <c r="K40" s="40"/>
      <c r="L40" s="40"/>
      <c r="M40" s="22"/>
      <c r="N40" s="4"/>
      <c r="O40" s="22"/>
      <c r="P40" s="22"/>
      <c r="Q40" s="4"/>
      <c r="R40" s="22"/>
      <c r="S40" s="22"/>
      <c r="T40" s="4"/>
      <c r="U40" s="22"/>
      <c r="V40" s="22"/>
      <c r="W40" s="4"/>
      <c r="X40" s="22"/>
      <c r="Y40" s="22"/>
      <c r="Z40" s="4"/>
      <c r="AA40" s="22"/>
      <c r="AB40" s="22"/>
      <c r="AC40" s="4"/>
      <c r="AD40" s="22"/>
      <c r="AE40" s="22"/>
      <c r="AF40" s="4"/>
      <c r="AG40" s="22"/>
      <c r="AH40" s="22"/>
      <c r="AI40" s="4"/>
      <c r="AJ40" s="22"/>
      <c r="AK40" s="22"/>
      <c r="AL40" s="4"/>
      <c r="AM40" s="22"/>
      <c r="AN40" s="22"/>
      <c r="AO40" s="4"/>
      <c r="AP40" s="4"/>
      <c r="AQ40" s="4"/>
      <c r="AR40" s="22"/>
      <c r="AS40" s="22"/>
      <c r="AT40" s="4"/>
    </row>
    <row r="41" spans="2:46" s="2" customFormat="1" ht="125.25" customHeight="1">
      <c r="B41" s="1"/>
      <c r="C41" s="3"/>
      <c r="D41"/>
      <c r="E41"/>
      <c r="F41" s="40"/>
      <c r="G41" s="40"/>
      <c r="H41" s="40"/>
      <c r="I41" s="40"/>
      <c r="J41" s="40"/>
      <c r="K41" s="40"/>
      <c r="L41" s="40"/>
      <c r="M41" s="22"/>
      <c r="N41" s="4"/>
      <c r="O41" s="22"/>
      <c r="P41" s="22"/>
      <c r="Q41" s="4"/>
      <c r="R41" s="22"/>
      <c r="S41" s="22"/>
      <c r="T41" s="4"/>
      <c r="U41" s="22"/>
      <c r="V41" s="22"/>
      <c r="W41" s="4"/>
      <c r="X41" s="22"/>
      <c r="Y41" s="22"/>
      <c r="Z41" s="4"/>
      <c r="AA41" s="22"/>
      <c r="AB41" s="22"/>
      <c r="AC41" s="4"/>
      <c r="AD41" s="22"/>
      <c r="AE41" s="22"/>
      <c r="AF41" s="4"/>
      <c r="AG41" s="22"/>
      <c r="AH41" s="22"/>
      <c r="AI41" s="4"/>
      <c r="AJ41" s="22"/>
      <c r="AK41" s="22"/>
      <c r="AL41" s="4"/>
      <c r="AM41" s="22"/>
      <c r="AN41" s="22"/>
      <c r="AO41" s="4"/>
      <c r="AP41" s="4"/>
      <c r="AQ41" s="4"/>
      <c r="AR41" s="22"/>
      <c r="AS41" s="22"/>
      <c r="AT41" s="4"/>
    </row>
    <row r="42" spans="2:46" s="2" customFormat="1" ht="138.75" customHeight="1">
      <c r="B42" s="1"/>
      <c r="C42" s="3"/>
      <c r="D42"/>
      <c r="E42"/>
      <c r="F42" s="40"/>
      <c r="G42" s="40"/>
      <c r="H42" s="40"/>
      <c r="I42" s="40"/>
      <c r="J42" s="40"/>
      <c r="K42" s="40"/>
      <c r="L42" s="40"/>
      <c r="M42" s="22"/>
      <c r="N42" s="4"/>
      <c r="O42" s="22"/>
      <c r="P42" s="22"/>
      <c r="Q42" s="4"/>
      <c r="R42" s="22"/>
      <c r="S42" s="22"/>
      <c r="T42" s="4"/>
      <c r="U42" s="22"/>
      <c r="V42" s="22"/>
      <c r="W42" s="4"/>
      <c r="X42" s="22"/>
      <c r="Y42" s="22"/>
      <c r="Z42" s="4"/>
      <c r="AA42" s="22"/>
      <c r="AB42" s="22"/>
      <c r="AC42" s="4"/>
      <c r="AD42" s="22"/>
      <c r="AE42" s="22"/>
      <c r="AF42" s="4"/>
      <c r="AG42" s="22"/>
      <c r="AH42" s="22"/>
      <c r="AI42" s="4"/>
      <c r="AJ42" s="22"/>
      <c r="AK42" s="22"/>
      <c r="AL42" s="4"/>
      <c r="AM42" s="22"/>
      <c r="AN42" s="22"/>
      <c r="AO42" s="4"/>
      <c r="AP42" s="4"/>
      <c r="AQ42" s="4"/>
      <c r="AR42" s="22"/>
      <c r="AS42" s="22"/>
      <c r="AT42" s="4"/>
    </row>
    <row r="43" spans="2:46" s="2" customFormat="1" ht="114.75" customHeight="1">
      <c r="B43" s="1"/>
      <c r="C43" s="3"/>
      <c r="D43"/>
      <c r="E43"/>
      <c r="F43" s="40"/>
      <c r="G43" s="40"/>
      <c r="H43" s="40"/>
      <c r="I43" s="40"/>
      <c r="J43" s="40"/>
      <c r="K43" s="40"/>
      <c r="L43" s="40"/>
      <c r="M43" s="22"/>
      <c r="N43" s="4"/>
      <c r="O43" s="22"/>
      <c r="P43" s="22"/>
      <c r="Q43" s="4"/>
      <c r="R43" s="22"/>
      <c r="S43" s="22"/>
      <c r="T43" s="4"/>
      <c r="U43" s="22"/>
      <c r="V43" s="22"/>
      <c r="W43" s="4"/>
      <c r="X43" s="22"/>
      <c r="Y43" s="22"/>
      <c r="Z43" s="4"/>
      <c r="AA43" s="22"/>
      <c r="AB43" s="22"/>
      <c r="AC43" s="4"/>
      <c r="AD43" s="22"/>
      <c r="AE43" s="22"/>
      <c r="AF43" s="4"/>
      <c r="AG43" s="22"/>
      <c r="AH43" s="22"/>
      <c r="AI43" s="4"/>
      <c r="AJ43" s="22"/>
      <c r="AK43" s="22"/>
      <c r="AL43" s="4"/>
      <c r="AM43" s="22"/>
      <c r="AN43" s="22"/>
      <c r="AO43" s="4"/>
      <c r="AP43" s="4"/>
      <c r="AQ43" s="4"/>
      <c r="AR43" s="22"/>
      <c r="AS43" s="22"/>
      <c r="AT43" s="4"/>
    </row>
    <row r="44" spans="2:46" s="2" customFormat="1" ht="137.25" customHeight="1">
      <c r="B44" s="1"/>
      <c r="C44" s="3"/>
      <c r="D44"/>
      <c r="E44"/>
      <c r="F44" s="40"/>
      <c r="G44" s="40"/>
      <c r="H44" s="40"/>
      <c r="I44" s="40"/>
      <c r="J44" s="40"/>
      <c r="K44" s="40"/>
      <c r="L44" s="40"/>
      <c r="M44" s="22"/>
      <c r="N44" s="4"/>
      <c r="O44" s="22"/>
      <c r="P44" s="22"/>
      <c r="Q44" s="4"/>
      <c r="R44" s="22"/>
      <c r="S44" s="22"/>
      <c r="T44" s="4"/>
      <c r="U44" s="22"/>
      <c r="V44" s="22"/>
      <c r="W44" s="4"/>
      <c r="X44" s="22"/>
      <c r="Y44" s="22"/>
      <c r="Z44" s="4"/>
      <c r="AA44" s="22"/>
      <c r="AB44" s="22"/>
      <c r="AC44" s="4"/>
      <c r="AD44" s="22"/>
      <c r="AE44" s="22"/>
      <c r="AF44" s="4"/>
      <c r="AG44" s="22"/>
      <c r="AH44" s="22"/>
      <c r="AI44" s="4"/>
      <c r="AJ44" s="22"/>
      <c r="AK44" s="22"/>
      <c r="AL44" s="4"/>
      <c r="AM44" s="22"/>
      <c r="AN44" s="22"/>
      <c r="AO44" s="4"/>
      <c r="AP44" s="4"/>
      <c r="AQ44" s="4"/>
      <c r="AR44" s="22"/>
      <c r="AS44" s="22"/>
      <c r="AT44" s="4"/>
    </row>
    <row r="45" spans="2:46" s="2" customFormat="1" ht="123.75" customHeight="1">
      <c r="B45" s="1"/>
      <c r="C45" s="3"/>
      <c r="D45"/>
      <c r="E45"/>
      <c r="F45" s="40"/>
      <c r="G45" s="40"/>
      <c r="H45" s="40"/>
      <c r="I45" s="40"/>
      <c r="J45" s="40"/>
      <c r="K45" s="40"/>
      <c r="L45" s="40"/>
      <c r="M45" s="22"/>
      <c r="N45" s="4"/>
      <c r="O45" s="22"/>
      <c r="P45" s="22"/>
      <c r="Q45" s="4"/>
      <c r="R45" s="22"/>
      <c r="S45" s="22"/>
      <c r="T45" s="4"/>
      <c r="U45" s="22"/>
      <c r="V45" s="22"/>
      <c r="W45" s="4"/>
      <c r="X45" s="22"/>
      <c r="Y45" s="22"/>
      <c r="Z45" s="4"/>
      <c r="AA45" s="22"/>
      <c r="AB45" s="22"/>
      <c r="AC45" s="4"/>
      <c r="AD45" s="22"/>
      <c r="AE45" s="22"/>
      <c r="AF45" s="4"/>
      <c r="AG45" s="22"/>
      <c r="AH45" s="22"/>
      <c r="AI45" s="4"/>
      <c r="AJ45" s="22"/>
      <c r="AK45" s="22"/>
      <c r="AL45" s="4"/>
      <c r="AM45" s="22"/>
      <c r="AN45" s="22"/>
      <c r="AO45" s="4"/>
      <c r="AP45" s="4"/>
      <c r="AQ45" s="4"/>
      <c r="AR45" s="22"/>
      <c r="AS45" s="22"/>
      <c r="AT45" s="4"/>
    </row>
    <row r="46" spans="2:46" s="2" customFormat="1" ht="100.5" customHeight="1">
      <c r="B46" s="1"/>
      <c r="C46" s="3"/>
      <c r="D46"/>
      <c r="E46"/>
      <c r="F46" s="40"/>
      <c r="G46" s="40"/>
      <c r="H46" s="40"/>
      <c r="I46" s="40"/>
      <c r="J46" s="40"/>
      <c r="K46" s="40"/>
      <c r="L46" s="40"/>
      <c r="M46" s="22"/>
      <c r="N46" s="4"/>
      <c r="O46" s="22"/>
      <c r="P46" s="22"/>
      <c r="Q46" s="4"/>
      <c r="R46" s="22"/>
      <c r="S46" s="22"/>
      <c r="T46" s="4"/>
      <c r="U46" s="22"/>
      <c r="V46" s="22"/>
      <c r="W46" s="4"/>
      <c r="X46" s="22"/>
      <c r="Y46" s="22"/>
      <c r="Z46" s="4"/>
      <c r="AA46" s="22"/>
      <c r="AB46" s="22"/>
      <c r="AC46" s="4"/>
      <c r="AD46" s="22"/>
      <c r="AE46" s="22"/>
      <c r="AF46" s="4"/>
      <c r="AG46" s="22"/>
      <c r="AH46" s="22"/>
      <c r="AI46" s="4"/>
      <c r="AJ46" s="22"/>
      <c r="AK46" s="22"/>
      <c r="AL46" s="4"/>
      <c r="AM46" s="22"/>
      <c r="AN46" s="22"/>
      <c r="AO46" s="4"/>
      <c r="AP46" s="4"/>
      <c r="AQ46" s="4"/>
      <c r="AR46" s="22"/>
      <c r="AS46" s="22"/>
      <c r="AT46" s="4"/>
    </row>
    <row r="47" spans="2:46" s="2" customFormat="1" ht="108.75" customHeight="1">
      <c r="B47" s="1"/>
      <c r="C47" s="3"/>
      <c r="D47"/>
      <c r="E47"/>
      <c r="F47" s="40"/>
      <c r="G47" s="40"/>
      <c r="H47" s="40"/>
      <c r="I47" s="40"/>
      <c r="J47" s="40"/>
      <c r="K47" s="40"/>
      <c r="L47" s="40"/>
      <c r="M47" s="22"/>
      <c r="N47" s="4"/>
      <c r="O47" s="22"/>
      <c r="P47" s="22"/>
      <c r="Q47" s="4"/>
      <c r="R47" s="22"/>
      <c r="S47" s="22"/>
      <c r="T47" s="4"/>
      <c r="U47" s="22"/>
      <c r="V47" s="22"/>
      <c r="W47" s="4"/>
      <c r="X47" s="22"/>
      <c r="Y47" s="22"/>
      <c r="Z47" s="4"/>
      <c r="AA47" s="22"/>
      <c r="AB47" s="22"/>
      <c r="AC47" s="4"/>
      <c r="AD47" s="22"/>
      <c r="AE47" s="22"/>
      <c r="AF47" s="4"/>
      <c r="AG47" s="22"/>
      <c r="AH47" s="22"/>
      <c r="AI47" s="4"/>
      <c r="AJ47" s="22"/>
      <c r="AK47" s="22"/>
      <c r="AL47" s="4"/>
      <c r="AM47" s="22"/>
      <c r="AN47" s="22"/>
      <c r="AO47" s="4"/>
      <c r="AP47" s="4"/>
      <c r="AQ47" s="4"/>
      <c r="AR47" s="22"/>
      <c r="AS47" s="22"/>
      <c r="AT47" s="4"/>
    </row>
    <row r="48" spans="2:46" ht="126.75" customHeight="1">
      <c r="B48" s="1"/>
      <c r="C48" s="3"/>
    </row>
    <row r="49" spans="2:46" ht="123.75" customHeight="1">
      <c r="B49" s="1"/>
      <c r="C49" s="3"/>
    </row>
    <row r="50" spans="2:46" ht="131.25" customHeight="1">
      <c r="B50" s="1"/>
      <c r="C50" s="3"/>
    </row>
    <row r="51" spans="2:46" ht="112.5" customHeight="1">
      <c r="B51" s="1"/>
      <c r="C51" s="3"/>
    </row>
    <row r="52" spans="2:46" ht="143.25" customHeight="1">
      <c r="B52" s="1"/>
      <c r="C52" s="3"/>
    </row>
    <row r="53" spans="2:46" ht="121.5" customHeight="1">
      <c r="B53" s="1"/>
      <c r="C53" s="3"/>
    </row>
    <row r="54" spans="2:46" ht="102" customHeight="1">
      <c r="B54" s="1"/>
      <c r="C54" s="3"/>
    </row>
    <row r="55" spans="2:46" ht="120" customHeight="1">
      <c r="B55" s="1"/>
      <c r="C55" s="3"/>
    </row>
    <row r="56" spans="2:46" s="2" customFormat="1" ht="123.75" customHeight="1">
      <c r="B56" s="1"/>
      <c r="C56" s="3"/>
      <c r="D56"/>
      <c r="E56"/>
      <c r="F56" s="40"/>
      <c r="G56" s="40"/>
      <c r="H56" s="40"/>
      <c r="I56" s="40"/>
      <c r="J56" s="40"/>
      <c r="K56" s="40"/>
      <c r="L56" s="40"/>
      <c r="M56" s="22"/>
      <c r="N56" s="4"/>
      <c r="O56" s="22"/>
      <c r="P56" s="22"/>
      <c r="Q56" s="4"/>
      <c r="R56" s="22"/>
      <c r="S56" s="22"/>
      <c r="T56" s="4"/>
      <c r="U56" s="22"/>
      <c r="V56" s="22"/>
      <c r="W56" s="4"/>
      <c r="X56" s="22"/>
      <c r="Y56" s="22"/>
      <c r="Z56" s="4"/>
      <c r="AA56" s="22"/>
      <c r="AB56" s="22"/>
      <c r="AC56" s="4"/>
      <c r="AD56" s="22"/>
      <c r="AE56" s="22"/>
      <c r="AF56" s="4"/>
      <c r="AG56" s="22"/>
      <c r="AH56" s="22"/>
      <c r="AI56" s="4"/>
      <c r="AJ56" s="22"/>
      <c r="AK56" s="22"/>
      <c r="AL56" s="4"/>
      <c r="AM56" s="22"/>
      <c r="AN56" s="22"/>
      <c r="AO56" s="4"/>
      <c r="AP56" s="4"/>
      <c r="AQ56" s="4"/>
      <c r="AR56" s="22"/>
      <c r="AS56" s="22"/>
      <c r="AT56" s="4"/>
    </row>
    <row r="57" spans="2:46" s="2" customFormat="1" ht="116.25" customHeight="1">
      <c r="B57" s="1"/>
      <c r="C57" s="3"/>
      <c r="D57"/>
      <c r="E57"/>
      <c r="F57" s="40"/>
      <c r="G57" s="40"/>
      <c r="H57" s="40"/>
      <c r="I57" s="40"/>
      <c r="J57" s="40"/>
      <c r="K57" s="40"/>
      <c r="L57" s="40"/>
      <c r="M57" s="22"/>
      <c r="N57" s="4"/>
      <c r="O57" s="22"/>
      <c r="P57" s="22"/>
      <c r="Q57" s="4"/>
      <c r="R57" s="22"/>
      <c r="S57" s="22"/>
      <c r="T57" s="4"/>
      <c r="U57" s="22"/>
      <c r="V57" s="22"/>
      <c r="W57" s="4"/>
      <c r="X57" s="22"/>
      <c r="Y57" s="22"/>
      <c r="Z57" s="4"/>
      <c r="AA57" s="22"/>
      <c r="AB57" s="22"/>
      <c r="AC57" s="4"/>
      <c r="AD57" s="22"/>
      <c r="AE57" s="22"/>
      <c r="AF57" s="4"/>
      <c r="AG57" s="22"/>
      <c r="AH57" s="22"/>
      <c r="AI57" s="4"/>
      <c r="AJ57" s="22"/>
      <c r="AK57" s="22"/>
      <c r="AL57" s="4"/>
      <c r="AM57" s="22"/>
      <c r="AN57" s="22"/>
      <c r="AO57" s="4"/>
      <c r="AP57" s="4"/>
      <c r="AQ57" s="4"/>
      <c r="AR57" s="22"/>
      <c r="AS57" s="22"/>
      <c r="AT57" s="4"/>
    </row>
    <row r="58" spans="2:46" s="2" customFormat="1" ht="150.75" customHeight="1">
      <c r="B58" s="1"/>
      <c r="C58" s="3"/>
      <c r="D58"/>
      <c r="E58"/>
      <c r="F58" s="40"/>
      <c r="G58" s="40"/>
      <c r="H58" s="40"/>
      <c r="I58" s="40"/>
      <c r="J58" s="40"/>
      <c r="K58" s="40"/>
      <c r="L58" s="40"/>
      <c r="M58" s="22"/>
      <c r="N58" s="4"/>
      <c r="O58" s="22"/>
      <c r="P58" s="22"/>
      <c r="Q58" s="4"/>
      <c r="R58" s="22"/>
      <c r="S58" s="22"/>
      <c r="T58" s="4"/>
      <c r="U58" s="22"/>
      <c r="V58" s="22"/>
      <c r="W58" s="4"/>
      <c r="X58" s="22"/>
      <c r="Y58" s="22"/>
      <c r="Z58" s="4"/>
      <c r="AA58" s="22"/>
      <c r="AB58" s="22"/>
      <c r="AC58" s="4"/>
      <c r="AD58" s="22"/>
      <c r="AE58" s="22"/>
      <c r="AF58" s="4"/>
      <c r="AG58" s="22"/>
      <c r="AH58" s="22"/>
      <c r="AI58" s="4"/>
      <c r="AJ58" s="22"/>
      <c r="AK58" s="22"/>
      <c r="AL58" s="4"/>
      <c r="AM58" s="22"/>
      <c r="AN58" s="22"/>
      <c r="AO58" s="4"/>
      <c r="AP58" s="4"/>
      <c r="AQ58" s="4"/>
      <c r="AR58" s="22"/>
      <c r="AS58" s="22"/>
      <c r="AT58" s="4"/>
    </row>
    <row r="59" spans="2:46" s="2" customFormat="1" ht="123" customHeight="1">
      <c r="B59" s="1"/>
      <c r="C59" s="3"/>
      <c r="D59"/>
      <c r="E59"/>
      <c r="F59" s="40"/>
      <c r="G59" s="40"/>
      <c r="H59" s="40"/>
      <c r="I59" s="40"/>
      <c r="J59" s="40"/>
      <c r="K59" s="40"/>
      <c r="L59" s="40"/>
      <c r="M59" s="22"/>
      <c r="N59" s="4"/>
      <c r="O59" s="22"/>
      <c r="P59" s="22"/>
      <c r="Q59" s="4"/>
      <c r="R59" s="22"/>
      <c r="S59" s="22"/>
      <c r="T59" s="4"/>
      <c r="U59" s="22"/>
      <c r="V59" s="22"/>
      <c r="W59" s="4"/>
      <c r="X59" s="22"/>
      <c r="Y59" s="22"/>
      <c r="Z59" s="4"/>
      <c r="AA59" s="22"/>
      <c r="AB59" s="22"/>
      <c r="AC59" s="4"/>
      <c r="AD59" s="22"/>
      <c r="AE59" s="22"/>
      <c r="AF59" s="4"/>
      <c r="AG59" s="22"/>
      <c r="AH59" s="22"/>
      <c r="AI59" s="4"/>
      <c r="AJ59" s="22"/>
      <c r="AK59" s="22"/>
      <c r="AL59" s="4"/>
      <c r="AM59" s="22"/>
      <c r="AN59" s="22"/>
      <c r="AO59" s="4"/>
      <c r="AP59" s="4"/>
      <c r="AQ59" s="4"/>
      <c r="AR59" s="22"/>
      <c r="AS59" s="22"/>
      <c r="AT59" s="4"/>
    </row>
    <row r="60" spans="2:46" s="2" customFormat="1" ht="166.5" customHeight="1">
      <c r="B60" s="1"/>
      <c r="C60" s="3"/>
      <c r="D60"/>
      <c r="E60"/>
      <c r="F60" s="40"/>
      <c r="G60" s="40"/>
      <c r="H60" s="40"/>
      <c r="I60" s="40"/>
      <c r="J60" s="40"/>
      <c r="K60" s="40"/>
      <c r="L60" s="40"/>
      <c r="M60" s="22"/>
      <c r="N60" s="4"/>
      <c r="O60" s="22"/>
      <c r="P60" s="22"/>
      <c r="Q60" s="4"/>
      <c r="R60" s="22"/>
      <c r="S60" s="22"/>
      <c r="T60" s="4"/>
      <c r="U60" s="22"/>
      <c r="V60" s="22"/>
      <c r="W60" s="4"/>
      <c r="X60" s="22"/>
      <c r="Y60" s="22"/>
      <c r="Z60" s="4"/>
      <c r="AA60" s="22"/>
      <c r="AB60" s="22"/>
      <c r="AC60" s="4"/>
      <c r="AD60" s="22"/>
      <c r="AE60" s="22"/>
      <c r="AF60" s="4"/>
      <c r="AG60" s="22"/>
      <c r="AH60" s="22"/>
      <c r="AI60" s="4"/>
      <c r="AJ60" s="22"/>
      <c r="AK60" s="22"/>
      <c r="AL60" s="4"/>
      <c r="AM60" s="22"/>
      <c r="AN60" s="22"/>
      <c r="AO60" s="4"/>
      <c r="AP60" s="4"/>
      <c r="AQ60" s="4"/>
      <c r="AR60" s="22"/>
      <c r="AS60" s="22"/>
      <c r="AT60" s="4"/>
    </row>
    <row r="61" spans="2:46" s="2" customFormat="1" ht="144" customHeight="1">
      <c r="B61" s="1"/>
      <c r="C61" s="3"/>
      <c r="D61"/>
      <c r="E61"/>
      <c r="F61" s="40"/>
      <c r="G61" s="40"/>
      <c r="H61" s="40"/>
      <c r="I61" s="40"/>
      <c r="J61" s="40"/>
      <c r="K61" s="40"/>
      <c r="L61" s="40"/>
      <c r="M61" s="22"/>
      <c r="N61" s="4"/>
      <c r="O61" s="22"/>
      <c r="P61" s="22"/>
      <c r="Q61" s="4"/>
      <c r="R61" s="22"/>
      <c r="S61" s="22"/>
      <c r="T61" s="4"/>
      <c r="U61" s="22"/>
      <c r="V61" s="22"/>
      <c r="W61" s="4"/>
      <c r="X61" s="22"/>
      <c r="Y61" s="22"/>
      <c r="Z61" s="4"/>
      <c r="AA61" s="22"/>
      <c r="AB61" s="22"/>
      <c r="AC61" s="4"/>
      <c r="AD61" s="22"/>
      <c r="AE61" s="22"/>
      <c r="AF61" s="4"/>
      <c r="AG61" s="22"/>
      <c r="AH61" s="22"/>
      <c r="AI61" s="4"/>
      <c r="AJ61" s="22"/>
      <c r="AK61" s="22"/>
      <c r="AL61" s="4"/>
      <c r="AM61" s="22"/>
      <c r="AN61" s="22"/>
      <c r="AO61" s="4"/>
      <c r="AP61" s="4"/>
      <c r="AQ61" s="4"/>
      <c r="AR61" s="22"/>
      <c r="AS61" s="22"/>
      <c r="AT61" s="4"/>
    </row>
    <row r="62" spans="2:46" ht="129" customHeight="1">
      <c r="B62" s="1"/>
      <c r="C62" s="3"/>
    </row>
    <row r="63" spans="2:46" ht="122.25" customHeight="1">
      <c r="B63" s="1"/>
      <c r="C63" s="3"/>
    </row>
    <row r="64" spans="2:46" ht="115.5" customHeight="1">
      <c r="B64" s="1"/>
      <c r="C64" s="3"/>
    </row>
    <row r="65" spans="2:46" ht="102" customHeight="1">
      <c r="B65" s="1"/>
      <c r="C65" s="3"/>
    </row>
    <row r="66" spans="2:46" ht="222.6" customHeight="1">
      <c r="B66" s="1"/>
      <c r="C66" s="3"/>
    </row>
    <row r="67" spans="2:46" ht="117.75" customHeight="1">
      <c r="B67" s="1"/>
      <c r="C67" s="3"/>
    </row>
    <row r="68" spans="2:46" ht="117.75" customHeight="1">
      <c r="B68" s="1"/>
      <c r="C68" s="3"/>
    </row>
    <row r="69" spans="2:46" ht="117.75" customHeight="1">
      <c r="B69" s="1"/>
      <c r="C69" s="3"/>
    </row>
    <row r="70" spans="2:46" ht="117.75" customHeight="1">
      <c r="B70" s="1"/>
      <c r="C70" s="3"/>
    </row>
    <row r="71" spans="2:46" s="2" customFormat="1" ht="143.25" customHeight="1">
      <c r="B71" s="1"/>
      <c r="C71" s="3"/>
      <c r="D71"/>
      <c r="E71"/>
      <c r="F71" s="40"/>
      <c r="G71" s="40"/>
      <c r="H71" s="40"/>
      <c r="I71" s="40"/>
      <c r="J71" s="40"/>
      <c r="K71" s="40"/>
      <c r="L71" s="40"/>
      <c r="M71" s="22"/>
      <c r="N71" s="4"/>
      <c r="O71" s="22"/>
      <c r="P71" s="22"/>
      <c r="Q71" s="4"/>
      <c r="R71" s="22"/>
      <c r="S71" s="22"/>
      <c r="T71" s="4"/>
      <c r="U71" s="22"/>
      <c r="V71" s="22"/>
      <c r="W71" s="4"/>
      <c r="X71" s="22"/>
      <c r="Y71" s="22"/>
      <c r="Z71" s="4"/>
      <c r="AA71" s="22"/>
      <c r="AB71" s="22"/>
      <c r="AC71" s="4"/>
      <c r="AD71" s="22"/>
      <c r="AE71" s="22"/>
      <c r="AF71" s="4"/>
      <c r="AG71" s="22"/>
      <c r="AH71" s="22"/>
      <c r="AI71" s="4"/>
      <c r="AJ71" s="22"/>
      <c r="AK71" s="22"/>
      <c r="AL71" s="4"/>
      <c r="AM71" s="22"/>
      <c r="AN71" s="22"/>
      <c r="AO71" s="4"/>
      <c r="AP71" s="4"/>
      <c r="AQ71" s="4"/>
      <c r="AR71" s="22"/>
      <c r="AS71" s="22"/>
      <c r="AT71" s="4"/>
    </row>
    <row r="72" spans="2:46" s="2" customFormat="1">
      <c r="B72" s="1"/>
      <c r="C72" s="3"/>
      <c r="D72"/>
      <c r="E72"/>
      <c r="F72" s="40"/>
      <c r="G72" s="40"/>
      <c r="H72" s="40"/>
      <c r="I72" s="40"/>
      <c r="J72" s="40"/>
      <c r="K72" s="40"/>
      <c r="L72" s="40"/>
      <c r="M72" s="22"/>
      <c r="N72" s="4"/>
      <c r="O72" s="22"/>
      <c r="P72" s="22"/>
      <c r="Q72" s="4"/>
      <c r="R72" s="22"/>
      <c r="S72" s="22"/>
      <c r="T72" s="4"/>
      <c r="U72" s="22"/>
      <c r="V72" s="22"/>
      <c r="W72" s="4"/>
      <c r="X72" s="22"/>
      <c r="Y72" s="22"/>
      <c r="Z72" s="4"/>
      <c r="AA72" s="22"/>
      <c r="AB72" s="22"/>
      <c r="AC72" s="4"/>
      <c r="AD72" s="22"/>
      <c r="AE72" s="22"/>
      <c r="AF72" s="4"/>
      <c r="AG72" s="22"/>
      <c r="AH72" s="22"/>
      <c r="AI72" s="4"/>
      <c r="AJ72" s="22"/>
      <c r="AK72" s="22"/>
      <c r="AL72" s="4"/>
      <c r="AM72" s="22"/>
      <c r="AN72" s="22"/>
      <c r="AO72" s="4"/>
      <c r="AP72" s="4"/>
      <c r="AQ72" s="4"/>
      <c r="AR72" s="22"/>
      <c r="AS72" s="22"/>
      <c r="AT72" s="4"/>
    </row>
    <row r="73" spans="2:46" s="2" customFormat="1" ht="144" customHeight="1">
      <c r="B73" s="1"/>
      <c r="C73" s="3"/>
      <c r="D73"/>
      <c r="E73"/>
      <c r="F73" s="40"/>
      <c r="G73" s="40"/>
      <c r="H73" s="40"/>
      <c r="I73" s="40"/>
      <c r="J73" s="40"/>
      <c r="K73" s="40"/>
      <c r="L73" s="40"/>
      <c r="M73" s="22"/>
      <c r="N73" s="4"/>
      <c r="O73" s="22"/>
      <c r="P73" s="22"/>
      <c r="Q73" s="4"/>
      <c r="R73" s="22"/>
      <c r="S73" s="22"/>
      <c r="T73" s="4"/>
      <c r="U73" s="22"/>
      <c r="V73" s="22"/>
      <c r="W73" s="4"/>
      <c r="X73" s="22"/>
      <c r="Y73" s="22"/>
      <c r="Z73" s="4"/>
      <c r="AA73" s="22"/>
      <c r="AB73" s="22"/>
      <c r="AC73" s="4"/>
      <c r="AD73" s="22"/>
      <c r="AE73" s="22"/>
      <c r="AF73" s="4"/>
      <c r="AG73" s="22"/>
      <c r="AH73" s="22"/>
      <c r="AI73" s="4"/>
      <c r="AJ73" s="22"/>
      <c r="AK73" s="22"/>
      <c r="AL73" s="4"/>
      <c r="AM73" s="22"/>
      <c r="AN73" s="22"/>
      <c r="AO73" s="4"/>
      <c r="AP73" s="4"/>
      <c r="AQ73" s="4"/>
      <c r="AR73" s="22"/>
      <c r="AS73" s="22"/>
      <c r="AT73" s="4"/>
    </row>
    <row r="74" spans="2:46" s="2" customFormat="1" ht="109.5" customHeight="1">
      <c r="B74" s="1"/>
      <c r="C74" s="3"/>
      <c r="D74"/>
      <c r="E74"/>
      <c r="F74" s="40"/>
      <c r="G74" s="40"/>
      <c r="H74" s="40"/>
      <c r="I74" s="40"/>
      <c r="J74" s="40"/>
      <c r="K74" s="40"/>
      <c r="L74" s="40"/>
      <c r="M74" s="22"/>
      <c r="N74" s="4"/>
      <c r="O74" s="22"/>
      <c r="P74" s="22"/>
      <c r="Q74" s="4"/>
      <c r="R74" s="22"/>
      <c r="S74" s="22"/>
      <c r="T74" s="4"/>
      <c r="U74" s="22"/>
      <c r="V74" s="22"/>
      <c r="W74" s="4"/>
      <c r="X74" s="22"/>
      <c r="Y74" s="22"/>
      <c r="Z74" s="4"/>
      <c r="AA74" s="22"/>
      <c r="AB74" s="22"/>
      <c r="AC74" s="4"/>
      <c r="AD74" s="22"/>
      <c r="AE74" s="22"/>
      <c r="AF74" s="4"/>
      <c r="AG74" s="22"/>
      <c r="AH74" s="22"/>
      <c r="AI74" s="4"/>
      <c r="AJ74" s="22"/>
      <c r="AK74" s="22"/>
      <c r="AL74" s="4"/>
      <c r="AM74" s="22"/>
      <c r="AN74" s="22"/>
      <c r="AO74" s="4"/>
      <c r="AP74" s="4"/>
      <c r="AQ74" s="4"/>
      <c r="AR74" s="22"/>
      <c r="AS74" s="22"/>
      <c r="AT74" s="4"/>
    </row>
    <row r="75" spans="2:46" s="2" customFormat="1" ht="109.5" customHeight="1">
      <c r="B75" s="1"/>
      <c r="C75" s="3"/>
      <c r="D75"/>
      <c r="E75"/>
      <c r="F75" s="40"/>
      <c r="G75" s="40"/>
      <c r="H75" s="40"/>
      <c r="I75" s="40"/>
      <c r="J75" s="40"/>
      <c r="K75" s="40"/>
      <c r="L75" s="40"/>
      <c r="M75" s="22"/>
      <c r="N75" s="4"/>
      <c r="O75" s="22"/>
      <c r="P75" s="22"/>
      <c r="Q75" s="4"/>
      <c r="R75" s="22"/>
      <c r="S75" s="22"/>
      <c r="T75" s="4"/>
      <c r="U75" s="22"/>
      <c r="V75" s="22"/>
      <c r="W75" s="4"/>
      <c r="X75" s="22"/>
      <c r="Y75" s="22"/>
      <c r="Z75" s="4"/>
      <c r="AA75" s="22"/>
      <c r="AB75" s="22"/>
      <c r="AC75" s="4"/>
      <c r="AD75" s="22"/>
      <c r="AE75" s="22"/>
      <c r="AF75" s="4"/>
      <c r="AG75" s="22"/>
      <c r="AH75" s="22"/>
      <c r="AI75" s="4"/>
      <c r="AJ75" s="22"/>
      <c r="AK75" s="22"/>
      <c r="AL75" s="4"/>
      <c r="AM75" s="22"/>
      <c r="AN75" s="22"/>
      <c r="AO75" s="4"/>
      <c r="AP75" s="4"/>
      <c r="AQ75" s="4"/>
      <c r="AR75" s="22"/>
      <c r="AS75" s="22"/>
      <c r="AT75" s="4"/>
    </row>
    <row r="76" spans="2:46" s="2" customFormat="1" ht="291.60000000000002" customHeight="1">
      <c r="B76" s="1"/>
      <c r="C76" s="3"/>
      <c r="D76"/>
      <c r="E76"/>
      <c r="F76" s="40"/>
      <c r="G76" s="40"/>
      <c r="H76" s="40"/>
      <c r="I76" s="40"/>
      <c r="J76" s="40"/>
      <c r="K76" s="40"/>
      <c r="L76" s="40"/>
      <c r="M76" s="22"/>
      <c r="N76" s="4"/>
      <c r="O76" s="22"/>
      <c r="P76" s="22"/>
      <c r="Q76" s="4"/>
      <c r="R76" s="22"/>
      <c r="S76" s="22"/>
      <c r="T76" s="4"/>
      <c r="U76" s="22"/>
      <c r="V76" s="22"/>
      <c r="W76" s="4"/>
      <c r="X76" s="22"/>
      <c r="Y76" s="22"/>
      <c r="Z76" s="4"/>
      <c r="AA76" s="22"/>
      <c r="AB76" s="22"/>
      <c r="AC76" s="4"/>
      <c r="AD76" s="22"/>
      <c r="AE76" s="22"/>
      <c r="AF76" s="4"/>
      <c r="AG76" s="22"/>
      <c r="AH76" s="22"/>
      <c r="AI76" s="4"/>
      <c r="AJ76" s="22"/>
      <c r="AK76" s="22"/>
      <c r="AL76" s="4"/>
      <c r="AM76" s="22"/>
      <c r="AN76" s="22"/>
      <c r="AO76" s="4"/>
      <c r="AP76" s="4"/>
      <c r="AQ76" s="4"/>
      <c r="AR76" s="22"/>
      <c r="AS76" s="22"/>
      <c r="AT76" s="4"/>
    </row>
    <row r="77" spans="2:46" s="2" customFormat="1" ht="110.25" customHeight="1">
      <c r="B77" s="1"/>
      <c r="C77" s="3"/>
      <c r="D77"/>
      <c r="E77"/>
      <c r="F77" s="40"/>
      <c r="G77" s="40"/>
      <c r="H77" s="40"/>
      <c r="I77" s="40"/>
      <c r="J77" s="40"/>
      <c r="K77" s="40"/>
      <c r="L77" s="40"/>
      <c r="M77" s="22"/>
      <c r="N77" s="4"/>
      <c r="O77" s="22"/>
      <c r="P77" s="22"/>
      <c r="Q77" s="4"/>
      <c r="R77" s="22"/>
      <c r="S77" s="22"/>
      <c r="T77" s="4"/>
      <c r="U77" s="22"/>
      <c r="V77" s="22"/>
      <c r="W77" s="4"/>
      <c r="X77" s="22"/>
      <c r="Y77" s="22"/>
      <c r="Z77" s="4"/>
      <c r="AA77" s="22"/>
      <c r="AB77" s="22"/>
      <c r="AC77" s="4"/>
      <c r="AD77" s="22"/>
      <c r="AE77" s="22"/>
      <c r="AF77" s="4"/>
      <c r="AG77" s="22"/>
      <c r="AH77" s="22"/>
      <c r="AI77" s="4"/>
      <c r="AJ77" s="22"/>
      <c r="AK77" s="22"/>
      <c r="AL77" s="4"/>
      <c r="AM77" s="22"/>
      <c r="AN77" s="22"/>
      <c r="AO77" s="4"/>
      <c r="AP77" s="4"/>
      <c r="AQ77" s="4"/>
      <c r="AR77" s="22"/>
      <c r="AS77" s="22"/>
      <c r="AT77" s="4"/>
    </row>
    <row r="78" spans="2:46" s="2" customFormat="1" ht="119.25" customHeight="1">
      <c r="B78" s="1"/>
      <c r="C78" s="3"/>
      <c r="D78"/>
      <c r="E78"/>
      <c r="F78" s="40"/>
      <c r="G78" s="40"/>
      <c r="H78" s="40"/>
      <c r="I78" s="40"/>
      <c r="J78" s="40"/>
      <c r="K78" s="40"/>
      <c r="L78" s="40"/>
      <c r="M78" s="22"/>
      <c r="N78" s="4"/>
      <c r="O78" s="22"/>
      <c r="P78" s="22"/>
      <c r="Q78" s="4"/>
      <c r="R78" s="22"/>
      <c r="S78" s="22"/>
      <c r="T78" s="4"/>
      <c r="U78" s="22"/>
      <c r="V78" s="22"/>
      <c r="W78" s="4"/>
      <c r="X78" s="22"/>
      <c r="Y78" s="22"/>
      <c r="Z78" s="4"/>
      <c r="AA78" s="22"/>
      <c r="AB78" s="22"/>
      <c r="AC78" s="4"/>
      <c r="AD78" s="22"/>
      <c r="AE78" s="22"/>
      <c r="AF78" s="4"/>
      <c r="AG78" s="22"/>
      <c r="AH78" s="22"/>
      <c r="AI78" s="4"/>
      <c r="AJ78" s="22"/>
      <c r="AK78" s="22"/>
      <c r="AL78" s="4"/>
      <c r="AM78" s="22"/>
      <c r="AN78" s="22"/>
      <c r="AO78" s="4"/>
      <c r="AP78" s="4"/>
      <c r="AQ78" s="4"/>
      <c r="AR78" s="22"/>
      <c r="AS78" s="22"/>
      <c r="AT78" s="4"/>
    </row>
    <row r="79" spans="2:46" s="2" customFormat="1" ht="112.5" customHeight="1">
      <c r="B79" s="1"/>
      <c r="C79" s="3"/>
      <c r="D79"/>
      <c r="E79"/>
      <c r="F79" s="40"/>
      <c r="G79" s="40"/>
      <c r="H79" s="40"/>
      <c r="I79" s="40"/>
      <c r="J79" s="40"/>
      <c r="K79" s="40"/>
      <c r="L79" s="40"/>
      <c r="M79" s="22"/>
      <c r="N79" s="4"/>
      <c r="O79" s="22"/>
      <c r="P79" s="22"/>
      <c r="Q79" s="4"/>
      <c r="R79" s="22"/>
      <c r="S79" s="22"/>
      <c r="T79" s="4"/>
      <c r="U79" s="22"/>
      <c r="V79" s="22"/>
      <c r="W79" s="4"/>
      <c r="X79" s="22"/>
      <c r="Y79" s="22"/>
      <c r="Z79" s="4"/>
      <c r="AA79" s="22"/>
      <c r="AB79" s="22"/>
      <c r="AC79" s="4"/>
      <c r="AD79" s="22"/>
      <c r="AE79" s="22"/>
      <c r="AF79" s="4"/>
      <c r="AG79" s="22"/>
      <c r="AH79" s="22"/>
      <c r="AI79" s="4"/>
      <c r="AJ79" s="22"/>
      <c r="AK79" s="22"/>
      <c r="AL79" s="4"/>
      <c r="AM79" s="22"/>
      <c r="AN79" s="22"/>
      <c r="AO79" s="4"/>
      <c r="AP79" s="4"/>
      <c r="AQ79" s="4"/>
      <c r="AR79" s="22"/>
      <c r="AS79" s="22"/>
      <c r="AT79" s="4"/>
    </row>
    <row r="80" spans="2:46" s="2" customFormat="1" ht="111" customHeight="1">
      <c r="B80" s="1"/>
      <c r="C80" s="3"/>
      <c r="D80"/>
      <c r="E80"/>
      <c r="F80" s="40"/>
      <c r="G80" s="40"/>
      <c r="H80" s="40"/>
      <c r="I80" s="40"/>
      <c r="J80" s="40"/>
      <c r="K80" s="40"/>
      <c r="L80" s="40"/>
      <c r="M80" s="22"/>
      <c r="N80" s="4"/>
      <c r="O80" s="22"/>
      <c r="P80" s="22"/>
      <c r="Q80" s="4"/>
      <c r="R80" s="22"/>
      <c r="S80" s="22"/>
      <c r="T80" s="4"/>
      <c r="U80" s="22"/>
      <c r="V80" s="22"/>
      <c r="W80" s="4"/>
      <c r="X80" s="22"/>
      <c r="Y80" s="22"/>
      <c r="Z80" s="4"/>
      <c r="AA80" s="22"/>
      <c r="AB80" s="22"/>
      <c r="AC80" s="4"/>
      <c r="AD80" s="22"/>
      <c r="AE80" s="22"/>
      <c r="AF80" s="4"/>
      <c r="AG80" s="22"/>
      <c r="AH80" s="22"/>
      <c r="AI80" s="4"/>
      <c r="AJ80" s="22"/>
      <c r="AK80" s="22"/>
      <c r="AL80" s="4"/>
      <c r="AM80" s="22"/>
      <c r="AN80" s="22"/>
      <c r="AO80" s="4"/>
      <c r="AP80" s="4"/>
      <c r="AQ80" s="4"/>
      <c r="AR80" s="22"/>
      <c r="AS80" s="22"/>
      <c r="AT80" s="4"/>
    </row>
    <row r="81" spans="2:46" s="2" customFormat="1" ht="107.25" customHeight="1">
      <c r="B81" s="1"/>
      <c r="C81" s="3"/>
      <c r="D81"/>
      <c r="E81"/>
      <c r="F81" s="40"/>
      <c r="G81" s="40"/>
      <c r="H81" s="40"/>
      <c r="I81" s="40"/>
      <c r="J81" s="40"/>
      <c r="K81" s="40"/>
      <c r="L81" s="40"/>
      <c r="M81" s="22"/>
      <c r="N81" s="4"/>
      <c r="O81" s="22"/>
      <c r="P81" s="22"/>
      <c r="Q81" s="4"/>
      <c r="R81" s="22"/>
      <c r="S81" s="22"/>
      <c r="T81" s="4"/>
      <c r="U81" s="22"/>
      <c r="V81" s="22"/>
      <c r="W81" s="4"/>
      <c r="X81" s="22"/>
      <c r="Y81" s="22"/>
      <c r="Z81" s="4"/>
      <c r="AA81" s="22"/>
      <c r="AB81" s="22"/>
      <c r="AC81" s="4"/>
      <c r="AD81" s="22"/>
      <c r="AE81" s="22"/>
      <c r="AF81" s="4"/>
      <c r="AG81" s="22"/>
      <c r="AH81" s="22"/>
      <c r="AI81" s="4"/>
      <c r="AJ81" s="22"/>
      <c r="AK81" s="22"/>
      <c r="AL81" s="4"/>
      <c r="AM81" s="22"/>
      <c r="AN81" s="22"/>
      <c r="AO81" s="4"/>
      <c r="AP81" s="4"/>
      <c r="AQ81" s="4"/>
      <c r="AR81" s="22"/>
      <c r="AS81" s="22"/>
      <c r="AT81" s="4"/>
    </row>
    <row r="82" spans="2:46" s="2" customFormat="1" ht="97.5" customHeight="1">
      <c r="B82" s="1"/>
      <c r="C82" s="3"/>
      <c r="D82"/>
      <c r="E82"/>
      <c r="F82" s="40"/>
      <c r="G82" s="40"/>
      <c r="H82" s="40"/>
      <c r="I82" s="40"/>
      <c r="J82" s="40"/>
      <c r="K82" s="40"/>
      <c r="L82" s="40"/>
      <c r="M82" s="22"/>
      <c r="N82" s="4"/>
      <c r="O82" s="22"/>
      <c r="P82" s="22"/>
      <c r="Q82" s="4"/>
      <c r="R82" s="22"/>
      <c r="S82" s="22"/>
      <c r="T82" s="4"/>
      <c r="U82" s="22"/>
      <c r="V82" s="22"/>
      <c r="W82" s="4"/>
      <c r="X82" s="22"/>
      <c r="Y82" s="22"/>
      <c r="Z82" s="4"/>
      <c r="AA82" s="22"/>
      <c r="AB82" s="22"/>
      <c r="AC82" s="4"/>
      <c r="AD82" s="22"/>
      <c r="AE82" s="22"/>
      <c r="AF82" s="4"/>
      <c r="AG82" s="22"/>
      <c r="AH82" s="22"/>
      <c r="AI82" s="4"/>
      <c r="AJ82" s="22"/>
      <c r="AK82" s="22"/>
      <c r="AL82" s="4"/>
      <c r="AM82" s="22"/>
      <c r="AN82" s="22"/>
      <c r="AO82" s="4"/>
      <c r="AP82" s="4"/>
      <c r="AQ82" s="4"/>
      <c r="AR82" s="22"/>
      <c r="AS82" s="22"/>
      <c r="AT82" s="4"/>
    </row>
    <row r="83" spans="2:46" s="2" customFormat="1" ht="84.75" customHeight="1">
      <c r="B83" s="1"/>
      <c r="C83" s="3"/>
      <c r="D83"/>
      <c r="E83"/>
      <c r="F83" s="40"/>
      <c r="G83" s="40"/>
      <c r="H83" s="40"/>
      <c r="I83" s="40"/>
      <c r="J83" s="40"/>
      <c r="K83" s="40"/>
      <c r="L83" s="40"/>
      <c r="M83" s="22"/>
      <c r="N83" s="4"/>
      <c r="O83" s="22"/>
      <c r="P83" s="22"/>
      <c r="Q83" s="4"/>
      <c r="R83" s="22"/>
      <c r="S83" s="22"/>
      <c r="T83" s="4"/>
      <c r="U83" s="22"/>
      <c r="V83" s="22"/>
      <c r="W83" s="4"/>
      <c r="X83" s="22"/>
      <c r="Y83" s="22"/>
      <c r="Z83" s="4"/>
      <c r="AA83" s="22"/>
      <c r="AB83" s="22"/>
      <c r="AC83" s="4"/>
      <c r="AD83" s="22"/>
      <c r="AE83" s="22"/>
      <c r="AF83" s="4"/>
      <c r="AG83" s="22"/>
      <c r="AH83" s="22"/>
      <c r="AI83" s="4"/>
      <c r="AJ83" s="22"/>
      <c r="AK83" s="22"/>
      <c r="AL83" s="4"/>
      <c r="AM83" s="22"/>
      <c r="AN83" s="22"/>
      <c r="AO83" s="4"/>
      <c r="AP83" s="4"/>
      <c r="AQ83" s="4"/>
      <c r="AR83" s="22"/>
      <c r="AS83" s="22"/>
      <c r="AT83" s="4"/>
    </row>
    <row r="84" spans="2:46" s="2" customFormat="1" ht="116.25" customHeight="1">
      <c r="B84" s="1"/>
      <c r="C84" s="3"/>
      <c r="D84"/>
      <c r="E84"/>
      <c r="F84" s="40"/>
      <c r="G84" s="40"/>
      <c r="H84" s="40"/>
      <c r="I84" s="40"/>
      <c r="J84" s="40"/>
      <c r="K84" s="40"/>
      <c r="L84" s="40"/>
      <c r="M84" s="22"/>
      <c r="N84" s="4"/>
      <c r="O84" s="22"/>
      <c r="P84" s="22"/>
      <c r="Q84" s="4"/>
      <c r="R84" s="22"/>
      <c r="S84" s="22"/>
      <c r="T84" s="4"/>
      <c r="U84" s="22"/>
      <c r="V84" s="22"/>
      <c r="W84" s="4"/>
      <c r="X84" s="22"/>
      <c r="Y84" s="22"/>
      <c r="Z84" s="4"/>
      <c r="AA84" s="22"/>
      <c r="AB84" s="22"/>
      <c r="AC84" s="4"/>
      <c r="AD84" s="22"/>
      <c r="AE84" s="22"/>
      <c r="AF84" s="4"/>
      <c r="AG84" s="22"/>
      <c r="AH84" s="22"/>
      <c r="AI84" s="4"/>
      <c r="AJ84" s="22"/>
      <c r="AK84" s="22"/>
      <c r="AL84" s="4"/>
      <c r="AM84" s="22"/>
      <c r="AN84" s="22"/>
      <c r="AO84" s="4"/>
      <c r="AP84" s="4"/>
      <c r="AQ84" s="4"/>
      <c r="AR84" s="22"/>
      <c r="AS84" s="22"/>
      <c r="AT84" s="4"/>
    </row>
    <row r="85" spans="2:46" s="2" customFormat="1" ht="117.75" customHeight="1">
      <c r="B85" s="1"/>
      <c r="C85" s="3"/>
      <c r="D85"/>
      <c r="E85"/>
      <c r="F85" s="40"/>
      <c r="G85" s="40"/>
      <c r="H85" s="40"/>
      <c r="I85" s="40"/>
      <c r="J85" s="40"/>
      <c r="K85" s="40"/>
      <c r="L85" s="40"/>
      <c r="M85" s="22"/>
      <c r="N85" s="4"/>
      <c r="O85" s="22"/>
      <c r="P85" s="22"/>
      <c r="Q85" s="4"/>
      <c r="R85" s="22"/>
      <c r="S85" s="22"/>
      <c r="T85" s="4"/>
      <c r="U85" s="22"/>
      <c r="V85" s="22"/>
      <c r="W85" s="4"/>
      <c r="X85" s="22"/>
      <c r="Y85" s="22"/>
      <c r="Z85" s="4"/>
      <c r="AA85" s="22"/>
      <c r="AB85" s="22"/>
      <c r="AC85" s="4"/>
      <c r="AD85" s="22"/>
      <c r="AE85" s="22"/>
      <c r="AF85" s="4"/>
      <c r="AG85" s="22"/>
      <c r="AH85" s="22"/>
      <c r="AI85" s="4"/>
      <c r="AJ85" s="22"/>
      <c r="AK85" s="22"/>
      <c r="AL85" s="4"/>
      <c r="AM85" s="22"/>
      <c r="AN85" s="22"/>
      <c r="AO85" s="4"/>
      <c r="AP85" s="4"/>
      <c r="AQ85" s="4"/>
      <c r="AR85" s="22"/>
      <c r="AS85" s="22"/>
      <c r="AT85" s="4"/>
    </row>
    <row r="86" spans="2:46" s="2" customFormat="1" ht="124.5" customHeight="1">
      <c r="B86" s="1"/>
      <c r="C86" s="3"/>
      <c r="D86"/>
      <c r="E86"/>
      <c r="F86" s="40"/>
      <c r="G86" s="40"/>
      <c r="H86" s="40"/>
      <c r="I86" s="40"/>
      <c r="J86" s="40"/>
      <c r="K86" s="40"/>
      <c r="L86" s="40"/>
      <c r="M86" s="22"/>
      <c r="N86" s="4"/>
      <c r="O86" s="22"/>
      <c r="P86" s="22"/>
      <c r="Q86" s="4"/>
      <c r="R86" s="22"/>
      <c r="S86" s="22"/>
      <c r="T86" s="4"/>
      <c r="U86" s="22"/>
      <c r="V86" s="22"/>
      <c r="W86" s="4"/>
      <c r="X86" s="22"/>
      <c r="Y86" s="22"/>
      <c r="Z86" s="4"/>
      <c r="AA86" s="22"/>
      <c r="AB86" s="22"/>
      <c r="AC86" s="4"/>
      <c r="AD86" s="22"/>
      <c r="AE86" s="22"/>
      <c r="AF86" s="4"/>
      <c r="AG86" s="22"/>
      <c r="AH86" s="22"/>
      <c r="AI86" s="4"/>
      <c r="AJ86" s="22"/>
      <c r="AK86" s="22"/>
      <c r="AL86" s="4"/>
      <c r="AM86" s="22"/>
      <c r="AN86" s="22"/>
      <c r="AO86" s="4"/>
      <c r="AP86" s="4"/>
      <c r="AQ86" s="4"/>
      <c r="AR86" s="22"/>
      <c r="AS86" s="22"/>
      <c r="AT86" s="4"/>
    </row>
    <row r="87" spans="2:46" s="2" customFormat="1" ht="135.75" customHeight="1">
      <c r="B87" s="1"/>
      <c r="C87" s="3"/>
      <c r="D87"/>
      <c r="E87"/>
      <c r="F87" s="40"/>
      <c r="G87" s="40"/>
      <c r="H87" s="40"/>
      <c r="I87" s="40"/>
      <c r="J87" s="40"/>
      <c r="K87" s="40"/>
      <c r="L87" s="40"/>
      <c r="M87" s="22"/>
      <c r="N87" s="4"/>
      <c r="O87" s="22"/>
      <c r="P87" s="22"/>
      <c r="Q87" s="4"/>
      <c r="R87" s="22"/>
      <c r="S87" s="22"/>
      <c r="T87" s="4"/>
      <c r="U87" s="22"/>
      <c r="V87" s="22"/>
      <c r="W87" s="4"/>
      <c r="X87" s="22"/>
      <c r="Y87" s="22"/>
      <c r="Z87" s="4"/>
      <c r="AA87" s="22"/>
      <c r="AB87" s="22"/>
      <c r="AC87" s="4"/>
      <c r="AD87" s="22"/>
      <c r="AE87" s="22"/>
      <c r="AF87" s="4"/>
      <c r="AG87" s="22"/>
      <c r="AH87" s="22"/>
      <c r="AI87" s="4"/>
      <c r="AJ87" s="22"/>
      <c r="AK87" s="22"/>
      <c r="AL87" s="4"/>
      <c r="AM87" s="22"/>
      <c r="AN87" s="22"/>
      <c r="AO87" s="4"/>
      <c r="AP87" s="4"/>
      <c r="AQ87" s="4"/>
      <c r="AR87" s="22"/>
      <c r="AS87" s="22"/>
      <c r="AT87" s="4"/>
    </row>
    <row r="88" spans="2:46" s="2" customFormat="1" ht="105.75" customHeight="1">
      <c r="B88" s="1"/>
      <c r="C88" s="3"/>
      <c r="D88"/>
      <c r="E88"/>
      <c r="F88" s="40"/>
      <c r="G88" s="40"/>
      <c r="H88" s="40"/>
      <c r="I88" s="40"/>
      <c r="J88" s="40"/>
      <c r="K88" s="40"/>
      <c r="L88" s="40"/>
      <c r="M88" s="22"/>
      <c r="N88" s="4"/>
      <c r="O88" s="22"/>
      <c r="P88" s="22"/>
      <c r="Q88" s="4"/>
      <c r="R88" s="22"/>
      <c r="S88" s="22"/>
      <c r="T88" s="4"/>
      <c r="U88" s="22"/>
      <c r="V88" s="22"/>
      <c r="W88" s="4"/>
      <c r="X88" s="22"/>
      <c r="Y88" s="22"/>
      <c r="Z88" s="4"/>
      <c r="AA88" s="22"/>
      <c r="AB88" s="22"/>
      <c r="AC88" s="4"/>
      <c r="AD88" s="22"/>
      <c r="AE88" s="22"/>
      <c r="AF88" s="4"/>
      <c r="AG88" s="22"/>
      <c r="AH88" s="22"/>
      <c r="AI88" s="4"/>
      <c r="AJ88" s="22"/>
      <c r="AK88" s="22"/>
      <c r="AL88" s="4"/>
      <c r="AM88" s="22"/>
      <c r="AN88" s="22"/>
      <c r="AO88" s="4"/>
      <c r="AP88" s="4"/>
      <c r="AQ88" s="4"/>
      <c r="AR88" s="22"/>
      <c r="AS88" s="22"/>
      <c r="AT88" s="4"/>
    </row>
    <row r="89" spans="2:46" s="2" customFormat="1" ht="409.5" customHeight="1">
      <c r="B89" s="1"/>
      <c r="C89" s="3"/>
      <c r="D89"/>
      <c r="E89"/>
      <c r="F89" s="40"/>
      <c r="G89" s="40"/>
      <c r="H89" s="40"/>
      <c r="I89" s="40"/>
      <c r="J89" s="40"/>
      <c r="K89" s="40"/>
      <c r="L89" s="40"/>
      <c r="M89" s="22"/>
      <c r="N89" s="4"/>
      <c r="O89" s="22"/>
      <c r="P89" s="22"/>
      <c r="Q89" s="4"/>
      <c r="R89" s="22"/>
      <c r="S89" s="22"/>
      <c r="T89" s="4"/>
      <c r="U89" s="22"/>
      <c r="V89" s="22"/>
      <c r="W89" s="4"/>
      <c r="X89" s="22"/>
      <c r="Y89" s="22"/>
      <c r="Z89" s="4"/>
      <c r="AA89" s="22"/>
      <c r="AB89" s="22"/>
      <c r="AC89" s="4"/>
      <c r="AD89" s="22"/>
      <c r="AE89" s="22"/>
      <c r="AF89" s="4"/>
      <c r="AG89" s="22"/>
      <c r="AH89" s="22"/>
      <c r="AI89" s="4"/>
      <c r="AJ89" s="22"/>
      <c r="AK89" s="22"/>
      <c r="AL89" s="4"/>
      <c r="AM89" s="22"/>
      <c r="AN89" s="22"/>
      <c r="AO89" s="4"/>
      <c r="AP89" s="4"/>
      <c r="AQ89" s="4"/>
      <c r="AR89" s="22"/>
      <c r="AS89" s="22"/>
      <c r="AT89" s="4"/>
    </row>
    <row r="90" spans="2:46" s="2" customFormat="1" ht="120" customHeight="1">
      <c r="B90" s="1"/>
      <c r="C90" s="3"/>
      <c r="D90"/>
      <c r="E90"/>
      <c r="F90" s="40"/>
      <c r="G90" s="40"/>
      <c r="H90" s="40"/>
      <c r="I90" s="40"/>
      <c r="J90" s="40"/>
      <c r="K90" s="40"/>
      <c r="L90" s="40"/>
      <c r="M90" s="22"/>
      <c r="N90" s="4"/>
      <c r="O90" s="22"/>
      <c r="P90" s="22"/>
      <c r="Q90" s="4"/>
      <c r="R90" s="22"/>
      <c r="S90" s="22"/>
      <c r="T90" s="4"/>
      <c r="U90" s="22"/>
      <c r="V90" s="22"/>
      <c r="W90" s="4"/>
      <c r="X90" s="22"/>
      <c r="Y90" s="22"/>
      <c r="Z90" s="4"/>
      <c r="AA90" s="22"/>
      <c r="AB90" s="22"/>
      <c r="AC90" s="4"/>
      <c r="AD90" s="22"/>
      <c r="AE90" s="22"/>
      <c r="AF90" s="4"/>
      <c r="AG90" s="22"/>
      <c r="AH90" s="22"/>
      <c r="AI90" s="4"/>
      <c r="AJ90" s="22"/>
      <c r="AK90" s="22"/>
      <c r="AL90" s="4"/>
      <c r="AM90" s="22"/>
      <c r="AN90" s="22"/>
      <c r="AO90" s="4"/>
      <c r="AP90" s="4"/>
      <c r="AQ90" s="4"/>
      <c r="AR90" s="22"/>
      <c r="AS90" s="22"/>
      <c r="AT90" s="4"/>
    </row>
    <row r="91" spans="2:46" s="2" customFormat="1" ht="174" customHeight="1">
      <c r="B91" s="1"/>
      <c r="C91" s="3"/>
      <c r="D91"/>
      <c r="E91"/>
      <c r="F91" s="40"/>
      <c r="G91" s="40"/>
      <c r="H91" s="40"/>
      <c r="I91" s="40"/>
      <c r="J91" s="40"/>
      <c r="K91" s="40"/>
      <c r="L91" s="40"/>
      <c r="M91" s="22"/>
      <c r="N91" s="4"/>
      <c r="O91" s="22"/>
      <c r="P91" s="22"/>
      <c r="Q91" s="4"/>
      <c r="R91" s="22"/>
      <c r="S91" s="22"/>
      <c r="T91" s="4"/>
      <c r="U91" s="22"/>
      <c r="V91" s="22"/>
      <c r="W91" s="4"/>
      <c r="X91" s="22"/>
      <c r="Y91" s="22"/>
      <c r="Z91" s="4"/>
      <c r="AA91" s="22"/>
      <c r="AB91" s="22"/>
      <c r="AC91" s="4"/>
      <c r="AD91" s="22"/>
      <c r="AE91" s="22"/>
      <c r="AF91" s="4"/>
      <c r="AG91" s="22"/>
      <c r="AH91" s="22"/>
      <c r="AI91" s="4"/>
      <c r="AJ91" s="22"/>
      <c r="AK91" s="22"/>
      <c r="AL91" s="4"/>
      <c r="AM91" s="22"/>
      <c r="AN91" s="22"/>
      <c r="AO91" s="4"/>
      <c r="AP91" s="4"/>
      <c r="AQ91" s="4"/>
      <c r="AR91" s="22"/>
      <c r="AS91" s="22"/>
      <c r="AT91" s="4"/>
    </row>
    <row r="92" spans="2:46" s="2" customFormat="1" ht="102" customHeight="1">
      <c r="B92" s="1"/>
      <c r="C92" s="3"/>
      <c r="D92"/>
      <c r="E92"/>
      <c r="F92" s="40"/>
      <c r="G92" s="40"/>
      <c r="H92" s="40"/>
      <c r="I92" s="40"/>
      <c r="J92" s="40"/>
      <c r="K92" s="40"/>
      <c r="L92" s="40"/>
      <c r="M92" s="22"/>
      <c r="N92" s="4"/>
      <c r="O92" s="22"/>
      <c r="P92" s="22"/>
      <c r="Q92" s="4"/>
      <c r="R92" s="22"/>
      <c r="S92" s="22"/>
      <c r="T92" s="4"/>
      <c r="U92" s="22"/>
      <c r="V92" s="22"/>
      <c r="W92" s="4"/>
      <c r="X92" s="22"/>
      <c r="Y92" s="22"/>
      <c r="Z92" s="4"/>
      <c r="AA92" s="22"/>
      <c r="AB92" s="22"/>
      <c r="AC92" s="4"/>
      <c r="AD92" s="22"/>
      <c r="AE92" s="22"/>
      <c r="AF92" s="4"/>
      <c r="AG92" s="22"/>
      <c r="AH92" s="22"/>
      <c r="AI92" s="4"/>
      <c r="AJ92" s="22"/>
      <c r="AK92" s="22"/>
      <c r="AL92" s="4"/>
      <c r="AM92" s="22"/>
      <c r="AN92" s="22"/>
      <c r="AO92" s="4"/>
      <c r="AP92" s="4"/>
      <c r="AQ92" s="4"/>
      <c r="AR92" s="22"/>
      <c r="AS92" s="22"/>
      <c r="AT92" s="4"/>
    </row>
    <row r="93" spans="2:46" s="2" customFormat="1" ht="102" customHeight="1">
      <c r="B93" s="1"/>
      <c r="C93" s="3"/>
      <c r="D93"/>
      <c r="E93"/>
      <c r="F93" s="40"/>
      <c r="G93" s="40"/>
      <c r="H93" s="40"/>
      <c r="I93" s="40"/>
      <c r="J93" s="40"/>
      <c r="K93" s="40"/>
      <c r="L93" s="40"/>
      <c r="M93" s="22"/>
      <c r="N93" s="4"/>
      <c r="O93" s="22"/>
      <c r="P93" s="22"/>
      <c r="Q93" s="4"/>
      <c r="R93" s="22"/>
      <c r="S93" s="22"/>
      <c r="T93" s="4"/>
      <c r="U93" s="22"/>
      <c r="V93" s="22"/>
      <c r="W93" s="4"/>
      <c r="X93" s="22"/>
      <c r="Y93" s="22"/>
      <c r="Z93" s="4"/>
      <c r="AA93" s="22"/>
      <c r="AB93" s="22"/>
      <c r="AC93" s="4"/>
      <c r="AD93" s="22"/>
      <c r="AE93" s="22"/>
      <c r="AF93" s="4"/>
      <c r="AG93" s="22"/>
      <c r="AH93" s="22"/>
      <c r="AI93" s="4"/>
      <c r="AJ93" s="22"/>
      <c r="AK93" s="22"/>
      <c r="AL93" s="4"/>
      <c r="AM93" s="22"/>
      <c r="AN93" s="22"/>
      <c r="AO93" s="4"/>
      <c r="AP93" s="4"/>
      <c r="AQ93" s="4"/>
      <c r="AR93" s="22"/>
      <c r="AS93" s="22"/>
      <c r="AT93" s="4"/>
    </row>
    <row r="94" spans="2:46" ht="64.150000000000006" customHeight="1">
      <c r="B94" s="1"/>
      <c r="C94" s="3"/>
    </row>
    <row r="95" spans="2:46" ht="64.150000000000006" customHeight="1">
      <c r="B95" s="1"/>
      <c r="C95" s="3"/>
    </row>
    <row r="96" spans="2:46" ht="36" customHeight="1">
      <c r="B96" s="1"/>
      <c r="C96" s="3"/>
    </row>
    <row r="97" spans="2:46" ht="36" customHeight="1">
      <c r="B97" s="1"/>
      <c r="C97" s="3"/>
    </row>
    <row r="98" spans="2:46" ht="36" customHeight="1">
      <c r="B98" s="1"/>
      <c r="C98" s="3"/>
    </row>
    <row r="99" spans="2:46" ht="36" customHeight="1">
      <c r="B99" s="1"/>
      <c r="C99" s="3"/>
    </row>
    <row r="100" spans="2:46" ht="36" customHeight="1">
      <c r="B100" s="1"/>
      <c r="C100" s="3"/>
    </row>
    <row r="101" spans="2:46" ht="15.75" customHeight="1">
      <c r="B101" s="1"/>
      <c r="C101" s="3"/>
    </row>
    <row r="102" spans="2:46" ht="15.75" customHeight="1">
      <c r="B102" s="1"/>
      <c r="C102" s="3"/>
    </row>
    <row r="103" spans="2:46" ht="15.75" customHeight="1">
      <c r="B103" s="1"/>
      <c r="C103" s="3"/>
    </row>
    <row r="104" spans="2:46" ht="15.75" customHeight="1">
      <c r="B104" s="1"/>
      <c r="C104" s="3"/>
    </row>
    <row r="105" spans="2:46" ht="15.75" customHeight="1">
      <c r="B105" s="1"/>
      <c r="C105" s="3"/>
    </row>
    <row r="106" spans="2:46" ht="15.75" customHeight="1">
      <c r="B106" s="1"/>
      <c r="C106" s="3"/>
    </row>
    <row r="107" spans="2:46" s="22" customFormat="1" ht="15.75" customHeight="1">
      <c r="B107" s="1"/>
      <c r="C107" s="3"/>
      <c r="D107"/>
      <c r="E107"/>
      <c r="F107" s="40"/>
      <c r="G107" s="40"/>
      <c r="H107" s="40"/>
      <c r="I107" s="40"/>
      <c r="J107" s="40"/>
      <c r="K107" s="40"/>
      <c r="L107" s="40"/>
      <c r="N107" s="4"/>
      <c r="Q107" s="4"/>
      <c r="T107" s="4"/>
      <c r="W107" s="4"/>
      <c r="Z107" s="4"/>
      <c r="AC107" s="4"/>
      <c r="AF107" s="4"/>
      <c r="AI107" s="4"/>
      <c r="AL107" s="4"/>
      <c r="AO107" s="4"/>
      <c r="AP107" s="4"/>
      <c r="AQ107" s="4"/>
      <c r="AT107" s="4"/>
    </row>
    <row r="108" spans="2:46" s="22" customFormat="1" ht="15.75" customHeight="1">
      <c r="B108" s="1"/>
      <c r="C108" s="3"/>
      <c r="D108"/>
      <c r="E108"/>
      <c r="F108" s="40"/>
      <c r="G108" s="40"/>
      <c r="H108" s="40"/>
      <c r="I108" s="40"/>
      <c r="J108" s="40"/>
      <c r="K108" s="40"/>
      <c r="L108" s="40"/>
      <c r="N108" s="4"/>
      <c r="Q108" s="4"/>
      <c r="T108" s="4"/>
      <c r="W108" s="4"/>
      <c r="Z108" s="4"/>
      <c r="AC108" s="4"/>
      <c r="AF108" s="4"/>
      <c r="AI108" s="4"/>
      <c r="AL108" s="4"/>
      <c r="AO108" s="4"/>
      <c r="AP108" s="4"/>
      <c r="AQ108" s="4"/>
      <c r="AT108" s="4"/>
    </row>
    <row r="109" spans="2:46" s="22" customFormat="1" ht="15.75" customHeight="1">
      <c r="B109" s="1"/>
      <c r="C109" s="3"/>
      <c r="D109"/>
      <c r="E109"/>
      <c r="F109" s="40"/>
      <c r="G109" s="40"/>
      <c r="H109" s="40"/>
      <c r="I109" s="40"/>
      <c r="J109" s="40"/>
      <c r="K109" s="40"/>
      <c r="L109" s="40"/>
      <c r="N109" s="4"/>
      <c r="Q109" s="4"/>
      <c r="T109" s="4"/>
      <c r="W109" s="4"/>
      <c r="Z109" s="4"/>
      <c r="AC109" s="4"/>
      <c r="AF109" s="4"/>
      <c r="AI109" s="4"/>
      <c r="AL109" s="4"/>
      <c r="AO109" s="4"/>
      <c r="AP109" s="4"/>
      <c r="AQ109" s="4"/>
      <c r="AT109" s="4"/>
    </row>
    <row r="110" spans="2:46" s="22" customFormat="1" ht="15.75" customHeight="1">
      <c r="B110" s="1"/>
      <c r="C110" s="3"/>
      <c r="D110"/>
      <c r="E110"/>
      <c r="F110" s="40"/>
      <c r="G110" s="40"/>
      <c r="H110" s="40"/>
      <c r="I110" s="40"/>
      <c r="J110" s="40"/>
      <c r="K110" s="40"/>
      <c r="L110" s="40"/>
      <c r="N110" s="4"/>
      <c r="Q110" s="4"/>
      <c r="T110" s="4"/>
      <c r="W110" s="4"/>
      <c r="Z110" s="4"/>
      <c r="AC110" s="4"/>
      <c r="AF110" s="4"/>
      <c r="AI110" s="4"/>
      <c r="AL110" s="4"/>
      <c r="AO110" s="4"/>
      <c r="AP110" s="4"/>
      <c r="AQ110" s="4"/>
      <c r="AT110" s="4"/>
    </row>
    <row r="111" spans="2:46" s="22" customFormat="1" ht="15.75" customHeight="1">
      <c r="B111" s="1"/>
      <c r="C111" s="3"/>
      <c r="D111"/>
      <c r="E111"/>
      <c r="F111" s="40"/>
      <c r="G111" s="40"/>
      <c r="H111" s="40"/>
      <c r="I111" s="40"/>
      <c r="J111" s="40"/>
      <c r="K111" s="40"/>
      <c r="L111" s="40"/>
      <c r="N111" s="4"/>
      <c r="Q111" s="4"/>
      <c r="T111" s="4"/>
      <c r="W111" s="4"/>
      <c r="Z111" s="4"/>
      <c r="AC111" s="4"/>
      <c r="AF111" s="4"/>
      <c r="AI111" s="4"/>
      <c r="AL111" s="4"/>
      <c r="AO111" s="4"/>
      <c r="AP111" s="4"/>
      <c r="AQ111" s="4"/>
      <c r="AT111" s="4"/>
    </row>
    <row r="112" spans="2:46" s="22" customFormat="1" ht="15.75" customHeight="1">
      <c r="B112" s="1"/>
      <c r="C112" s="3"/>
      <c r="D112"/>
      <c r="E112"/>
      <c r="F112" s="40"/>
      <c r="G112" s="40"/>
      <c r="H112" s="40"/>
      <c r="I112" s="40"/>
      <c r="J112" s="40"/>
      <c r="K112" s="40"/>
      <c r="L112" s="40"/>
      <c r="N112" s="4"/>
      <c r="Q112" s="4"/>
      <c r="T112" s="4"/>
      <c r="W112" s="4"/>
      <c r="Z112" s="4"/>
      <c r="AC112" s="4"/>
      <c r="AF112" s="4"/>
      <c r="AI112" s="4"/>
      <c r="AL112" s="4"/>
      <c r="AO112" s="4"/>
      <c r="AP112" s="4"/>
      <c r="AQ112" s="4"/>
      <c r="AT112" s="4"/>
    </row>
    <row r="113" spans="2:46" s="22" customFormat="1" ht="15.75" customHeight="1">
      <c r="B113" s="1"/>
      <c r="C113" s="3"/>
      <c r="D113"/>
      <c r="E113"/>
      <c r="F113" s="40"/>
      <c r="G113" s="40"/>
      <c r="H113" s="40"/>
      <c r="I113" s="40"/>
      <c r="J113" s="40"/>
      <c r="K113" s="40"/>
      <c r="L113" s="40"/>
      <c r="N113" s="4"/>
      <c r="Q113" s="4"/>
      <c r="T113" s="4"/>
      <c r="W113" s="4"/>
      <c r="Z113" s="4"/>
      <c r="AC113" s="4"/>
      <c r="AF113" s="4"/>
      <c r="AI113" s="4"/>
      <c r="AL113" s="4"/>
      <c r="AO113" s="4"/>
      <c r="AP113" s="4"/>
      <c r="AQ113" s="4"/>
      <c r="AT113" s="4"/>
    </row>
    <row r="114" spans="2:46" s="22" customFormat="1" ht="15.75" customHeight="1">
      <c r="B114" s="1"/>
      <c r="C114" s="3"/>
      <c r="D114"/>
      <c r="E114"/>
      <c r="F114" s="40"/>
      <c r="G114" s="40"/>
      <c r="H114" s="40"/>
      <c r="I114" s="40"/>
      <c r="J114" s="40"/>
      <c r="K114" s="40"/>
      <c r="L114" s="40"/>
      <c r="N114" s="4"/>
      <c r="Q114" s="4"/>
      <c r="T114" s="4"/>
      <c r="W114" s="4"/>
      <c r="Z114" s="4"/>
      <c r="AC114" s="4"/>
      <c r="AF114" s="4"/>
      <c r="AI114" s="4"/>
      <c r="AL114" s="4"/>
      <c r="AO114" s="4"/>
      <c r="AP114" s="4"/>
      <c r="AQ114" s="4"/>
      <c r="AT114" s="4"/>
    </row>
    <row r="115" spans="2:46" s="22" customFormat="1" ht="15.75" customHeight="1">
      <c r="B115" s="1"/>
      <c r="C115" s="3"/>
      <c r="D115"/>
      <c r="E115"/>
      <c r="F115" s="40"/>
      <c r="G115" s="40"/>
      <c r="H115" s="40"/>
      <c r="I115" s="40"/>
      <c r="J115" s="40"/>
      <c r="K115" s="40"/>
      <c r="L115" s="40"/>
      <c r="N115" s="4"/>
      <c r="Q115" s="4"/>
      <c r="T115" s="4"/>
      <c r="W115" s="4"/>
      <c r="Z115" s="4"/>
      <c r="AC115" s="4"/>
      <c r="AF115" s="4"/>
      <c r="AI115" s="4"/>
      <c r="AL115" s="4"/>
      <c r="AO115" s="4"/>
      <c r="AP115" s="4"/>
      <c r="AQ115" s="4"/>
      <c r="AT115" s="4"/>
    </row>
    <row r="116" spans="2:46" s="22" customFormat="1" ht="15.75" customHeight="1">
      <c r="B116" s="1"/>
      <c r="C116" s="3"/>
      <c r="D116"/>
      <c r="E116"/>
      <c r="F116" s="40"/>
      <c r="G116" s="40"/>
      <c r="H116" s="40"/>
      <c r="I116" s="40"/>
      <c r="J116" s="40"/>
      <c r="K116" s="40"/>
      <c r="L116" s="40"/>
      <c r="N116" s="4"/>
      <c r="Q116" s="4"/>
      <c r="T116" s="4"/>
      <c r="W116" s="4"/>
      <c r="Z116" s="4"/>
      <c r="AC116" s="4"/>
      <c r="AF116" s="4"/>
      <c r="AI116" s="4"/>
      <c r="AL116" s="4"/>
      <c r="AO116" s="4"/>
      <c r="AP116" s="4"/>
      <c r="AQ116" s="4"/>
      <c r="AT116" s="4"/>
    </row>
    <row r="117" spans="2:46" s="22" customFormat="1" ht="15.75" customHeight="1">
      <c r="B117" s="1"/>
      <c r="C117" s="3"/>
      <c r="D117"/>
      <c r="E117"/>
      <c r="F117" s="40"/>
      <c r="G117" s="40"/>
      <c r="H117" s="40"/>
      <c r="I117" s="40"/>
      <c r="J117" s="40"/>
      <c r="K117" s="40"/>
      <c r="L117" s="40"/>
      <c r="N117" s="4"/>
      <c r="Q117" s="4"/>
      <c r="T117" s="4"/>
      <c r="W117" s="4"/>
      <c r="Z117" s="4"/>
      <c r="AC117" s="4"/>
      <c r="AF117" s="4"/>
      <c r="AI117" s="4"/>
      <c r="AL117" s="4"/>
      <c r="AO117" s="4"/>
      <c r="AP117" s="4"/>
      <c r="AQ117" s="4"/>
      <c r="AT117" s="4"/>
    </row>
    <row r="118" spans="2:46" s="22" customFormat="1" ht="15.75" customHeight="1">
      <c r="B118" s="1"/>
      <c r="C118" s="3"/>
      <c r="D118"/>
      <c r="E118"/>
      <c r="F118" s="40"/>
      <c r="G118" s="40"/>
      <c r="H118" s="40"/>
      <c r="I118" s="40"/>
      <c r="J118" s="40"/>
      <c r="K118" s="40"/>
      <c r="L118" s="40"/>
      <c r="N118" s="4"/>
      <c r="Q118" s="4"/>
      <c r="T118" s="4"/>
      <c r="W118" s="4"/>
      <c r="Z118" s="4"/>
      <c r="AC118" s="4"/>
      <c r="AF118" s="4"/>
      <c r="AI118" s="4"/>
      <c r="AL118" s="4"/>
      <c r="AO118" s="4"/>
      <c r="AP118" s="4"/>
      <c r="AQ118" s="4"/>
      <c r="AT118" s="4"/>
    </row>
    <row r="119" spans="2:46" s="22" customFormat="1" ht="15.75" customHeight="1">
      <c r="B119" s="1"/>
      <c r="C119" s="3"/>
      <c r="D119"/>
      <c r="E119"/>
      <c r="F119" s="40"/>
      <c r="G119" s="40"/>
      <c r="H119" s="40"/>
      <c r="I119" s="40"/>
      <c r="J119" s="40"/>
      <c r="K119" s="40"/>
      <c r="L119" s="40"/>
      <c r="N119" s="4"/>
      <c r="Q119" s="4"/>
      <c r="T119" s="4"/>
      <c r="W119" s="4"/>
      <c r="Z119" s="4"/>
      <c r="AC119" s="4"/>
      <c r="AF119" s="4"/>
      <c r="AI119" s="4"/>
      <c r="AL119" s="4"/>
      <c r="AO119" s="4"/>
      <c r="AP119" s="4"/>
      <c r="AQ119" s="4"/>
      <c r="AT119" s="4"/>
    </row>
    <row r="120" spans="2:46" s="22" customFormat="1" ht="15.75" customHeight="1">
      <c r="B120" s="1"/>
      <c r="C120" s="3"/>
      <c r="D120"/>
      <c r="E120"/>
      <c r="F120" s="40"/>
      <c r="G120" s="40"/>
      <c r="H120" s="40"/>
      <c r="I120" s="40"/>
      <c r="J120" s="40"/>
      <c r="K120" s="40"/>
      <c r="L120" s="40"/>
      <c r="N120" s="4"/>
      <c r="Q120" s="4"/>
      <c r="T120" s="4"/>
      <c r="W120" s="4"/>
      <c r="Z120" s="4"/>
      <c r="AC120" s="4"/>
      <c r="AF120" s="4"/>
      <c r="AI120" s="4"/>
      <c r="AL120" s="4"/>
      <c r="AO120" s="4"/>
      <c r="AP120" s="4"/>
      <c r="AQ120" s="4"/>
      <c r="AT120" s="4"/>
    </row>
    <row r="121" spans="2:46" s="22" customFormat="1" ht="15.75" customHeight="1">
      <c r="B121" s="1"/>
      <c r="C121" s="3"/>
      <c r="D121"/>
      <c r="E121"/>
      <c r="F121" s="40"/>
      <c r="G121" s="40"/>
      <c r="H121" s="40"/>
      <c r="I121" s="40"/>
      <c r="J121" s="40"/>
      <c r="K121" s="40"/>
      <c r="L121" s="40"/>
      <c r="N121" s="4"/>
      <c r="Q121" s="4"/>
      <c r="T121" s="4"/>
      <c r="W121" s="4"/>
      <c r="Z121" s="4"/>
      <c r="AC121" s="4"/>
      <c r="AF121" s="4"/>
      <c r="AI121" s="4"/>
      <c r="AL121" s="4"/>
      <c r="AO121" s="4"/>
      <c r="AP121" s="4"/>
      <c r="AQ121" s="4"/>
      <c r="AT121" s="4"/>
    </row>
    <row r="122" spans="2:46" s="22" customFormat="1" ht="15.75" customHeight="1">
      <c r="B122" s="1"/>
      <c r="C122" s="3"/>
      <c r="D122"/>
      <c r="E122"/>
      <c r="F122" s="40"/>
      <c r="G122" s="40"/>
      <c r="H122" s="40"/>
      <c r="I122" s="40"/>
      <c r="J122" s="40"/>
      <c r="K122" s="40"/>
      <c r="L122" s="40"/>
      <c r="N122" s="4"/>
      <c r="Q122" s="4"/>
      <c r="T122" s="4"/>
      <c r="W122" s="4"/>
      <c r="Z122" s="4"/>
      <c r="AC122" s="4"/>
      <c r="AF122" s="4"/>
      <c r="AI122" s="4"/>
      <c r="AL122" s="4"/>
      <c r="AO122" s="4"/>
      <c r="AP122" s="4"/>
      <c r="AQ122" s="4"/>
      <c r="AT122" s="4"/>
    </row>
    <row r="123" spans="2:46" ht="15.75" customHeight="1">
      <c r="B123" s="1"/>
      <c r="C123" s="3"/>
    </row>
    <row r="124" spans="2:46" ht="15.75" customHeight="1">
      <c r="B124" s="1"/>
      <c r="C124" s="3"/>
    </row>
    <row r="125" spans="2:46" ht="15.75" customHeight="1">
      <c r="B125" s="1"/>
      <c r="C125" s="3"/>
    </row>
    <row r="126" spans="2:46" ht="15.75" customHeight="1">
      <c r="B126" s="1"/>
      <c r="C126" s="3"/>
    </row>
    <row r="127" spans="2:46" ht="15.75" customHeight="1">
      <c r="B127" s="1"/>
      <c r="C127" s="3"/>
    </row>
    <row r="128" spans="2:46" ht="15.75" customHeight="1">
      <c r="B128" s="1"/>
      <c r="C128" s="3"/>
    </row>
    <row r="129" spans="2:3" ht="15.75" customHeight="1">
      <c r="B129" s="1"/>
      <c r="C129" s="3"/>
    </row>
    <row r="130" spans="2:3" ht="15.75" customHeight="1">
      <c r="B130" s="1"/>
      <c r="C130" s="3"/>
    </row>
    <row r="131" spans="2:3" ht="15.75" customHeight="1">
      <c r="B131" s="1"/>
      <c r="C131" s="3"/>
    </row>
    <row r="132" spans="2:3" ht="15.75" customHeight="1">
      <c r="B132" s="1"/>
      <c r="C132" s="3"/>
    </row>
    <row r="133" spans="2:3" ht="15.75" customHeight="1">
      <c r="B133" s="1"/>
      <c r="C133" s="3"/>
    </row>
    <row r="134" spans="2:3" ht="15.75" customHeight="1">
      <c r="B134" s="1"/>
      <c r="C134" s="3"/>
    </row>
    <row r="135" spans="2:3" ht="15.75" customHeight="1">
      <c r="B135" s="1"/>
      <c r="C135" s="3"/>
    </row>
    <row r="136" spans="2:3" ht="15.75" customHeight="1">
      <c r="B136" s="1"/>
      <c r="C136" s="3"/>
    </row>
    <row r="137" spans="2:3" ht="15.75" customHeight="1">
      <c r="B137" s="1"/>
      <c r="C137" s="3"/>
    </row>
    <row r="138" spans="2:3" ht="15.75" customHeight="1">
      <c r="B138" s="1"/>
      <c r="C138" s="3"/>
    </row>
    <row r="139" spans="2:3" ht="15.75" customHeight="1">
      <c r="B139" s="1"/>
      <c r="C139" s="3"/>
    </row>
    <row r="140" spans="2:3" ht="15.75" customHeight="1">
      <c r="B140" s="1"/>
      <c r="C140" s="3"/>
    </row>
    <row r="141" spans="2:3" ht="15.75" customHeight="1">
      <c r="B141" s="1"/>
      <c r="C141" s="3"/>
    </row>
    <row r="142" spans="2:3" ht="15.75" customHeight="1">
      <c r="B142" s="1"/>
      <c r="C142" s="3"/>
    </row>
    <row r="143" spans="2:3" ht="15.75" customHeight="1">
      <c r="B143" s="1"/>
      <c r="C143" s="3"/>
    </row>
    <row r="144" spans="2:3" ht="15.75" customHeight="1">
      <c r="B144" s="1"/>
      <c r="C144" s="3"/>
    </row>
    <row r="145" spans="2:3" ht="15.75" customHeight="1">
      <c r="B145" s="1"/>
      <c r="C145" s="3"/>
    </row>
    <row r="146" spans="2:3" ht="15.75" customHeight="1">
      <c r="B146" s="1"/>
      <c r="C146" s="3"/>
    </row>
    <row r="147" spans="2:3" ht="15.75" customHeight="1">
      <c r="B147" s="1"/>
      <c r="C147" s="3"/>
    </row>
    <row r="148" spans="2:3" ht="15.75" customHeight="1">
      <c r="B148" s="1"/>
      <c r="C148" s="3"/>
    </row>
    <row r="149" spans="2:3" ht="15.75" customHeight="1">
      <c r="B149" s="1"/>
      <c r="C149" s="3"/>
    </row>
    <row r="150" spans="2:3" ht="15.75" customHeight="1">
      <c r="B150" s="1"/>
      <c r="C150" s="3"/>
    </row>
    <row r="151" spans="2:3" ht="15.75" customHeight="1">
      <c r="B151" s="1"/>
      <c r="C151" s="3"/>
    </row>
    <row r="152" spans="2:3" ht="15.75" customHeight="1">
      <c r="B152" s="1"/>
      <c r="C152" s="3"/>
    </row>
    <row r="153" spans="2:3" ht="15.75" customHeight="1">
      <c r="B153" s="1"/>
      <c r="C153" s="3"/>
    </row>
    <row r="154" spans="2:3" ht="15.75" customHeight="1">
      <c r="B154" s="1"/>
      <c r="C154" s="3"/>
    </row>
    <row r="155" spans="2:3" ht="15.75" customHeight="1">
      <c r="B155" s="1"/>
      <c r="C155" s="3"/>
    </row>
    <row r="156" spans="2:3" ht="15.75" customHeight="1">
      <c r="B156" s="1"/>
      <c r="C156" s="3"/>
    </row>
    <row r="157" spans="2:3" ht="15.75" customHeight="1">
      <c r="B157" s="1"/>
      <c r="C157" s="3"/>
    </row>
    <row r="158" spans="2:3" ht="15.75" customHeight="1">
      <c r="B158" s="1"/>
      <c r="C158" s="3"/>
    </row>
    <row r="159" spans="2:3" ht="15.75" customHeight="1">
      <c r="B159" s="1"/>
      <c r="C159" s="3"/>
    </row>
    <row r="160" spans="2:3" ht="15.75" customHeight="1">
      <c r="B160" s="1"/>
      <c r="C160" s="3"/>
    </row>
    <row r="161" spans="2:3" ht="15.75" customHeight="1">
      <c r="B161" s="1"/>
      <c r="C161" s="3"/>
    </row>
    <row r="162" spans="2:3" ht="15.75" customHeight="1">
      <c r="B162" s="1"/>
      <c r="C162" s="3"/>
    </row>
    <row r="163" spans="2:3" ht="15.75" customHeight="1">
      <c r="B163" s="1"/>
      <c r="C163" s="3"/>
    </row>
    <row r="164" spans="2:3" ht="15.75" customHeight="1">
      <c r="B164" s="1"/>
      <c r="C164" s="3"/>
    </row>
    <row r="165" spans="2:3" ht="15.75" customHeight="1">
      <c r="B165" s="1"/>
      <c r="C165" s="3"/>
    </row>
    <row r="166" spans="2:3" ht="15.75" customHeight="1">
      <c r="B166" s="1"/>
      <c r="C166" s="3"/>
    </row>
    <row r="167" spans="2:3" ht="15.75" customHeight="1">
      <c r="B167" s="1"/>
      <c r="C167" s="3"/>
    </row>
    <row r="168" spans="2:3" ht="15.75" customHeight="1">
      <c r="B168" s="1"/>
      <c r="C168" s="3"/>
    </row>
    <row r="169" spans="2:3" ht="15.75" customHeight="1">
      <c r="B169" s="1"/>
      <c r="C169" s="3"/>
    </row>
    <row r="170" spans="2:3" ht="15.75" customHeight="1">
      <c r="B170" s="1"/>
      <c r="C170" s="3"/>
    </row>
    <row r="171" spans="2:3" ht="15.75" customHeight="1">
      <c r="B171" s="1"/>
      <c r="C171" s="3"/>
    </row>
    <row r="172" spans="2:3" ht="15.75" customHeight="1">
      <c r="B172" s="1"/>
      <c r="C172" s="3"/>
    </row>
    <row r="173" spans="2:3" ht="15.75" customHeight="1">
      <c r="B173" s="1"/>
      <c r="C173" s="3"/>
    </row>
    <row r="174" spans="2:3" ht="15.75" customHeight="1">
      <c r="B174" s="1"/>
      <c r="C174" s="3"/>
    </row>
    <row r="175" spans="2:3" ht="15.75" customHeight="1">
      <c r="B175" s="1"/>
      <c r="C175" s="3"/>
    </row>
    <row r="176" spans="2:3" ht="15.75" customHeight="1">
      <c r="B176" s="1"/>
      <c r="C176" s="3"/>
    </row>
    <row r="177" spans="2:3" ht="15.75" customHeight="1">
      <c r="B177" s="1"/>
      <c r="C177" s="3"/>
    </row>
    <row r="178" spans="2:3" ht="15.75" customHeight="1">
      <c r="B178" s="1"/>
      <c r="C178" s="3"/>
    </row>
    <row r="179" spans="2:3" ht="15.75" customHeight="1">
      <c r="B179" s="1"/>
      <c r="C179" s="3"/>
    </row>
    <row r="180" spans="2:3" ht="15.75" customHeight="1">
      <c r="B180" s="1"/>
      <c r="C180" s="3"/>
    </row>
    <row r="181" spans="2:3" ht="15.75" customHeight="1">
      <c r="B181" s="1"/>
      <c r="C181" s="3"/>
    </row>
    <row r="182" spans="2:3" ht="15.75" customHeight="1">
      <c r="B182" s="1"/>
      <c r="C182" s="3"/>
    </row>
    <row r="183" spans="2:3" ht="15.75" customHeight="1">
      <c r="B183" s="1"/>
      <c r="C183" s="3"/>
    </row>
    <row r="184" spans="2:3" ht="15.75" customHeight="1">
      <c r="B184" s="1"/>
      <c r="C184" s="3"/>
    </row>
    <row r="185" spans="2:3" ht="15.75" customHeight="1">
      <c r="B185" s="1"/>
      <c r="C185" s="3"/>
    </row>
    <row r="186" spans="2:3" ht="15.75" customHeight="1">
      <c r="B186" s="1"/>
      <c r="C186" s="3"/>
    </row>
    <row r="187" spans="2:3" ht="15.75" customHeight="1">
      <c r="B187" s="1"/>
      <c r="C187" s="3"/>
    </row>
    <row r="188" spans="2:3" ht="15.75" customHeight="1">
      <c r="B188" s="1"/>
      <c r="C188" s="3"/>
    </row>
    <row r="189" spans="2:3" ht="15.75" customHeight="1">
      <c r="B189" s="1"/>
      <c r="C189" s="3"/>
    </row>
    <row r="190" spans="2:3" ht="15.75" customHeight="1">
      <c r="B190" s="1"/>
      <c r="C190" s="3"/>
    </row>
    <row r="191" spans="2:3" ht="15.75" customHeight="1">
      <c r="B191" s="1"/>
      <c r="C191" s="3"/>
    </row>
    <row r="192" spans="2:3" ht="15.75" customHeight="1">
      <c r="B192" s="1"/>
      <c r="C192" s="3"/>
    </row>
    <row r="193" spans="2:3" ht="15.75" customHeight="1">
      <c r="B193" s="1"/>
      <c r="C193" s="3"/>
    </row>
    <row r="194" spans="2:3" ht="15.75" customHeight="1">
      <c r="B194" s="1"/>
      <c r="C194" s="3"/>
    </row>
    <row r="195" spans="2:3" ht="15.75" customHeight="1">
      <c r="B195" s="1"/>
      <c r="C195" s="3"/>
    </row>
    <row r="196" spans="2:3" ht="15.75" customHeight="1">
      <c r="B196" s="1"/>
      <c r="C196" s="3"/>
    </row>
    <row r="197" spans="2:3" ht="15.75" customHeight="1">
      <c r="B197" s="1"/>
      <c r="C197" s="3"/>
    </row>
    <row r="198" spans="2:3" ht="15.75" customHeight="1">
      <c r="B198" s="1"/>
      <c r="C198" s="3"/>
    </row>
    <row r="199" spans="2:3" ht="15.75" customHeight="1">
      <c r="B199" s="1"/>
      <c r="C199" s="3"/>
    </row>
    <row r="200" spans="2:3" ht="15.75" customHeight="1">
      <c r="B200" s="1"/>
      <c r="C200" s="3"/>
    </row>
    <row r="201" spans="2:3" ht="15.75" customHeight="1">
      <c r="B201" s="1"/>
      <c r="C201" s="3"/>
    </row>
    <row r="202" spans="2:3" ht="15.75" customHeight="1">
      <c r="B202" s="1"/>
      <c r="C202" s="3"/>
    </row>
    <row r="203" spans="2:3" ht="15.75" customHeight="1">
      <c r="B203" s="1"/>
      <c r="C203" s="3"/>
    </row>
    <row r="204" spans="2:3" ht="15.75" customHeight="1">
      <c r="B204" s="1"/>
      <c r="C204" s="3"/>
    </row>
    <row r="205" spans="2:3" ht="15.75" customHeight="1">
      <c r="B205" s="1"/>
      <c r="C205" s="3"/>
    </row>
    <row r="206" spans="2:3" ht="15.75" customHeight="1">
      <c r="B206" s="1"/>
      <c r="C206" s="3"/>
    </row>
    <row r="207" spans="2:3" ht="15.75" customHeight="1">
      <c r="B207" s="1"/>
      <c r="C207" s="3"/>
    </row>
    <row r="208" spans="2:3" ht="15.75" customHeight="1">
      <c r="B208" s="1"/>
      <c r="C208" s="3"/>
    </row>
    <row r="209" spans="2:3" ht="15.75" customHeight="1">
      <c r="B209" s="1"/>
      <c r="C209" s="3"/>
    </row>
    <row r="210" spans="2:3" ht="15.75" customHeight="1">
      <c r="B210" s="1"/>
      <c r="C210" s="3"/>
    </row>
    <row r="211" spans="2:3" ht="15.75" customHeight="1">
      <c r="B211" s="1"/>
      <c r="C211" s="3"/>
    </row>
    <row r="212" spans="2:3" ht="15.75" customHeight="1">
      <c r="B212" s="1"/>
      <c r="C212" s="3"/>
    </row>
    <row r="213" spans="2:3" ht="15.75" customHeight="1">
      <c r="B213" s="1"/>
      <c r="C213" s="3"/>
    </row>
    <row r="214" spans="2:3" ht="15.75" customHeight="1">
      <c r="B214" s="1"/>
      <c r="C214" s="3"/>
    </row>
    <row r="215" spans="2:3" ht="15.75" customHeight="1">
      <c r="B215" s="1"/>
      <c r="C215" s="3"/>
    </row>
    <row r="216" spans="2:3" ht="15.75" customHeight="1">
      <c r="B216" s="1"/>
      <c r="C216" s="3"/>
    </row>
    <row r="217" spans="2:3" ht="15.75" customHeight="1">
      <c r="B217" s="1"/>
      <c r="C217" s="3"/>
    </row>
    <row r="218" spans="2:3" ht="15.75" customHeight="1">
      <c r="B218" s="1"/>
      <c r="C218" s="3"/>
    </row>
    <row r="219" spans="2:3" ht="15.75" customHeight="1">
      <c r="B219" s="1"/>
      <c r="C219" s="3"/>
    </row>
    <row r="220" spans="2:3" ht="15.75" customHeight="1">
      <c r="B220" s="1"/>
      <c r="C220" s="3"/>
    </row>
    <row r="221" spans="2:3" ht="15.75" customHeight="1">
      <c r="B221" s="1"/>
      <c r="C221" s="3"/>
    </row>
    <row r="222" spans="2:3" ht="15.75" customHeight="1">
      <c r="B222" s="1"/>
      <c r="C222" s="3"/>
    </row>
    <row r="223" spans="2:3" ht="15.75" customHeight="1">
      <c r="B223" s="1"/>
      <c r="C223" s="3"/>
    </row>
    <row r="224" spans="2:3" ht="15.75" customHeight="1">
      <c r="B224" s="1"/>
      <c r="C224" s="3"/>
    </row>
    <row r="225" spans="2:3" ht="15.75" customHeight="1">
      <c r="B225" s="1"/>
      <c r="C225" s="3"/>
    </row>
    <row r="226" spans="2:3" ht="15.75" customHeight="1">
      <c r="B226" s="1"/>
      <c r="C226" s="3"/>
    </row>
    <row r="227" spans="2:3" ht="15.75" customHeight="1">
      <c r="B227" s="1"/>
      <c r="C227" s="3"/>
    </row>
    <row r="228" spans="2:3" ht="15.75" customHeight="1">
      <c r="B228" s="1"/>
      <c r="C228" s="3"/>
    </row>
    <row r="229" spans="2:3" ht="15.75" customHeight="1">
      <c r="B229" s="1"/>
      <c r="C229" s="3"/>
    </row>
    <row r="230" spans="2:3" ht="15.75" customHeight="1">
      <c r="B230" s="1"/>
      <c r="C230" s="3"/>
    </row>
    <row r="231" spans="2:3" ht="15.75" customHeight="1">
      <c r="B231" s="1"/>
      <c r="C231" s="3"/>
    </row>
    <row r="232" spans="2:3" ht="15.75" customHeight="1">
      <c r="B232" s="1"/>
      <c r="C232" s="3"/>
    </row>
    <row r="233" spans="2:3" ht="15.75" customHeight="1">
      <c r="B233" s="1"/>
      <c r="C233" s="3"/>
    </row>
    <row r="234" spans="2:3" ht="15.75" customHeight="1">
      <c r="B234" s="1"/>
      <c r="C234" s="3"/>
    </row>
    <row r="235" spans="2:3" ht="15.75" customHeight="1">
      <c r="B235" s="1"/>
      <c r="C235" s="3"/>
    </row>
    <row r="236" spans="2:3" ht="15.75" customHeight="1">
      <c r="B236" s="1"/>
      <c r="C236" s="3"/>
    </row>
    <row r="237" spans="2:3" ht="15.75" customHeight="1">
      <c r="B237" s="1"/>
      <c r="C237" s="3"/>
    </row>
    <row r="238" spans="2:3" ht="15.75" customHeight="1">
      <c r="B238" s="1"/>
      <c r="C238" s="3"/>
    </row>
    <row r="239" spans="2:3" ht="15.75" customHeight="1">
      <c r="B239" s="1"/>
      <c r="C239" s="3"/>
    </row>
    <row r="240" spans="2:3" ht="15.75" customHeight="1">
      <c r="B240" s="1"/>
      <c r="C240" s="3"/>
    </row>
    <row r="241" spans="2:3" ht="15.75" customHeight="1">
      <c r="B241" s="1"/>
      <c r="C241" s="3"/>
    </row>
    <row r="242" spans="2:3" ht="15.75" customHeight="1">
      <c r="B242" s="1"/>
      <c r="C242" s="3"/>
    </row>
    <row r="243" spans="2:3" ht="15.75" customHeight="1">
      <c r="B243" s="1"/>
      <c r="C243" s="3"/>
    </row>
    <row r="244" spans="2:3" ht="15.75" customHeight="1">
      <c r="B244" s="1"/>
      <c r="C244" s="3"/>
    </row>
    <row r="245" spans="2:3" ht="15.75" customHeight="1">
      <c r="B245" s="1"/>
      <c r="C245" s="3"/>
    </row>
    <row r="246" spans="2:3" ht="15.75" customHeight="1">
      <c r="B246" s="1"/>
      <c r="C246" s="3"/>
    </row>
    <row r="247" spans="2:3" ht="15.75" customHeight="1">
      <c r="B247" s="1"/>
      <c r="C247" s="3"/>
    </row>
    <row r="248" spans="2:3" ht="15.75" customHeight="1">
      <c r="B248" s="1"/>
      <c r="C248" s="3"/>
    </row>
    <row r="249" spans="2:3" ht="15.75" customHeight="1">
      <c r="B249" s="1"/>
      <c r="C249" s="3"/>
    </row>
    <row r="250" spans="2:3" ht="15.75" customHeight="1">
      <c r="B250" s="1"/>
      <c r="C250" s="3"/>
    </row>
    <row r="251" spans="2:3" ht="15.75" customHeight="1">
      <c r="B251" s="1"/>
      <c r="C251" s="3"/>
    </row>
    <row r="252" spans="2:3" ht="15.75" customHeight="1">
      <c r="B252" s="1"/>
      <c r="C252" s="3"/>
    </row>
    <row r="253" spans="2:3" ht="15.75" customHeight="1">
      <c r="B253" s="1"/>
      <c r="C253" s="3"/>
    </row>
    <row r="254" spans="2:3" ht="15.75" customHeight="1">
      <c r="B254" s="1"/>
      <c r="C254" s="3"/>
    </row>
    <row r="255" spans="2:3" ht="15.75" customHeight="1">
      <c r="B255" s="1"/>
      <c r="C255" s="3"/>
    </row>
    <row r="256" spans="2:3" ht="15.75" customHeight="1">
      <c r="B256" s="1"/>
      <c r="C256" s="3"/>
    </row>
    <row r="257" spans="2:3" ht="15.75" customHeight="1">
      <c r="B257" s="1"/>
      <c r="C257" s="3"/>
    </row>
    <row r="258" spans="2:3" ht="15.75" customHeight="1">
      <c r="B258" s="1"/>
      <c r="C258" s="3"/>
    </row>
    <row r="259" spans="2:3" ht="15.75" customHeight="1">
      <c r="B259" s="1"/>
      <c r="C259" s="3"/>
    </row>
    <row r="260" spans="2:3" ht="15.75" customHeight="1">
      <c r="B260" s="1"/>
      <c r="C260" s="3"/>
    </row>
    <row r="261" spans="2:3" ht="15.75" customHeight="1">
      <c r="B261" s="1"/>
      <c r="C261" s="3"/>
    </row>
    <row r="262" spans="2:3" ht="15.75" customHeight="1">
      <c r="B262" s="1"/>
      <c r="C262" s="3"/>
    </row>
    <row r="263" spans="2:3" ht="15.75" customHeight="1">
      <c r="B263" s="1"/>
      <c r="C263" s="3"/>
    </row>
    <row r="264" spans="2:3" ht="15.75" customHeight="1">
      <c r="B264" s="1"/>
      <c r="C264" s="3"/>
    </row>
    <row r="265" spans="2:3" ht="15.75" customHeight="1">
      <c r="B265" s="1"/>
      <c r="C265" s="3"/>
    </row>
    <row r="266" spans="2:3" ht="15.75" customHeight="1">
      <c r="B266" s="1"/>
      <c r="C266" s="3"/>
    </row>
    <row r="267" spans="2:3" ht="15.75" customHeight="1">
      <c r="B267" s="1"/>
      <c r="C267" s="3"/>
    </row>
    <row r="268" spans="2:3" ht="15.75" customHeight="1">
      <c r="B268" s="1"/>
      <c r="C268" s="3"/>
    </row>
    <row r="269" spans="2:3" ht="15.75" customHeight="1">
      <c r="B269" s="1"/>
      <c r="C269" s="3"/>
    </row>
    <row r="270" spans="2:3" ht="15.75" customHeight="1">
      <c r="B270" s="1"/>
      <c r="C270" s="3"/>
    </row>
    <row r="271" spans="2:3" ht="15.75" customHeight="1">
      <c r="B271" s="1"/>
      <c r="C271" s="3"/>
    </row>
    <row r="272" spans="2:3" ht="15.75" customHeight="1">
      <c r="B272" s="1"/>
      <c r="C272" s="3"/>
    </row>
    <row r="273" spans="2:3" ht="15.75" customHeight="1">
      <c r="B273" s="1"/>
      <c r="C273" s="3"/>
    </row>
    <row r="274" spans="2:3" ht="15.75" customHeight="1">
      <c r="B274" s="1"/>
      <c r="C274" s="3"/>
    </row>
    <row r="275" spans="2:3" ht="15.75" customHeight="1">
      <c r="B275" s="1"/>
      <c r="C275" s="3"/>
    </row>
    <row r="276" spans="2:3" ht="15.75" customHeight="1">
      <c r="B276" s="1"/>
      <c r="C276" s="3"/>
    </row>
    <row r="277" spans="2:3" ht="15.75" customHeight="1">
      <c r="B277" s="1"/>
      <c r="C277" s="3"/>
    </row>
    <row r="278" spans="2:3" ht="15.75" customHeight="1">
      <c r="B278" s="1"/>
      <c r="C278" s="3"/>
    </row>
    <row r="279" spans="2:3" ht="15.75" customHeight="1">
      <c r="B279" s="1"/>
      <c r="C279" s="3"/>
    </row>
    <row r="280" spans="2:3" ht="15.75" customHeight="1">
      <c r="B280" s="1"/>
      <c r="C280" s="3"/>
    </row>
    <row r="281" spans="2:3" ht="15.75" customHeight="1">
      <c r="B281" s="1"/>
      <c r="C281" s="3"/>
    </row>
    <row r="282" spans="2:3" ht="15.75" customHeight="1">
      <c r="B282" s="1"/>
      <c r="C282" s="3"/>
    </row>
    <row r="283" spans="2:3" ht="15.75" customHeight="1">
      <c r="B283" s="1"/>
      <c r="C283" s="3"/>
    </row>
    <row r="284" spans="2:3" ht="15.75" customHeight="1">
      <c r="B284" s="1"/>
      <c r="C284" s="3"/>
    </row>
    <row r="285" spans="2:3" ht="15.75" customHeight="1">
      <c r="B285" s="1"/>
      <c r="C285" s="3"/>
    </row>
    <row r="286" spans="2:3" ht="15.75" customHeight="1">
      <c r="B286" s="1"/>
      <c r="C286" s="3"/>
    </row>
    <row r="287" spans="2:3" ht="15.75" customHeight="1">
      <c r="B287" s="1"/>
      <c r="C287" s="3"/>
    </row>
    <row r="288" spans="2:3" ht="15.75" customHeight="1">
      <c r="B288" s="1"/>
      <c r="C288" s="3"/>
    </row>
    <row r="289" spans="2:3" ht="15.75" customHeight="1">
      <c r="B289" s="1"/>
      <c r="C289" s="3"/>
    </row>
    <row r="290" spans="2:3" ht="15.75" customHeight="1">
      <c r="B290" s="1"/>
      <c r="C290" s="3"/>
    </row>
    <row r="291" spans="2:3" ht="15.75" customHeight="1">
      <c r="B291" s="1"/>
      <c r="C291" s="3"/>
    </row>
    <row r="292" spans="2:3" ht="15.75" customHeight="1">
      <c r="B292" s="1"/>
      <c r="C292" s="3"/>
    </row>
    <row r="293" spans="2:3" ht="15.75" customHeight="1">
      <c r="B293" s="1"/>
      <c r="C293" s="3"/>
    </row>
    <row r="294" spans="2:3" ht="15.75" customHeight="1">
      <c r="B294" s="1"/>
      <c r="C294" s="3"/>
    </row>
    <row r="295" spans="2:3" ht="15.75" customHeight="1">
      <c r="B295" s="1"/>
      <c r="C295" s="3"/>
    </row>
    <row r="296" spans="2:3" ht="15.75" customHeight="1">
      <c r="B296" s="1"/>
      <c r="C296" s="3"/>
    </row>
    <row r="297" spans="2:3" ht="15.75" customHeight="1">
      <c r="B297" s="1"/>
      <c r="C297" s="3"/>
    </row>
    <row r="298" spans="2:3" ht="15.75" customHeight="1">
      <c r="B298" s="1"/>
      <c r="C298" s="3"/>
    </row>
    <row r="299" spans="2:3" ht="15.75" customHeight="1">
      <c r="B299" s="1"/>
      <c r="C299" s="3"/>
    </row>
    <row r="300" spans="2:3" ht="15.75" customHeight="1">
      <c r="B300" s="1"/>
      <c r="C300" s="3"/>
    </row>
    <row r="301" spans="2:3" ht="15.75" customHeight="1">
      <c r="B301" s="1"/>
      <c r="C301" s="3"/>
    </row>
    <row r="302" spans="2:3" ht="15.75" customHeight="1">
      <c r="B302" s="1"/>
      <c r="C302" s="3"/>
    </row>
    <row r="303" spans="2:3" ht="15.75" customHeight="1">
      <c r="B303" s="1"/>
      <c r="C303" s="3"/>
    </row>
    <row r="304" spans="2:3" ht="15.75" customHeight="1">
      <c r="B304" s="1"/>
      <c r="C304" s="3"/>
    </row>
    <row r="305" spans="2:3" ht="15.75" customHeight="1">
      <c r="B305" s="1"/>
      <c r="C305" s="3"/>
    </row>
    <row r="306" spans="2:3" ht="15.75" customHeight="1">
      <c r="B306" s="1"/>
      <c r="C306" s="3"/>
    </row>
    <row r="307" spans="2:3" ht="15.75" customHeight="1">
      <c r="B307" s="1"/>
      <c r="C307" s="3"/>
    </row>
    <row r="308" spans="2:3" ht="15.75" customHeight="1">
      <c r="B308" s="1"/>
      <c r="C308" s="3"/>
    </row>
    <row r="309" spans="2:3" ht="15.75" customHeight="1">
      <c r="B309" s="1"/>
      <c r="C309" s="3"/>
    </row>
    <row r="310" spans="2:3" ht="15.75" customHeight="1">
      <c r="B310" s="1"/>
      <c r="C310" s="3"/>
    </row>
    <row r="311" spans="2:3" ht="15.75" customHeight="1">
      <c r="B311" s="1"/>
      <c r="C311" s="3"/>
    </row>
    <row r="312" spans="2:3" ht="15.75" customHeight="1">
      <c r="B312" s="1"/>
      <c r="C312" s="3"/>
    </row>
    <row r="313" spans="2:3" ht="15.75" customHeight="1">
      <c r="B313" s="1"/>
      <c r="C313" s="3"/>
    </row>
    <row r="314" spans="2:3" ht="15.75" customHeight="1">
      <c r="B314" s="1"/>
      <c r="C314" s="3"/>
    </row>
    <row r="315" spans="2:3" ht="15.75" customHeight="1">
      <c r="B315" s="1"/>
      <c r="C315" s="3"/>
    </row>
    <row r="316" spans="2:3" ht="15.75" customHeight="1">
      <c r="B316" s="1"/>
      <c r="C316" s="3"/>
    </row>
    <row r="317" spans="2:3" ht="15.75" customHeight="1">
      <c r="B317" s="1"/>
      <c r="C317" s="3"/>
    </row>
    <row r="318" spans="2:3" ht="15.75" customHeight="1">
      <c r="B318" s="1"/>
      <c r="C318" s="3"/>
    </row>
    <row r="319" spans="2:3" ht="15.75" customHeight="1">
      <c r="B319" s="1"/>
      <c r="C319" s="3"/>
    </row>
    <row r="320" spans="2:3" ht="15.75" customHeight="1">
      <c r="B320" s="1"/>
      <c r="C320" s="3"/>
    </row>
    <row r="321" spans="2:3" ht="15.75" customHeight="1">
      <c r="B321" s="1"/>
      <c r="C321" s="3"/>
    </row>
    <row r="322" spans="2:3" ht="15.75" customHeight="1">
      <c r="B322" s="1"/>
      <c r="C322" s="3"/>
    </row>
    <row r="323" spans="2:3" ht="15.75" customHeight="1">
      <c r="B323" s="1"/>
      <c r="C323" s="3"/>
    </row>
    <row r="324" spans="2:3" ht="15.75" customHeight="1">
      <c r="B324" s="1"/>
      <c r="C324" s="3"/>
    </row>
    <row r="325" spans="2:3" ht="15.75" customHeight="1">
      <c r="B325" s="1"/>
      <c r="C325" s="3"/>
    </row>
    <row r="326" spans="2:3" ht="15.75" customHeight="1">
      <c r="B326" s="1"/>
      <c r="C326" s="3"/>
    </row>
    <row r="327" spans="2:3" ht="15.75" customHeight="1">
      <c r="B327" s="1"/>
      <c r="C327" s="3"/>
    </row>
    <row r="328" spans="2:3" ht="15.75" customHeight="1">
      <c r="B328" s="1"/>
      <c r="C328" s="3"/>
    </row>
    <row r="329" spans="2:3" ht="15.75" customHeight="1">
      <c r="B329" s="1"/>
      <c r="C329" s="3"/>
    </row>
    <row r="330" spans="2:3" ht="15.75" customHeight="1">
      <c r="B330" s="1"/>
      <c r="C330" s="3"/>
    </row>
    <row r="331" spans="2:3" ht="15.75" customHeight="1">
      <c r="B331" s="1"/>
      <c r="C331" s="3"/>
    </row>
    <row r="332" spans="2:3" ht="15.75" customHeight="1">
      <c r="B332" s="1"/>
      <c r="C332" s="3"/>
    </row>
    <row r="333" spans="2:3" ht="15.75" customHeight="1">
      <c r="B333" s="1"/>
      <c r="C333" s="3"/>
    </row>
    <row r="334" spans="2:3" ht="15.75" customHeight="1">
      <c r="B334" s="1"/>
      <c r="C334" s="3"/>
    </row>
    <row r="335" spans="2:3" ht="15.75" customHeight="1">
      <c r="B335" s="1"/>
      <c r="C335" s="3"/>
    </row>
    <row r="336" spans="2:3" ht="15.75" customHeight="1">
      <c r="B336" s="1"/>
      <c r="C336" s="3"/>
    </row>
    <row r="337" spans="2:3" ht="15.75" customHeight="1">
      <c r="B337" s="1"/>
      <c r="C337" s="3"/>
    </row>
    <row r="338" spans="2:3" ht="15.75" customHeight="1">
      <c r="B338" s="1"/>
      <c r="C338" s="3"/>
    </row>
    <row r="339" spans="2:3" ht="15.75" customHeight="1">
      <c r="B339" s="1"/>
      <c r="C339" s="3"/>
    </row>
    <row r="340" spans="2:3" ht="15.75" customHeight="1">
      <c r="B340" s="1"/>
      <c r="C340" s="3"/>
    </row>
    <row r="341" spans="2:3" ht="15.75" customHeight="1">
      <c r="B341" s="1"/>
      <c r="C341" s="3"/>
    </row>
    <row r="342" spans="2:3" ht="15.75" customHeight="1">
      <c r="B342" s="1"/>
      <c r="C342" s="3"/>
    </row>
    <row r="343" spans="2:3" ht="15.75" customHeight="1">
      <c r="B343" s="1"/>
      <c r="C343" s="3"/>
    </row>
    <row r="344" spans="2:3" ht="15.75" customHeight="1">
      <c r="B344" s="1"/>
      <c r="C344" s="3"/>
    </row>
    <row r="345" spans="2:3" ht="15.75" customHeight="1">
      <c r="B345" s="1"/>
      <c r="C345" s="3"/>
    </row>
    <row r="346" spans="2:3" ht="15.75" customHeight="1">
      <c r="B346" s="1"/>
      <c r="C346" s="3"/>
    </row>
    <row r="347" spans="2:3" ht="15.75" customHeight="1">
      <c r="B347" s="1"/>
      <c r="C347" s="3"/>
    </row>
    <row r="348" spans="2:3" ht="15.75" customHeight="1">
      <c r="B348" s="1"/>
      <c r="C348" s="3"/>
    </row>
    <row r="349" spans="2:3" ht="15.75" customHeight="1">
      <c r="B349" s="1"/>
      <c r="C349" s="3"/>
    </row>
    <row r="350" spans="2:3" ht="15.75" customHeight="1">
      <c r="B350" s="1"/>
      <c r="C350" s="3"/>
    </row>
    <row r="351" spans="2:3" ht="15.75" customHeight="1">
      <c r="B351" s="1"/>
      <c r="C351" s="3"/>
    </row>
    <row r="352" spans="2:3" ht="15.75" customHeight="1">
      <c r="B352" s="1"/>
      <c r="C352" s="3"/>
    </row>
    <row r="353" spans="2:3" ht="15.75" customHeight="1">
      <c r="B353" s="1"/>
      <c r="C353" s="3"/>
    </row>
    <row r="354" spans="2:3" ht="15.75" customHeight="1">
      <c r="B354" s="1"/>
      <c r="C354" s="3"/>
    </row>
    <row r="355" spans="2:3" ht="15.75" customHeight="1">
      <c r="B355" s="1"/>
      <c r="C355" s="3"/>
    </row>
    <row r="356" spans="2:3" ht="15.75" customHeight="1">
      <c r="B356" s="1"/>
      <c r="C356" s="3"/>
    </row>
    <row r="357" spans="2:3" ht="15.75" customHeight="1">
      <c r="B357" s="1"/>
      <c r="C357" s="3"/>
    </row>
    <row r="358" spans="2:3" ht="15.75" customHeight="1">
      <c r="B358" s="1"/>
      <c r="C358" s="3"/>
    </row>
    <row r="359" spans="2:3" ht="15.75" customHeight="1">
      <c r="B359" s="1"/>
      <c r="C359" s="3"/>
    </row>
    <row r="360" spans="2:3" ht="15.75" customHeight="1">
      <c r="B360" s="1"/>
      <c r="C360" s="3"/>
    </row>
    <row r="361" spans="2:3" ht="15.75" customHeight="1">
      <c r="B361" s="1"/>
      <c r="C361" s="3"/>
    </row>
    <row r="362" spans="2:3" ht="15.75" customHeight="1">
      <c r="B362" s="1"/>
      <c r="C362" s="3"/>
    </row>
    <row r="363" spans="2:3" ht="15.75" customHeight="1">
      <c r="B363" s="1"/>
      <c r="C363" s="3"/>
    </row>
    <row r="364" spans="2:3" ht="15.75" customHeight="1">
      <c r="B364" s="1"/>
      <c r="C364" s="3"/>
    </row>
    <row r="365" spans="2:3" ht="15.75" customHeight="1">
      <c r="B365" s="1"/>
      <c r="C365" s="3"/>
    </row>
    <row r="366" spans="2:3" ht="15.75" customHeight="1">
      <c r="B366" s="1"/>
      <c r="C366" s="3"/>
    </row>
    <row r="367" spans="2:3" ht="15.75" customHeight="1">
      <c r="B367" s="1"/>
      <c r="C367" s="3"/>
    </row>
    <row r="368" spans="2:3" ht="15.75" customHeight="1">
      <c r="B368" s="1"/>
      <c r="C368" s="3"/>
    </row>
    <row r="369" spans="2:3" ht="15.75" customHeight="1">
      <c r="B369" s="1"/>
      <c r="C369" s="3"/>
    </row>
    <row r="370" spans="2:3" ht="15.75" customHeight="1">
      <c r="B370" s="1"/>
      <c r="C370" s="3"/>
    </row>
    <row r="371" spans="2:3" ht="15.75" customHeight="1">
      <c r="B371" s="1"/>
      <c r="C371" s="3"/>
    </row>
    <row r="372" spans="2:3" ht="15.75" customHeight="1">
      <c r="B372" s="1"/>
      <c r="C372" s="3"/>
    </row>
    <row r="373" spans="2:3" ht="15.75" customHeight="1">
      <c r="B373" s="1"/>
      <c r="C373" s="3"/>
    </row>
    <row r="374" spans="2:3" ht="15.75" customHeight="1">
      <c r="B374" s="1"/>
      <c r="C374" s="3"/>
    </row>
    <row r="375" spans="2:3" ht="15.75" customHeight="1">
      <c r="B375" s="1"/>
      <c r="C375" s="3"/>
    </row>
    <row r="376" spans="2:3" ht="15.75" customHeight="1">
      <c r="B376" s="1"/>
      <c r="C376" s="3"/>
    </row>
    <row r="377" spans="2:3" ht="15.75" customHeight="1">
      <c r="B377" s="1"/>
      <c r="C377" s="3"/>
    </row>
    <row r="378" spans="2:3" ht="15.75" customHeight="1">
      <c r="B378" s="1"/>
      <c r="C378" s="3"/>
    </row>
    <row r="379" spans="2:3" ht="15.75" customHeight="1">
      <c r="B379" s="1"/>
      <c r="C379" s="3"/>
    </row>
    <row r="380" spans="2:3" ht="15.75" customHeight="1">
      <c r="B380" s="1"/>
      <c r="C380" s="3"/>
    </row>
    <row r="381" spans="2:3" ht="15.75" customHeight="1">
      <c r="B381" s="1"/>
      <c r="C381" s="3"/>
    </row>
    <row r="382" spans="2:3" ht="15.75" customHeight="1">
      <c r="B382" s="1"/>
      <c r="C382" s="3"/>
    </row>
    <row r="383" spans="2:3" ht="15.75" customHeight="1">
      <c r="B383" s="1"/>
      <c r="C383" s="3"/>
    </row>
    <row r="384" spans="2:3" ht="15.75" customHeight="1">
      <c r="B384" s="1"/>
      <c r="C384" s="3"/>
    </row>
    <row r="385" spans="2:3" ht="15.75" customHeight="1">
      <c r="B385" s="1"/>
      <c r="C385" s="3"/>
    </row>
    <row r="386" spans="2:3" ht="15.75" customHeight="1">
      <c r="B386" s="1"/>
      <c r="C386" s="3"/>
    </row>
    <row r="387" spans="2:3" ht="15.75" customHeight="1">
      <c r="B387" s="1"/>
      <c r="C387" s="3"/>
    </row>
    <row r="388" spans="2:3" ht="15.75" customHeight="1">
      <c r="B388" s="1"/>
      <c r="C388" s="3"/>
    </row>
    <row r="389" spans="2:3" ht="15.75" customHeight="1">
      <c r="B389" s="1"/>
      <c r="C389" s="3"/>
    </row>
    <row r="390" spans="2:3" ht="15.75" customHeight="1">
      <c r="B390" s="1"/>
      <c r="C390" s="3"/>
    </row>
    <row r="391" spans="2:3" ht="15.75" customHeight="1">
      <c r="B391" s="1"/>
      <c r="C391" s="3"/>
    </row>
    <row r="392" spans="2:3" ht="15.75" customHeight="1">
      <c r="B392" s="1"/>
      <c r="C392" s="3"/>
    </row>
    <row r="393" spans="2:3" ht="15.75" customHeight="1">
      <c r="B393" s="1"/>
      <c r="C393" s="3"/>
    </row>
    <row r="394" spans="2:3" ht="15.75" customHeight="1">
      <c r="B394" s="1"/>
      <c r="C394" s="3"/>
    </row>
    <row r="395" spans="2:3" ht="15.75" customHeight="1">
      <c r="B395" s="1"/>
      <c r="C395" s="3"/>
    </row>
    <row r="396" spans="2:3" ht="15.75" customHeight="1">
      <c r="B396" s="1"/>
      <c r="C396" s="3"/>
    </row>
    <row r="397" spans="2:3" ht="15.75" customHeight="1">
      <c r="B397" s="1"/>
      <c r="C397" s="3"/>
    </row>
    <row r="398" spans="2:3" ht="15.75" customHeight="1">
      <c r="B398" s="1"/>
      <c r="C398" s="3"/>
    </row>
    <row r="399" spans="2:3" ht="15.75" customHeight="1">
      <c r="B399" s="1"/>
      <c r="C399" s="3"/>
    </row>
    <row r="400" spans="2:3" ht="15.75" customHeight="1">
      <c r="B400" s="1"/>
      <c r="C400" s="3"/>
    </row>
    <row r="401" spans="2:3" ht="15.75" customHeight="1">
      <c r="B401" s="1"/>
      <c r="C401" s="3"/>
    </row>
    <row r="402" spans="2:3" ht="15.75" customHeight="1">
      <c r="B402" s="1"/>
      <c r="C402" s="3"/>
    </row>
    <row r="403" spans="2:3" ht="15.75" customHeight="1">
      <c r="B403" s="1"/>
      <c r="C403" s="3"/>
    </row>
    <row r="404" spans="2:3" ht="15.75" customHeight="1">
      <c r="B404" s="1"/>
      <c r="C404" s="3"/>
    </row>
    <row r="405" spans="2:3" ht="15.75" customHeight="1">
      <c r="B405" s="1"/>
      <c r="C405" s="3"/>
    </row>
    <row r="406" spans="2:3" ht="15.75" customHeight="1">
      <c r="B406" s="1"/>
      <c r="C406" s="3"/>
    </row>
    <row r="407" spans="2:3" ht="15.75" customHeight="1">
      <c r="B407" s="1"/>
      <c r="C407" s="3"/>
    </row>
    <row r="408" spans="2:3" ht="15.75" customHeight="1">
      <c r="B408" s="1"/>
      <c r="C408" s="3"/>
    </row>
    <row r="409" spans="2:3" ht="15.75" customHeight="1">
      <c r="B409" s="1"/>
      <c r="C409" s="3"/>
    </row>
    <row r="410" spans="2:3" ht="15.75" customHeight="1">
      <c r="B410" s="1"/>
      <c r="C410" s="3"/>
    </row>
    <row r="411" spans="2:3" ht="15.75" customHeight="1">
      <c r="B411" s="1"/>
      <c r="C411" s="3"/>
    </row>
    <row r="412" spans="2:3" ht="15.75" customHeight="1">
      <c r="B412" s="1"/>
      <c r="C412" s="3"/>
    </row>
    <row r="413" spans="2:3" ht="15.75" customHeight="1">
      <c r="B413" s="1"/>
      <c r="C413" s="3"/>
    </row>
    <row r="414" spans="2:3" ht="15.75" customHeight="1">
      <c r="B414" s="1"/>
      <c r="C414" s="3"/>
    </row>
    <row r="415" spans="2:3" ht="15.75" customHeight="1">
      <c r="B415" s="1"/>
      <c r="C415" s="3"/>
    </row>
    <row r="416" spans="2:3" ht="15.75" customHeight="1">
      <c r="B416" s="1"/>
      <c r="C416" s="3"/>
    </row>
    <row r="417" spans="2:3" ht="15.75" customHeight="1">
      <c r="B417" s="1"/>
      <c r="C417" s="3"/>
    </row>
    <row r="418" spans="2:3" ht="15.75" customHeight="1">
      <c r="B418" s="1"/>
      <c r="C418" s="3"/>
    </row>
    <row r="419" spans="2:3" ht="15.75" customHeight="1">
      <c r="B419" s="1"/>
      <c r="C419" s="3"/>
    </row>
    <row r="420" spans="2:3" ht="15.75" customHeight="1">
      <c r="B420" s="1"/>
      <c r="C420" s="3"/>
    </row>
    <row r="421" spans="2:3" ht="15.75" customHeight="1">
      <c r="B421" s="1"/>
      <c r="C421" s="3"/>
    </row>
    <row r="422" spans="2:3" ht="15.75" customHeight="1">
      <c r="B422" s="1"/>
      <c r="C422" s="3"/>
    </row>
    <row r="423" spans="2:3" ht="15.75" customHeight="1">
      <c r="B423" s="1"/>
      <c r="C423" s="3"/>
    </row>
    <row r="424" spans="2:3" ht="15.75" customHeight="1">
      <c r="B424" s="1"/>
      <c r="C424" s="3"/>
    </row>
    <row r="425" spans="2:3" ht="15.75" customHeight="1">
      <c r="B425" s="1"/>
      <c r="C425" s="3"/>
    </row>
    <row r="426" spans="2:3" ht="15.75" customHeight="1">
      <c r="B426" s="1"/>
      <c r="C426" s="3"/>
    </row>
    <row r="427" spans="2:3" ht="15.75" customHeight="1">
      <c r="B427" s="1"/>
      <c r="C427" s="3"/>
    </row>
    <row r="428" spans="2:3" ht="15.75" customHeight="1">
      <c r="B428" s="1"/>
      <c r="C428" s="3"/>
    </row>
    <row r="429" spans="2:3" ht="15.75" customHeight="1">
      <c r="B429" s="1"/>
      <c r="C429" s="3"/>
    </row>
    <row r="430" spans="2:3" ht="15.75" customHeight="1">
      <c r="B430" s="1"/>
      <c r="C430" s="3"/>
    </row>
    <row r="431" spans="2:3" ht="15.75" customHeight="1">
      <c r="B431" s="1"/>
      <c r="C431" s="3"/>
    </row>
    <row r="432" spans="2:3" ht="15.75" customHeight="1">
      <c r="B432" s="1"/>
      <c r="C432" s="3"/>
    </row>
    <row r="433" spans="2:3" ht="15.75" customHeight="1">
      <c r="B433" s="1"/>
      <c r="C433" s="3"/>
    </row>
    <row r="434" spans="2:3" ht="15.75" customHeight="1">
      <c r="B434" s="1"/>
      <c r="C434" s="3"/>
    </row>
    <row r="435" spans="2:3" ht="15.75" customHeight="1">
      <c r="B435" s="1"/>
      <c r="C435" s="3"/>
    </row>
    <row r="436" spans="2:3" ht="15.75" customHeight="1">
      <c r="B436" s="1"/>
      <c r="C436" s="3"/>
    </row>
    <row r="437" spans="2:3" ht="15.75" customHeight="1">
      <c r="B437" s="1"/>
      <c r="C437" s="3"/>
    </row>
    <row r="438" spans="2:3" ht="15.75" customHeight="1">
      <c r="B438" s="1"/>
      <c r="C438" s="3"/>
    </row>
    <row r="439" spans="2:3" ht="15.75" customHeight="1">
      <c r="B439" s="1"/>
      <c r="C439" s="3"/>
    </row>
    <row r="440" spans="2:3" ht="15.75" customHeight="1">
      <c r="B440" s="1"/>
      <c r="C440" s="3"/>
    </row>
    <row r="441" spans="2:3" ht="15.75" customHeight="1">
      <c r="B441" s="1"/>
      <c r="C441" s="3"/>
    </row>
    <row r="442" spans="2:3" ht="15.75" customHeight="1">
      <c r="B442" s="1"/>
      <c r="C442" s="3"/>
    </row>
    <row r="443" spans="2:3" ht="15.75" customHeight="1">
      <c r="B443" s="1"/>
      <c r="C443" s="3"/>
    </row>
    <row r="444" spans="2:3" ht="15.75" customHeight="1">
      <c r="B444" s="1"/>
      <c r="C444" s="3"/>
    </row>
    <row r="445" spans="2:3" ht="15.75" customHeight="1">
      <c r="B445" s="1"/>
      <c r="C445" s="3"/>
    </row>
    <row r="446" spans="2:3" ht="15.75" customHeight="1">
      <c r="B446" s="1"/>
      <c r="C446" s="3"/>
    </row>
    <row r="447" spans="2:3" ht="15.75" customHeight="1">
      <c r="B447" s="1"/>
      <c r="C447" s="3"/>
    </row>
    <row r="448" spans="2:3" ht="15.75" customHeight="1">
      <c r="B448" s="1"/>
      <c r="C448" s="3"/>
    </row>
    <row r="449" spans="2:3" ht="15.75" customHeight="1">
      <c r="B449" s="1"/>
      <c r="C449" s="3"/>
    </row>
    <row r="450" spans="2:3" ht="15.75" customHeight="1">
      <c r="B450" s="1"/>
      <c r="C450" s="3"/>
    </row>
    <row r="451" spans="2:3" ht="15.75" customHeight="1">
      <c r="B451" s="1"/>
      <c r="C451" s="3"/>
    </row>
    <row r="452" spans="2:3" ht="15.75" customHeight="1">
      <c r="B452" s="1"/>
      <c r="C452" s="3"/>
    </row>
    <row r="453" spans="2:3" ht="15.75" customHeight="1">
      <c r="B453" s="1"/>
      <c r="C453" s="3"/>
    </row>
    <row r="454" spans="2:3" ht="15.75" customHeight="1">
      <c r="B454" s="1"/>
      <c r="C454" s="3"/>
    </row>
    <row r="455" spans="2:3" ht="15.75" customHeight="1">
      <c r="B455" s="1"/>
      <c r="C455" s="3"/>
    </row>
    <row r="456" spans="2:3" ht="15.75" customHeight="1">
      <c r="B456" s="1"/>
      <c r="C456" s="3"/>
    </row>
    <row r="457" spans="2:3" ht="15.75" customHeight="1">
      <c r="B457" s="1"/>
      <c r="C457" s="3"/>
    </row>
    <row r="458" spans="2:3" ht="15.75" customHeight="1">
      <c r="B458" s="1"/>
      <c r="C458" s="3"/>
    </row>
    <row r="459" spans="2:3" ht="15.75" customHeight="1">
      <c r="B459" s="1"/>
      <c r="C459" s="3"/>
    </row>
    <row r="460" spans="2:3" ht="15.75" customHeight="1">
      <c r="B460" s="1"/>
      <c r="C460" s="3"/>
    </row>
    <row r="461" spans="2:3" ht="15.75" customHeight="1">
      <c r="B461" s="1"/>
      <c r="C461" s="3"/>
    </row>
    <row r="462" spans="2:3" ht="15.75" customHeight="1">
      <c r="B462" s="1"/>
      <c r="C462" s="3"/>
    </row>
    <row r="463" spans="2:3" ht="15.75" customHeight="1">
      <c r="B463" s="1"/>
      <c r="C463" s="3"/>
    </row>
    <row r="464" spans="2:3" ht="15.75" customHeight="1">
      <c r="B464" s="1"/>
      <c r="C464" s="3"/>
    </row>
    <row r="465" spans="2:3" ht="15.75" customHeight="1">
      <c r="B465" s="1"/>
      <c r="C465" s="3"/>
    </row>
    <row r="466" spans="2:3" ht="15.75" customHeight="1">
      <c r="B466" s="1"/>
      <c r="C466" s="3"/>
    </row>
    <row r="467" spans="2:3" ht="15.75" customHeight="1">
      <c r="B467" s="1"/>
      <c r="C467" s="3"/>
    </row>
    <row r="468" spans="2:3" ht="15.75" customHeight="1">
      <c r="B468" s="1"/>
      <c r="C468" s="3"/>
    </row>
    <row r="469" spans="2:3" ht="15.75" customHeight="1">
      <c r="B469" s="1"/>
      <c r="C469" s="3"/>
    </row>
    <row r="470" spans="2:3" ht="15.75" customHeight="1">
      <c r="B470" s="1"/>
      <c r="C470" s="3"/>
    </row>
    <row r="471" spans="2:3" ht="15.75" customHeight="1">
      <c r="B471" s="1"/>
      <c r="C471" s="3"/>
    </row>
    <row r="472" spans="2:3" ht="15.75" customHeight="1">
      <c r="B472" s="1"/>
      <c r="C472" s="3"/>
    </row>
    <row r="473" spans="2:3" ht="15.75" customHeight="1">
      <c r="B473" s="1"/>
      <c r="C473" s="3"/>
    </row>
    <row r="474" spans="2:3" ht="15.75" customHeight="1">
      <c r="B474" s="1"/>
      <c r="C474" s="3"/>
    </row>
    <row r="475" spans="2:3" ht="15.75" customHeight="1">
      <c r="B475" s="1"/>
      <c r="C475" s="3"/>
    </row>
    <row r="476" spans="2:3" ht="15.75" customHeight="1">
      <c r="B476" s="1"/>
      <c r="C476" s="3"/>
    </row>
    <row r="477" spans="2:3" ht="15.75" customHeight="1">
      <c r="B477" s="1"/>
      <c r="C477" s="3"/>
    </row>
    <row r="478" spans="2:3" ht="15.75" customHeight="1">
      <c r="B478" s="1"/>
      <c r="C478" s="3"/>
    </row>
    <row r="479" spans="2:3" ht="15.75" customHeight="1">
      <c r="B479" s="1"/>
      <c r="C479" s="3"/>
    </row>
    <row r="480" spans="2:3" ht="15.75" customHeight="1">
      <c r="B480" s="1"/>
      <c r="C480" s="3"/>
    </row>
    <row r="481" spans="2:3" ht="15.75" customHeight="1">
      <c r="B481" s="1"/>
      <c r="C481" s="3"/>
    </row>
    <row r="482" spans="2:3" ht="15.75" customHeight="1">
      <c r="B482" s="1"/>
      <c r="C482" s="3"/>
    </row>
    <row r="483" spans="2:3" ht="15.75" customHeight="1">
      <c r="B483" s="1"/>
      <c r="C483" s="3"/>
    </row>
    <row r="484" spans="2:3" ht="15.75" customHeight="1">
      <c r="B484" s="1"/>
      <c r="C484" s="3"/>
    </row>
    <row r="485" spans="2:3" ht="15.75" customHeight="1">
      <c r="B485" s="1"/>
      <c r="C485" s="3"/>
    </row>
    <row r="486" spans="2:3" ht="15.75" customHeight="1">
      <c r="B486" s="1"/>
      <c r="C486" s="3"/>
    </row>
    <row r="487" spans="2:3" ht="15.75" customHeight="1">
      <c r="B487" s="1"/>
      <c r="C487" s="3"/>
    </row>
    <row r="488" spans="2:3" ht="15.75" customHeight="1">
      <c r="B488" s="1"/>
      <c r="C488" s="3"/>
    </row>
    <row r="489" spans="2:3" ht="15.75" customHeight="1">
      <c r="B489" s="1"/>
      <c r="C489" s="3"/>
    </row>
    <row r="490" spans="2:3" ht="15.75" customHeight="1">
      <c r="B490" s="1"/>
      <c r="C490" s="3"/>
    </row>
    <row r="491" spans="2:3" ht="15.75" customHeight="1">
      <c r="B491" s="1"/>
      <c r="C491" s="3"/>
    </row>
    <row r="492" spans="2:3" ht="15.75" customHeight="1">
      <c r="B492" s="1"/>
      <c r="C492" s="3"/>
    </row>
    <row r="493" spans="2:3" ht="15.75" customHeight="1">
      <c r="B493" s="1"/>
      <c r="C493" s="3"/>
    </row>
    <row r="494" spans="2:3" ht="15.75" customHeight="1">
      <c r="B494" s="1"/>
      <c r="C494" s="3"/>
    </row>
    <row r="495" spans="2:3" ht="15.75" customHeight="1">
      <c r="B495" s="1"/>
      <c r="C495" s="3"/>
    </row>
    <row r="496" spans="2:3" ht="15.75" customHeight="1">
      <c r="B496" s="1"/>
      <c r="C496" s="3"/>
    </row>
    <row r="497" spans="2:3" ht="15.75" customHeight="1">
      <c r="B497" s="1"/>
      <c r="C497" s="3"/>
    </row>
    <row r="498" spans="2:3" ht="15.75" customHeight="1">
      <c r="B498" s="1"/>
      <c r="C498" s="3"/>
    </row>
    <row r="499" spans="2:3" ht="15.75" customHeight="1">
      <c r="B499" s="1"/>
      <c r="C499" s="3"/>
    </row>
    <row r="500" spans="2:3" ht="15.75" customHeight="1">
      <c r="B500" s="1"/>
      <c r="C500" s="3"/>
    </row>
    <row r="501" spans="2:3" ht="15.75" customHeight="1">
      <c r="B501" s="1"/>
      <c r="C501" s="3"/>
    </row>
    <row r="502" spans="2:3" ht="15.75" customHeight="1">
      <c r="B502" s="1"/>
      <c r="C502" s="3"/>
    </row>
    <row r="503" spans="2:3" ht="15.75" customHeight="1">
      <c r="B503" s="1"/>
      <c r="C503" s="3"/>
    </row>
    <row r="504" spans="2:3" ht="15.75" customHeight="1">
      <c r="B504" s="1"/>
      <c r="C504" s="3"/>
    </row>
    <row r="505" spans="2:3" ht="15.75" customHeight="1">
      <c r="B505" s="1"/>
      <c r="C505" s="3"/>
    </row>
    <row r="506" spans="2:3" ht="15.75" customHeight="1">
      <c r="B506" s="1"/>
      <c r="C506" s="3"/>
    </row>
    <row r="507" spans="2:3" ht="15.75" customHeight="1">
      <c r="B507" s="1"/>
      <c r="C507" s="3"/>
    </row>
    <row r="508" spans="2:3" ht="15.75" customHeight="1">
      <c r="B508" s="1"/>
      <c r="C508" s="3"/>
    </row>
    <row r="509" spans="2:3" ht="15.75" customHeight="1">
      <c r="B509" s="1"/>
      <c r="C509" s="3"/>
    </row>
    <row r="510" spans="2:3" ht="15.75" customHeight="1">
      <c r="B510" s="1"/>
      <c r="C510" s="3"/>
    </row>
    <row r="511" spans="2:3" ht="15.75" customHeight="1">
      <c r="B511" s="1"/>
      <c r="C511" s="3"/>
    </row>
    <row r="512" spans="2:3" ht="15.75" customHeight="1">
      <c r="B512" s="1"/>
      <c r="C512" s="3"/>
    </row>
    <row r="513" spans="2:3" ht="15.75" customHeight="1">
      <c r="B513" s="1"/>
      <c r="C513" s="3"/>
    </row>
    <row r="514" spans="2:3" ht="15.75" customHeight="1">
      <c r="B514" s="1"/>
      <c r="C514" s="3"/>
    </row>
    <row r="515" spans="2:3" ht="15.75" customHeight="1">
      <c r="B515" s="1"/>
      <c r="C515" s="3"/>
    </row>
    <row r="516" spans="2:3" ht="15.75" customHeight="1">
      <c r="B516" s="1"/>
      <c r="C516" s="3"/>
    </row>
    <row r="517" spans="2:3" ht="15.75" customHeight="1">
      <c r="B517" s="1"/>
      <c r="C517" s="3"/>
    </row>
    <row r="518" spans="2:3" ht="15.75" customHeight="1">
      <c r="B518" s="1"/>
      <c r="C518" s="3"/>
    </row>
    <row r="519" spans="2:3" ht="15.75" customHeight="1">
      <c r="B519" s="1"/>
      <c r="C519" s="3"/>
    </row>
    <row r="520" spans="2:3" ht="15.75" customHeight="1">
      <c r="B520" s="1"/>
      <c r="C520" s="3"/>
    </row>
    <row r="521" spans="2:3" ht="15.75" customHeight="1">
      <c r="B521" s="1"/>
      <c r="C521" s="3"/>
    </row>
    <row r="522" spans="2:3" ht="15.75" customHeight="1">
      <c r="B522" s="1"/>
      <c r="C522" s="3"/>
    </row>
    <row r="523" spans="2:3" ht="15.75" customHeight="1">
      <c r="B523" s="1"/>
      <c r="C523" s="3"/>
    </row>
    <row r="524" spans="2:3" ht="15.75" customHeight="1">
      <c r="B524" s="1"/>
      <c r="C524" s="3"/>
    </row>
    <row r="525" spans="2:3" ht="15.75" customHeight="1">
      <c r="B525" s="1"/>
      <c r="C525" s="3"/>
    </row>
    <row r="526" spans="2:3" ht="15.75" customHeight="1">
      <c r="B526" s="1"/>
      <c r="C526" s="3"/>
    </row>
    <row r="527" spans="2:3" ht="15.75" customHeight="1">
      <c r="B527" s="1"/>
      <c r="C527" s="3"/>
    </row>
    <row r="528" spans="2:3" ht="15.75" customHeight="1">
      <c r="B528" s="1"/>
      <c r="C528" s="3"/>
    </row>
    <row r="529" spans="2:3" ht="15.75" customHeight="1">
      <c r="B529" s="1"/>
      <c r="C529" s="3"/>
    </row>
    <row r="530" spans="2:3" ht="15.75" customHeight="1">
      <c r="B530" s="1"/>
      <c r="C530" s="3"/>
    </row>
    <row r="531" spans="2:3" ht="15.75" customHeight="1">
      <c r="B531" s="1"/>
      <c r="C531" s="3"/>
    </row>
    <row r="532" spans="2:3" ht="15.75" customHeight="1">
      <c r="B532" s="1"/>
      <c r="C532" s="3"/>
    </row>
    <row r="533" spans="2:3" ht="15.75" customHeight="1">
      <c r="B533" s="1"/>
      <c r="C533" s="3"/>
    </row>
    <row r="534" spans="2:3" ht="15.75" customHeight="1">
      <c r="B534" s="1"/>
      <c r="C534" s="3"/>
    </row>
    <row r="535" spans="2:3" ht="15.75" customHeight="1">
      <c r="B535" s="1"/>
      <c r="C535" s="3"/>
    </row>
    <row r="536" spans="2:3" ht="15.75" customHeight="1">
      <c r="B536" s="1"/>
      <c r="C536" s="3"/>
    </row>
    <row r="537" spans="2:3" ht="15.75" customHeight="1">
      <c r="B537" s="1"/>
      <c r="C537" s="3"/>
    </row>
    <row r="538" spans="2:3" ht="15.75" customHeight="1">
      <c r="B538" s="1"/>
      <c r="C538" s="3"/>
    </row>
    <row r="539" spans="2:3" ht="15.75" customHeight="1">
      <c r="B539" s="1"/>
      <c r="C539" s="3"/>
    </row>
    <row r="540" spans="2:3" ht="15.75" customHeight="1">
      <c r="B540" s="1"/>
      <c r="C540" s="3"/>
    </row>
    <row r="541" spans="2:3" ht="15.75" customHeight="1">
      <c r="B541" s="1"/>
      <c r="C541" s="3"/>
    </row>
    <row r="542" spans="2:3" ht="15.75" customHeight="1">
      <c r="B542" s="1"/>
      <c r="C542" s="3"/>
    </row>
    <row r="543" spans="2:3" ht="15.75" customHeight="1">
      <c r="B543" s="1"/>
      <c r="C543" s="3"/>
    </row>
    <row r="544" spans="2:3" ht="15.75" customHeight="1">
      <c r="B544" s="1"/>
      <c r="C544" s="3"/>
    </row>
    <row r="545" spans="2:3" ht="15.75" customHeight="1">
      <c r="B545" s="1"/>
      <c r="C545" s="3"/>
    </row>
    <row r="546" spans="2:3" ht="15.75" customHeight="1">
      <c r="B546" s="1"/>
      <c r="C546" s="3"/>
    </row>
    <row r="547" spans="2:3" ht="15.75" customHeight="1">
      <c r="B547" s="1"/>
      <c r="C547" s="3"/>
    </row>
    <row r="548" spans="2:3" ht="15.75" customHeight="1">
      <c r="B548" s="1"/>
      <c r="C548" s="3"/>
    </row>
    <row r="549" spans="2:3" ht="15.75" customHeight="1">
      <c r="B549" s="1"/>
      <c r="C549" s="3"/>
    </row>
    <row r="550" spans="2:3" ht="15.75" customHeight="1">
      <c r="B550" s="1"/>
      <c r="C550" s="3"/>
    </row>
    <row r="551" spans="2:3" ht="15.75" customHeight="1">
      <c r="B551" s="1"/>
      <c r="C551" s="3"/>
    </row>
    <row r="552" spans="2:3" ht="15.75" customHeight="1">
      <c r="B552" s="1"/>
      <c r="C552" s="3"/>
    </row>
    <row r="553" spans="2:3" ht="15.75" customHeight="1">
      <c r="B553" s="1"/>
      <c r="C553" s="3"/>
    </row>
    <row r="554" spans="2:3" ht="15.75" customHeight="1">
      <c r="B554" s="1"/>
      <c r="C554" s="3"/>
    </row>
    <row r="555" spans="2:3" ht="15.75" customHeight="1">
      <c r="B555" s="1"/>
      <c r="C555" s="3"/>
    </row>
    <row r="556" spans="2:3" ht="15.75" customHeight="1">
      <c r="B556" s="1"/>
      <c r="C556" s="3"/>
    </row>
    <row r="557" spans="2:3" ht="15.75" customHeight="1">
      <c r="B557" s="1"/>
      <c r="C557" s="3"/>
    </row>
    <row r="558" spans="2:3" ht="15.75" customHeight="1">
      <c r="B558" s="1"/>
      <c r="C558" s="3"/>
    </row>
    <row r="559" spans="2:3" ht="15.75" customHeight="1">
      <c r="B559" s="1"/>
      <c r="C559" s="3"/>
    </row>
    <row r="560" spans="2:3" ht="15.75" customHeight="1">
      <c r="B560" s="1"/>
      <c r="C560" s="3"/>
    </row>
    <row r="561" spans="2:3" ht="15.75" customHeight="1">
      <c r="B561" s="1"/>
      <c r="C561" s="3"/>
    </row>
    <row r="562" spans="2:3" ht="15.75" customHeight="1">
      <c r="B562" s="1"/>
      <c r="C562" s="3"/>
    </row>
    <row r="563" spans="2:3" ht="15.75" customHeight="1"/>
    <row r="564" spans="2:3" ht="15.75" customHeight="1"/>
    <row r="565" spans="2:3" ht="15.75" customHeight="1"/>
    <row r="566" spans="2:3" ht="15.75" customHeight="1"/>
    <row r="567" spans="2:3" ht="15.75" customHeight="1"/>
    <row r="568" spans="2:3" ht="15.75" customHeight="1"/>
    <row r="569" spans="2:3" ht="15.75" customHeight="1"/>
    <row r="570" spans="2:3" ht="15.75" customHeight="1"/>
    <row r="571" spans="2:3" ht="15.75" customHeight="1"/>
    <row r="572" spans="2:3" ht="15.75" customHeight="1"/>
    <row r="573" spans="2:3" ht="15.75" customHeight="1"/>
    <row r="574" spans="2:3" ht="15.75" customHeight="1"/>
    <row r="575" spans="2:3" ht="15.75" customHeight="1"/>
    <row r="576" spans="2:3"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sheetData>
  <autoFilter ref="F5:K16" xr:uid="{217DBD8F-1102-4F3F-A64F-D5603F4ABA80}"/>
  <mergeCells count="19">
    <mergeCell ref="B6:B15"/>
    <mergeCell ref="F3:M3"/>
    <mergeCell ref="B2:B5"/>
    <mergeCell ref="C2:C5"/>
    <mergeCell ref="D2:D5"/>
    <mergeCell ref="E2:E5"/>
    <mergeCell ref="Q3:S3"/>
    <mergeCell ref="N3:P3"/>
    <mergeCell ref="F2:AT2"/>
    <mergeCell ref="F4:K4"/>
    <mergeCell ref="AL3:AN3"/>
    <mergeCell ref="AO3:AS3"/>
    <mergeCell ref="AT3:AT5"/>
    <mergeCell ref="T3:V3"/>
    <mergeCell ref="W3:Y3"/>
    <mergeCell ref="Z3:AB3"/>
    <mergeCell ref="AC3:AE3"/>
    <mergeCell ref="AF3:AH3"/>
    <mergeCell ref="AI3:AK3"/>
  </mergeCells>
  <hyperlinks>
    <hyperlink ref="F7" r:id="rId1" display="                 35.200 " xr:uid="{9CF9D913-3F68-4147-A59B-2F01A48E5936}"/>
    <hyperlink ref="H8" r:id="rId2" display="                 315.000 " xr:uid="{AD6EFF83-877C-4611-BD11-BF70392E34A7}"/>
    <hyperlink ref="H7" r:id="rId3" display="    45.700 " xr:uid="{95C2E914-7EA3-40F4-A5D8-B9ADD49B39EA}"/>
    <hyperlink ref="J8" r:id="rId4" display="COTIZACIONES\9. LUCAN_LU 3041.pdf" xr:uid="{3912C68F-42E9-4622-9538-6D6F01DA067B}"/>
    <hyperlink ref="F12" r:id="rId5" display="    5.670.000 " xr:uid="{2BAF6E28-500C-4D2F-8623-9835595D4137}"/>
    <hyperlink ref="F11" r:id="rId6" display="../../../../../../../:b:/g/personal/42828314_medellin_gov_co/ESkViNrRgF5AnLnrwkRf4XQBMdL2SC5KH6ixgFvLygLmxA?e=FodiQ4" xr:uid="{E9973ED0-09F1-4199-A978-CB312B0046C5}"/>
    <hyperlink ref="H12" r:id="rId7" display="      5.416.800 " xr:uid="{512DEF33-FE9D-409A-AB49-9E92210B712C}"/>
    <hyperlink ref="H11" r:id="rId8" display="    2.782.000 " xr:uid="{7D709E8C-AD42-4A99-BCDA-5081D561387A}"/>
    <hyperlink ref="J11" r:id="rId9" display="      2.429.000 " xr:uid="{C2A6C683-7675-4F5A-A90E-80C75B7CEE8B}"/>
    <hyperlink ref="J12" r:id="rId10" display="       4.957.983 " xr:uid="{F85E7A78-D9EF-41D4-9BC3-16CDB8C5E71F}"/>
    <hyperlink ref="J13" r:id="rId11" display="=78000/1,19" xr:uid="{C91CCE44-9FC2-43E2-98BC-0661137E917F}"/>
    <hyperlink ref="F9" r:id="rId12" display="=550000/1,19" xr:uid="{F76E3FD4-0D17-4731-A7DA-3D7EA7FDA027}"/>
    <hyperlink ref="J7" r:id="rId13" display="=35900/1,19" xr:uid="{E4CF3E05-87A8-4788-B368-40008F79DC48}"/>
    <hyperlink ref="H9" r:id="rId14" display="=639900/1,19" xr:uid="{994DAC01-42FC-474F-81DC-75ECEFDCCDE3}"/>
    <hyperlink ref="J9" r:id="rId15" display="=974610/1,19" xr:uid="{7CB449EA-0949-4B16-8ABC-D2D038614345}"/>
    <hyperlink ref="F14" r:id="rId16" display="=475680/1,19" xr:uid="{EDAF4AD5-B629-4F0F-856C-1CCB247DAC94}"/>
    <hyperlink ref="H14" r:id="rId17" display="=478200/1,19" xr:uid="{748E3993-9526-49C3-A97D-C9200F578F9A}"/>
    <hyperlink ref="J14" r:id="rId18" display="=531600/1,19" xr:uid="{4A4D2904-DCEC-45AE-A988-CE8473382B6D}"/>
    <hyperlink ref="F15" r:id="rId19" display="=1823200/1,19" xr:uid="{0E2160A6-AD65-412C-9EA9-4633BEA3E3FA}"/>
    <hyperlink ref="H15" r:id="rId20" display="=1547000/1,19" xr:uid="{1EC066F5-785C-4B01-9D1B-66068A7B5AD3}"/>
    <hyperlink ref="J15" r:id="rId21" display="../../../../../../../:b:/g/personal/42828314_medellin_gov_co/EYG14g-QVvxIi5xfU_pbh7MBEf0sj_aN4Bwg9sALerA9xg?e=aDoxiU" xr:uid="{54AD3C89-74F8-4702-8E01-A28307110C66}"/>
    <hyperlink ref="H6" r:id="rId22" display="=2750000/1,19" xr:uid="{1BA301CC-4762-4060-AB78-B9CFF95A457B}"/>
    <hyperlink ref="F8" r:id="rId23" display="=475000/1,19" xr:uid="{A623D54D-25F2-4233-A1CE-7D2138C9D03C}"/>
    <hyperlink ref="F6" r:id="rId24" display="=2860000/1,19" xr:uid="{399B488A-E46A-40B8-B268-41C4E63960D3}"/>
    <hyperlink ref="F10" r:id="rId25" display="77.820 " xr:uid="{8029D044-6013-4CEA-AD05-26E33309A540}"/>
    <hyperlink ref="H10" r:id="rId26" display="71.400 " xr:uid="{3FB219B0-072C-48A0-BA4C-4B3CA413B138}"/>
    <hyperlink ref="J10" r:id="rId27" display=" 71.400 " xr:uid="{6B784BC1-A8AF-4D69-95E2-D751DEB57AB4}"/>
    <hyperlink ref="J6" r:id="rId28" display="=2944550/1,19" xr:uid="{CFD1462C-E0FC-4B19-8CB7-068C328FF074}"/>
    <hyperlink ref="H13" r:id="rId29" display="=79900/1,19" xr:uid="{98FB4816-C590-4CC9-9CF0-8C2E6CF1B861}"/>
    <hyperlink ref="F13" r:id="rId30" display="53646" xr:uid="{43F66522-237C-45F4-A6E0-081E5A111760}"/>
  </hyperlinks>
  <pageMargins left="0.7" right="0.7" top="0.75" bottom="0.75" header="0" footer="0"/>
  <pageSetup scale="10" orientation="landscape" r:id="rId31"/>
  <legacyDrawing r:id="rId3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24CE6-4E9D-4AEA-98FD-357A304C8D0A}">
  <dimension ref="B1:AU676"/>
  <sheetViews>
    <sheetView topLeftCell="A20" zoomScale="53" zoomScaleNormal="53" workbookViewId="0">
      <selection activeCell="D22" sqref="D22"/>
    </sheetView>
  </sheetViews>
  <sheetFormatPr defaultColWidth="14.42578125" defaultRowHeight="15" customHeight="1"/>
  <cols>
    <col min="1" max="1" width="3.28515625" customWidth="1"/>
    <col min="2" max="2" width="17.5703125" customWidth="1"/>
    <col min="3" max="3" width="21.7109375" style="4" customWidth="1"/>
    <col min="4" max="4" width="21.42578125" customWidth="1"/>
    <col min="5" max="5" width="14.42578125" customWidth="1"/>
    <col min="6" max="6" width="17.7109375" style="61" hidden="1" customWidth="1"/>
    <col min="7" max="12" width="17.7109375" style="40" hidden="1" customWidth="1"/>
    <col min="13" max="13" width="18.7109375" style="22" hidden="1" customWidth="1"/>
    <col min="14" max="14" width="14.28515625" style="4" hidden="1" customWidth="1"/>
    <col min="15" max="16" width="18.7109375" style="22" hidden="1" customWidth="1"/>
    <col min="17" max="17" width="14.28515625" style="4" hidden="1" customWidth="1"/>
    <col min="18" max="19" width="18.7109375" style="22" hidden="1" customWidth="1"/>
    <col min="20" max="20" width="14.28515625" style="4" hidden="1" customWidth="1"/>
    <col min="21" max="22" width="18.7109375" style="22" hidden="1" customWidth="1"/>
    <col min="23" max="23" width="14.28515625" style="4" hidden="1" customWidth="1"/>
    <col min="24" max="25" width="18.7109375" style="22" hidden="1" customWidth="1"/>
    <col min="26" max="26" width="14.28515625" style="4" hidden="1" customWidth="1"/>
    <col min="27" max="28" width="18.7109375" style="22" hidden="1" customWidth="1"/>
    <col min="29" max="29" width="14.28515625" style="4" hidden="1" customWidth="1"/>
    <col min="30" max="31" width="18.7109375" style="22" hidden="1" customWidth="1"/>
    <col min="32" max="32" width="14.28515625" style="4" hidden="1" customWidth="1"/>
    <col min="33" max="34" width="18.7109375" style="22" hidden="1" customWidth="1"/>
    <col min="35" max="35" width="14.28515625" style="4" hidden="1" customWidth="1"/>
    <col min="36" max="37" width="18.7109375" style="22" hidden="1" customWidth="1"/>
    <col min="38" max="38" width="14.28515625" style="4" hidden="1" customWidth="1"/>
    <col min="39" max="40" width="18.7109375" style="22" hidden="1" customWidth="1"/>
    <col min="41" max="41" width="14.28515625" style="4" customWidth="1"/>
    <col min="42" max="42" width="17.5703125" style="4" customWidth="1"/>
    <col min="43" max="43" width="21.85546875" style="4" customWidth="1"/>
    <col min="44" max="44" width="18.7109375" style="22" customWidth="1"/>
    <col min="45" max="45" width="23.7109375" style="22" customWidth="1"/>
    <col min="46" max="46" width="14.42578125" style="4" customWidth="1"/>
    <col min="47" max="47" width="23.28515625" customWidth="1"/>
  </cols>
  <sheetData>
    <row r="1" spans="2:47" ht="15" customHeight="1" thickBot="1"/>
    <row r="2" spans="2:47" ht="30" customHeight="1" thickBot="1">
      <c r="B2" s="217" t="s">
        <v>0</v>
      </c>
      <c r="C2" s="219" t="s">
        <v>1</v>
      </c>
      <c r="D2" s="221" t="s">
        <v>2</v>
      </c>
      <c r="E2" s="223" t="s">
        <v>3</v>
      </c>
      <c r="F2" s="233" t="s">
        <v>4</v>
      </c>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5"/>
      <c r="AO2" s="225"/>
      <c r="AP2" s="225"/>
      <c r="AQ2" s="225"/>
      <c r="AR2" s="225"/>
      <c r="AS2" s="225"/>
      <c r="AT2" s="226"/>
    </row>
    <row r="3" spans="2:47" ht="30" customHeight="1">
      <c r="B3" s="218"/>
      <c r="C3" s="220"/>
      <c r="D3" s="222"/>
      <c r="E3" s="224"/>
      <c r="F3" s="202" t="s">
        <v>5</v>
      </c>
      <c r="G3" s="203"/>
      <c r="H3" s="203"/>
      <c r="I3" s="203"/>
      <c r="J3" s="203"/>
      <c r="K3" s="203"/>
      <c r="L3" s="203"/>
      <c r="M3" s="204"/>
      <c r="N3" s="202" t="s">
        <v>6</v>
      </c>
      <c r="O3" s="203"/>
      <c r="P3" s="203"/>
      <c r="Q3" s="227" t="s">
        <v>7</v>
      </c>
      <c r="R3" s="228"/>
      <c r="S3" s="229"/>
      <c r="T3" s="228" t="s">
        <v>8</v>
      </c>
      <c r="U3" s="228"/>
      <c r="V3" s="229"/>
      <c r="W3" s="227" t="s">
        <v>9</v>
      </c>
      <c r="X3" s="228"/>
      <c r="Y3" s="229"/>
      <c r="Z3" s="202" t="s">
        <v>10</v>
      </c>
      <c r="AA3" s="203"/>
      <c r="AB3" s="204"/>
      <c r="AC3" s="202" t="s">
        <v>11</v>
      </c>
      <c r="AD3" s="203"/>
      <c r="AE3" s="204"/>
      <c r="AF3" s="202" t="s">
        <v>12</v>
      </c>
      <c r="AG3" s="203"/>
      <c r="AH3" s="204"/>
      <c r="AI3" s="202" t="s">
        <v>13</v>
      </c>
      <c r="AJ3" s="203"/>
      <c r="AK3" s="203"/>
      <c r="AL3" s="211" t="s">
        <v>14</v>
      </c>
      <c r="AM3" s="212"/>
      <c r="AN3" s="213"/>
      <c r="AO3" s="211" t="s">
        <v>15</v>
      </c>
      <c r="AP3" s="212"/>
      <c r="AQ3" s="212"/>
      <c r="AR3" s="212"/>
      <c r="AS3" s="213"/>
      <c r="AT3" s="214" t="s">
        <v>16</v>
      </c>
    </row>
    <row r="4" spans="2:47" ht="30" customHeight="1">
      <c r="B4" s="218"/>
      <c r="C4" s="220"/>
      <c r="D4" s="222"/>
      <c r="E4" s="224"/>
      <c r="F4" s="208" t="s">
        <v>17</v>
      </c>
      <c r="G4" s="209"/>
      <c r="H4" s="209"/>
      <c r="I4" s="209"/>
      <c r="J4" s="209"/>
      <c r="K4" s="210"/>
      <c r="L4" s="80" t="s">
        <v>18</v>
      </c>
      <c r="M4" s="28" t="s">
        <v>18</v>
      </c>
      <c r="N4" s="12" t="s">
        <v>19</v>
      </c>
      <c r="O4" s="23" t="s">
        <v>18</v>
      </c>
      <c r="P4" s="28" t="s">
        <v>20</v>
      </c>
      <c r="Q4" s="12" t="s">
        <v>19</v>
      </c>
      <c r="R4" s="23" t="s">
        <v>18</v>
      </c>
      <c r="S4" s="28" t="s">
        <v>20</v>
      </c>
      <c r="T4" s="50" t="s">
        <v>19</v>
      </c>
      <c r="U4" s="23" t="s">
        <v>18</v>
      </c>
      <c r="V4" s="28" t="s">
        <v>20</v>
      </c>
      <c r="W4" s="12" t="s">
        <v>19</v>
      </c>
      <c r="X4" s="23" t="s">
        <v>18</v>
      </c>
      <c r="Y4" s="28" t="s">
        <v>20</v>
      </c>
      <c r="Z4" s="12" t="s">
        <v>19</v>
      </c>
      <c r="AA4" s="23" t="s">
        <v>18</v>
      </c>
      <c r="AB4" s="28" t="s">
        <v>20</v>
      </c>
      <c r="AC4" s="12" t="s">
        <v>21</v>
      </c>
      <c r="AD4" s="23" t="s">
        <v>18</v>
      </c>
      <c r="AE4" s="28" t="s">
        <v>20</v>
      </c>
      <c r="AF4" s="12" t="s">
        <v>21</v>
      </c>
      <c r="AG4" s="23" t="s">
        <v>18</v>
      </c>
      <c r="AH4" s="28" t="s">
        <v>20</v>
      </c>
      <c r="AI4" s="12" t="s">
        <v>21</v>
      </c>
      <c r="AJ4" s="23" t="s">
        <v>18</v>
      </c>
      <c r="AK4" s="35" t="s">
        <v>20</v>
      </c>
      <c r="AL4" s="12" t="s">
        <v>21</v>
      </c>
      <c r="AM4" s="23" t="s">
        <v>18</v>
      </c>
      <c r="AN4" s="28" t="s">
        <v>20</v>
      </c>
      <c r="AO4" s="12" t="s">
        <v>21</v>
      </c>
      <c r="AP4" s="23" t="s">
        <v>22</v>
      </c>
      <c r="AQ4" s="80" t="s">
        <v>23</v>
      </c>
      <c r="AR4" s="23" t="s">
        <v>18</v>
      </c>
      <c r="AS4" s="28" t="s">
        <v>20</v>
      </c>
      <c r="AT4" s="215"/>
    </row>
    <row r="5" spans="2:47" ht="30" customHeight="1" thickBot="1">
      <c r="B5" s="218"/>
      <c r="C5" s="220"/>
      <c r="D5" s="222"/>
      <c r="E5" s="224"/>
      <c r="F5" s="94" t="s">
        <v>26</v>
      </c>
      <c r="G5" s="93" t="s">
        <v>27</v>
      </c>
      <c r="H5" s="93" t="s">
        <v>28</v>
      </c>
      <c r="I5" s="93" t="s">
        <v>27</v>
      </c>
      <c r="J5" s="93" t="s">
        <v>29</v>
      </c>
      <c r="K5" s="93" t="s">
        <v>27</v>
      </c>
      <c r="L5" s="86" t="s">
        <v>30</v>
      </c>
      <c r="M5" s="29" t="s">
        <v>32</v>
      </c>
      <c r="N5" s="19">
        <v>50</v>
      </c>
      <c r="O5" s="24" t="s">
        <v>32</v>
      </c>
      <c r="P5" s="29"/>
      <c r="Q5" s="19">
        <v>50</v>
      </c>
      <c r="R5" s="24" t="s">
        <v>32</v>
      </c>
      <c r="S5" s="29"/>
      <c r="T5" s="53" t="s">
        <v>33</v>
      </c>
      <c r="U5" s="24" t="s">
        <v>32</v>
      </c>
      <c r="V5" s="29"/>
      <c r="W5" s="20" t="s">
        <v>33</v>
      </c>
      <c r="X5" s="24" t="s">
        <v>32</v>
      </c>
      <c r="Y5" s="29"/>
      <c r="Z5" s="20" t="s">
        <v>33</v>
      </c>
      <c r="AA5" s="24" t="s">
        <v>32</v>
      </c>
      <c r="AB5" s="29"/>
      <c r="AC5" s="20" t="s">
        <v>34</v>
      </c>
      <c r="AD5" s="24" t="s">
        <v>32</v>
      </c>
      <c r="AE5" s="29"/>
      <c r="AF5" s="20" t="s">
        <v>34</v>
      </c>
      <c r="AG5" s="24" t="s">
        <v>32</v>
      </c>
      <c r="AH5" s="29"/>
      <c r="AI5" s="20" t="s">
        <v>34</v>
      </c>
      <c r="AJ5" s="24" t="s">
        <v>32</v>
      </c>
      <c r="AK5" s="36"/>
      <c r="AL5" s="20" t="s">
        <v>35</v>
      </c>
      <c r="AM5" s="24" t="s">
        <v>32</v>
      </c>
      <c r="AN5" s="29"/>
      <c r="AO5" s="20"/>
      <c r="AP5" s="67"/>
      <c r="AQ5" s="67"/>
      <c r="AR5" s="24" t="s">
        <v>32</v>
      </c>
      <c r="AS5" s="29"/>
      <c r="AT5" s="215"/>
    </row>
    <row r="6" spans="2:47" ht="123" customHeight="1">
      <c r="B6" s="240" t="s">
        <v>212</v>
      </c>
      <c r="C6" s="33" t="s">
        <v>213</v>
      </c>
      <c r="D6" s="58" t="s">
        <v>214</v>
      </c>
      <c r="E6" s="98" t="s">
        <v>39</v>
      </c>
      <c r="F6" s="151">
        <f>336000/1.19</f>
        <v>282352.9411764706</v>
      </c>
      <c r="G6" s="92">
        <f>F6*1.19</f>
        <v>336000</v>
      </c>
      <c r="H6" s="131">
        <v>207000</v>
      </c>
      <c r="I6" s="132">
        <f t="shared" ref="I6:I14" si="0">H6*1.19</f>
        <v>246330</v>
      </c>
      <c r="J6" s="152">
        <f>359900/1.19</f>
        <v>302436.97478991596</v>
      </c>
      <c r="K6" s="92">
        <f t="shared" ref="K6:K14" si="1">J6*1.19</f>
        <v>359900</v>
      </c>
      <c r="L6" s="89">
        <f t="shared" ref="L6" si="2">AVERAGE(F6,H6,J6)</f>
        <v>263929.9719887955</v>
      </c>
      <c r="M6" s="90">
        <f t="shared" ref="M6" si="3">AVERAGE(G6,I6,K6)</f>
        <v>314076.66666666669</v>
      </c>
      <c r="N6" s="34">
        <v>1</v>
      </c>
      <c r="O6" s="25">
        <f t="shared" ref="O6:O47" si="4">$M6</f>
        <v>314076.66666666669</v>
      </c>
      <c r="P6" s="30">
        <f t="shared" ref="P6:P12" si="5">N6*O6</f>
        <v>314076.66666666669</v>
      </c>
      <c r="Q6" s="34">
        <v>0</v>
      </c>
      <c r="R6" s="25">
        <f t="shared" ref="R6:R47" si="6">$M6</f>
        <v>314076.66666666669</v>
      </c>
      <c r="S6" s="30">
        <f t="shared" ref="S6:S14" si="7">Q6*R6</f>
        <v>0</v>
      </c>
      <c r="T6" s="34">
        <v>0</v>
      </c>
      <c r="U6" s="25">
        <f t="shared" ref="U6:U47" si="8">$M6</f>
        <v>314076.66666666669</v>
      </c>
      <c r="V6" s="30">
        <f t="shared" ref="V6:V14" si="9">T6*U6</f>
        <v>0</v>
      </c>
      <c r="W6" s="34">
        <v>0</v>
      </c>
      <c r="X6" s="25">
        <f t="shared" ref="X6:X47" si="10">$M6</f>
        <v>314076.66666666669</v>
      </c>
      <c r="Y6" s="30">
        <f t="shared" ref="Y6:Y14" si="11">W6*X6</f>
        <v>0</v>
      </c>
      <c r="Z6" s="34">
        <v>1</v>
      </c>
      <c r="AA6" s="25">
        <f t="shared" ref="AA6:AA47" si="12">$M6</f>
        <v>314076.66666666669</v>
      </c>
      <c r="AB6" s="30">
        <f t="shared" ref="AB6:AB14" si="13">Z6*AA6</f>
        <v>314076.66666666669</v>
      </c>
      <c r="AC6" s="34">
        <v>0</v>
      </c>
      <c r="AD6" s="25">
        <f t="shared" ref="AD6:AD47" si="14">$M6</f>
        <v>314076.66666666669</v>
      </c>
      <c r="AE6" s="30">
        <f t="shared" ref="AE6:AE14" si="15">AC6*AD6</f>
        <v>0</v>
      </c>
      <c r="AF6" s="34">
        <v>0</v>
      </c>
      <c r="AG6" s="25">
        <f t="shared" ref="AG6:AG47" si="16">$M6</f>
        <v>314076.66666666669</v>
      </c>
      <c r="AH6" s="30">
        <f t="shared" ref="AH6:AH14" si="17">AF6*AG6</f>
        <v>0</v>
      </c>
      <c r="AI6" s="34">
        <v>0</v>
      </c>
      <c r="AJ6" s="25">
        <f t="shared" ref="AJ6:AJ47" si="18">$M6</f>
        <v>314076.66666666669</v>
      </c>
      <c r="AK6" s="30">
        <f t="shared" ref="AK6:AK14" si="19">AI6*AJ6</f>
        <v>0</v>
      </c>
      <c r="AL6" s="34"/>
      <c r="AM6" s="25">
        <f t="shared" ref="AM6:AM47" si="20">$M6</f>
        <v>314076.66666666669</v>
      </c>
      <c r="AN6" s="30">
        <f t="shared" ref="AN6:AN14" si="21">AL6*AM6</f>
        <v>0</v>
      </c>
      <c r="AO6" s="17">
        <f>$N6+$Q6+$T6+$W6+$Z6+$AC6+$AF6+$AI6+$AL6</f>
        <v>2</v>
      </c>
      <c r="AP6" s="77">
        <f>$L6</f>
        <v>263929.9719887955</v>
      </c>
      <c r="AQ6" s="77">
        <f>AO6*AP6</f>
        <v>527859.943977591</v>
      </c>
      <c r="AR6" s="25">
        <f t="shared" ref="AR6:AR47" si="22">$M6</f>
        <v>314076.66666666669</v>
      </c>
      <c r="AS6" s="30">
        <f t="shared" ref="AS6:AS14" si="23">AO6*AR6</f>
        <v>628153.33333333337</v>
      </c>
      <c r="AT6" s="48" t="e" vm="84">
        <v>#VALUE!</v>
      </c>
      <c r="AU6" s="83"/>
    </row>
    <row r="7" spans="2:47" ht="121.5" customHeight="1">
      <c r="B7" s="241"/>
      <c r="C7" s="9" t="s">
        <v>213</v>
      </c>
      <c r="D7" s="10" t="s">
        <v>215</v>
      </c>
      <c r="E7" s="99" t="s">
        <v>39</v>
      </c>
      <c r="F7" s="118">
        <f>682900/1.19</f>
        <v>573865.54621848743</v>
      </c>
      <c r="G7" s="41">
        <f t="shared" ref="G7:G14" si="24">F7*1.19</f>
        <v>682900</v>
      </c>
      <c r="H7" s="153">
        <f>682900/1.19</f>
        <v>573865.54621848743</v>
      </c>
      <c r="I7" s="41">
        <f t="shared" si="0"/>
        <v>682900</v>
      </c>
      <c r="J7" s="154">
        <f>521300/1.19</f>
        <v>438067.22689075634</v>
      </c>
      <c r="K7" s="125">
        <f t="shared" si="1"/>
        <v>521300</v>
      </c>
      <c r="L7" s="89">
        <f t="shared" ref="L7:L47" si="25">AVERAGE(F7,H7,J7)</f>
        <v>528599.43977591034</v>
      </c>
      <c r="M7" s="90">
        <f t="shared" ref="M7:M47" si="26">AVERAGE(G7,I7,K7)</f>
        <v>629033.33333333337</v>
      </c>
      <c r="N7" s="14">
        <v>0</v>
      </c>
      <c r="O7" s="26">
        <f t="shared" si="4"/>
        <v>629033.33333333337</v>
      </c>
      <c r="P7" s="37">
        <f t="shared" si="5"/>
        <v>0</v>
      </c>
      <c r="Q7" s="14">
        <v>0</v>
      </c>
      <c r="R7" s="26">
        <f t="shared" si="6"/>
        <v>629033.33333333337</v>
      </c>
      <c r="S7" s="37">
        <f t="shared" si="7"/>
        <v>0</v>
      </c>
      <c r="T7" s="14">
        <v>0</v>
      </c>
      <c r="U7" s="26">
        <f t="shared" si="8"/>
        <v>629033.33333333337</v>
      </c>
      <c r="V7" s="37">
        <f t="shared" si="9"/>
        <v>0</v>
      </c>
      <c r="W7" s="14">
        <v>0</v>
      </c>
      <c r="X7" s="26">
        <f t="shared" si="10"/>
        <v>629033.33333333337</v>
      </c>
      <c r="Y7" s="37">
        <f t="shared" si="11"/>
        <v>0</v>
      </c>
      <c r="Z7" s="14">
        <v>0</v>
      </c>
      <c r="AA7" s="26">
        <f t="shared" si="12"/>
        <v>629033.33333333337</v>
      </c>
      <c r="AB7" s="37">
        <f t="shared" si="13"/>
        <v>0</v>
      </c>
      <c r="AC7" s="14">
        <v>3</v>
      </c>
      <c r="AD7" s="26">
        <f t="shared" si="14"/>
        <v>629033.33333333337</v>
      </c>
      <c r="AE7" s="37">
        <f t="shared" si="15"/>
        <v>1887100</v>
      </c>
      <c r="AF7" s="14">
        <v>3</v>
      </c>
      <c r="AG7" s="26">
        <f t="shared" si="16"/>
        <v>629033.33333333337</v>
      </c>
      <c r="AH7" s="37">
        <f t="shared" si="17"/>
        <v>1887100</v>
      </c>
      <c r="AI7" s="14">
        <v>3</v>
      </c>
      <c r="AJ7" s="26">
        <f t="shared" si="18"/>
        <v>629033.33333333337</v>
      </c>
      <c r="AK7" s="37">
        <f t="shared" si="19"/>
        <v>1887100</v>
      </c>
      <c r="AL7" s="14"/>
      <c r="AM7" s="26">
        <f t="shared" si="20"/>
        <v>629033.33333333337</v>
      </c>
      <c r="AN7" s="37">
        <f t="shared" si="21"/>
        <v>0</v>
      </c>
      <c r="AO7" s="13">
        <f t="shared" ref="AO7:AO47" si="27">$N7+$Q7+$T7+$W7+$Z7+$AC7+$AF7+$AI7+$AL7</f>
        <v>9</v>
      </c>
      <c r="AP7" s="77">
        <f t="shared" ref="AP7:AP47" si="28">$L7</f>
        <v>528599.43977591034</v>
      </c>
      <c r="AQ7" s="77">
        <f>AO7*AP7</f>
        <v>4757394.957983193</v>
      </c>
      <c r="AR7" s="26">
        <f t="shared" si="22"/>
        <v>629033.33333333337</v>
      </c>
      <c r="AS7" s="37">
        <f t="shared" si="23"/>
        <v>5661300</v>
      </c>
      <c r="AT7" s="123" t="e" vm="84">
        <v>#VALUE!</v>
      </c>
      <c r="AU7" s="83"/>
    </row>
    <row r="8" spans="2:47" ht="121.5" customHeight="1">
      <c r="B8" s="241"/>
      <c r="C8" s="9" t="s">
        <v>216</v>
      </c>
      <c r="D8" s="10" t="s">
        <v>217</v>
      </c>
      <c r="E8" s="99" t="s">
        <v>39</v>
      </c>
      <c r="F8" s="155">
        <f>312900/1.19</f>
        <v>262941.17647058825</v>
      </c>
      <c r="G8" s="125">
        <f t="shared" si="24"/>
        <v>312900</v>
      </c>
      <c r="H8" s="116">
        <f>239000/1.19</f>
        <v>200840.3361344538</v>
      </c>
      <c r="I8" s="41">
        <f t="shared" si="0"/>
        <v>239000</v>
      </c>
      <c r="J8" s="141">
        <f>244770/1.19</f>
        <v>205689.0756302521</v>
      </c>
      <c r="K8" s="41">
        <f t="shared" si="1"/>
        <v>244770</v>
      </c>
      <c r="L8" s="89">
        <f t="shared" si="25"/>
        <v>223156.86274509807</v>
      </c>
      <c r="M8" s="90">
        <f t="shared" si="26"/>
        <v>265556.66666666669</v>
      </c>
      <c r="N8" s="14">
        <v>1</v>
      </c>
      <c r="O8" s="26">
        <f t="shared" si="4"/>
        <v>265556.66666666669</v>
      </c>
      <c r="P8" s="37">
        <f t="shared" si="5"/>
        <v>265556.66666666669</v>
      </c>
      <c r="Q8" s="14">
        <v>0</v>
      </c>
      <c r="R8" s="26">
        <f t="shared" si="6"/>
        <v>265556.66666666669</v>
      </c>
      <c r="S8" s="37">
        <f t="shared" si="7"/>
        <v>0</v>
      </c>
      <c r="T8" s="14">
        <v>0</v>
      </c>
      <c r="U8" s="26">
        <f t="shared" si="8"/>
        <v>265556.66666666669</v>
      </c>
      <c r="V8" s="37">
        <f t="shared" si="9"/>
        <v>0</v>
      </c>
      <c r="W8" s="14">
        <v>0</v>
      </c>
      <c r="X8" s="26">
        <f t="shared" si="10"/>
        <v>265556.66666666669</v>
      </c>
      <c r="Y8" s="37">
        <f t="shared" si="11"/>
        <v>0</v>
      </c>
      <c r="Z8" s="14">
        <v>1</v>
      </c>
      <c r="AA8" s="26">
        <f t="shared" si="12"/>
        <v>265556.66666666669</v>
      </c>
      <c r="AB8" s="37">
        <f t="shared" si="13"/>
        <v>265556.66666666669</v>
      </c>
      <c r="AC8" s="14">
        <v>4</v>
      </c>
      <c r="AD8" s="26">
        <f t="shared" si="14"/>
        <v>265556.66666666669</v>
      </c>
      <c r="AE8" s="37">
        <f t="shared" si="15"/>
        <v>1062226.6666666667</v>
      </c>
      <c r="AF8" s="14">
        <v>4</v>
      </c>
      <c r="AG8" s="26">
        <f t="shared" si="16"/>
        <v>265556.66666666669</v>
      </c>
      <c r="AH8" s="37">
        <f t="shared" si="17"/>
        <v>1062226.6666666667</v>
      </c>
      <c r="AI8" s="14">
        <v>4</v>
      </c>
      <c r="AJ8" s="26">
        <f t="shared" si="18"/>
        <v>265556.66666666669</v>
      </c>
      <c r="AK8" s="37">
        <f t="shared" si="19"/>
        <v>1062226.6666666667</v>
      </c>
      <c r="AL8" s="14"/>
      <c r="AM8" s="26">
        <f t="shared" si="20"/>
        <v>265556.66666666669</v>
      </c>
      <c r="AN8" s="37">
        <f t="shared" si="21"/>
        <v>0</v>
      </c>
      <c r="AO8" s="13">
        <f t="shared" si="27"/>
        <v>14</v>
      </c>
      <c r="AP8" s="77">
        <f t="shared" si="28"/>
        <v>223156.86274509807</v>
      </c>
      <c r="AQ8" s="77">
        <f>AO8*AP8</f>
        <v>3124196.078431373</v>
      </c>
      <c r="AR8" s="26">
        <f t="shared" si="22"/>
        <v>265556.66666666669</v>
      </c>
      <c r="AS8" s="37">
        <f t="shared" si="23"/>
        <v>3717793.3333333335</v>
      </c>
      <c r="AT8" s="69" t="e" vm="85">
        <v>#VALUE!</v>
      </c>
      <c r="AU8" s="83"/>
    </row>
    <row r="9" spans="2:47" ht="121.5" customHeight="1">
      <c r="B9" s="241"/>
      <c r="C9" s="9" t="s">
        <v>218</v>
      </c>
      <c r="D9" s="10" t="s">
        <v>219</v>
      </c>
      <c r="E9" s="99" t="s">
        <v>39</v>
      </c>
      <c r="F9" s="156">
        <f>1650000/1.19</f>
        <v>1386554.6218487395</v>
      </c>
      <c r="G9" s="41">
        <f t="shared" si="24"/>
        <v>1649999.9999999998</v>
      </c>
      <c r="H9" s="153">
        <f>1750000/1.19</f>
        <v>1470588.2352941178</v>
      </c>
      <c r="I9" s="41">
        <f t="shared" si="0"/>
        <v>1750000.0000000002</v>
      </c>
      <c r="J9" s="153">
        <f>1899000/1.19</f>
        <v>1595798.3193277312</v>
      </c>
      <c r="K9" s="41">
        <f t="shared" si="1"/>
        <v>1899000</v>
      </c>
      <c r="L9" s="89">
        <f t="shared" si="25"/>
        <v>1484313.7254901964</v>
      </c>
      <c r="M9" s="90">
        <f t="shared" si="26"/>
        <v>1766333.3333333333</v>
      </c>
      <c r="N9" s="14">
        <v>0</v>
      </c>
      <c r="O9" s="26">
        <f t="shared" si="4"/>
        <v>1766333.3333333333</v>
      </c>
      <c r="P9" s="37">
        <f t="shared" si="5"/>
        <v>0</v>
      </c>
      <c r="Q9" s="14">
        <v>0</v>
      </c>
      <c r="R9" s="26">
        <f t="shared" si="6"/>
        <v>1766333.3333333333</v>
      </c>
      <c r="S9" s="37">
        <f t="shared" si="7"/>
        <v>0</v>
      </c>
      <c r="T9" s="14">
        <v>0</v>
      </c>
      <c r="U9" s="26">
        <f t="shared" si="8"/>
        <v>1766333.3333333333</v>
      </c>
      <c r="V9" s="37">
        <f t="shared" si="9"/>
        <v>0</v>
      </c>
      <c r="W9" s="14">
        <v>0</v>
      </c>
      <c r="X9" s="26">
        <f t="shared" si="10"/>
        <v>1766333.3333333333</v>
      </c>
      <c r="Y9" s="37">
        <f t="shared" si="11"/>
        <v>0</v>
      </c>
      <c r="Z9" s="14">
        <v>2</v>
      </c>
      <c r="AA9" s="26">
        <f t="shared" si="12"/>
        <v>1766333.3333333333</v>
      </c>
      <c r="AB9" s="37">
        <f t="shared" si="13"/>
        <v>3532666.6666666665</v>
      </c>
      <c r="AC9" s="14">
        <v>0</v>
      </c>
      <c r="AD9" s="26">
        <f t="shared" si="14"/>
        <v>1766333.3333333333</v>
      </c>
      <c r="AE9" s="37">
        <f t="shared" si="15"/>
        <v>0</v>
      </c>
      <c r="AF9" s="14">
        <v>0</v>
      </c>
      <c r="AG9" s="26">
        <f t="shared" si="16"/>
        <v>1766333.3333333333</v>
      </c>
      <c r="AH9" s="37">
        <f t="shared" si="17"/>
        <v>0</v>
      </c>
      <c r="AI9" s="14">
        <v>0</v>
      </c>
      <c r="AJ9" s="26">
        <f t="shared" si="18"/>
        <v>1766333.3333333333</v>
      </c>
      <c r="AK9" s="37">
        <f t="shared" si="19"/>
        <v>0</v>
      </c>
      <c r="AL9" s="14"/>
      <c r="AM9" s="26">
        <f t="shared" si="20"/>
        <v>1766333.3333333333</v>
      </c>
      <c r="AN9" s="37">
        <f t="shared" si="21"/>
        <v>0</v>
      </c>
      <c r="AO9" s="13">
        <f t="shared" si="27"/>
        <v>2</v>
      </c>
      <c r="AP9" s="77">
        <f t="shared" si="28"/>
        <v>1484313.7254901964</v>
      </c>
      <c r="AQ9" s="77">
        <f>AO9*AP9</f>
        <v>2968627.4509803928</v>
      </c>
      <c r="AR9" s="26">
        <f t="shared" si="22"/>
        <v>1766333.3333333333</v>
      </c>
      <c r="AS9" s="37">
        <f t="shared" si="23"/>
        <v>3532666.6666666665</v>
      </c>
      <c r="AT9" s="69" t="e" vm="86">
        <v>#VALUE!</v>
      </c>
      <c r="AU9" s="83"/>
    </row>
    <row r="10" spans="2:47" ht="121.5" customHeight="1">
      <c r="B10" s="241"/>
      <c r="C10" s="9" t="s">
        <v>218</v>
      </c>
      <c r="D10" s="10" t="s">
        <v>220</v>
      </c>
      <c r="E10" s="99" t="s">
        <v>39</v>
      </c>
      <c r="F10" s="118">
        <f>572000/1.19</f>
        <v>480672.26890756306</v>
      </c>
      <c r="G10" s="41">
        <f t="shared" si="24"/>
        <v>572000</v>
      </c>
      <c r="H10" s="116">
        <v>403277</v>
      </c>
      <c r="I10" s="41">
        <f t="shared" si="0"/>
        <v>479899.63</v>
      </c>
      <c r="J10" s="126">
        <v>352942</v>
      </c>
      <c r="K10" s="125">
        <f t="shared" si="1"/>
        <v>420000.98</v>
      </c>
      <c r="L10" s="89">
        <f t="shared" si="25"/>
        <v>412297.08963585435</v>
      </c>
      <c r="M10" s="90">
        <f t="shared" si="26"/>
        <v>490633.53666666662</v>
      </c>
      <c r="N10" s="14">
        <v>1</v>
      </c>
      <c r="O10" s="26">
        <f t="shared" si="4"/>
        <v>490633.53666666662</v>
      </c>
      <c r="P10" s="37">
        <f t="shared" si="5"/>
        <v>490633.53666666662</v>
      </c>
      <c r="Q10" s="14">
        <v>0</v>
      </c>
      <c r="R10" s="26">
        <f t="shared" si="6"/>
        <v>490633.53666666662</v>
      </c>
      <c r="S10" s="37">
        <f t="shared" si="7"/>
        <v>0</v>
      </c>
      <c r="T10" s="14">
        <v>0</v>
      </c>
      <c r="U10" s="26">
        <f t="shared" si="8"/>
        <v>490633.53666666662</v>
      </c>
      <c r="V10" s="37">
        <f t="shared" si="9"/>
        <v>0</v>
      </c>
      <c r="W10" s="14">
        <v>0</v>
      </c>
      <c r="X10" s="26">
        <f t="shared" si="10"/>
        <v>490633.53666666662</v>
      </c>
      <c r="Y10" s="37">
        <f t="shared" si="11"/>
        <v>0</v>
      </c>
      <c r="Z10" s="14">
        <v>2</v>
      </c>
      <c r="AA10" s="26">
        <f t="shared" si="12"/>
        <v>490633.53666666662</v>
      </c>
      <c r="AB10" s="37">
        <f t="shared" si="13"/>
        <v>981267.07333333325</v>
      </c>
      <c r="AC10" s="14">
        <v>0</v>
      </c>
      <c r="AD10" s="26">
        <f t="shared" si="14"/>
        <v>490633.53666666662</v>
      </c>
      <c r="AE10" s="37">
        <f t="shared" si="15"/>
        <v>0</v>
      </c>
      <c r="AF10" s="14">
        <v>0</v>
      </c>
      <c r="AG10" s="26">
        <f t="shared" si="16"/>
        <v>490633.53666666662</v>
      </c>
      <c r="AH10" s="37">
        <f t="shared" si="17"/>
        <v>0</v>
      </c>
      <c r="AI10" s="14">
        <v>0</v>
      </c>
      <c r="AJ10" s="26">
        <f t="shared" si="18"/>
        <v>490633.53666666662</v>
      </c>
      <c r="AK10" s="37">
        <f t="shared" si="19"/>
        <v>0</v>
      </c>
      <c r="AL10" s="14"/>
      <c r="AM10" s="26">
        <f t="shared" si="20"/>
        <v>490633.53666666662</v>
      </c>
      <c r="AN10" s="37">
        <f t="shared" si="21"/>
        <v>0</v>
      </c>
      <c r="AO10" s="13">
        <f t="shared" si="27"/>
        <v>3</v>
      </c>
      <c r="AP10" s="77">
        <f t="shared" si="28"/>
        <v>412297.08963585435</v>
      </c>
      <c r="AQ10" s="77">
        <f t="shared" ref="AQ10:AQ47" si="29">AO10*AP10</f>
        <v>1236891.2689075631</v>
      </c>
      <c r="AR10" s="26">
        <f t="shared" si="22"/>
        <v>490633.53666666662</v>
      </c>
      <c r="AS10" s="37">
        <f t="shared" si="23"/>
        <v>1471900.6099999999</v>
      </c>
      <c r="AT10" s="69" t="e" vm="87">
        <v>#VALUE!</v>
      </c>
      <c r="AU10" s="83"/>
    </row>
    <row r="11" spans="2:47" ht="121.5" customHeight="1">
      <c r="B11" s="241"/>
      <c r="C11" s="9" t="s">
        <v>221</v>
      </c>
      <c r="D11" s="10" t="s">
        <v>222</v>
      </c>
      <c r="E11" s="99" t="s">
        <v>39</v>
      </c>
      <c r="F11" s="124">
        <f>359900/1.19</f>
        <v>302436.97478991596</v>
      </c>
      <c r="G11" s="125">
        <f t="shared" si="24"/>
        <v>359900</v>
      </c>
      <c r="H11" s="116">
        <v>441111</v>
      </c>
      <c r="I11" s="41">
        <f t="shared" si="0"/>
        <v>524922.09</v>
      </c>
      <c r="J11" s="153">
        <f>(219900*2)/1.19</f>
        <v>369579.83193277312</v>
      </c>
      <c r="K11" s="41">
        <f t="shared" si="1"/>
        <v>439800</v>
      </c>
      <c r="L11" s="89">
        <f t="shared" si="25"/>
        <v>371042.60224089632</v>
      </c>
      <c r="M11" s="90">
        <f t="shared" si="26"/>
        <v>441540.6966666666</v>
      </c>
      <c r="N11" s="14">
        <v>2</v>
      </c>
      <c r="O11" s="26">
        <f t="shared" si="4"/>
        <v>441540.6966666666</v>
      </c>
      <c r="P11" s="37">
        <f t="shared" si="5"/>
        <v>883081.3933333332</v>
      </c>
      <c r="Q11" s="14">
        <v>0</v>
      </c>
      <c r="R11" s="26">
        <f t="shared" si="6"/>
        <v>441540.6966666666</v>
      </c>
      <c r="S11" s="37">
        <f t="shared" si="7"/>
        <v>0</v>
      </c>
      <c r="T11" s="14">
        <v>0</v>
      </c>
      <c r="U11" s="26">
        <f t="shared" si="8"/>
        <v>441540.6966666666</v>
      </c>
      <c r="V11" s="37">
        <f t="shared" si="9"/>
        <v>0</v>
      </c>
      <c r="W11" s="14">
        <v>0</v>
      </c>
      <c r="X11" s="26">
        <f t="shared" si="10"/>
        <v>441540.6966666666</v>
      </c>
      <c r="Y11" s="37">
        <f t="shared" si="11"/>
        <v>0</v>
      </c>
      <c r="Z11" s="14">
        <v>2</v>
      </c>
      <c r="AA11" s="26">
        <f t="shared" si="12"/>
        <v>441540.6966666666</v>
      </c>
      <c r="AB11" s="37">
        <f t="shared" si="13"/>
        <v>883081.3933333332</v>
      </c>
      <c r="AC11" s="14">
        <v>3</v>
      </c>
      <c r="AD11" s="26">
        <f t="shared" si="14"/>
        <v>441540.6966666666</v>
      </c>
      <c r="AE11" s="37">
        <f t="shared" si="15"/>
        <v>1324622.0899999999</v>
      </c>
      <c r="AF11" s="14">
        <v>3</v>
      </c>
      <c r="AG11" s="26">
        <f t="shared" si="16"/>
        <v>441540.6966666666</v>
      </c>
      <c r="AH11" s="37">
        <f t="shared" si="17"/>
        <v>1324622.0899999999</v>
      </c>
      <c r="AI11" s="14">
        <v>3</v>
      </c>
      <c r="AJ11" s="26">
        <f t="shared" si="18"/>
        <v>441540.6966666666</v>
      </c>
      <c r="AK11" s="37">
        <f t="shared" si="19"/>
        <v>1324622.0899999999</v>
      </c>
      <c r="AL11" s="14"/>
      <c r="AM11" s="26">
        <f t="shared" si="20"/>
        <v>441540.6966666666</v>
      </c>
      <c r="AN11" s="37">
        <f t="shared" si="21"/>
        <v>0</v>
      </c>
      <c r="AO11" s="13">
        <f t="shared" si="27"/>
        <v>13</v>
      </c>
      <c r="AP11" s="77">
        <f t="shared" si="28"/>
        <v>371042.60224089632</v>
      </c>
      <c r="AQ11" s="77">
        <f t="shared" si="29"/>
        <v>4823553.8291316517</v>
      </c>
      <c r="AR11" s="26">
        <f t="shared" si="22"/>
        <v>441540.6966666666</v>
      </c>
      <c r="AS11" s="37">
        <f t="shared" si="23"/>
        <v>5740029.0566666657</v>
      </c>
      <c r="AT11" s="69" t="e" vm="88">
        <v>#VALUE!</v>
      </c>
      <c r="AU11" s="83"/>
    </row>
    <row r="12" spans="2:47" ht="121.5" customHeight="1">
      <c r="B12" s="241"/>
      <c r="C12" s="9" t="s">
        <v>223</v>
      </c>
      <c r="D12" s="10" t="s">
        <v>224</v>
      </c>
      <c r="E12" s="99" t="s">
        <v>39</v>
      </c>
      <c r="F12" s="155">
        <f>49900/1.19</f>
        <v>41932.773109243702</v>
      </c>
      <c r="G12" s="125">
        <f t="shared" si="24"/>
        <v>49900.000000000007</v>
      </c>
      <c r="H12" s="153">
        <f>156000/1.19</f>
        <v>131092.43697478992</v>
      </c>
      <c r="I12" s="41">
        <f t="shared" si="0"/>
        <v>156000</v>
      </c>
      <c r="J12" s="116">
        <f>168641/1.19</f>
        <v>141715.12605042016</v>
      </c>
      <c r="K12" s="41">
        <f t="shared" si="1"/>
        <v>168641</v>
      </c>
      <c r="L12" s="89">
        <f t="shared" si="25"/>
        <v>104913.44537815126</v>
      </c>
      <c r="M12" s="90">
        <f t="shared" si="26"/>
        <v>124847</v>
      </c>
      <c r="N12" s="14">
        <v>1</v>
      </c>
      <c r="O12" s="26">
        <f t="shared" si="4"/>
        <v>124847</v>
      </c>
      <c r="P12" s="37">
        <f t="shared" si="5"/>
        <v>124847</v>
      </c>
      <c r="Q12" s="14">
        <v>0</v>
      </c>
      <c r="R12" s="26">
        <f t="shared" si="6"/>
        <v>124847</v>
      </c>
      <c r="S12" s="37">
        <f t="shared" si="7"/>
        <v>0</v>
      </c>
      <c r="T12" s="14">
        <v>0</v>
      </c>
      <c r="U12" s="26">
        <f t="shared" si="8"/>
        <v>124847</v>
      </c>
      <c r="V12" s="37">
        <f t="shared" si="9"/>
        <v>0</v>
      </c>
      <c r="W12" s="14">
        <v>0</v>
      </c>
      <c r="X12" s="26">
        <f t="shared" si="10"/>
        <v>124847</v>
      </c>
      <c r="Y12" s="37">
        <f t="shared" si="11"/>
        <v>0</v>
      </c>
      <c r="Z12" s="14">
        <v>1</v>
      </c>
      <c r="AA12" s="26">
        <f t="shared" si="12"/>
        <v>124847</v>
      </c>
      <c r="AB12" s="37">
        <f t="shared" si="13"/>
        <v>124847</v>
      </c>
      <c r="AC12" s="14">
        <v>4</v>
      </c>
      <c r="AD12" s="26">
        <f t="shared" si="14"/>
        <v>124847</v>
      </c>
      <c r="AE12" s="37">
        <f t="shared" si="15"/>
        <v>499388</v>
      </c>
      <c r="AF12" s="14">
        <v>4</v>
      </c>
      <c r="AG12" s="26">
        <f t="shared" si="16"/>
        <v>124847</v>
      </c>
      <c r="AH12" s="37">
        <f t="shared" si="17"/>
        <v>499388</v>
      </c>
      <c r="AI12" s="14">
        <v>4</v>
      </c>
      <c r="AJ12" s="26">
        <f t="shared" si="18"/>
        <v>124847</v>
      </c>
      <c r="AK12" s="37">
        <f t="shared" si="19"/>
        <v>499388</v>
      </c>
      <c r="AL12" s="14"/>
      <c r="AM12" s="26">
        <f t="shared" si="20"/>
        <v>124847</v>
      </c>
      <c r="AN12" s="37">
        <f t="shared" si="21"/>
        <v>0</v>
      </c>
      <c r="AO12" s="13">
        <f t="shared" si="27"/>
        <v>14</v>
      </c>
      <c r="AP12" s="77">
        <f t="shared" si="28"/>
        <v>104913.44537815126</v>
      </c>
      <c r="AQ12" s="77">
        <f t="shared" si="29"/>
        <v>1468788.2352941176</v>
      </c>
      <c r="AR12" s="26">
        <f t="shared" si="22"/>
        <v>124847</v>
      </c>
      <c r="AS12" s="37">
        <f t="shared" si="23"/>
        <v>1747858</v>
      </c>
      <c r="AT12" s="69" t="e" vm="89">
        <v>#VALUE!</v>
      </c>
      <c r="AU12" s="83"/>
    </row>
    <row r="13" spans="2:47" ht="114.75" customHeight="1">
      <c r="B13" s="241"/>
      <c r="C13" s="9" t="s">
        <v>225</v>
      </c>
      <c r="D13" s="10" t="s">
        <v>226</v>
      </c>
      <c r="E13" s="99" t="s">
        <v>209</v>
      </c>
      <c r="F13" s="124">
        <v>26679</v>
      </c>
      <c r="G13" s="125">
        <f t="shared" si="24"/>
        <v>31748.01</v>
      </c>
      <c r="H13" s="116">
        <v>20700</v>
      </c>
      <c r="I13" s="41">
        <f t="shared" si="0"/>
        <v>24633</v>
      </c>
      <c r="J13" s="116">
        <v>20222</v>
      </c>
      <c r="K13" s="41">
        <f t="shared" si="1"/>
        <v>24064.18</v>
      </c>
      <c r="L13" s="89">
        <f t="shared" si="25"/>
        <v>22533.666666666668</v>
      </c>
      <c r="M13" s="90">
        <f t="shared" si="26"/>
        <v>26815.063333333335</v>
      </c>
      <c r="N13" s="14">
        <v>2</v>
      </c>
      <c r="O13" s="26">
        <f t="shared" si="4"/>
        <v>26815.063333333335</v>
      </c>
      <c r="P13" s="37">
        <f t="shared" ref="P13:P22" si="30">N13*O13</f>
        <v>53630.126666666671</v>
      </c>
      <c r="Q13" s="14">
        <v>0</v>
      </c>
      <c r="R13" s="26">
        <f t="shared" si="6"/>
        <v>26815.063333333335</v>
      </c>
      <c r="S13" s="37">
        <f t="shared" si="7"/>
        <v>0</v>
      </c>
      <c r="T13" s="14">
        <v>0</v>
      </c>
      <c r="U13" s="26">
        <f t="shared" si="8"/>
        <v>26815.063333333335</v>
      </c>
      <c r="V13" s="37">
        <f t="shared" si="9"/>
        <v>0</v>
      </c>
      <c r="W13" s="14">
        <v>0</v>
      </c>
      <c r="X13" s="26">
        <f t="shared" si="10"/>
        <v>26815.063333333335</v>
      </c>
      <c r="Y13" s="37">
        <f t="shared" si="11"/>
        <v>0</v>
      </c>
      <c r="Z13" s="14">
        <v>2</v>
      </c>
      <c r="AA13" s="26">
        <f t="shared" si="12"/>
        <v>26815.063333333335</v>
      </c>
      <c r="AB13" s="37">
        <f t="shared" si="13"/>
        <v>53630.126666666671</v>
      </c>
      <c r="AC13" s="14">
        <v>2</v>
      </c>
      <c r="AD13" s="26">
        <f t="shared" si="14"/>
        <v>26815.063333333335</v>
      </c>
      <c r="AE13" s="37">
        <f t="shared" si="15"/>
        <v>53630.126666666671</v>
      </c>
      <c r="AF13" s="14">
        <v>2</v>
      </c>
      <c r="AG13" s="26">
        <f t="shared" si="16"/>
        <v>26815.063333333335</v>
      </c>
      <c r="AH13" s="37">
        <f t="shared" si="17"/>
        <v>53630.126666666671</v>
      </c>
      <c r="AI13" s="14">
        <v>2</v>
      </c>
      <c r="AJ13" s="26">
        <f t="shared" si="18"/>
        <v>26815.063333333335</v>
      </c>
      <c r="AK13" s="37">
        <f t="shared" si="19"/>
        <v>53630.126666666671</v>
      </c>
      <c r="AL13" s="14"/>
      <c r="AM13" s="26">
        <f t="shared" si="20"/>
        <v>26815.063333333335</v>
      </c>
      <c r="AN13" s="37">
        <f t="shared" si="21"/>
        <v>0</v>
      </c>
      <c r="AO13" s="13">
        <f t="shared" si="27"/>
        <v>10</v>
      </c>
      <c r="AP13" s="77">
        <f t="shared" si="28"/>
        <v>22533.666666666668</v>
      </c>
      <c r="AQ13" s="77">
        <f t="shared" si="29"/>
        <v>225336.66666666669</v>
      </c>
      <c r="AR13" s="26">
        <f t="shared" si="22"/>
        <v>26815.063333333335</v>
      </c>
      <c r="AS13" s="37">
        <f t="shared" si="23"/>
        <v>268150.63333333336</v>
      </c>
      <c r="AT13" s="69" t="e" vm="90">
        <v>#VALUE!</v>
      </c>
      <c r="AU13" s="83"/>
    </row>
    <row r="14" spans="2:47" ht="127.5" customHeight="1">
      <c r="B14" s="241"/>
      <c r="C14" s="9" t="s">
        <v>227</v>
      </c>
      <c r="D14" s="10" t="s">
        <v>228</v>
      </c>
      <c r="E14" s="99" t="s">
        <v>39</v>
      </c>
      <c r="F14" s="117">
        <v>19179</v>
      </c>
      <c r="G14" s="41">
        <f t="shared" si="24"/>
        <v>22823.01</v>
      </c>
      <c r="H14" s="116">
        <v>23529</v>
      </c>
      <c r="I14" s="41">
        <f t="shared" si="0"/>
        <v>27999.51</v>
      </c>
      <c r="J14" s="116">
        <v>20222</v>
      </c>
      <c r="K14" s="41">
        <f t="shared" si="1"/>
        <v>24064.18</v>
      </c>
      <c r="L14" s="89">
        <f t="shared" si="25"/>
        <v>20976.666666666668</v>
      </c>
      <c r="M14" s="90">
        <f t="shared" si="26"/>
        <v>24962.233333333334</v>
      </c>
      <c r="N14" s="13">
        <v>2</v>
      </c>
      <c r="O14" s="26">
        <f t="shared" si="4"/>
        <v>24962.233333333334</v>
      </c>
      <c r="P14" s="37">
        <f t="shared" si="30"/>
        <v>49924.466666666667</v>
      </c>
      <c r="Q14" s="13">
        <v>0</v>
      </c>
      <c r="R14" s="26">
        <f t="shared" si="6"/>
        <v>24962.233333333334</v>
      </c>
      <c r="S14" s="37">
        <f t="shared" si="7"/>
        <v>0</v>
      </c>
      <c r="T14" s="13">
        <v>0</v>
      </c>
      <c r="U14" s="26">
        <f t="shared" si="8"/>
        <v>24962.233333333334</v>
      </c>
      <c r="V14" s="37">
        <f t="shared" si="9"/>
        <v>0</v>
      </c>
      <c r="W14" s="13">
        <v>0</v>
      </c>
      <c r="X14" s="26">
        <f t="shared" si="10"/>
        <v>24962.233333333334</v>
      </c>
      <c r="Y14" s="37">
        <f t="shared" si="11"/>
        <v>0</v>
      </c>
      <c r="Z14" s="13">
        <v>2</v>
      </c>
      <c r="AA14" s="26">
        <f t="shared" si="12"/>
        <v>24962.233333333334</v>
      </c>
      <c r="AB14" s="37">
        <f t="shared" si="13"/>
        <v>49924.466666666667</v>
      </c>
      <c r="AC14" s="13">
        <v>2</v>
      </c>
      <c r="AD14" s="26">
        <f t="shared" si="14"/>
        <v>24962.233333333334</v>
      </c>
      <c r="AE14" s="37">
        <f t="shared" si="15"/>
        <v>49924.466666666667</v>
      </c>
      <c r="AF14" s="13">
        <v>2</v>
      </c>
      <c r="AG14" s="26">
        <f t="shared" si="16"/>
        <v>24962.233333333334</v>
      </c>
      <c r="AH14" s="37">
        <f t="shared" si="17"/>
        <v>49924.466666666667</v>
      </c>
      <c r="AI14" s="13">
        <v>2</v>
      </c>
      <c r="AJ14" s="26">
        <f t="shared" si="18"/>
        <v>24962.233333333334</v>
      </c>
      <c r="AK14" s="37">
        <f t="shared" si="19"/>
        <v>49924.466666666667</v>
      </c>
      <c r="AL14" s="13"/>
      <c r="AM14" s="26">
        <f t="shared" si="20"/>
        <v>24962.233333333334</v>
      </c>
      <c r="AN14" s="37">
        <f t="shared" si="21"/>
        <v>0</v>
      </c>
      <c r="AO14" s="13">
        <f t="shared" si="27"/>
        <v>10</v>
      </c>
      <c r="AP14" s="77">
        <f t="shared" si="28"/>
        <v>20976.666666666668</v>
      </c>
      <c r="AQ14" s="77">
        <f t="shared" si="29"/>
        <v>209766.66666666669</v>
      </c>
      <c r="AR14" s="26">
        <f t="shared" si="22"/>
        <v>24962.233333333334</v>
      </c>
      <c r="AS14" s="37">
        <f t="shared" si="23"/>
        <v>249622.33333333334</v>
      </c>
      <c r="AT14" s="69" t="e" vm="91">
        <v>#VALUE!</v>
      </c>
      <c r="AU14" s="83"/>
    </row>
    <row r="15" spans="2:47" ht="95.25" customHeight="1">
      <c r="B15" s="241"/>
      <c r="C15" s="9" t="s">
        <v>229</v>
      </c>
      <c r="D15" s="10" t="s">
        <v>230</v>
      </c>
      <c r="E15" s="99" t="s">
        <v>39</v>
      </c>
      <c r="F15" s="116">
        <v>20222</v>
      </c>
      <c r="G15" s="41">
        <f t="shared" ref="G15:G16" si="31">F15*1.19</f>
        <v>24064.18</v>
      </c>
      <c r="H15" s="126">
        <v>15000</v>
      </c>
      <c r="I15" s="125">
        <f t="shared" ref="I15:I16" si="32">H15*1.19</f>
        <v>17850</v>
      </c>
      <c r="J15" s="116">
        <v>20222</v>
      </c>
      <c r="K15" s="41">
        <f t="shared" ref="K15:K16" si="33">J15*1.19</f>
        <v>24064.18</v>
      </c>
      <c r="L15" s="89">
        <f t="shared" si="25"/>
        <v>18481.333333333332</v>
      </c>
      <c r="M15" s="90">
        <f t="shared" si="26"/>
        <v>21992.786666666667</v>
      </c>
      <c r="N15" s="13">
        <v>1</v>
      </c>
      <c r="O15" s="26">
        <f t="shared" si="4"/>
        <v>21992.786666666667</v>
      </c>
      <c r="P15" s="37">
        <f t="shared" ref="P15:P16" si="34">N15*O15</f>
        <v>21992.786666666667</v>
      </c>
      <c r="Q15" s="13">
        <v>0</v>
      </c>
      <c r="R15" s="26">
        <f t="shared" si="6"/>
        <v>21992.786666666667</v>
      </c>
      <c r="S15" s="37">
        <f t="shared" ref="S15:S16" si="35">Q15*R15</f>
        <v>0</v>
      </c>
      <c r="T15" s="13">
        <v>0</v>
      </c>
      <c r="U15" s="26">
        <f t="shared" si="8"/>
        <v>21992.786666666667</v>
      </c>
      <c r="V15" s="37">
        <f t="shared" ref="V15:V16" si="36">T15*U15</f>
        <v>0</v>
      </c>
      <c r="W15" s="13">
        <v>0</v>
      </c>
      <c r="X15" s="26">
        <f t="shared" si="10"/>
        <v>21992.786666666667</v>
      </c>
      <c r="Y15" s="37">
        <f t="shared" ref="Y15:Y16" si="37">W15*X15</f>
        <v>0</v>
      </c>
      <c r="Z15" s="13">
        <v>1</v>
      </c>
      <c r="AA15" s="26">
        <f t="shared" si="12"/>
        <v>21992.786666666667</v>
      </c>
      <c r="AB15" s="37">
        <f t="shared" ref="AB15:AB16" si="38">Z15*AA15</f>
        <v>21992.786666666667</v>
      </c>
      <c r="AC15" s="13">
        <v>1</v>
      </c>
      <c r="AD15" s="26">
        <f t="shared" si="14"/>
        <v>21992.786666666667</v>
      </c>
      <c r="AE15" s="37">
        <f t="shared" ref="AE15:AE16" si="39">AC15*AD15</f>
        <v>21992.786666666667</v>
      </c>
      <c r="AF15" s="13">
        <v>1</v>
      </c>
      <c r="AG15" s="26">
        <f t="shared" si="16"/>
        <v>21992.786666666667</v>
      </c>
      <c r="AH15" s="37">
        <f t="shared" ref="AH15:AH16" si="40">AF15*AG15</f>
        <v>21992.786666666667</v>
      </c>
      <c r="AI15" s="13">
        <v>1</v>
      </c>
      <c r="AJ15" s="26">
        <f t="shared" si="18"/>
        <v>21992.786666666667</v>
      </c>
      <c r="AK15" s="37">
        <f t="shared" ref="AK15:AK16" si="41">AI15*AJ15</f>
        <v>21992.786666666667</v>
      </c>
      <c r="AL15" s="13"/>
      <c r="AM15" s="26">
        <f t="shared" si="20"/>
        <v>21992.786666666667</v>
      </c>
      <c r="AN15" s="37">
        <f t="shared" ref="AN15:AN16" si="42">AL15*AM15</f>
        <v>0</v>
      </c>
      <c r="AO15" s="13">
        <f t="shared" si="27"/>
        <v>5</v>
      </c>
      <c r="AP15" s="77">
        <f t="shared" si="28"/>
        <v>18481.333333333332</v>
      </c>
      <c r="AQ15" s="77">
        <f t="shared" si="29"/>
        <v>92406.666666666657</v>
      </c>
      <c r="AR15" s="26">
        <f t="shared" si="22"/>
        <v>21992.786666666667</v>
      </c>
      <c r="AS15" s="37">
        <f t="shared" ref="AS15:AS16" si="43">AO15*AR15</f>
        <v>109963.93333333333</v>
      </c>
      <c r="AT15" s="69" t="e" vm="92">
        <v>#VALUE!</v>
      </c>
      <c r="AU15" s="83"/>
    </row>
    <row r="16" spans="2:47" ht="123" customHeight="1">
      <c r="B16" s="241"/>
      <c r="C16" s="9" t="s">
        <v>231</v>
      </c>
      <c r="D16" s="10" t="s">
        <v>232</v>
      </c>
      <c r="E16" s="99" t="s">
        <v>39</v>
      </c>
      <c r="F16" s="117">
        <v>23529</v>
      </c>
      <c r="G16" s="41">
        <f t="shared" si="31"/>
        <v>27999.51</v>
      </c>
      <c r="H16" s="126">
        <v>12000</v>
      </c>
      <c r="I16" s="125">
        <f t="shared" si="32"/>
        <v>14280</v>
      </c>
      <c r="J16" s="116">
        <v>20222</v>
      </c>
      <c r="K16" s="41">
        <f t="shared" si="33"/>
        <v>24064.18</v>
      </c>
      <c r="L16" s="89">
        <f t="shared" si="25"/>
        <v>18583.666666666668</v>
      </c>
      <c r="M16" s="90">
        <f t="shared" si="26"/>
        <v>22114.563333333335</v>
      </c>
      <c r="N16" s="13">
        <v>1</v>
      </c>
      <c r="O16" s="26">
        <f t="shared" si="4"/>
        <v>22114.563333333335</v>
      </c>
      <c r="P16" s="37">
        <f t="shared" si="34"/>
        <v>22114.563333333335</v>
      </c>
      <c r="Q16" s="13">
        <v>0</v>
      </c>
      <c r="R16" s="26">
        <f t="shared" si="6"/>
        <v>22114.563333333335</v>
      </c>
      <c r="S16" s="37">
        <f t="shared" si="35"/>
        <v>0</v>
      </c>
      <c r="T16" s="13">
        <v>0</v>
      </c>
      <c r="U16" s="26">
        <f t="shared" si="8"/>
        <v>22114.563333333335</v>
      </c>
      <c r="V16" s="37">
        <f t="shared" si="36"/>
        <v>0</v>
      </c>
      <c r="W16" s="13">
        <v>0</v>
      </c>
      <c r="X16" s="26">
        <f t="shared" si="10"/>
        <v>22114.563333333335</v>
      </c>
      <c r="Y16" s="37">
        <f t="shared" si="37"/>
        <v>0</v>
      </c>
      <c r="Z16" s="13">
        <v>1</v>
      </c>
      <c r="AA16" s="26">
        <f t="shared" si="12"/>
        <v>22114.563333333335</v>
      </c>
      <c r="AB16" s="37">
        <f t="shared" si="38"/>
        <v>22114.563333333335</v>
      </c>
      <c r="AC16" s="13">
        <v>1</v>
      </c>
      <c r="AD16" s="26">
        <f t="shared" si="14"/>
        <v>22114.563333333335</v>
      </c>
      <c r="AE16" s="37">
        <f t="shared" si="39"/>
        <v>22114.563333333335</v>
      </c>
      <c r="AF16" s="13">
        <v>1</v>
      </c>
      <c r="AG16" s="26">
        <f t="shared" si="16"/>
        <v>22114.563333333335</v>
      </c>
      <c r="AH16" s="37">
        <f t="shared" si="40"/>
        <v>22114.563333333335</v>
      </c>
      <c r="AI16" s="13">
        <v>1</v>
      </c>
      <c r="AJ16" s="26">
        <f t="shared" si="18"/>
        <v>22114.563333333335</v>
      </c>
      <c r="AK16" s="37">
        <f t="shared" si="41"/>
        <v>22114.563333333335</v>
      </c>
      <c r="AL16" s="13"/>
      <c r="AM16" s="26">
        <f t="shared" si="20"/>
        <v>22114.563333333335</v>
      </c>
      <c r="AN16" s="37">
        <f t="shared" si="42"/>
        <v>0</v>
      </c>
      <c r="AO16" s="13">
        <f t="shared" si="27"/>
        <v>5</v>
      </c>
      <c r="AP16" s="77">
        <f t="shared" si="28"/>
        <v>18583.666666666668</v>
      </c>
      <c r="AQ16" s="77">
        <f t="shared" si="29"/>
        <v>92918.333333333343</v>
      </c>
      <c r="AR16" s="26">
        <f t="shared" si="22"/>
        <v>22114.563333333335</v>
      </c>
      <c r="AS16" s="37">
        <f t="shared" si="43"/>
        <v>110572.81666666668</v>
      </c>
      <c r="AT16" s="69" t="e" vm="93">
        <v>#VALUE!</v>
      </c>
      <c r="AU16" s="83"/>
    </row>
    <row r="17" spans="2:47" ht="121.5" customHeight="1">
      <c r="B17" s="241"/>
      <c r="C17" s="9" t="s">
        <v>233</v>
      </c>
      <c r="D17" s="10" t="s">
        <v>234</v>
      </c>
      <c r="E17" s="99" t="s">
        <v>39</v>
      </c>
      <c r="F17" s="124">
        <v>40853</v>
      </c>
      <c r="G17" s="125">
        <f t="shared" ref="G17:G47" si="44">F17*1.19</f>
        <v>48615.07</v>
      </c>
      <c r="H17" s="116">
        <v>28750</v>
      </c>
      <c r="I17" s="41">
        <f t="shared" ref="I17:I47" si="45">H17*1.19</f>
        <v>34212.5</v>
      </c>
      <c r="J17" s="116">
        <v>24000</v>
      </c>
      <c r="K17" s="41">
        <f t="shared" ref="K17:K47" si="46">J17*1.19</f>
        <v>28560</v>
      </c>
      <c r="L17" s="89">
        <f t="shared" si="25"/>
        <v>31201</v>
      </c>
      <c r="M17" s="90">
        <f t="shared" si="26"/>
        <v>37129.19</v>
      </c>
      <c r="N17" s="14">
        <v>1</v>
      </c>
      <c r="O17" s="26">
        <f t="shared" si="4"/>
        <v>37129.19</v>
      </c>
      <c r="P17" s="37">
        <f t="shared" si="30"/>
        <v>37129.19</v>
      </c>
      <c r="Q17" s="14">
        <v>0</v>
      </c>
      <c r="R17" s="26">
        <f t="shared" si="6"/>
        <v>37129.19</v>
      </c>
      <c r="S17" s="37">
        <f t="shared" ref="S17:S47" si="47">Q17*R17</f>
        <v>0</v>
      </c>
      <c r="T17" s="14">
        <v>0</v>
      </c>
      <c r="U17" s="26">
        <f t="shared" si="8"/>
        <v>37129.19</v>
      </c>
      <c r="V17" s="37">
        <f t="shared" ref="V17:V47" si="48">T17*U17</f>
        <v>0</v>
      </c>
      <c r="W17" s="14">
        <v>0</v>
      </c>
      <c r="X17" s="26">
        <f t="shared" si="10"/>
        <v>37129.19</v>
      </c>
      <c r="Y17" s="37">
        <f t="shared" ref="Y17:Y47" si="49">W17*X17</f>
        <v>0</v>
      </c>
      <c r="Z17" s="14">
        <v>1</v>
      </c>
      <c r="AA17" s="26">
        <f t="shared" si="12"/>
        <v>37129.19</v>
      </c>
      <c r="AB17" s="37">
        <f t="shared" ref="AB17:AB47" si="50">Z17*AA17</f>
        <v>37129.19</v>
      </c>
      <c r="AC17" s="14">
        <v>2</v>
      </c>
      <c r="AD17" s="26">
        <f t="shared" si="14"/>
        <v>37129.19</v>
      </c>
      <c r="AE17" s="37">
        <f t="shared" ref="AE17:AE47" si="51">AC17*AD17</f>
        <v>74258.38</v>
      </c>
      <c r="AF17" s="14">
        <v>2</v>
      </c>
      <c r="AG17" s="26">
        <f t="shared" si="16"/>
        <v>37129.19</v>
      </c>
      <c r="AH17" s="37">
        <f t="shared" ref="AH17:AH47" si="52">AF17*AG17</f>
        <v>74258.38</v>
      </c>
      <c r="AI17" s="14">
        <v>2</v>
      </c>
      <c r="AJ17" s="26">
        <f t="shared" si="18"/>
        <v>37129.19</v>
      </c>
      <c r="AK17" s="37">
        <f t="shared" ref="AK17:AK47" si="53">AI17*AJ17</f>
        <v>74258.38</v>
      </c>
      <c r="AL17" s="14"/>
      <c r="AM17" s="26">
        <f t="shared" si="20"/>
        <v>37129.19</v>
      </c>
      <c r="AN17" s="37">
        <f t="shared" ref="AN17:AN47" si="54">AL17*AM17</f>
        <v>0</v>
      </c>
      <c r="AO17" s="13">
        <f t="shared" si="27"/>
        <v>8</v>
      </c>
      <c r="AP17" s="77">
        <f t="shared" si="28"/>
        <v>31201</v>
      </c>
      <c r="AQ17" s="77">
        <f t="shared" si="29"/>
        <v>249608</v>
      </c>
      <c r="AR17" s="26">
        <f t="shared" si="22"/>
        <v>37129.19</v>
      </c>
      <c r="AS17" s="37">
        <f t="shared" ref="AS17:AS47" si="55">AO17*AR17</f>
        <v>297033.52</v>
      </c>
      <c r="AT17" s="69" t="e" vm="94">
        <v>#VALUE!</v>
      </c>
      <c r="AU17" s="83"/>
    </row>
    <row r="18" spans="2:47" ht="121.5" customHeight="1">
      <c r="B18" s="241"/>
      <c r="C18" s="9" t="s">
        <v>235</v>
      </c>
      <c r="D18" s="10" t="s">
        <v>236</v>
      </c>
      <c r="E18" s="99" t="s">
        <v>39</v>
      </c>
      <c r="F18" s="124">
        <v>9244</v>
      </c>
      <c r="G18" s="125">
        <f t="shared" si="44"/>
        <v>11000.359999999999</v>
      </c>
      <c r="H18" s="116">
        <v>12914</v>
      </c>
      <c r="I18" s="41">
        <f t="shared" si="45"/>
        <v>15367.66</v>
      </c>
      <c r="J18" s="116">
        <v>12000</v>
      </c>
      <c r="K18" s="41">
        <f t="shared" si="46"/>
        <v>14280</v>
      </c>
      <c r="L18" s="89">
        <f t="shared" si="25"/>
        <v>11386</v>
      </c>
      <c r="M18" s="90">
        <f t="shared" si="26"/>
        <v>13549.339999999998</v>
      </c>
      <c r="N18" s="14">
        <v>1</v>
      </c>
      <c r="O18" s="26">
        <f t="shared" si="4"/>
        <v>13549.339999999998</v>
      </c>
      <c r="P18" s="37">
        <f t="shared" si="30"/>
        <v>13549.339999999998</v>
      </c>
      <c r="Q18" s="14">
        <v>0</v>
      </c>
      <c r="R18" s="26">
        <f t="shared" si="6"/>
        <v>13549.339999999998</v>
      </c>
      <c r="S18" s="37">
        <f t="shared" si="47"/>
        <v>0</v>
      </c>
      <c r="T18" s="14">
        <v>0</v>
      </c>
      <c r="U18" s="26">
        <f t="shared" si="8"/>
        <v>13549.339999999998</v>
      </c>
      <c r="V18" s="37">
        <f t="shared" si="48"/>
        <v>0</v>
      </c>
      <c r="W18" s="14">
        <v>0</v>
      </c>
      <c r="X18" s="26">
        <f t="shared" si="10"/>
        <v>13549.339999999998</v>
      </c>
      <c r="Y18" s="37">
        <f t="shared" si="49"/>
        <v>0</v>
      </c>
      <c r="Z18" s="14">
        <v>1</v>
      </c>
      <c r="AA18" s="26">
        <f t="shared" si="12"/>
        <v>13549.339999999998</v>
      </c>
      <c r="AB18" s="37">
        <f t="shared" si="50"/>
        <v>13549.339999999998</v>
      </c>
      <c r="AC18" s="14">
        <v>4</v>
      </c>
      <c r="AD18" s="26">
        <f t="shared" si="14"/>
        <v>13549.339999999998</v>
      </c>
      <c r="AE18" s="37">
        <f t="shared" si="51"/>
        <v>54197.359999999993</v>
      </c>
      <c r="AF18" s="14">
        <v>4</v>
      </c>
      <c r="AG18" s="26">
        <f t="shared" si="16"/>
        <v>13549.339999999998</v>
      </c>
      <c r="AH18" s="37">
        <f t="shared" si="52"/>
        <v>54197.359999999993</v>
      </c>
      <c r="AI18" s="14">
        <v>4</v>
      </c>
      <c r="AJ18" s="26">
        <f t="shared" si="18"/>
        <v>13549.339999999998</v>
      </c>
      <c r="AK18" s="37">
        <f t="shared" si="53"/>
        <v>54197.359999999993</v>
      </c>
      <c r="AL18" s="14"/>
      <c r="AM18" s="26">
        <f t="shared" si="20"/>
        <v>13549.339999999998</v>
      </c>
      <c r="AN18" s="37">
        <f t="shared" si="54"/>
        <v>0</v>
      </c>
      <c r="AO18" s="13">
        <f t="shared" si="27"/>
        <v>14</v>
      </c>
      <c r="AP18" s="77">
        <f t="shared" si="28"/>
        <v>11386</v>
      </c>
      <c r="AQ18" s="77">
        <f t="shared" si="29"/>
        <v>159404</v>
      </c>
      <c r="AR18" s="26">
        <f t="shared" si="22"/>
        <v>13549.339999999998</v>
      </c>
      <c r="AS18" s="37">
        <f t="shared" si="55"/>
        <v>189690.75999999998</v>
      </c>
      <c r="AT18" s="69" t="e" vm="95">
        <v>#VALUE!</v>
      </c>
      <c r="AU18" s="83"/>
    </row>
    <row r="19" spans="2:47" ht="121.5" customHeight="1">
      <c r="B19" s="241"/>
      <c r="C19" s="9" t="s">
        <v>237</v>
      </c>
      <c r="D19" s="10" t="s">
        <v>238</v>
      </c>
      <c r="E19" s="99" t="s">
        <v>39</v>
      </c>
      <c r="F19" s="109">
        <v>12000</v>
      </c>
      <c r="G19" s="41">
        <f t="shared" si="44"/>
        <v>14280</v>
      </c>
      <c r="H19" s="126">
        <v>9663.8700000000008</v>
      </c>
      <c r="I19" s="125">
        <f t="shared" si="45"/>
        <v>11500.005300000001</v>
      </c>
      <c r="J19" s="116">
        <v>13361</v>
      </c>
      <c r="K19" s="41">
        <f t="shared" si="46"/>
        <v>15899.59</v>
      </c>
      <c r="L19" s="89">
        <f t="shared" si="25"/>
        <v>11674.956666666667</v>
      </c>
      <c r="M19" s="90">
        <f t="shared" si="26"/>
        <v>13893.198433333333</v>
      </c>
      <c r="N19" s="14">
        <v>1</v>
      </c>
      <c r="O19" s="26">
        <f t="shared" si="4"/>
        <v>13893.198433333333</v>
      </c>
      <c r="P19" s="37">
        <f t="shared" si="30"/>
        <v>13893.198433333333</v>
      </c>
      <c r="Q19" s="14">
        <v>0</v>
      </c>
      <c r="R19" s="26">
        <f t="shared" si="6"/>
        <v>13893.198433333333</v>
      </c>
      <c r="S19" s="37">
        <f t="shared" si="47"/>
        <v>0</v>
      </c>
      <c r="T19" s="14">
        <v>0</v>
      </c>
      <c r="U19" s="26">
        <f t="shared" si="8"/>
        <v>13893.198433333333</v>
      </c>
      <c r="V19" s="37">
        <f t="shared" si="48"/>
        <v>0</v>
      </c>
      <c r="W19" s="14">
        <v>0</v>
      </c>
      <c r="X19" s="26">
        <f t="shared" si="10"/>
        <v>13893.198433333333</v>
      </c>
      <c r="Y19" s="37">
        <f t="shared" si="49"/>
        <v>0</v>
      </c>
      <c r="Z19" s="14">
        <v>1</v>
      </c>
      <c r="AA19" s="26">
        <f t="shared" si="12"/>
        <v>13893.198433333333</v>
      </c>
      <c r="AB19" s="37">
        <f t="shared" si="50"/>
        <v>13893.198433333333</v>
      </c>
      <c r="AC19" s="14">
        <v>4</v>
      </c>
      <c r="AD19" s="26">
        <f t="shared" si="14"/>
        <v>13893.198433333333</v>
      </c>
      <c r="AE19" s="37">
        <f t="shared" si="51"/>
        <v>55572.793733333332</v>
      </c>
      <c r="AF19" s="14">
        <v>4</v>
      </c>
      <c r="AG19" s="26">
        <f t="shared" si="16"/>
        <v>13893.198433333333</v>
      </c>
      <c r="AH19" s="37">
        <f t="shared" si="52"/>
        <v>55572.793733333332</v>
      </c>
      <c r="AI19" s="14">
        <v>4</v>
      </c>
      <c r="AJ19" s="26">
        <f t="shared" si="18"/>
        <v>13893.198433333333</v>
      </c>
      <c r="AK19" s="37">
        <f t="shared" si="53"/>
        <v>55572.793733333332</v>
      </c>
      <c r="AL19" s="14"/>
      <c r="AM19" s="26">
        <f t="shared" si="20"/>
        <v>13893.198433333333</v>
      </c>
      <c r="AN19" s="37">
        <f t="shared" si="54"/>
        <v>0</v>
      </c>
      <c r="AO19" s="13">
        <f t="shared" si="27"/>
        <v>14</v>
      </c>
      <c r="AP19" s="77">
        <f t="shared" si="28"/>
        <v>11674.956666666667</v>
      </c>
      <c r="AQ19" s="77">
        <f t="shared" si="29"/>
        <v>163449.39333333334</v>
      </c>
      <c r="AR19" s="26">
        <f t="shared" si="22"/>
        <v>13893.198433333333</v>
      </c>
      <c r="AS19" s="37">
        <f t="shared" si="55"/>
        <v>194504.77806666665</v>
      </c>
      <c r="AT19" s="69" t="e" vm="96">
        <v>#VALUE!</v>
      </c>
      <c r="AU19" s="83"/>
    </row>
    <row r="20" spans="2:47" ht="121.5" customHeight="1">
      <c r="B20" s="241"/>
      <c r="C20" s="9" t="s">
        <v>239</v>
      </c>
      <c r="D20" s="10" t="s">
        <v>240</v>
      </c>
      <c r="E20" s="99" t="s">
        <v>39</v>
      </c>
      <c r="F20" s="117">
        <v>29782</v>
      </c>
      <c r="G20" s="41">
        <f t="shared" si="44"/>
        <v>35440.58</v>
      </c>
      <c r="H20" s="116">
        <v>30840</v>
      </c>
      <c r="I20" s="41">
        <f t="shared" si="45"/>
        <v>36699.599999999999</v>
      </c>
      <c r="J20" s="116">
        <v>29328</v>
      </c>
      <c r="K20" s="41">
        <f t="shared" si="46"/>
        <v>34900.32</v>
      </c>
      <c r="L20" s="89">
        <f t="shared" si="25"/>
        <v>29983.333333333332</v>
      </c>
      <c r="M20" s="90">
        <f t="shared" si="26"/>
        <v>35680.166666666664</v>
      </c>
      <c r="N20" s="14">
        <v>2</v>
      </c>
      <c r="O20" s="26">
        <f t="shared" si="4"/>
        <v>35680.166666666664</v>
      </c>
      <c r="P20" s="37">
        <f t="shared" si="30"/>
        <v>71360.333333333328</v>
      </c>
      <c r="Q20" s="14">
        <v>0</v>
      </c>
      <c r="R20" s="26">
        <f t="shared" si="6"/>
        <v>35680.166666666664</v>
      </c>
      <c r="S20" s="37">
        <f t="shared" si="47"/>
        <v>0</v>
      </c>
      <c r="T20" s="14">
        <v>0</v>
      </c>
      <c r="U20" s="26">
        <f t="shared" si="8"/>
        <v>35680.166666666664</v>
      </c>
      <c r="V20" s="37">
        <f t="shared" si="48"/>
        <v>0</v>
      </c>
      <c r="W20" s="14">
        <v>0</v>
      </c>
      <c r="X20" s="26">
        <f t="shared" si="10"/>
        <v>35680.166666666664</v>
      </c>
      <c r="Y20" s="37">
        <f t="shared" si="49"/>
        <v>0</v>
      </c>
      <c r="Z20" s="14">
        <v>2</v>
      </c>
      <c r="AA20" s="26">
        <f t="shared" si="12"/>
        <v>35680.166666666664</v>
      </c>
      <c r="AB20" s="37">
        <f t="shared" si="50"/>
        <v>71360.333333333328</v>
      </c>
      <c r="AC20" s="14">
        <v>3</v>
      </c>
      <c r="AD20" s="26">
        <f t="shared" si="14"/>
        <v>35680.166666666664</v>
      </c>
      <c r="AE20" s="37">
        <f t="shared" si="51"/>
        <v>107040.5</v>
      </c>
      <c r="AF20" s="14">
        <v>3</v>
      </c>
      <c r="AG20" s="26">
        <f t="shared" si="16"/>
        <v>35680.166666666664</v>
      </c>
      <c r="AH20" s="37">
        <f t="shared" si="52"/>
        <v>107040.5</v>
      </c>
      <c r="AI20" s="14">
        <v>3</v>
      </c>
      <c r="AJ20" s="26">
        <f t="shared" si="18"/>
        <v>35680.166666666664</v>
      </c>
      <c r="AK20" s="37">
        <f t="shared" si="53"/>
        <v>107040.5</v>
      </c>
      <c r="AL20" s="14"/>
      <c r="AM20" s="26">
        <f t="shared" si="20"/>
        <v>35680.166666666664</v>
      </c>
      <c r="AN20" s="37">
        <f t="shared" si="54"/>
        <v>0</v>
      </c>
      <c r="AO20" s="13">
        <f t="shared" si="27"/>
        <v>13</v>
      </c>
      <c r="AP20" s="77">
        <f t="shared" si="28"/>
        <v>29983.333333333332</v>
      </c>
      <c r="AQ20" s="77">
        <f t="shared" si="29"/>
        <v>389783.33333333331</v>
      </c>
      <c r="AR20" s="26">
        <f t="shared" si="22"/>
        <v>35680.166666666664</v>
      </c>
      <c r="AS20" s="37">
        <f t="shared" si="55"/>
        <v>463842.16666666663</v>
      </c>
      <c r="AT20" s="69" t="e" vm="97">
        <v>#VALUE!</v>
      </c>
      <c r="AU20" s="83"/>
    </row>
    <row r="21" spans="2:47" ht="121.5" customHeight="1">
      <c r="B21" s="241"/>
      <c r="C21" s="9" t="s">
        <v>241</v>
      </c>
      <c r="D21" s="10" t="s">
        <v>242</v>
      </c>
      <c r="E21" s="99" t="s">
        <v>39</v>
      </c>
      <c r="F21" s="156">
        <f>358380/1.19</f>
        <v>301159.66386554623</v>
      </c>
      <c r="G21" s="41">
        <f t="shared" si="44"/>
        <v>358380</v>
      </c>
      <c r="H21" s="154">
        <f>279900/1.19</f>
        <v>235210.08403361344</v>
      </c>
      <c r="I21" s="125">
        <f t="shared" si="45"/>
        <v>279900</v>
      </c>
      <c r="J21" s="141">
        <f>339600/1.19</f>
        <v>285378.15126050421</v>
      </c>
      <c r="K21" s="41">
        <f t="shared" si="46"/>
        <v>339600</v>
      </c>
      <c r="L21" s="89">
        <f t="shared" si="25"/>
        <v>273915.96638655459</v>
      </c>
      <c r="M21" s="90">
        <f t="shared" si="26"/>
        <v>325960</v>
      </c>
      <c r="N21" s="14">
        <v>1</v>
      </c>
      <c r="O21" s="26">
        <f t="shared" si="4"/>
        <v>325960</v>
      </c>
      <c r="P21" s="37">
        <f t="shared" si="30"/>
        <v>325960</v>
      </c>
      <c r="Q21" s="14">
        <v>0</v>
      </c>
      <c r="R21" s="26">
        <f t="shared" si="6"/>
        <v>325960</v>
      </c>
      <c r="S21" s="37">
        <f t="shared" si="47"/>
        <v>0</v>
      </c>
      <c r="T21" s="14">
        <v>0</v>
      </c>
      <c r="U21" s="26">
        <f t="shared" si="8"/>
        <v>325960</v>
      </c>
      <c r="V21" s="37">
        <f t="shared" si="48"/>
        <v>0</v>
      </c>
      <c r="W21" s="14">
        <v>0</v>
      </c>
      <c r="X21" s="26">
        <f t="shared" si="10"/>
        <v>325960</v>
      </c>
      <c r="Y21" s="37">
        <f t="shared" si="49"/>
        <v>0</v>
      </c>
      <c r="Z21" s="14">
        <v>2</v>
      </c>
      <c r="AA21" s="26">
        <f t="shared" si="12"/>
        <v>325960</v>
      </c>
      <c r="AB21" s="37">
        <f t="shared" si="50"/>
        <v>651920</v>
      </c>
      <c r="AC21" s="14">
        <v>2</v>
      </c>
      <c r="AD21" s="26">
        <f t="shared" si="14"/>
        <v>325960</v>
      </c>
      <c r="AE21" s="37">
        <f t="shared" si="51"/>
        <v>651920</v>
      </c>
      <c r="AF21" s="14">
        <v>2</v>
      </c>
      <c r="AG21" s="26">
        <f t="shared" si="16"/>
        <v>325960</v>
      </c>
      <c r="AH21" s="37">
        <f t="shared" si="52"/>
        <v>651920</v>
      </c>
      <c r="AI21" s="14">
        <v>2</v>
      </c>
      <c r="AJ21" s="26">
        <f t="shared" si="18"/>
        <v>325960</v>
      </c>
      <c r="AK21" s="37">
        <f t="shared" si="53"/>
        <v>651920</v>
      </c>
      <c r="AL21" s="14"/>
      <c r="AM21" s="26">
        <f t="shared" si="20"/>
        <v>325960</v>
      </c>
      <c r="AN21" s="37">
        <f t="shared" si="54"/>
        <v>0</v>
      </c>
      <c r="AO21" s="13">
        <f t="shared" si="27"/>
        <v>9</v>
      </c>
      <c r="AP21" s="77">
        <f t="shared" si="28"/>
        <v>273915.96638655459</v>
      </c>
      <c r="AQ21" s="77">
        <f t="shared" si="29"/>
        <v>2465243.6974789915</v>
      </c>
      <c r="AR21" s="26">
        <f t="shared" si="22"/>
        <v>325960</v>
      </c>
      <c r="AS21" s="37">
        <f t="shared" si="55"/>
        <v>2933640</v>
      </c>
      <c r="AT21" s="69" t="e" vm="98">
        <v>#VALUE!</v>
      </c>
      <c r="AU21" s="83"/>
    </row>
    <row r="22" spans="2:47" ht="121.5" customHeight="1">
      <c r="B22" s="241"/>
      <c r="C22" s="9" t="s">
        <v>201</v>
      </c>
      <c r="D22" s="10" t="s">
        <v>202</v>
      </c>
      <c r="E22" s="99" t="s">
        <v>39</v>
      </c>
      <c r="F22" s="117">
        <v>11313</v>
      </c>
      <c r="G22" s="41">
        <f t="shared" si="44"/>
        <v>13462.47</v>
      </c>
      <c r="H22" s="126">
        <v>5882.35</v>
      </c>
      <c r="I22" s="125">
        <f t="shared" si="45"/>
        <v>6999.9965000000002</v>
      </c>
      <c r="J22" s="116">
        <v>15924</v>
      </c>
      <c r="K22" s="41">
        <f t="shared" si="46"/>
        <v>18949.559999999998</v>
      </c>
      <c r="L22" s="89">
        <f t="shared" si="25"/>
        <v>11039.783333333333</v>
      </c>
      <c r="M22" s="90">
        <f t="shared" si="26"/>
        <v>13137.342166666664</v>
      </c>
      <c r="N22" s="14">
        <v>0</v>
      </c>
      <c r="O22" s="26">
        <f t="shared" si="4"/>
        <v>13137.342166666664</v>
      </c>
      <c r="P22" s="37">
        <f t="shared" si="30"/>
        <v>0</v>
      </c>
      <c r="Q22" s="14">
        <v>0</v>
      </c>
      <c r="R22" s="26">
        <f t="shared" si="6"/>
        <v>13137.342166666664</v>
      </c>
      <c r="S22" s="37">
        <f t="shared" si="47"/>
        <v>0</v>
      </c>
      <c r="T22" s="14">
        <v>0</v>
      </c>
      <c r="U22" s="26">
        <f t="shared" si="8"/>
        <v>13137.342166666664</v>
      </c>
      <c r="V22" s="37">
        <f t="shared" si="48"/>
        <v>0</v>
      </c>
      <c r="W22" s="14">
        <v>0</v>
      </c>
      <c r="X22" s="26">
        <f t="shared" si="10"/>
        <v>13137.342166666664</v>
      </c>
      <c r="Y22" s="37">
        <f t="shared" si="49"/>
        <v>0</v>
      </c>
      <c r="Z22" s="14">
        <v>0</v>
      </c>
      <c r="AA22" s="26">
        <f t="shared" si="12"/>
        <v>13137.342166666664</v>
      </c>
      <c r="AB22" s="37">
        <f t="shared" si="50"/>
        <v>0</v>
      </c>
      <c r="AC22" s="14">
        <v>1</v>
      </c>
      <c r="AD22" s="26">
        <f t="shared" si="14"/>
        <v>13137.342166666664</v>
      </c>
      <c r="AE22" s="37">
        <f t="shared" si="51"/>
        <v>13137.342166666664</v>
      </c>
      <c r="AF22" s="14">
        <v>1</v>
      </c>
      <c r="AG22" s="26">
        <f t="shared" si="16"/>
        <v>13137.342166666664</v>
      </c>
      <c r="AH22" s="37">
        <f t="shared" si="52"/>
        <v>13137.342166666664</v>
      </c>
      <c r="AI22" s="14">
        <v>1</v>
      </c>
      <c r="AJ22" s="26">
        <f t="shared" si="18"/>
        <v>13137.342166666664</v>
      </c>
      <c r="AK22" s="37">
        <f t="shared" si="53"/>
        <v>13137.342166666664</v>
      </c>
      <c r="AL22" s="14"/>
      <c r="AM22" s="26">
        <f t="shared" si="20"/>
        <v>13137.342166666664</v>
      </c>
      <c r="AN22" s="37">
        <f t="shared" si="54"/>
        <v>0</v>
      </c>
      <c r="AO22" s="13">
        <f t="shared" si="27"/>
        <v>3</v>
      </c>
      <c r="AP22" s="77">
        <f t="shared" si="28"/>
        <v>11039.783333333333</v>
      </c>
      <c r="AQ22" s="77">
        <f t="shared" si="29"/>
        <v>33119.35</v>
      </c>
      <c r="AR22" s="26">
        <f t="shared" si="22"/>
        <v>13137.342166666664</v>
      </c>
      <c r="AS22" s="37">
        <f t="shared" si="55"/>
        <v>39412.026499999993</v>
      </c>
      <c r="AT22" s="69" t="e" vm="99">
        <v>#VALUE!</v>
      </c>
      <c r="AU22" s="83"/>
    </row>
    <row r="23" spans="2:47" ht="114.75" customHeight="1">
      <c r="B23" s="241"/>
      <c r="C23" s="9" t="s">
        <v>243</v>
      </c>
      <c r="D23" s="10" t="s">
        <v>244</v>
      </c>
      <c r="E23" s="99" t="s">
        <v>209</v>
      </c>
      <c r="F23" s="117">
        <v>5215</v>
      </c>
      <c r="G23" s="41">
        <f t="shared" si="44"/>
        <v>6205.8499999999995</v>
      </c>
      <c r="H23" s="116">
        <v>5798.32</v>
      </c>
      <c r="I23" s="41">
        <f t="shared" si="45"/>
        <v>6900.0007999999998</v>
      </c>
      <c r="J23" s="140">
        <f>7900/1.19</f>
        <v>6638.6554621848745</v>
      </c>
      <c r="K23" s="125">
        <f t="shared" si="46"/>
        <v>7900</v>
      </c>
      <c r="L23" s="89">
        <f t="shared" si="25"/>
        <v>5883.9918207282908</v>
      </c>
      <c r="M23" s="90">
        <f t="shared" si="26"/>
        <v>7001.9502666666667</v>
      </c>
      <c r="N23" s="14">
        <v>1</v>
      </c>
      <c r="O23" s="26">
        <f t="shared" si="4"/>
        <v>7001.9502666666667</v>
      </c>
      <c r="P23" s="37">
        <f t="shared" ref="P23:P47" si="56">N23*O23</f>
        <v>7001.9502666666667</v>
      </c>
      <c r="Q23" s="14">
        <v>0</v>
      </c>
      <c r="R23" s="26">
        <f t="shared" si="6"/>
        <v>7001.9502666666667</v>
      </c>
      <c r="S23" s="37">
        <f t="shared" si="47"/>
        <v>0</v>
      </c>
      <c r="T23" s="14">
        <v>0</v>
      </c>
      <c r="U23" s="26">
        <f t="shared" si="8"/>
        <v>7001.9502666666667</v>
      </c>
      <c r="V23" s="37">
        <f t="shared" si="48"/>
        <v>0</v>
      </c>
      <c r="W23" s="14">
        <v>0</v>
      </c>
      <c r="X23" s="26">
        <f t="shared" si="10"/>
        <v>7001.9502666666667</v>
      </c>
      <c r="Y23" s="37">
        <f t="shared" si="49"/>
        <v>0</v>
      </c>
      <c r="Z23" s="14">
        <v>1</v>
      </c>
      <c r="AA23" s="26">
        <f t="shared" si="12"/>
        <v>7001.9502666666667</v>
      </c>
      <c r="AB23" s="37">
        <f t="shared" si="50"/>
        <v>7001.9502666666667</v>
      </c>
      <c r="AC23" s="14">
        <v>1</v>
      </c>
      <c r="AD23" s="26">
        <f t="shared" si="14"/>
        <v>7001.9502666666667</v>
      </c>
      <c r="AE23" s="37">
        <f t="shared" si="51"/>
        <v>7001.9502666666667</v>
      </c>
      <c r="AF23" s="14">
        <v>1</v>
      </c>
      <c r="AG23" s="26">
        <f t="shared" si="16"/>
        <v>7001.9502666666667</v>
      </c>
      <c r="AH23" s="37">
        <f t="shared" si="52"/>
        <v>7001.9502666666667</v>
      </c>
      <c r="AI23" s="14">
        <v>1</v>
      </c>
      <c r="AJ23" s="26">
        <f t="shared" si="18"/>
        <v>7001.9502666666667</v>
      </c>
      <c r="AK23" s="37">
        <f t="shared" si="53"/>
        <v>7001.9502666666667</v>
      </c>
      <c r="AL23" s="14"/>
      <c r="AM23" s="26">
        <f t="shared" si="20"/>
        <v>7001.9502666666667</v>
      </c>
      <c r="AN23" s="37">
        <f t="shared" si="54"/>
        <v>0</v>
      </c>
      <c r="AO23" s="13">
        <f t="shared" si="27"/>
        <v>5</v>
      </c>
      <c r="AP23" s="77">
        <f t="shared" si="28"/>
        <v>5883.9918207282908</v>
      </c>
      <c r="AQ23" s="77">
        <f t="shared" si="29"/>
        <v>29419.959103641453</v>
      </c>
      <c r="AR23" s="26">
        <f t="shared" si="22"/>
        <v>7001.9502666666667</v>
      </c>
      <c r="AS23" s="37">
        <f t="shared" si="55"/>
        <v>35009.751333333334</v>
      </c>
      <c r="AT23" s="69" t="e" vm="100">
        <v>#VALUE!</v>
      </c>
      <c r="AU23" s="83"/>
    </row>
    <row r="24" spans="2:47" ht="121.5" customHeight="1">
      <c r="B24" s="241"/>
      <c r="C24" s="9" t="s">
        <v>245</v>
      </c>
      <c r="D24" s="10" t="s">
        <v>246</v>
      </c>
      <c r="E24" s="99" t="s">
        <v>39</v>
      </c>
      <c r="F24" s="117">
        <v>35250</v>
      </c>
      <c r="G24" s="41">
        <f t="shared" si="44"/>
        <v>41947.5</v>
      </c>
      <c r="H24" s="126">
        <v>44453.78</v>
      </c>
      <c r="I24" s="125">
        <f t="shared" si="45"/>
        <v>52899.998199999995</v>
      </c>
      <c r="J24" s="116">
        <v>35481</v>
      </c>
      <c r="K24" s="41">
        <f t="shared" si="46"/>
        <v>42222.39</v>
      </c>
      <c r="L24" s="89">
        <f t="shared" si="25"/>
        <v>38394.926666666666</v>
      </c>
      <c r="M24" s="90">
        <f t="shared" si="26"/>
        <v>45689.962733333326</v>
      </c>
      <c r="N24" s="14">
        <v>3</v>
      </c>
      <c r="O24" s="26">
        <f t="shared" si="4"/>
        <v>45689.962733333326</v>
      </c>
      <c r="P24" s="37">
        <f t="shared" si="56"/>
        <v>137069.88819999999</v>
      </c>
      <c r="Q24" s="14">
        <v>0</v>
      </c>
      <c r="R24" s="26">
        <f t="shared" si="6"/>
        <v>45689.962733333326</v>
      </c>
      <c r="S24" s="37">
        <f t="shared" si="47"/>
        <v>0</v>
      </c>
      <c r="T24" s="14">
        <v>0</v>
      </c>
      <c r="U24" s="26">
        <f t="shared" si="8"/>
        <v>45689.962733333326</v>
      </c>
      <c r="V24" s="37">
        <f t="shared" si="48"/>
        <v>0</v>
      </c>
      <c r="W24" s="14">
        <v>0</v>
      </c>
      <c r="X24" s="26">
        <f t="shared" si="10"/>
        <v>45689.962733333326</v>
      </c>
      <c r="Y24" s="37">
        <f t="shared" si="49"/>
        <v>0</v>
      </c>
      <c r="Z24" s="14">
        <v>3</v>
      </c>
      <c r="AA24" s="26">
        <f t="shared" si="12"/>
        <v>45689.962733333326</v>
      </c>
      <c r="AB24" s="37">
        <f t="shared" si="50"/>
        <v>137069.88819999999</v>
      </c>
      <c r="AC24" s="14">
        <v>3</v>
      </c>
      <c r="AD24" s="26">
        <f t="shared" si="14"/>
        <v>45689.962733333326</v>
      </c>
      <c r="AE24" s="37">
        <f t="shared" si="51"/>
        <v>137069.88819999999</v>
      </c>
      <c r="AF24" s="14">
        <v>3</v>
      </c>
      <c r="AG24" s="26">
        <f t="shared" si="16"/>
        <v>45689.962733333326</v>
      </c>
      <c r="AH24" s="37">
        <f t="shared" si="52"/>
        <v>137069.88819999999</v>
      </c>
      <c r="AI24" s="14">
        <v>3</v>
      </c>
      <c r="AJ24" s="26">
        <f t="shared" si="18"/>
        <v>45689.962733333326</v>
      </c>
      <c r="AK24" s="37">
        <f t="shared" si="53"/>
        <v>137069.88819999999</v>
      </c>
      <c r="AL24" s="14"/>
      <c r="AM24" s="26">
        <f t="shared" si="20"/>
        <v>45689.962733333326</v>
      </c>
      <c r="AN24" s="37">
        <f t="shared" si="54"/>
        <v>0</v>
      </c>
      <c r="AO24" s="13">
        <f t="shared" si="27"/>
        <v>15</v>
      </c>
      <c r="AP24" s="77">
        <f t="shared" si="28"/>
        <v>38394.926666666666</v>
      </c>
      <c r="AQ24" s="77">
        <f t="shared" si="29"/>
        <v>575923.9</v>
      </c>
      <c r="AR24" s="26">
        <f t="shared" si="22"/>
        <v>45689.962733333326</v>
      </c>
      <c r="AS24" s="37">
        <f t="shared" si="55"/>
        <v>685349.44099999988</v>
      </c>
      <c r="AT24" s="69" t="e" vm="101">
        <v>#VALUE!</v>
      </c>
      <c r="AU24" s="83"/>
    </row>
    <row r="25" spans="2:47" ht="121.5" customHeight="1">
      <c r="B25" s="241"/>
      <c r="C25" s="9" t="s">
        <v>247</v>
      </c>
      <c r="D25" s="10" t="s">
        <v>248</v>
      </c>
      <c r="E25" s="99" t="s">
        <v>39</v>
      </c>
      <c r="F25" s="124">
        <v>14271</v>
      </c>
      <c r="G25" s="125">
        <f t="shared" si="44"/>
        <v>16982.489999999998</v>
      </c>
      <c r="H25" s="116">
        <v>10084.030000000001</v>
      </c>
      <c r="I25" s="41">
        <f t="shared" si="45"/>
        <v>11999.995699999999</v>
      </c>
      <c r="J25" s="116">
        <v>10840</v>
      </c>
      <c r="K25" s="41">
        <f t="shared" si="46"/>
        <v>12899.599999999999</v>
      </c>
      <c r="L25" s="89">
        <f t="shared" si="25"/>
        <v>11731.676666666666</v>
      </c>
      <c r="M25" s="90">
        <f t="shared" si="26"/>
        <v>13960.695233333332</v>
      </c>
      <c r="N25" s="14">
        <v>2</v>
      </c>
      <c r="O25" s="26">
        <f t="shared" si="4"/>
        <v>13960.695233333332</v>
      </c>
      <c r="P25" s="37">
        <f t="shared" si="56"/>
        <v>27921.390466666664</v>
      </c>
      <c r="Q25" s="14">
        <v>0</v>
      </c>
      <c r="R25" s="26">
        <f t="shared" si="6"/>
        <v>13960.695233333332</v>
      </c>
      <c r="S25" s="37">
        <f t="shared" si="47"/>
        <v>0</v>
      </c>
      <c r="T25" s="14">
        <v>0</v>
      </c>
      <c r="U25" s="26">
        <f t="shared" si="8"/>
        <v>13960.695233333332</v>
      </c>
      <c r="V25" s="37">
        <f t="shared" si="48"/>
        <v>0</v>
      </c>
      <c r="W25" s="14">
        <v>0</v>
      </c>
      <c r="X25" s="26">
        <f t="shared" si="10"/>
        <v>13960.695233333332</v>
      </c>
      <c r="Y25" s="37">
        <f t="shared" si="49"/>
        <v>0</v>
      </c>
      <c r="Z25" s="14">
        <v>3</v>
      </c>
      <c r="AA25" s="26">
        <f t="shared" si="12"/>
        <v>13960.695233333332</v>
      </c>
      <c r="AB25" s="37">
        <f t="shared" si="50"/>
        <v>41882.085699999996</v>
      </c>
      <c r="AC25" s="14">
        <v>4</v>
      </c>
      <c r="AD25" s="26">
        <f t="shared" si="14"/>
        <v>13960.695233333332</v>
      </c>
      <c r="AE25" s="37">
        <f t="shared" si="51"/>
        <v>55842.780933333328</v>
      </c>
      <c r="AF25" s="14">
        <v>4</v>
      </c>
      <c r="AG25" s="26">
        <f t="shared" si="16"/>
        <v>13960.695233333332</v>
      </c>
      <c r="AH25" s="37">
        <f t="shared" si="52"/>
        <v>55842.780933333328</v>
      </c>
      <c r="AI25" s="14">
        <v>4</v>
      </c>
      <c r="AJ25" s="26">
        <f t="shared" si="18"/>
        <v>13960.695233333332</v>
      </c>
      <c r="AK25" s="37">
        <f t="shared" si="53"/>
        <v>55842.780933333328</v>
      </c>
      <c r="AL25" s="14"/>
      <c r="AM25" s="26">
        <f t="shared" si="20"/>
        <v>13960.695233333332</v>
      </c>
      <c r="AN25" s="37">
        <f t="shared" si="54"/>
        <v>0</v>
      </c>
      <c r="AO25" s="13">
        <f t="shared" si="27"/>
        <v>17</v>
      </c>
      <c r="AP25" s="77">
        <f t="shared" si="28"/>
        <v>11731.676666666666</v>
      </c>
      <c r="AQ25" s="77">
        <f t="shared" si="29"/>
        <v>199438.50333333333</v>
      </c>
      <c r="AR25" s="26">
        <f t="shared" si="22"/>
        <v>13960.695233333332</v>
      </c>
      <c r="AS25" s="37">
        <f t="shared" si="55"/>
        <v>237331.81896666664</v>
      </c>
      <c r="AT25" s="69" t="e" vm="102">
        <v>#VALUE!</v>
      </c>
      <c r="AU25" s="83"/>
    </row>
    <row r="26" spans="2:47" ht="121.5" customHeight="1">
      <c r="B26" s="241"/>
      <c r="C26" s="9" t="s">
        <v>247</v>
      </c>
      <c r="D26" s="10" t="s">
        <v>249</v>
      </c>
      <c r="E26" s="99" t="s">
        <v>39</v>
      </c>
      <c r="F26" s="138">
        <f>(19990+79900+42900+60000)/1.19</f>
        <v>170411.76470588235</v>
      </c>
      <c r="G26" s="41">
        <f t="shared" si="44"/>
        <v>202790</v>
      </c>
      <c r="H26" s="139">
        <f>(19990+79900+42900+60000)/1.19</f>
        <v>170411.76470588235</v>
      </c>
      <c r="I26" s="41">
        <f t="shared" si="45"/>
        <v>202790</v>
      </c>
      <c r="J26" s="139">
        <f>(19990+79900+42900+60000)/1.19</f>
        <v>170411.76470588235</v>
      </c>
      <c r="K26" s="41">
        <f t="shared" si="46"/>
        <v>202790</v>
      </c>
      <c r="L26" s="89">
        <f t="shared" si="25"/>
        <v>170411.76470588235</v>
      </c>
      <c r="M26" s="90">
        <f t="shared" si="26"/>
        <v>202790</v>
      </c>
      <c r="N26" s="14">
        <v>0</v>
      </c>
      <c r="O26" s="26">
        <f t="shared" si="4"/>
        <v>202790</v>
      </c>
      <c r="P26" s="37">
        <f t="shared" si="56"/>
        <v>0</v>
      </c>
      <c r="Q26" s="14">
        <v>0</v>
      </c>
      <c r="R26" s="26">
        <f t="shared" si="6"/>
        <v>202790</v>
      </c>
      <c r="S26" s="37">
        <f t="shared" si="47"/>
        <v>0</v>
      </c>
      <c r="T26" s="14">
        <v>0</v>
      </c>
      <c r="U26" s="26">
        <f t="shared" si="8"/>
        <v>202790</v>
      </c>
      <c r="V26" s="37">
        <f t="shared" si="48"/>
        <v>0</v>
      </c>
      <c r="W26" s="14">
        <v>0</v>
      </c>
      <c r="X26" s="26">
        <f t="shared" si="10"/>
        <v>202790</v>
      </c>
      <c r="Y26" s="37">
        <f t="shared" si="49"/>
        <v>0</v>
      </c>
      <c r="Z26" s="14">
        <v>0</v>
      </c>
      <c r="AA26" s="26">
        <f t="shared" si="12"/>
        <v>202790</v>
      </c>
      <c r="AB26" s="37">
        <f t="shared" si="50"/>
        <v>0</v>
      </c>
      <c r="AC26" s="14">
        <v>2</v>
      </c>
      <c r="AD26" s="26">
        <f t="shared" si="14"/>
        <v>202790</v>
      </c>
      <c r="AE26" s="37">
        <f t="shared" si="51"/>
        <v>405580</v>
      </c>
      <c r="AF26" s="14">
        <v>2</v>
      </c>
      <c r="AG26" s="26">
        <f t="shared" si="16"/>
        <v>202790</v>
      </c>
      <c r="AH26" s="37">
        <f t="shared" si="52"/>
        <v>405580</v>
      </c>
      <c r="AI26" s="14">
        <v>2</v>
      </c>
      <c r="AJ26" s="26">
        <f t="shared" si="18"/>
        <v>202790</v>
      </c>
      <c r="AK26" s="37">
        <f t="shared" si="53"/>
        <v>405580</v>
      </c>
      <c r="AL26" s="14"/>
      <c r="AM26" s="26">
        <f t="shared" si="20"/>
        <v>202790</v>
      </c>
      <c r="AN26" s="37">
        <f t="shared" si="54"/>
        <v>0</v>
      </c>
      <c r="AO26" s="13">
        <f t="shared" si="27"/>
        <v>6</v>
      </c>
      <c r="AP26" s="77">
        <f t="shared" si="28"/>
        <v>170411.76470588235</v>
      </c>
      <c r="AQ26" s="77">
        <f t="shared" si="29"/>
        <v>1022470.5882352941</v>
      </c>
      <c r="AR26" s="26">
        <f t="shared" si="22"/>
        <v>202790</v>
      </c>
      <c r="AS26" s="37">
        <f t="shared" si="55"/>
        <v>1216740</v>
      </c>
      <c r="AT26" s="69" t="e" vm="103">
        <v>#VALUE!</v>
      </c>
      <c r="AU26" s="83"/>
    </row>
    <row r="27" spans="2:47" ht="121.5" customHeight="1">
      <c r="B27" s="241"/>
      <c r="C27" s="9" t="s">
        <v>250</v>
      </c>
      <c r="D27" s="10" t="s">
        <v>251</v>
      </c>
      <c r="E27" s="99" t="s">
        <v>39</v>
      </c>
      <c r="F27" s="138">
        <f>134990/1.19</f>
        <v>113436.97478991597</v>
      </c>
      <c r="G27" s="41">
        <f t="shared" si="44"/>
        <v>134990</v>
      </c>
      <c r="H27" s="139">
        <f>139900/1.19</f>
        <v>117563.02521008404</v>
      </c>
      <c r="I27" s="41">
        <f t="shared" si="45"/>
        <v>139900</v>
      </c>
      <c r="J27" s="140">
        <f>99900/1.19</f>
        <v>83949.579831932773</v>
      </c>
      <c r="K27" s="125">
        <f t="shared" si="46"/>
        <v>99900</v>
      </c>
      <c r="L27" s="89">
        <f t="shared" si="25"/>
        <v>104983.19327731093</v>
      </c>
      <c r="M27" s="90">
        <f t="shared" si="26"/>
        <v>124930</v>
      </c>
      <c r="N27" s="14">
        <v>2</v>
      </c>
      <c r="O27" s="26">
        <f t="shared" si="4"/>
        <v>124930</v>
      </c>
      <c r="P27" s="37">
        <f t="shared" si="56"/>
        <v>249860</v>
      </c>
      <c r="Q27" s="14">
        <v>0</v>
      </c>
      <c r="R27" s="26">
        <f t="shared" si="6"/>
        <v>124930</v>
      </c>
      <c r="S27" s="37">
        <f t="shared" si="47"/>
        <v>0</v>
      </c>
      <c r="T27" s="14">
        <v>0</v>
      </c>
      <c r="U27" s="26">
        <f t="shared" si="8"/>
        <v>124930</v>
      </c>
      <c r="V27" s="37">
        <f t="shared" si="48"/>
        <v>0</v>
      </c>
      <c r="W27" s="14">
        <v>0</v>
      </c>
      <c r="X27" s="26">
        <f t="shared" si="10"/>
        <v>124930</v>
      </c>
      <c r="Y27" s="37">
        <f t="shared" si="49"/>
        <v>0</v>
      </c>
      <c r="Z27" s="14">
        <v>2</v>
      </c>
      <c r="AA27" s="26">
        <f t="shared" si="12"/>
        <v>124930</v>
      </c>
      <c r="AB27" s="37">
        <f t="shared" si="50"/>
        <v>249860</v>
      </c>
      <c r="AC27" s="14">
        <v>2</v>
      </c>
      <c r="AD27" s="26">
        <f t="shared" si="14"/>
        <v>124930</v>
      </c>
      <c r="AE27" s="37">
        <f t="shared" si="51"/>
        <v>249860</v>
      </c>
      <c r="AF27" s="14">
        <v>2</v>
      </c>
      <c r="AG27" s="26">
        <f t="shared" si="16"/>
        <v>124930</v>
      </c>
      <c r="AH27" s="37">
        <f t="shared" si="52"/>
        <v>249860</v>
      </c>
      <c r="AI27" s="14">
        <v>2</v>
      </c>
      <c r="AJ27" s="26">
        <f t="shared" si="18"/>
        <v>124930</v>
      </c>
      <c r="AK27" s="37">
        <f t="shared" si="53"/>
        <v>249860</v>
      </c>
      <c r="AL27" s="14"/>
      <c r="AM27" s="26">
        <f t="shared" si="20"/>
        <v>124930</v>
      </c>
      <c r="AN27" s="37">
        <f t="shared" si="54"/>
        <v>0</v>
      </c>
      <c r="AO27" s="13">
        <f t="shared" si="27"/>
        <v>10</v>
      </c>
      <c r="AP27" s="77">
        <f t="shared" si="28"/>
        <v>104983.19327731093</v>
      </c>
      <c r="AQ27" s="77">
        <f t="shared" si="29"/>
        <v>1049831.9327731093</v>
      </c>
      <c r="AR27" s="26">
        <f t="shared" si="22"/>
        <v>124930</v>
      </c>
      <c r="AS27" s="37">
        <f t="shared" si="55"/>
        <v>1249300</v>
      </c>
      <c r="AT27" s="69" t="e" vm="104">
        <v>#VALUE!</v>
      </c>
      <c r="AU27" s="83"/>
    </row>
    <row r="28" spans="2:47" ht="121.5" customHeight="1">
      <c r="B28" s="241"/>
      <c r="C28" s="9" t="s">
        <v>252</v>
      </c>
      <c r="D28" s="10" t="s">
        <v>253</v>
      </c>
      <c r="E28" s="99" t="s">
        <v>39</v>
      </c>
      <c r="F28" s="124">
        <v>15756</v>
      </c>
      <c r="G28" s="125">
        <f t="shared" si="44"/>
        <v>18749.64</v>
      </c>
      <c r="H28" s="116">
        <v>21849</v>
      </c>
      <c r="I28" s="41">
        <f t="shared" si="45"/>
        <v>26000.309999999998</v>
      </c>
      <c r="J28" s="116">
        <v>21008</v>
      </c>
      <c r="K28" s="41">
        <f t="shared" si="46"/>
        <v>24999.52</v>
      </c>
      <c r="L28" s="89">
        <f t="shared" si="25"/>
        <v>19537.666666666668</v>
      </c>
      <c r="M28" s="90">
        <f t="shared" si="26"/>
        <v>23249.823333333334</v>
      </c>
      <c r="N28" s="14">
        <v>5</v>
      </c>
      <c r="O28" s="26">
        <f t="shared" si="4"/>
        <v>23249.823333333334</v>
      </c>
      <c r="P28" s="37">
        <f t="shared" si="56"/>
        <v>116249.11666666667</v>
      </c>
      <c r="Q28" s="14">
        <v>0</v>
      </c>
      <c r="R28" s="26">
        <f t="shared" si="6"/>
        <v>23249.823333333334</v>
      </c>
      <c r="S28" s="37">
        <f t="shared" si="47"/>
        <v>0</v>
      </c>
      <c r="T28" s="14">
        <v>0</v>
      </c>
      <c r="U28" s="26">
        <f t="shared" si="8"/>
        <v>23249.823333333334</v>
      </c>
      <c r="V28" s="37">
        <f t="shared" si="48"/>
        <v>0</v>
      </c>
      <c r="W28" s="14">
        <v>0</v>
      </c>
      <c r="X28" s="26">
        <f t="shared" si="10"/>
        <v>23249.823333333334</v>
      </c>
      <c r="Y28" s="37">
        <f t="shared" si="49"/>
        <v>0</v>
      </c>
      <c r="Z28" s="14">
        <v>10</v>
      </c>
      <c r="AA28" s="26">
        <f t="shared" si="12"/>
        <v>23249.823333333334</v>
      </c>
      <c r="AB28" s="37">
        <f t="shared" si="50"/>
        <v>232498.23333333334</v>
      </c>
      <c r="AC28" s="14">
        <v>50</v>
      </c>
      <c r="AD28" s="26">
        <f t="shared" si="14"/>
        <v>23249.823333333334</v>
      </c>
      <c r="AE28" s="37">
        <f t="shared" si="51"/>
        <v>1162491.1666666667</v>
      </c>
      <c r="AF28" s="14">
        <v>50</v>
      </c>
      <c r="AG28" s="26">
        <f t="shared" si="16"/>
        <v>23249.823333333334</v>
      </c>
      <c r="AH28" s="37">
        <f t="shared" si="52"/>
        <v>1162491.1666666667</v>
      </c>
      <c r="AI28" s="14">
        <v>50</v>
      </c>
      <c r="AJ28" s="26">
        <f t="shared" si="18"/>
        <v>23249.823333333334</v>
      </c>
      <c r="AK28" s="37">
        <f t="shared" si="53"/>
        <v>1162491.1666666667</v>
      </c>
      <c r="AL28" s="14"/>
      <c r="AM28" s="26">
        <f t="shared" si="20"/>
        <v>23249.823333333334</v>
      </c>
      <c r="AN28" s="37">
        <f t="shared" si="54"/>
        <v>0</v>
      </c>
      <c r="AO28" s="13">
        <f t="shared" si="27"/>
        <v>165</v>
      </c>
      <c r="AP28" s="77">
        <f t="shared" si="28"/>
        <v>19537.666666666668</v>
      </c>
      <c r="AQ28" s="77">
        <f t="shared" si="29"/>
        <v>3223715</v>
      </c>
      <c r="AR28" s="26">
        <f t="shared" si="22"/>
        <v>23249.823333333334</v>
      </c>
      <c r="AS28" s="37">
        <f t="shared" si="55"/>
        <v>3836220.85</v>
      </c>
      <c r="AT28" s="70" t="e" vm="105">
        <v>#VALUE!</v>
      </c>
      <c r="AU28" s="83"/>
    </row>
    <row r="29" spans="2:47" ht="121.5" customHeight="1">
      <c r="B29" s="241"/>
      <c r="C29" s="9" t="s">
        <v>254</v>
      </c>
      <c r="D29" s="10" t="s">
        <v>255</v>
      </c>
      <c r="E29" s="99" t="s">
        <v>39</v>
      </c>
      <c r="F29" s="124">
        <v>22286</v>
      </c>
      <c r="G29" s="125">
        <f t="shared" si="44"/>
        <v>26520.34</v>
      </c>
      <c r="H29" s="141">
        <f>16900/1.19</f>
        <v>14201.680672268909</v>
      </c>
      <c r="I29" s="41">
        <f t="shared" si="45"/>
        <v>16900</v>
      </c>
      <c r="J29" s="116">
        <v>11965.55</v>
      </c>
      <c r="K29" s="41">
        <f t="shared" si="46"/>
        <v>14239.004499999999</v>
      </c>
      <c r="L29" s="89">
        <f t="shared" si="25"/>
        <v>16151.076890756303</v>
      </c>
      <c r="M29" s="90">
        <f t="shared" si="26"/>
        <v>19219.781499999997</v>
      </c>
      <c r="N29" s="14">
        <v>1</v>
      </c>
      <c r="O29" s="26">
        <f t="shared" si="4"/>
        <v>19219.781499999997</v>
      </c>
      <c r="P29" s="37">
        <f t="shared" si="56"/>
        <v>19219.781499999997</v>
      </c>
      <c r="Q29" s="14">
        <v>0</v>
      </c>
      <c r="R29" s="26">
        <f t="shared" si="6"/>
        <v>19219.781499999997</v>
      </c>
      <c r="S29" s="37">
        <f t="shared" si="47"/>
        <v>0</v>
      </c>
      <c r="T29" s="14">
        <v>0</v>
      </c>
      <c r="U29" s="26">
        <f t="shared" si="8"/>
        <v>19219.781499999997</v>
      </c>
      <c r="V29" s="37">
        <f t="shared" si="48"/>
        <v>0</v>
      </c>
      <c r="W29" s="14">
        <v>0</v>
      </c>
      <c r="X29" s="26">
        <f t="shared" si="10"/>
        <v>19219.781499999997</v>
      </c>
      <c r="Y29" s="37">
        <f t="shared" si="49"/>
        <v>0</v>
      </c>
      <c r="Z29" s="14">
        <v>1</v>
      </c>
      <c r="AA29" s="26">
        <f t="shared" si="12"/>
        <v>19219.781499999997</v>
      </c>
      <c r="AB29" s="37">
        <f t="shared" si="50"/>
        <v>19219.781499999997</v>
      </c>
      <c r="AC29" s="14">
        <v>2</v>
      </c>
      <c r="AD29" s="26">
        <f t="shared" si="14"/>
        <v>19219.781499999997</v>
      </c>
      <c r="AE29" s="37">
        <f t="shared" si="51"/>
        <v>38439.562999999995</v>
      </c>
      <c r="AF29" s="14">
        <v>2</v>
      </c>
      <c r="AG29" s="26">
        <f t="shared" si="16"/>
        <v>19219.781499999997</v>
      </c>
      <c r="AH29" s="37">
        <f t="shared" si="52"/>
        <v>38439.562999999995</v>
      </c>
      <c r="AI29" s="14">
        <v>2</v>
      </c>
      <c r="AJ29" s="26">
        <f t="shared" si="18"/>
        <v>19219.781499999997</v>
      </c>
      <c r="AK29" s="37">
        <f t="shared" si="53"/>
        <v>38439.562999999995</v>
      </c>
      <c r="AL29" s="14"/>
      <c r="AM29" s="26">
        <f t="shared" si="20"/>
        <v>19219.781499999997</v>
      </c>
      <c r="AN29" s="37">
        <f t="shared" si="54"/>
        <v>0</v>
      </c>
      <c r="AO29" s="13">
        <f t="shared" si="27"/>
        <v>8</v>
      </c>
      <c r="AP29" s="77">
        <f t="shared" si="28"/>
        <v>16151.076890756303</v>
      </c>
      <c r="AQ29" s="77">
        <f t="shared" si="29"/>
        <v>129208.61512605043</v>
      </c>
      <c r="AR29" s="26">
        <f t="shared" si="22"/>
        <v>19219.781499999997</v>
      </c>
      <c r="AS29" s="37">
        <f t="shared" si="55"/>
        <v>153758.25199999998</v>
      </c>
      <c r="AT29" s="70" t="s">
        <v>256</v>
      </c>
      <c r="AU29" s="83"/>
    </row>
    <row r="30" spans="2:47" ht="114.75" customHeight="1">
      <c r="B30" s="241"/>
      <c r="C30" s="9" t="s">
        <v>257</v>
      </c>
      <c r="D30" s="10" t="s">
        <v>258</v>
      </c>
      <c r="E30" s="99" t="s">
        <v>209</v>
      </c>
      <c r="F30" s="117">
        <v>161344</v>
      </c>
      <c r="G30" s="41">
        <f t="shared" si="44"/>
        <v>191999.35999999999</v>
      </c>
      <c r="H30" s="126">
        <v>175000</v>
      </c>
      <c r="I30" s="125">
        <f t="shared" si="45"/>
        <v>208250</v>
      </c>
      <c r="J30" s="116">
        <v>161344</v>
      </c>
      <c r="K30" s="41">
        <f t="shared" si="46"/>
        <v>191999.35999999999</v>
      </c>
      <c r="L30" s="89">
        <f t="shared" si="25"/>
        <v>165896</v>
      </c>
      <c r="M30" s="90">
        <f t="shared" si="26"/>
        <v>197416.24</v>
      </c>
      <c r="N30" s="14">
        <v>2</v>
      </c>
      <c r="O30" s="26">
        <f t="shared" si="4"/>
        <v>197416.24</v>
      </c>
      <c r="P30" s="37">
        <f t="shared" si="56"/>
        <v>394832.48</v>
      </c>
      <c r="Q30" s="14">
        <v>0</v>
      </c>
      <c r="R30" s="26">
        <f t="shared" si="6"/>
        <v>197416.24</v>
      </c>
      <c r="S30" s="37">
        <f t="shared" si="47"/>
        <v>0</v>
      </c>
      <c r="T30" s="14">
        <v>0</v>
      </c>
      <c r="U30" s="26">
        <f t="shared" si="8"/>
        <v>197416.24</v>
      </c>
      <c r="V30" s="37">
        <f t="shared" si="48"/>
        <v>0</v>
      </c>
      <c r="W30" s="14">
        <v>0</v>
      </c>
      <c r="X30" s="26">
        <f t="shared" si="10"/>
        <v>197416.24</v>
      </c>
      <c r="Y30" s="37">
        <f t="shared" si="49"/>
        <v>0</v>
      </c>
      <c r="Z30" s="14">
        <v>2</v>
      </c>
      <c r="AA30" s="26">
        <f t="shared" si="12"/>
        <v>197416.24</v>
      </c>
      <c r="AB30" s="37">
        <f t="shared" si="50"/>
        <v>394832.48</v>
      </c>
      <c r="AC30" s="14">
        <v>3</v>
      </c>
      <c r="AD30" s="26">
        <f t="shared" si="14"/>
        <v>197416.24</v>
      </c>
      <c r="AE30" s="37">
        <f t="shared" si="51"/>
        <v>592248.72</v>
      </c>
      <c r="AF30" s="14">
        <v>3</v>
      </c>
      <c r="AG30" s="26">
        <f t="shared" si="16"/>
        <v>197416.24</v>
      </c>
      <c r="AH30" s="37">
        <f t="shared" si="52"/>
        <v>592248.72</v>
      </c>
      <c r="AI30" s="14">
        <v>3</v>
      </c>
      <c r="AJ30" s="26">
        <f t="shared" si="18"/>
        <v>197416.24</v>
      </c>
      <c r="AK30" s="37">
        <f t="shared" si="53"/>
        <v>592248.72</v>
      </c>
      <c r="AL30" s="14"/>
      <c r="AM30" s="26">
        <f t="shared" si="20"/>
        <v>197416.24</v>
      </c>
      <c r="AN30" s="37">
        <f t="shared" si="54"/>
        <v>0</v>
      </c>
      <c r="AO30" s="13">
        <f t="shared" si="27"/>
        <v>13</v>
      </c>
      <c r="AP30" s="77">
        <f t="shared" si="28"/>
        <v>165896</v>
      </c>
      <c r="AQ30" s="77">
        <f t="shared" si="29"/>
        <v>2156648</v>
      </c>
      <c r="AR30" s="26">
        <f t="shared" si="22"/>
        <v>197416.24</v>
      </c>
      <c r="AS30" s="37">
        <f t="shared" si="55"/>
        <v>2566411.12</v>
      </c>
      <c r="AT30" s="74" t="s">
        <v>256</v>
      </c>
      <c r="AU30" s="83"/>
    </row>
    <row r="31" spans="2:47" ht="127.5" customHeight="1">
      <c r="B31" s="241"/>
      <c r="C31" s="9" t="s">
        <v>259</v>
      </c>
      <c r="D31" s="10" t="s">
        <v>260</v>
      </c>
      <c r="E31" s="99" t="s">
        <v>39</v>
      </c>
      <c r="F31" s="109">
        <v>20647</v>
      </c>
      <c r="G31" s="41">
        <f t="shared" si="44"/>
        <v>24569.93</v>
      </c>
      <c r="H31" s="116">
        <v>22500</v>
      </c>
      <c r="I31" s="41">
        <f t="shared" si="45"/>
        <v>26775</v>
      </c>
      <c r="J31" s="126">
        <v>32689</v>
      </c>
      <c r="K31" s="125">
        <f t="shared" si="46"/>
        <v>38899.909999999996</v>
      </c>
      <c r="L31" s="89">
        <f t="shared" si="25"/>
        <v>25278.666666666668</v>
      </c>
      <c r="M31" s="90">
        <f t="shared" si="26"/>
        <v>30081.613333333331</v>
      </c>
      <c r="N31" s="13">
        <v>3</v>
      </c>
      <c r="O31" s="26">
        <f t="shared" si="4"/>
        <v>30081.613333333331</v>
      </c>
      <c r="P31" s="37">
        <f t="shared" si="56"/>
        <v>90244.84</v>
      </c>
      <c r="Q31" s="13">
        <v>0</v>
      </c>
      <c r="R31" s="26">
        <f t="shared" si="6"/>
        <v>30081.613333333331</v>
      </c>
      <c r="S31" s="37">
        <f t="shared" si="47"/>
        <v>0</v>
      </c>
      <c r="T31" s="13">
        <v>0</v>
      </c>
      <c r="U31" s="26">
        <f t="shared" si="8"/>
        <v>30081.613333333331</v>
      </c>
      <c r="V31" s="37">
        <f t="shared" si="48"/>
        <v>0</v>
      </c>
      <c r="W31" s="13">
        <v>0</v>
      </c>
      <c r="X31" s="26">
        <f t="shared" si="10"/>
        <v>30081.613333333331</v>
      </c>
      <c r="Y31" s="37">
        <f t="shared" si="49"/>
        <v>0</v>
      </c>
      <c r="Z31" s="13">
        <v>3</v>
      </c>
      <c r="AA31" s="26">
        <f t="shared" si="12"/>
        <v>30081.613333333331</v>
      </c>
      <c r="AB31" s="37">
        <f t="shared" si="50"/>
        <v>90244.84</v>
      </c>
      <c r="AC31" s="13">
        <v>6</v>
      </c>
      <c r="AD31" s="26">
        <f t="shared" si="14"/>
        <v>30081.613333333331</v>
      </c>
      <c r="AE31" s="37">
        <f t="shared" si="51"/>
        <v>180489.68</v>
      </c>
      <c r="AF31" s="13">
        <v>6</v>
      </c>
      <c r="AG31" s="26">
        <f t="shared" si="16"/>
        <v>30081.613333333331</v>
      </c>
      <c r="AH31" s="37">
        <f t="shared" si="52"/>
        <v>180489.68</v>
      </c>
      <c r="AI31" s="13">
        <v>6</v>
      </c>
      <c r="AJ31" s="26">
        <f t="shared" si="18"/>
        <v>30081.613333333331</v>
      </c>
      <c r="AK31" s="37">
        <f t="shared" si="53"/>
        <v>180489.68</v>
      </c>
      <c r="AL31" s="13"/>
      <c r="AM31" s="26">
        <f t="shared" si="20"/>
        <v>30081.613333333331</v>
      </c>
      <c r="AN31" s="37">
        <f t="shared" si="54"/>
        <v>0</v>
      </c>
      <c r="AO31" s="13">
        <f t="shared" si="27"/>
        <v>24</v>
      </c>
      <c r="AP31" s="77">
        <f t="shared" si="28"/>
        <v>25278.666666666668</v>
      </c>
      <c r="AQ31" s="77">
        <f t="shared" si="29"/>
        <v>606688</v>
      </c>
      <c r="AR31" s="26">
        <f t="shared" si="22"/>
        <v>30081.613333333331</v>
      </c>
      <c r="AS31" s="37">
        <f t="shared" si="55"/>
        <v>721958.72</v>
      </c>
      <c r="AT31" s="69" t="s">
        <v>256</v>
      </c>
      <c r="AU31" s="83"/>
    </row>
    <row r="32" spans="2:47" ht="95.25" customHeight="1">
      <c r="B32" s="241"/>
      <c r="C32" s="9" t="s">
        <v>261</v>
      </c>
      <c r="D32" s="10" t="s">
        <v>262</v>
      </c>
      <c r="E32" s="99" t="s">
        <v>39</v>
      </c>
      <c r="F32" s="117">
        <v>18277</v>
      </c>
      <c r="G32" s="41">
        <f t="shared" si="44"/>
        <v>21749.629999999997</v>
      </c>
      <c r="H32" s="126">
        <f>15000/1.19</f>
        <v>12605.042016806723</v>
      </c>
      <c r="I32" s="125">
        <f t="shared" si="45"/>
        <v>15000</v>
      </c>
      <c r="J32" s="139">
        <f>19900/1.19</f>
        <v>16722.689075630253</v>
      </c>
      <c r="K32" s="41">
        <f t="shared" si="46"/>
        <v>19900</v>
      </c>
      <c r="L32" s="89">
        <f t="shared" si="25"/>
        <v>15868.243697478991</v>
      </c>
      <c r="M32" s="90">
        <f t="shared" si="26"/>
        <v>18883.21</v>
      </c>
      <c r="N32" s="13">
        <v>3</v>
      </c>
      <c r="O32" s="26">
        <f t="shared" si="4"/>
        <v>18883.21</v>
      </c>
      <c r="P32" s="37">
        <f t="shared" si="56"/>
        <v>56649.63</v>
      </c>
      <c r="Q32" s="13">
        <v>0</v>
      </c>
      <c r="R32" s="26">
        <f t="shared" si="6"/>
        <v>18883.21</v>
      </c>
      <c r="S32" s="37">
        <f t="shared" si="47"/>
        <v>0</v>
      </c>
      <c r="T32" s="13">
        <v>0</v>
      </c>
      <c r="U32" s="26">
        <f t="shared" si="8"/>
        <v>18883.21</v>
      </c>
      <c r="V32" s="37">
        <f t="shared" si="48"/>
        <v>0</v>
      </c>
      <c r="W32" s="13">
        <v>0</v>
      </c>
      <c r="X32" s="26">
        <f t="shared" si="10"/>
        <v>18883.21</v>
      </c>
      <c r="Y32" s="37">
        <f t="shared" si="49"/>
        <v>0</v>
      </c>
      <c r="Z32" s="13">
        <v>3</v>
      </c>
      <c r="AA32" s="26">
        <f t="shared" si="12"/>
        <v>18883.21</v>
      </c>
      <c r="AB32" s="37">
        <f t="shared" si="50"/>
        <v>56649.63</v>
      </c>
      <c r="AC32" s="13">
        <v>5</v>
      </c>
      <c r="AD32" s="26">
        <f t="shared" si="14"/>
        <v>18883.21</v>
      </c>
      <c r="AE32" s="37">
        <f t="shared" si="51"/>
        <v>94416.049999999988</v>
      </c>
      <c r="AF32" s="13">
        <v>5</v>
      </c>
      <c r="AG32" s="26">
        <f t="shared" si="16"/>
        <v>18883.21</v>
      </c>
      <c r="AH32" s="37">
        <f t="shared" si="52"/>
        <v>94416.049999999988</v>
      </c>
      <c r="AI32" s="13">
        <v>5</v>
      </c>
      <c r="AJ32" s="26">
        <f t="shared" si="18"/>
        <v>18883.21</v>
      </c>
      <c r="AK32" s="37">
        <f t="shared" si="53"/>
        <v>94416.049999999988</v>
      </c>
      <c r="AL32" s="13"/>
      <c r="AM32" s="26">
        <f t="shared" si="20"/>
        <v>18883.21</v>
      </c>
      <c r="AN32" s="37">
        <f t="shared" si="54"/>
        <v>0</v>
      </c>
      <c r="AO32" s="13">
        <f t="shared" si="27"/>
        <v>21</v>
      </c>
      <c r="AP32" s="77">
        <f t="shared" si="28"/>
        <v>15868.243697478991</v>
      </c>
      <c r="AQ32" s="77">
        <f t="shared" si="29"/>
        <v>333233.1176470588</v>
      </c>
      <c r="AR32" s="26">
        <f t="shared" si="22"/>
        <v>18883.21</v>
      </c>
      <c r="AS32" s="37">
        <f t="shared" si="55"/>
        <v>396547.41</v>
      </c>
      <c r="AT32" s="69" t="s">
        <v>256</v>
      </c>
      <c r="AU32" s="83"/>
    </row>
    <row r="33" spans="2:47" ht="121.5" customHeight="1">
      <c r="B33" s="241"/>
      <c r="C33" s="9" t="s">
        <v>263</v>
      </c>
      <c r="D33" s="10" t="s">
        <v>264</v>
      </c>
      <c r="E33" s="99" t="s">
        <v>39</v>
      </c>
      <c r="F33" s="117">
        <v>6000</v>
      </c>
      <c r="G33" s="41">
        <f t="shared" ref="G33:G46" si="57">F33*1.19</f>
        <v>7140</v>
      </c>
      <c r="H33" s="139">
        <f>11190/1.19</f>
        <v>9403.361344537816</v>
      </c>
      <c r="I33" s="41">
        <f t="shared" ref="I33:I46" si="58">H33*1.19</f>
        <v>11190</v>
      </c>
      <c r="J33" s="140">
        <f>27690/1.19</f>
        <v>23268.907563025212</v>
      </c>
      <c r="K33" s="125">
        <f t="shared" ref="K33:K46" si="59">J33*1.19</f>
        <v>27690</v>
      </c>
      <c r="L33" s="89">
        <f t="shared" si="25"/>
        <v>12890.756302521009</v>
      </c>
      <c r="M33" s="90">
        <f t="shared" si="26"/>
        <v>15340</v>
      </c>
      <c r="N33" s="14">
        <v>2</v>
      </c>
      <c r="O33" s="26">
        <f t="shared" si="4"/>
        <v>15340</v>
      </c>
      <c r="P33" s="37">
        <f t="shared" si="56"/>
        <v>30680</v>
      </c>
      <c r="Q33" s="14">
        <v>0</v>
      </c>
      <c r="R33" s="26">
        <f t="shared" si="6"/>
        <v>15340</v>
      </c>
      <c r="S33" s="37">
        <f t="shared" ref="S33:S46" si="60">Q33*R33</f>
        <v>0</v>
      </c>
      <c r="T33" s="14">
        <v>0</v>
      </c>
      <c r="U33" s="26">
        <f t="shared" si="8"/>
        <v>15340</v>
      </c>
      <c r="V33" s="37">
        <f t="shared" ref="V33:V46" si="61">T33*U33</f>
        <v>0</v>
      </c>
      <c r="W33" s="14">
        <v>0</v>
      </c>
      <c r="X33" s="26">
        <f t="shared" si="10"/>
        <v>15340</v>
      </c>
      <c r="Y33" s="37">
        <f t="shared" ref="Y33:Y46" si="62">W33*X33</f>
        <v>0</v>
      </c>
      <c r="Z33" s="14">
        <v>2</v>
      </c>
      <c r="AA33" s="26">
        <f t="shared" si="12"/>
        <v>15340</v>
      </c>
      <c r="AB33" s="37">
        <f t="shared" ref="AB33:AB46" si="63">Z33*AA33</f>
        <v>30680</v>
      </c>
      <c r="AC33" s="14">
        <v>3</v>
      </c>
      <c r="AD33" s="26">
        <f t="shared" si="14"/>
        <v>15340</v>
      </c>
      <c r="AE33" s="37">
        <f t="shared" ref="AE33:AE46" si="64">AC33*AD33</f>
        <v>46020</v>
      </c>
      <c r="AF33" s="14">
        <v>3</v>
      </c>
      <c r="AG33" s="26">
        <f t="shared" si="16"/>
        <v>15340</v>
      </c>
      <c r="AH33" s="37">
        <f t="shared" ref="AH33:AH46" si="65">AF33*AG33</f>
        <v>46020</v>
      </c>
      <c r="AI33" s="14">
        <v>3</v>
      </c>
      <c r="AJ33" s="26">
        <f t="shared" si="18"/>
        <v>15340</v>
      </c>
      <c r="AK33" s="37">
        <f t="shared" ref="AK33:AK46" si="66">AI33*AJ33</f>
        <v>46020</v>
      </c>
      <c r="AL33" s="14"/>
      <c r="AM33" s="26">
        <f t="shared" si="20"/>
        <v>15340</v>
      </c>
      <c r="AN33" s="37">
        <f t="shared" ref="AN33:AN46" si="67">AL33*AM33</f>
        <v>0</v>
      </c>
      <c r="AO33" s="13">
        <f t="shared" si="27"/>
        <v>13</v>
      </c>
      <c r="AP33" s="77">
        <f t="shared" si="28"/>
        <v>12890.756302521009</v>
      </c>
      <c r="AQ33" s="77">
        <f t="shared" si="29"/>
        <v>167579.83193277312</v>
      </c>
      <c r="AR33" s="26">
        <f t="shared" si="22"/>
        <v>15340</v>
      </c>
      <c r="AS33" s="37">
        <f t="shared" ref="AS33:AS46" si="68">AO33*AR33</f>
        <v>199420</v>
      </c>
      <c r="AT33" s="69" t="e" vm="106">
        <v>#VALUE!</v>
      </c>
      <c r="AU33" s="83"/>
    </row>
    <row r="34" spans="2:47" ht="121.5" customHeight="1" thickBot="1">
      <c r="B34" s="241"/>
      <c r="C34" s="9" t="s">
        <v>265</v>
      </c>
      <c r="D34" s="10" t="s">
        <v>266</v>
      </c>
      <c r="E34" s="99" t="s">
        <v>39</v>
      </c>
      <c r="F34" s="118">
        <f>99000/1.19</f>
        <v>83193.277310924372</v>
      </c>
      <c r="G34" s="41">
        <f t="shared" si="57"/>
        <v>99000</v>
      </c>
      <c r="H34" s="126">
        <v>117647</v>
      </c>
      <c r="I34" s="125">
        <f t="shared" si="58"/>
        <v>139999.93</v>
      </c>
      <c r="J34" s="153">
        <f>99900/1.19</f>
        <v>83949.579831932773</v>
      </c>
      <c r="K34" s="41">
        <f t="shared" si="59"/>
        <v>99900</v>
      </c>
      <c r="L34" s="89">
        <f t="shared" si="25"/>
        <v>94929.952380952382</v>
      </c>
      <c r="M34" s="90">
        <f t="shared" si="26"/>
        <v>112966.64333333333</v>
      </c>
      <c r="N34" s="14">
        <v>1</v>
      </c>
      <c r="O34" s="26">
        <f t="shared" si="4"/>
        <v>112966.64333333333</v>
      </c>
      <c r="P34" s="37">
        <f t="shared" si="56"/>
        <v>112966.64333333333</v>
      </c>
      <c r="Q34" s="14">
        <v>0</v>
      </c>
      <c r="R34" s="26">
        <f t="shared" si="6"/>
        <v>112966.64333333333</v>
      </c>
      <c r="S34" s="37">
        <f t="shared" si="60"/>
        <v>0</v>
      </c>
      <c r="T34" s="14">
        <v>0</v>
      </c>
      <c r="U34" s="26">
        <f t="shared" si="8"/>
        <v>112966.64333333333</v>
      </c>
      <c r="V34" s="37">
        <f t="shared" si="61"/>
        <v>0</v>
      </c>
      <c r="W34" s="14">
        <v>0</v>
      </c>
      <c r="X34" s="26">
        <f t="shared" si="10"/>
        <v>112966.64333333333</v>
      </c>
      <c r="Y34" s="37">
        <f t="shared" si="62"/>
        <v>0</v>
      </c>
      <c r="Z34" s="14">
        <v>1</v>
      </c>
      <c r="AA34" s="26">
        <f t="shared" si="12"/>
        <v>112966.64333333333</v>
      </c>
      <c r="AB34" s="37">
        <f t="shared" si="63"/>
        <v>112966.64333333333</v>
      </c>
      <c r="AC34" s="14">
        <v>2</v>
      </c>
      <c r="AD34" s="26">
        <f t="shared" si="14"/>
        <v>112966.64333333333</v>
      </c>
      <c r="AE34" s="37">
        <f t="shared" si="64"/>
        <v>225933.28666666665</v>
      </c>
      <c r="AF34" s="14">
        <v>2</v>
      </c>
      <c r="AG34" s="26">
        <f t="shared" si="16"/>
        <v>112966.64333333333</v>
      </c>
      <c r="AH34" s="37">
        <f t="shared" si="65"/>
        <v>225933.28666666665</v>
      </c>
      <c r="AI34" s="14">
        <v>2</v>
      </c>
      <c r="AJ34" s="26">
        <f t="shared" si="18"/>
        <v>112966.64333333333</v>
      </c>
      <c r="AK34" s="37">
        <f t="shared" si="66"/>
        <v>225933.28666666665</v>
      </c>
      <c r="AL34" s="14"/>
      <c r="AM34" s="26">
        <f t="shared" si="20"/>
        <v>112966.64333333333</v>
      </c>
      <c r="AN34" s="37">
        <f t="shared" si="67"/>
        <v>0</v>
      </c>
      <c r="AO34" s="13">
        <f t="shared" si="27"/>
        <v>8</v>
      </c>
      <c r="AP34" s="77">
        <f t="shared" si="28"/>
        <v>94929.952380952382</v>
      </c>
      <c r="AQ34" s="77">
        <f t="shared" si="29"/>
        <v>759439.61904761905</v>
      </c>
      <c r="AR34" s="26">
        <f t="shared" si="22"/>
        <v>112966.64333333333</v>
      </c>
      <c r="AS34" s="37">
        <f t="shared" si="68"/>
        <v>903733.14666666661</v>
      </c>
      <c r="AT34" s="49" t="s">
        <v>267</v>
      </c>
      <c r="AU34" s="83"/>
    </row>
    <row r="35" spans="2:47" ht="121.5" customHeight="1">
      <c r="B35" s="241"/>
      <c r="C35" s="9" t="s">
        <v>268</v>
      </c>
      <c r="D35" s="10" t="s">
        <v>269</v>
      </c>
      <c r="E35" s="99" t="s">
        <v>39</v>
      </c>
      <c r="F35" s="117">
        <v>1529</v>
      </c>
      <c r="G35" s="41">
        <f t="shared" si="57"/>
        <v>1819.51</v>
      </c>
      <c r="H35" s="116">
        <v>1702</v>
      </c>
      <c r="I35" s="41">
        <f t="shared" si="58"/>
        <v>2025.3799999999999</v>
      </c>
      <c r="J35" s="116">
        <v>1260.5</v>
      </c>
      <c r="K35" s="41">
        <f t="shared" si="59"/>
        <v>1499.9949999999999</v>
      </c>
      <c r="L35" s="89">
        <f t="shared" si="25"/>
        <v>1497.1666666666667</v>
      </c>
      <c r="M35" s="90">
        <f t="shared" si="26"/>
        <v>1781.6283333333333</v>
      </c>
      <c r="N35" s="14">
        <v>50</v>
      </c>
      <c r="O35" s="26">
        <f t="shared" si="4"/>
        <v>1781.6283333333333</v>
      </c>
      <c r="P35" s="37">
        <f t="shared" si="56"/>
        <v>89081.416666666672</v>
      </c>
      <c r="Q35" s="14">
        <v>0</v>
      </c>
      <c r="R35" s="26">
        <f t="shared" si="6"/>
        <v>1781.6283333333333</v>
      </c>
      <c r="S35" s="37">
        <f t="shared" si="60"/>
        <v>0</v>
      </c>
      <c r="T35" s="14">
        <v>0</v>
      </c>
      <c r="U35" s="26">
        <f t="shared" si="8"/>
        <v>1781.6283333333333</v>
      </c>
      <c r="V35" s="37">
        <f t="shared" si="61"/>
        <v>0</v>
      </c>
      <c r="W35" s="14">
        <v>0</v>
      </c>
      <c r="X35" s="26">
        <f t="shared" si="10"/>
        <v>1781.6283333333333</v>
      </c>
      <c r="Y35" s="37">
        <f t="shared" si="62"/>
        <v>0</v>
      </c>
      <c r="Z35" s="14">
        <v>125</v>
      </c>
      <c r="AA35" s="26">
        <f t="shared" si="12"/>
        <v>1781.6283333333333</v>
      </c>
      <c r="AB35" s="37">
        <f t="shared" si="63"/>
        <v>222703.54166666666</v>
      </c>
      <c r="AC35" s="14">
        <v>300</v>
      </c>
      <c r="AD35" s="26">
        <f t="shared" si="14"/>
        <v>1781.6283333333333</v>
      </c>
      <c r="AE35" s="37">
        <f t="shared" si="64"/>
        <v>534488.5</v>
      </c>
      <c r="AF35" s="14">
        <v>350</v>
      </c>
      <c r="AG35" s="26">
        <f t="shared" si="16"/>
        <v>1781.6283333333333</v>
      </c>
      <c r="AH35" s="37">
        <f t="shared" si="65"/>
        <v>623569.91666666663</v>
      </c>
      <c r="AI35" s="14">
        <v>300</v>
      </c>
      <c r="AJ35" s="26">
        <f t="shared" si="18"/>
        <v>1781.6283333333333</v>
      </c>
      <c r="AK35" s="37">
        <f t="shared" si="66"/>
        <v>534488.5</v>
      </c>
      <c r="AL35" s="14"/>
      <c r="AM35" s="26">
        <f t="shared" si="20"/>
        <v>1781.6283333333333</v>
      </c>
      <c r="AN35" s="37">
        <f t="shared" si="67"/>
        <v>0</v>
      </c>
      <c r="AO35" s="13">
        <f t="shared" si="27"/>
        <v>1125</v>
      </c>
      <c r="AP35" s="77">
        <f t="shared" si="28"/>
        <v>1497.1666666666667</v>
      </c>
      <c r="AQ35" s="77">
        <f t="shared" si="29"/>
        <v>1684312.5</v>
      </c>
      <c r="AR35" s="26">
        <f t="shared" si="22"/>
        <v>1781.6283333333333</v>
      </c>
      <c r="AS35" s="37">
        <f t="shared" si="68"/>
        <v>2004331.875</v>
      </c>
      <c r="AT35" s="69" t="e" vm="107">
        <v>#VALUE!</v>
      </c>
      <c r="AU35" s="83"/>
    </row>
    <row r="36" spans="2:47" ht="121.5" customHeight="1">
      <c r="B36" s="241"/>
      <c r="C36" s="9" t="s">
        <v>270</v>
      </c>
      <c r="D36" s="10" t="s">
        <v>269</v>
      </c>
      <c r="E36" s="99" t="s">
        <v>39</v>
      </c>
      <c r="F36" s="117">
        <v>1317</v>
      </c>
      <c r="G36" s="41">
        <f t="shared" si="57"/>
        <v>1567.23</v>
      </c>
      <c r="H36" s="116">
        <v>1556</v>
      </c>
      <c r="I36" s="41">
        <f t="shared" si="58"/>
        <v>1851.6399999999999</v>
      </c>
      <c r="J36" s="116">
        <v>1176.47</v>
      </c>
      <c r="K36" s="41">
        <f t="shared" si="59"/>
        <v>1399.9992999999999</v>
      </c>
      <c r="L36" s="89">
        <f t="shared" si="25"/>
        <v>1349.8233333333335</v>
      </c>
      <c r="M36" s="90">
        <f t="shared" si="26"/>
        <v>1606.2897666666668</v>
      </c>
      <c r="N36" s="14">
        <v>25</v>
      </c>
      <c r="O36" s="26">
        <f t="shared" si="4"/>
        <v>1606.2897666666668</v>
      </c>
      <c r="P36" s="37">
        <f t="shared" si="56"/>
        <v>40157.244166666671</v>
      </c>
      <c r="Q36" s="14">
        <v>0</v>
      </c>
      <c r="R36" s="26">
        <f t="shared" si="6"/>
        <v>1606.2897666666668</v>
      </c>
      <c r="S36" s="37">
        <f t="shared" si="60"/>
        <v>0</v>
      </c>
      <c r="T36" s="14">
        <v>0</v>
      </c>
      <c r="U36" s="26">
        <f t="shared" si="8"/>
        <v>1606.2897666666668</v>
      </c>
      <c r="V36" s="37">
        <f t="shared" si="61"/>
        <v>0</v>
      </c>
      <c r="W36" s="14">
        <v>0</v>
      </c>
      <c r="X36" s="26">
        <f t="shared" si="10"/>
        <v>1606.2897666666668</v>
      </c>
      <c r="Y36" s="37">
        <f t="shared" si="62"/>
        <v>0</v>
      </c>
      <c r="Z36" s="14">
        <v>75</v>
      </c>
      <c r="AA36" s="26">
        <f t="shared" si="12"/>
        <v>1606.2897666666668</v>
      </c>
      <c r="AB36" s="37">
        <f t="shared" si="63"/>
        <v>120471.73250000001</v>
      </c>
      <c r="AC36" s="14">
        <v>200</v>
      </c>
      <c r="AD36" s="26">
        <f t="shared" si="14"/>
        <v>1606.2897666666668</v>
      </c>
      <c r="AE36" s="37">
        <f t="shared" si="64"/>
        <v>321257.95333333337</v>
      </c>
      <c r="AF36" s="14">
        <v>250</v>
      </c>
      <c r="AG36" s="26">
        <f t="shared" si="16"/>
        <v>1606.2897666666668</v>
      </c>
      <c r="AH36" s="37">
        <f t="shared" si="65"/>
        <v>401572.44166666671</v>
      </c>
      <c r="AI36" s="14">
        <v>200</v>
      </c>
      <c r="AJ36" s="26">
        <f t="shared" si="18"/>
        <v>1606.2897666666668</v>
      </c>
      <c r="AK36" s="37">
        <f t="shared" si="66"/>
        <v>321257.95333333337</v>
      </c>
      <c r="AL36" s="14"/>
      <c r="AM36" s="26">
        <f t="shared" si="20"/>
        <v>1606.2897666666668</v>
      </c>
      <c r="AN36" s="37">
        <f t="shared" si="67"/>
        <v>0</v>
      </c>
      <c r="AO36" s="13">
        <f t="shared" si="27"/>
        <v>750</v>
      </c>
      <c r="AP36" s="77">
        <f t="shared" si="28"/>
        <v>1349.8233333333335</v>
      </c>
      <c r="AQ36" s="77">
        <f t="shared" si="29"/>
        <v>1012367.5000000001</v>
      </c>
      <c r="AR36" s="26">
        <f t="shared" si="22"/>
        <v>1606.2897666666668</v>
      </c>
      <c r="AS36" s="37">
        <f t="shared" si="68"/>
        <v>1204717.3250000002</v>
      </c>
      <c r="AT36" s="69" t="e" vm="108">
        <v>#VALUE!</v>
      </c>
      <c r="AU36" s="83"/>
    </row>
    <row r="37" spans="2:47" ht="127.5" customHeight="1">
      <c r="B37" s="241"/>
      <c r="C37" s="9" t="s">
        <v>271</v>
      </c>
      <c r="D37" s="10" t="s">
        <v>272</v>
      </c>
      <c r="E37" s="99" t="s">
        <v>39</v>
      </c>
      <c r="F37" s="117">
        <v>1702</v>
      </c>
      <c r="G37" s="41">
        <f t="shared" si="57"/>
        <v>2025.3799999999999</v>
      </c>
      <c r="H37" s="116">
        <v>1924</v>
      </c>
      <c r="I37" s="41">
        <f t="shared" si="58"/>
        <v>2289.56</v>
      </c>
      <c r="J37" s="116">
        <v>1556</v>
      </c>
      <c r="K37" s="41">
        <f t="shared" si="59"/>
        <v>1851.6399999999999</v>
      </c>
      <c r="L37" s="89">
        <f t="shared" si="25"/>
        <v>1727.3333333333333</v>
      </c>
      <c r="M37" s="90">
        <f t="shared" si="26"/>
        <v>2055.5266666666666</v>
      </c>
      <c r="N37" s="14">
        <v>50</v>
      </c>
      <c r="O37" s="26">
        <f t="shared" si="4"/>
        <v>2055.5266666666666</v>
      </c>
      <c r="P37" s="37">
        <f t="shared" ref="P37:P45" si="69">N37*O37</f>
        <v>102776.33333333333</v>
      </c>
      <c r="Q37" s="13">
        <v>0</v>
      </c>
      <c r="R37" s="26">
        <f t="shared" si="6"/>
        <v>2055.5266666666666</v>
      </c>
      <c r="S37" s="37">
        <f t="shared" si="60"/>
        <v>0</v>
      </c>
      <c r="T37" s="13">
        <v>0</v>
      </c>
      <c r="U37" s="26">
        <f t="shared" si="8"/>
        <v>2055.5266666666666</v>
      </c>
      <c r="V37" s="37">
        <f t="shared" si="61"/>
        <v>0</v>
      </c>
      <c r="W37" s="13">
        <v>0</v>
      </c>
      <c r="X37" s="26">
        <f t="shared" si="10"/>
        <v>2055.5266666666666</v>
      </c>
      <c r="Y37" s="37">
        <f t="shared" si="62"/>
        <v>0</v>
      </c>
      <c r="Z37" s="14">
        <v>125</v>
      </c>
      <c r="AA37" s="26">
        <f t="shared" si="12"/>
        <v>2055.5266666666666</v>
      </c>
      <c r="AB37" s="37">
        <f t="shared" si="63"/>
        <v>256940.83333333334</v>
      </c>
      <c r="AC37" s="14">
        <v>300</v>
      </c>
      <c r="AD37" s="26">
        <f t="shared" si="14"/>
        <v>2055.5266666666666</v>
      </c>
      <c r="AE37" s="37">
        <f t="shared" si="64"/>
        <v>616658</v>
      </c>
      <c r="AF37" s="14">
        <v>350</v>
      </c>
      <c r="AG37" s="26">
        <f t="shared" si="16"/>
        <v>2055.5266666666666</v>
      </c>
      <c r="AH37" s="37">
        <f t="shared" si="65"/>
        <v>719434.33333333337</v>
      </c>
      <c r="AI37" s="14">
        <v>300</v>
      </c>
      <c r="AJ37" s="26">
        <f t="shared" si="18"/>
        <v>2055.5266666666666</v>
      </c>
      <c r="AK37" s="37">
        <f t="shared" si="66"/>
        <v>616658</v>
      </c>
      <c r="AL37" s="13"/>
      <c r="AM37" s="26">
        <f t="shared" si="20"/>
        <v>2055.5266666666666</v>
      </c>
      <c r="AN37" s="37">
        <f t="shared" si="67"/>
        <v>0</v>
      </c>
      <c r="AO37" s="13">
        <f t="shared" si="27"/>
        <v>1125</v>
      </c>
      <c r="AP37" s="77">
        <f t="shared" si="28"/>
        <v>1727.3333333333333</v>
      </c>
      <c r="AQ37" s="77">
        <f t="shared" si="29"/>
        <v>1943250</v>
      </c>
      <c r="AR37" s="26">
        <f t="shared" si="22"/>
        <v>2055.5266666666666</v>
      </c>
      <c r="AS37" s="37">
        <f t="shared" si="68"/>
        <v>2312467.5</v>
      </c>
      <c r="AT37" s="69" t="e" vm="109">
        <v>#VALUE!</v>
      </c>
      <c r="AU37" s="83"/>
    </row>
    <row r="38" spans="2:47" ht="95.25" customHeight="1">
      <c r="B38" s="241"/>
      <c r="C38" s="9" t="s">
        <v>273</v>
      </c>
      <c r="D38" s="10" t="s">
        <v>272</v>
      </c>
      <c r="E38" s="99" t="s">
        <v>39</v>
      </c>
      <c r="F38" s="117">
        <v>2503</v>
      </c>
      <c r="G38" s="41">
        <f t="shared" si="57"/>
        <v>2978.5699999999997</v>
      </c>
      <c r="H38" s="126">
        <v>1980</v>
      </c>
      <c r="I38" s="125">
        <f t="shared" si="58"/>
        <v>2356.1999999999998</v>
      </c>
      <c r="J38" s="116">
        <v>2778</v>
      </c>
      <c r="K38" s="41">
        <f t="shared" si="59"/>
        <v>3305.8199999999997</v>
      </c>
      <c r="L38" s="89">
        <f t="shared" si="25"/>
        <v>2420.3333333333335</v>
      </c>
      <c r="M38" s="90">
        <f t="shared" si="26"/>
        <v>2880.1966666666667</v>
      </c>
      <c r="N38" s="13">
        <v>25</v>
      </c>
      <c r="O38" s="26">
        <f t="shared" si="4"/>
        <v>2880.1966666666667</v>
      </c>
      <c r="P38" s="37">
        <f t="shared" si="69"/>
        <v>72004.916666666672</v>
      </c>
      <c r="Q38" s="13">
        <v>0</v>
      </c>
      <c r="R38" s="26">
        <f t="shared" si="6"/>
        <v>2880.1966666666667</v>
      </c>
      <c r="S38" s="37">
        <f t="shared" si="60"/>
        <v>0</v>
      </c>
      <c r="T38" s="13">
        <v>0</v>
      </c>
      <c r="U38" s="26">
        <f t="shared" si="8"/>
        <v>2880.1966666666667</v>
      </c>
      <c r="V38" s="37">
        <f t="shared" si="61"/>
        <v>0</v>
      </c>
      <c r="W38" s="13">
        <v>0</v>
      </c>
      <c r="X38" s="26">
        <f t="shared" si="10"/>
        <v>2880.1966666666667</v>
      </c>
      <c r="Y38" s="37">
        <f t="shared" si="62"/>
        <v>0</v>
      </c>
      <c r="Z38" s="13">
        <v>75</v>
      </c>
      <c r="AA38" s="26">
        <f t="shared" si="12"/>
        <v>2880.1966666666667</v>
      </c>
      <c r="AB38" s="37">
        <f t="shared" si="63"/>
        <v>216014.75</v>
      </c>
      <c r="AC38" s="13">
        <v>200</v>
      </c>
      <c r="AD38" s="26">
        <f t="shared" si="14"/>
        <v>2880.1966666666667</v>
      </c>
      <c r="AE38" s="37">
        <f t="shared" si="64"/>
        <v>576039.33333333337</v>
      </c>
      <c r="AF38" s="13">
        <v>250</v>
      </c>
      <c r="AG38" s="26">
        <f t="shared" si="16"/>
        <v>2880.1966666666667</v>
      </c>
      <c r="AH38" s="37">
        <f t="shared" si="65"/>
        <v>720049.16666666663</v>
      </c>
      <c r="AI38" s="13">
        <v>200</v>
      </c>
      <c r="AJ38" s="26">
        <f t="shared" si="18"/>
        <v>2880.1966666666667</v>
      </c>
      <c r="AK38" s="37">
        <f t="shared" si="66"/>
        <v>576039.33333333337</v>
      </c>
      <c r="AL38" s="13"/>
      <c r="AM38" s="26">
        <f t="shared" si="20"/>
        <v>2880.1966666666667</v>
      </c>
      <c r="AN38" s="37">
        <f t="shared" si="67"/>
        <v>0</v>
      </c>
      <c r="AO38" s="13">
        <f t="shared" si="27"/>
        <v>750</v>
      </c>
      <c r="AP38" s="77">
        <f t="shared" si="28"/>
        <v>2420.3333333333335</v>
      </c>
      <c r="AQ38" s="77">
        <f t="shared" si="29"/>
        <v>1815250</v>
      </c>
      <c r="AR38" s="26">
        <f t="shared" si="22"/>
        <v>2880.1966666666667</v>
      </c>
      <c r="AS38" s="37">
        <f t="shared" si="68"/>
        <v>2160147.5</v>
      </c>
      <c r="AT38" s="69" t="e" vm="110">
        <v>#VALUE!</v>
      </c>
      <c r="AU38" s="83"/>
    </row>
    <row r="39" spans="2:47" ht="123" customHeight="1">
      <c r="B39" s="241"/>
      <c r="C39" s="9" t="s">
        <v>274</v>
      </c>
      <c r="D39" s="10" t="s">
        <v>275</v>
      </c>
      <c r="E39" s="99" t="s">
        <v>39</v>
      </c>
      <c r="F39" s="117">
        <v>3151</v>
      </c>
      <c r="G39" s="41">
        <f t="shared" si="57"/>
        <v>3749.69</v>
      </c>
      <c r="H39" s="116">
        <v>3277.31</v>
      </c>
      <c r="I39" s="41">
        <f t="shared" si="58"/>
        <v>3899.9988999999996</v>
      </c>
      <c r="J39" s="126">
        <v>6218</v>
      </c>
      <c r="K39" s="125">
        <f t="shared" si="59"/>
        <v>7399.42</v>
      </c>
      <c r="L39" s="89">
        <f t="shared" si="25"/>
        <v>4215.4366666666665</v>
      </c>
      <c r="M39" s="90">
        <f t="shared" si="26"/>
        <v>5016.3696333333328</v>
      </c>
      <c r="N39" s="13">
        <v>50</v>
      </c>
      <c r="O39" s="26">
        <f t="shared" si="4"/>
        <v>5016.3696333333328</v>
      </c>
      <c r="P39" s="37">
        <f t="shared" si="69"/>
        <v>250818.48166666663</v>
      </c>
      <c r="Q39" s="13">
        <v>0</v>
      </c>
      <c r="R39" s="26">
        <f t="shared" si="6"/>
        <v>5016.3696333333328</v>
      </c>
      <c r="S39" s="37">
        <f t="shared" si="60"/>
        <v>0</v>
      </c>
      <c r="T39" s="13">
        <v>0</v>
      </c>
      <c r="U39" s="26">
        <f t="shared" si="8"/>
        <v>5016.3696333333328</v>
      </c>
      <c r="V39" s="37">
        <f t="shared" si="61"/>
        <v>0</v>
      </c>
      <c r="W39" s="13">
        <v>0</v>
      </c>
      <c r="X39" s="26">
        <f t="shared" si="10"/>
        <v>5016.3696333333328</v>
      </c>
      <c r="Y39" s="37">
        <f t="shared" si="62"/>
        <v>0</v>
      </c>
      <c r="Z39" s="13">
        <v>125</v>
      </c>
      <c r="AA39" s="26">
        <f t="shared" si="12"/>
        <v>5016.3696333333328</v>
      </c>
      <c r="AB39" s="37">
        <f t="shared" si="63"/>
        <v>627046.2041666666</v>
      </c>
      <c r="AC39" s="13">
        <v>300</v>
      </c>
      <c r="AD39" s="26">
        <f t="shared" si="14"/>
        <v>5016.3696333333328</v>
      </c>
      <c r="AE39" s="37">
        <f t="shared" si="64"/>
        <v>1504910.89</v>
      </c>
      <c r="AF39" s="13">
        <v>350</v>
      </c>
      <c r="AG39" s="26">
        <f t="shared" si="16"/>
        <v>5016.3696333333328</v>
      </c>
      <c r="AH39" s="37">
        <f t="shared" si="65"/>
        <v>1755729.3716666666</v>
      </c>
      <c r="AI39" s="13">
        <v>300</v>
      </c>
      <c r="AJ39" s="26">
        <f t="shared" si="18"/>
        <v>5016.3696333333328</v>
      </c>
      <c r="AK39" s="37">
        <f t="shared" si="66"/>
        <v>1504910.89</v>
      </c>
      <c r="AL39" s="13"/>
      <c r="AM39" s="26">
        <f t="shared" si="20"/>
        <v>5016.3696333333328</v>
      </c>
      <c r="AN39" s="37">
        <f t="shared" si="67"/>
        <v>0</v>
      </c>
      <c r="AO39" s="13">
        <f t="shared" si="27"/>
        <v>1125</v>
      </c>
      <c r="AP39" s="77">
        <f t="shared" si="28"/>
        <v>4215.4366666666665</v>
      </c>
      <c r="AQ39" s="77">
        <f t="shared" si="29"/>
        <v>4742366.25</v>
      </c>
      <c r="AR39" s="26">
        <f t="shared" si="22"/>
        <v>5016.3696333333328</v>
      </c>
      <c r="AS39" s="37">
        <f t="shared" si="68"/>
        <v>5643415.8374999994</v>
      </c>
      <c r="AT39" s="69" t="e" vm="111">
        <v>#VALUE!</v>
      </c>
      <c r="AU39" s="83"/>
    </row>
    <row r="40" spans="2:47" ht="121.5" customHeight="1">
      <c r="B40" s="241"/>
      <c r="C40" s="9" t="s">
        <v>276</v>
      </c>
      <c r="D40" s="10" t="s">
        <v>275</v>
      </c>
      <c r="E40" s="99" t="s">
        <v>39</v>
      </c>
      <c r="F40" s="117">
        <v>3290</v>
      </c>
      <c r="G40" s="41">
        <f t="shared" ref="G40:G45" si="70">F40*1.19</f>
        <v>3915.1</v>
      </c>
      <c r="H40" s="116">
        <v>2500</v>
      </c>
      <c r="I40" s="41">
        <f t="shared" ref="I40:I45" si="71">H40*1.19</f>
        <v>2975</v>
      </c>
      <c r="J40" s="116">
        <v>1778</v>
      </c>
      <c r="K40" s="41">
        <f t="shared" ref="K40:K45" si="72">J40*1.19</f>
        <v>2115.8199999999997</v>
      </c>
      <c r="L40" s="89">
        <f t="shared" si="25"/>
        <v>2522.6666666666665</v>
      </c>
      <c r="M40" s="90">
        <f t="shared" si="26"/>
        <v>3001.9733333333334</v>
      </c>
      <c r="N40" s="14">
        <v>50</v>
      </c>
      <c r="O40" s="26">
        <f t="shared" si="4"/>
        <v>3001.9733333333334</v>
      </c>
      <c r="P40" s="37">
        <f t="shared" si="69"/>
        <v>150098.66666666666</v>
      </c>
      <c r="Q40" s="14">
        <v>0</v>
      </c>
      <c r="R40" s="26">
        <f t="shared" si="6"/>
        <v>3001.9733333333334</v>
      </c>
      <c r="S40" s="37">
        <f t="shared" ref="S40:S45" si="73">Q40*R40</f>
        <v>0</v>
      </c>
      <c r="T40" s="14">
        <v>0</v>
      </c>
      <c r="U40" s="26">
        <f t="shared" si="8"/>
        <v>3001.9733333333334</v>
      </c>
      <c r="V40" s="37">
        <f t="shared" ref="V40:V45" si="74">T40*U40</f>
        <v>0</v>
      </c>
      <c r="W40" s="14">
        <v>0</v>
      </c>
      <c r="X40" s="26">
        <f t="shared" si="10"/>
        <v>3001.9733333333334</v>
      </c>
      <c r="Y40" s="37">
        <f t="shared" ref="Y40:Y45" si="75">W40*X40</f>
        <v>0</v>
      </c>
      <c r="Z40" s="14">
        <v>125</v>
      </c>
      <c r="AA40" s="26">
        <f t="shared" si="12"/>
        <v>3001.9733333333334</v>
      </c>
      <c r="AB40" s="37">
        <f t="shared" ref="AB40:AB45" si="76">Z40*AA40</f>
        <v>375246.66666666669</v>
      </c>
      <c r="AC40" s="14">
        <v>300</v>
      </c>
      <c r="AD40" s="26">
        <f t="shared" si="14"/>
        <v>3001.9733333333334</v>
      </c>
      <c r="AE40" s="37">
        <f t="shared" ref="AE40:AE45" si="77">AC40*AD40</f>
        <v>900592</v>
      </c>
      <c r="AF40" s="14">
        <v>350</v>
      </c>
      <c r="AG40" s="26">
        <f t="shared" si="16"/>
        <v>3001.9733333333334</v>
      </c>
      <c r="AH40" s="37">
        <f t="shared" ref="AH40:AH45" si="78">AF40*AG40</f>
        <v>1050690.6666666667</v>
      </c>
      <c r="AI40" s="14">
        <v>300</v>
      </c>
      <c r="AJ40" s="26">
        <f t="shared" si="18"/>
        <v>3001.9733333333334</v>
      </c>
      <c r="AK40" s="37">
        <f t="shared" ref="AK40:AK45" si="79">AI40*AJ40</f>
        <v>900592</v>
      </c>
      <c r="AL40" s="14"/>
      <c r="AM40" s="26">
        <f t="shared" si="20"/>
        <v>3001.9733333333334</v>
      </c>
      <c r="AN40" s="37">
        <f t="shared" ref="AN40:AN45" si="80">AL40*AM40</f>
        <v>0</v>
      </c>
      <c r="AO40" s="13">
        <f t="shared" si="27"/>
        <v>1125</v>
      </c>
      <c r="AP40" s="77">
        <f t="shared" si="28"/>
        <v>2522.6666666666665</v>
      </c>
      <c r="AQ40" s="77">
        <f t="shared" si="29"/>
        <v>2838000</v>
      </c>
      <c r="AR40" s="26">
        <f t="shared" si="22"/>
        <v>3001.9733333333334</v>
      </c>
      <c r="AS40" s="37">
        <f t="shared" ref="AS40:AS45" si="81">AO40*AR40</f>
        <v>3377220</v>
      </c>
      <c r="AT40" s="69" t="e" vm="112">
        <v>#VALUE!</v>
      </c>
      <c r="AU40" s="83"/>
    </row>
    <row r="41" spans="2:47" ht="121.5" customHeight="1">
      <c r="B41" s="241"/>
      <c r="C41" s="9" t="s">
        <v>277</v>
      </c>
      <c r="D41" s="10" t="s">
        <v>275</v>
      </c>
      <c r="E41" s="99" t="s">
        <v>39</v>
      </c>
      <c r="F41" s="117">
        <v>3150</v>
      </c>
      <c r="G41" s="41">
        <f t="shared" si="70"/>
        <v>3748.5</v>
      </c>
      <c r="H41" s="116">
        <v>4621.8500000000004</v>
      </c>
      <c r="I41" s="41">
        <f t="shared" si="71"/>
        <v>5500.0015000000003</v>
      </c>
      <c r="J41" s="116">
        <v>2857</v>
      </c>
      <c r="K41" s="41">
        <f t="shared" si="72"/>
        <v>3399.83</v>
      </c>
      <c r="L41" s="89">
        <f t="shared" si="25"/>
        <v>3542.9500000000003</v>
      </c>
      <c r="M41" s="90">
        <f t="shared" si="26"/>
        <v>4216.1104999999998</v>
      </c>
      <c r="N41" s="14">
        <v>50</v>
      </c>
      <c r="O41" s="26">
        <f t="shared" si="4"/>
        <v>4216.1104999999998</v>
      </c>
      <c r="P41" s="37">
        <f t="shared" si="69"/>
        <v>210805.52499999999</v>
      </c>
      <c r="Q41" s="14">
        <v>0</v>
      </c>
      <c r="R41" s="26">
        <f t="shared" si="6"/>
        <v>4216.1104999999998</v>
      </c>
      <c r="S41" s="37">
        <f t="shared" si="73"/>
        <v>0</v>
      </c>
      <c r="T41" s="14">
        <v>0</v>
      </c>
      <c r="U41" s="26">
        <f t="shared" si="8"/>
        <v>4216.1104999999998</v>
      </c>
      <c r="V41" s="37">
        <f t="shared" si="74"/>
        <v>0</v>
      </c>
      <c r="W41" s="14">
        <v>0</v>
      </c>
      <c r="X41" s="26">
        <f t="shared" si="10"/>
        <v>4216.1104999999998</v>
      </c>
      <c r="Y41" s="37">
        <f t="shared" si="75"/>
        <v>0</v>
      </c>
      <c r="Z41" s="14">
        <v>125</v>
      </c>
      <c r="AA41" s="26">
        <f t="shared" si="12"/>
        <v>4216.1104999999998</v>
      </c>
      <c r="AB41" s="37">
        <f t="shared" si="76"/>
        <v>527013.8125</v>
      </c>
      <c r="AC41" s="14">
        <v>300</v>
      </c>
      <c r="AD41" s="26">
        <f t="shared" si="14"/>
        <v>4216.1104999999998</v>
      </c>
      <c r="AE41" s="37">
        <f t="shared" si="77"/>
        <v>1264833.1499999999</v>
      </c>
      <c r="AF41" s="14">
        <v>350</v>
      </c>
      <c r="AG41" s="26">
        <f t="shared" si="16"/>
        <v>4216.1104999999998</v>
      </c>
      <c r="AH41" s="37">
        <f t="shared" si="78"/>
        <v>1475638.6749999998</v>
      </c>
      <c r="AI41" s="14">
        <v>300</v>
      </c>
      <c r="AJ41" s="26">
        <f t="shared" si="18"/>
        <v>4216.1104999999998</v>
      </c>
      <c r="AK41" s="37">
        <f t="shared" si="79"/>
        <v>1264833.1499999999</v>
      </c>
      <c r="AL41" s="14"/>
      <c r="AM41" s="26">
        <f t="shared" si="20"/>
        <v>4216.1104999999998</v>
      </c>
      <c r="AN41" s="37">
        <f t="shared" si="80"/>
        <v>0</v>
      </c>
      <c r="AO41" s="13">
        <f t="shared" si="27"/>
        <v>1125</v>
      </c>
      <c r="AP41" s="77">
        <f t="shared" si="28"/>
        <v>3542.9500000000003</v>
      </c>
      <c r="AQ41" s="77">
        <f t="shared" si="29"/>
        <v>3985818.7500000005</v>
      </c>
      <c r="AR41" s="26">
        <f t="shared" si="22"/>
        <v>4216.1104999999998</v>
      </c>
      <c r="AS41" s="37">
        <f t="shared" si="81"/>
        <v>4743124.3125</v>
      </c>
      <c r="AT41" s="69" t="e" vm="113">
        <v>#VALUE!</v>
      </c>
      <c r="AU41" s="83"/>
    </row>
    <row r="42" spans="2:47" ht="123" customHeight="1">
      <c r="B42" s="241"/>
      <c r="C42" s="9" t="s">
        <v>278</v>
      </c>
      <c r="D42" s="10" t="s">
        <v>275</v>
      </c>
      <c r="E42" s="99" t="s">
        <v>39</v>
      </c>
      <c r="F42" s="117">
        <v>2394</v>
      </c>
      <c r="G42" s="41">
        <f t="shared" si="70"/>
        <v>2848.8599999999997</v>
      </c>
      <c r="H42" s="116">
        <v>1513</v>
      </c>
      <c r="I42" s="41">
        <f t="shared" si="71"/>
        <v>1800.47</v>
      </c>
      <c r="J42" s="116">
        <v>1429</v>
      </c>
      <c r="K42" s="41">
        <f t="shared" si="72"/>
        <v>1700.51</v>
      </c>
      <c r="L42" s="89">
        <f t="shared" si="25"/>
        <v>1778.6666666666667</v>
      </c>
      <c r="M42" s="90">
        <f t="shared" si="26"/>
        <v>2116.6133333333332</v>
      </c>
      <c r="N42" s="13">
        <v>50</v>
      </c>
      <c r="O42" s="26">
        <f t="shared" si="4"/>
        <v>2116.6133333333332</v>
      </c>
      <c r="P42" s="37">
        <f t="shared" ref="P42:P44" si="82">N42*O42</f>
        <v>105830.66666666666</v>
      </c>
      <c r="Q42" s="13">
        <v>0</v>
      </c>
      <c r="R42" s="26">
        <f t="shared" si="6"/>
        <v>2116.6133333333332</v>
      </c>
      <c r="S42" s="37">
        <f t="shared" si="73"/>
        <v>0</v>
      </c>
      <c r="T42" s="13">
        <v>0</v>
      </c>
      <c r="U42" s="26">
        <f t="shared" si="8"/>
        <v>2116.6133333333332</v>
      </c>
      <c r="V42" s="37">
        <f t="shared" si="74"/>
        <v>0</v>
      </c>
      <c r="W42" s="13">
        <v>0</v>
      </c>
      <c r="X42" s="26">
        <f t="shared" si="10"/>
        <v>2116.6133333333332</v>
      </c>
      <c r="Y42" s="37">
        <f t="shared" si="75"/>
        <v>0</v>
      </c>
      <c r="Z42" s="13">
        <v>125</v>
      </c>
      <c r="AA42" s="26">
        <f t="shared" si="12"/>
        <v>2116.6133333333332</v>
      </c>
      <c r="AB42" s="37">
        <f t="shared" si="76"/>
        <v>264576.66666666663</v>
      </c>
      <c r="AC42" s="13">
        <v>300</v>
      </c>
      <c r="AD42" s="26">
        <f t="shared" si="14"/>
        <v>2116.6133333333332</v>
      </c>
      <c r="AE42" s="37">
        <f t="shared" si="77"/>
        <v>634984</v>
      </c>
      <c r="AF42" s="13">
        <v>350</v>
      </c>
      <c r="AG42" s="26">
        <f t="shared" si="16"/>
        <v>2116.6133333333332</v>
      </c>
      <c r="AH42" s="37">
        <f t="shared" si="78"/>
        <v>740814.66666666663</v>
      </c>
      <c r="AI42" s="13">
        <v>300</v>
      </c>
      <c r="AJ42" s="26">
        <f t="shared" si="18"/>
        <v>2116.6133333333332</v>
      </c>
      <c r="AK42" s="37">
        <f t="shared" si="79"/>
        <v>634984</v>
      </c>
      <c r="AL42" s="13"/>
      <c r="AM42" s="26">
        <f t="shared" si="20"/>
        <v>2116.6133333333332</v>
      </c>
      <c r="AN42" s="37">
        <f t="shared" si="80"/>
        <v>0</v>
      </c>
      <c r="AO42" s="13">
        <f t="shared" si="27"/>
        <v>1125</v>
      </c>
      <c r="AP42" s="77">
        <f t="shared" si="28"/>
        <v>1778.6666666666667</v>
      </c>
      <c r="AQ42" s="77">
        <f t="shared" si="29"/>
        <v>2001000</v>
      </c>
      <c r="AR42" s="26">
        <f t="shared" si="22"/>
        <v>2116.6133333333332</v>
      </c>
      <c r="AS42" s="37">
        <f t="shared" si="81"/>
        <v>2381190</v>
      </c>
      <c r="AT42" s="69" t="e" vm="114">
        <v>#VALUE!</v>
      </c>
      <c r="AU42" s="83"/>
    </row>
    <row r="43" spans="2:47" ht="121.5" customHeight="1">
      <c r="B43" s="241"/>
      <c r="C43" s="9" t="s">
        <v>279</v>
      </c>
      <c r="D43" s="10" t="s">
        <v>280</v>
      </c>
      <c r="E43" s="99" t="s">
        <v>39</v>
      </c>
      <c r="F43" s="117">
        <v>3630</v>
      </c>
      <c r="G43" s="41">
        <f t="shared" ref="G43:G44" si="83">F43*1.19</f>
        <v>4319.7</v>
      </c>
      <c r="H43" s="116">
        <v>3529.41</v>
      </c>
      <c r="I43" s="41">
        <f t="shared" ref="I43:I44" si="84">H43*1.19</f>
        <v>4199.9978999999994</v>
      </c>
      <c r="J43" s="126">
        <v>2000</v>
      </c>
      <c r="K43" s="125">
        <f t="shared" ref="K43:K44" si="85">J43*1.19</f>
        <v>2380</v>
      </c>
      <c r="L43" s="89">
        <f t="shared" si="25"/>
        <v>3053.1366666666668</v>
      </c>
      <c r="M43" s="90">
        <f t="shared" si="26"/>
        <v>3633.2326333333331</v>
      </c>
      <c r="N43" s="14">
        <v>50</v>
      </c>
      <c r="O43" s="26">
        <f t="shared" si="4"/>
        <v>3633.2326333333331</v>
      </c>
      <c r="P43" s="37">
        <f t="shared" si="82"/>
        <v>181661.63166666665</v>
      </c>
      <c r="Q43" s="14">
        <v>0</v>
      </c>
      <c r="R43" s="26">
        <f t="shared" si="6"/>
        <v>3633.2326333333331</v>
      </c>
      <c r="S43" s="37">
        <f t="shared" ref="S43:S44" si="86">Q43*R43</f>
        <v>0</v>
      </c>
      <c r="T43" s="14">
        <v>0</v>
      </c>
      <c r="U43" s="26">
        <f t="shared" si="8"/>
        <v>3633.2326333333331</v>
      </c>
      <c r="V43" s="37">
        <f t="shared" ref="V43:V44" si="87">T43*U43</f>
        <v>0</v>
      </c>
      <c r="W43" s="14">
        <v>0</v>
      </c>
      <c r="X43" s="26">
        <f t="shared" si="10"/>
        <v>3633.2326333333331</v>
      </c>
      <c r="Y43" s="37">
        <f t="shared" ref="Y43:Y44" si="88">W43*X43</f>
        <v>0</v>
      </c>
      <c r="Z43" s="14">
        <v>125</v>
      </c>
      <c r="AA43" s="26">
        <f t="shared" si="12"/>
        <v>3633.2326333333331</v>
      </c>
      <c r="AB43" s="37">
        <f t="shared" ref="AB43:AB44" si="89">Z43*AA43</f>
        <v>454154.0791666666</v>
      </c>
      <c r="AC43" s="14">
        <v>300</v>
      </c>
      <c r="AD43" s="26">
        <f t="shared" si="14"/>
        <v>3633.2326333333331</v>
      </c>
      <c r="AE43" s="37">
        <f t="shared" ref="AE43:AE44" si="90">AC43*AD43</f>
        <v>1089969.79</v>
      </c>
      <c r="AF43" s="14">
        <v>350</v>
      </c>
      <c r="AG43" s="26">
        <f t="shared" si="16"/>
        <v>3633.2326333333331</v>
      </c>
      <c r="AH43" s="37">
        <f t="shared" ref="AH43:AH44" si="91">AF43*AG43</f>
        <v>1271631.4216666666</v>
      </c>
      <c r="AI43" s="14">
        <v>300</v>
      </c>
      <c r="AJ43" s="26">
        <f t="shared" si="18"/>
        <v>3633.2326333333331</v>
      </c>
      <c r="AK43" s="37">
        <f t="shared" ref="AK43:AK44" si="92">AI43*AJ43</f>
        <v>1089969.79</v>
      </c>
      <c r="AL43" s="14"/>
      <c r="AM43" s="26">
        <f t="shared" si="20"/>
        <v>3633.2326333333331</v>
      </c>
      <c r="AN43" s="37">
        <f t="shared" ref="AN43:AN44" si="93">AL43*AM43</f>
        <v>0</v>
      </c>
      <c r="AO43" s="13">
        <f t="shared" si="27"/>
        <v>1125</v>
      </c>
      <c r="AP43" s="77">
        <f t="shared" si="28"/>
        <v>3053.1366666666668</v>
      </c>
      <c r="AQ43" s="77">
        <f t="shared" si="29"/>
        <v>3434778.75</v>
      </c>
      <c r="AR43" s="26">
        <f t="shared" si="22"/>
        <v>3633.2326333333331</v>
      </c>
      <c r="AS43" s="37">
        <f t="shared" ref="AS43:AS44" si="94">AO43*AR43</f>
        <v>4087386.7124999999</v>
      </c>
      <c r="AT43" s="69" t="e" vm="115">
        <v>#VALUE!</v>
      </c>
      <c r="AU43" s="83"/>
    </row>
    <row r="44" spans="2:47" ht="121.5" customHeight="1">
      <c r="B44" s="241"/>
      <c r="C44" s="9" t="s">
        <v>281</v>
      </c>
      <c r="D44" s="10" t="s">
        <v>282</v>
      </c>
      <c r="E44" s="99" t="s">
        <v>39</v>
      </c>
      <c r="F44" s="117">
        <v>20700</v>
      </c>
      <c r="G44" s="41">
        <f t="shared" si="83"/>
        <v>24633</v>
      </c>
      <c r="H44" s="126">
        <v>25073.95</v>
      </c>
      <c r="I44" s="125">
        <f t="shared" si="84"/>
        <v>29838.000499999998</v>
      </c>
      <c r="J44" s="116">
        <v>18000</v>
      </c>
      <c r="K44" s="41">
        <f t="shared" si="85"/>
        <v>21420</v>
      </c>
      <c r="L44" s="89">
        <f t="shared" si="25"/>
        <v>21257.983333333334</v>
      </c>
      <c r="M44" s="90">
        <f t="shared" si="26"/>
        <v>25297.000166666665</v>
      </c>
      <c r="N44" s="14">
        <v>2</v>
      </c>
      <c r="O44" s="26">
        <f t="shared" si="4"/>
        <v>25297.000166666665</v>
      </c>
      <c r="P44" s="37">
        <f t="shared" si="82"/>
        <v>50594.00033333333</v>
      </c>
      <c r="Q44" s="14">
        <v>0</v>
      </c>
      <c r="R44" s="26">
        <f t="shared" si="6"/>
        <v>25297.000166666665</v>
      </c>
      <c r="S44" s="37">
        <f t="shared" si="86"/>
        <v>0</v>
      </c>
      <c r="T44" s="14">
        <v>0</v>
      </c>
      <c r="U44" s="26">
        <f t="shared" si="8"/>
        <v>25297.000166666665</v>
      </c>
      <c r="V44" s="37">
        <f t="shared" si="87"/>
        <v>0</v>
      </c>
      <c r="W44" s="14">
        <v>0</v>
      </c>
      <c r="X44" s="26">
        <f t="shared" si="10"/>
        <v>25297.000166666665</v>
      </c>
      <c r="Y44" s="37">
        <f t="shared" si="88"/>
        <v>0</v>
      </c>
      <c r="Z44" s="14">
        <v>2</v>
      </c>
      <c r="AA44" s="26">
        <f t="shared" si="12"/>
        <v>25297.000166666665</v>
      </c>
      <c r="AB44" s="37">
        <f t="shared" si="89"/>
        <v>50594.00033333333</v>
      </c>
      <c r="AC44" s="14">
        <v>3</v>
      </c>
      <c r="AD44" s="26">
        <f t="shared" si="14"/>
        <v>25297.000166666665</v>
      </c>
      <c r="AE44" s="37">
        <f t="shared" si="90"/>
        <v>75891.000499999995</v>
      </c>
      <c r="AF44" s="14">
        <v>3</v>
      </c>
      <c r="AG44" s="26">
        <f t="shared" si="16"/>
        <v>25297.000166666665</v>
      </c>
      <c r="AH44" s="37">
        <f t="shared" si="91"/>
        <v>75891.000499999995</v>
      </c>
      <c r="AI44" s="14">
        <v>3</v>
      </c>
      <c r="AJ44" s="26">
        <f t="shared" si="18"/>
        <v>25297.000166666665</v>
      </c>
      <c r="AK44" s="37">
        <f t="shared" si="92"/>
        <v>75891.000499999995</v>
      </c>
      <c r="AL44" s="14"/>
      <c r="AM44" s="26">
        <f t="shared" si="20"/>
        <v>25297.000166666665</v>
      </c>
      <c r="AN44" s="37">
        <f t="shared" si="93"/>
        <v>0</v>
      </c>
      <c r="AO44" s="13">
        <f t="shared" si="27"/>
        <v>13</v>
      </c>
      <c r="AP44" s="77">
        <f t="shared" si="28"/>
        <v>21257.983333333334</v>
      </c>
      <c r="AQ44" s="77">
        <f t="shared" si="29"/>
        <v>276353.78333333333</v>
      </c>
      <c r="AR44" s="26">
        <f t="shared" si="22"/>
        <v>25297.000166666665</v>
      </c>
      <c r="AS44" s="37">
        <f t="shared" si="94"/>
        <v>328861.00216666667</v>
      </c>
      <c r="AT44" s="69" t="e" vm="116">
        <v>#VALUE!</v>
      </c>
      <c r="AU44" s="83"/>
    </row>
    <row r="45" spans="2:47" ht="121.5" customHeight="1">
      <c r="B45" s="241"/>
      <c r="C45" s="9" t="s">
        <v>283</v>
      </c>
      <c r="D45" s="10" t="s">
        <v>284</v>
      </c>
      <c r="E45" s="99" t="s">
        <v>39</v>
      </c>
      <c r="F45" s="117">
        <v>43977.31</v>
      </c>
      <c r="G45" s="41">
        <f t="shared" si="70"/>
        <v>52332.998899999991</v>
      </c>
      <c r="H45" s="116">
        <v>36806.720000000001</v>
      </c>
      <c r="I45" s="41">
        <f t="shared" si="71"/>
        <v>43799.996800000001</v>
      </c>
      <c r="J45" s="126">
        <v>18000</v>
      </c>
      <c r="K45" s="125">
        <f t="shared" si="72"/>
        <v>21420</v>
      </c>
      <c r="L45" s="89">
        <f t="shared" si="25"/>
        <v>32928.01</v>
      </c>
      <c r="M45" s="90">
        <f t="shared" si="26"/>
        <v>39184.331899999997</v>
      </c>
      <c r="N45" s="14">
        <v>1</v>
      </c>
      <c r="O45" s="26">
        <f t="shared" si="4"/>
        <v>39184.331899999997</v>
      </c>
      <c r="P45" s="37">
        <f t="shared" si="69"/>
        <v>39184.331899999997</v>
      </c>
      <c r="Q45" s="14">
        <v>0</v>
      </c>
      <c r="R45" s="26">
        <f t="shared" si="6"/>
        <v>39184.331899999997</v>
      </c>
      <c r="S45" s="37">
        <f t="shared" si="73"/>
        <v>0</v>
      </c>
      <c r="T45" s="14">
        <v>0</v>
      </c>
      <c r="U45" s="26">
        <f t="shared" si="8"/>
        <v>39184.331899999997</v>
      </c>
      <c r="V45" s="37">
        <f t="shared" si="74"/>
        <v>0</v>
      </c>
      <c r="W45" s="14">
        <v>0</v>
      </c>
      <c r="X45" s="26">
        <f t="shared" si="10"/>
        <v>39184.331899999997</v>
      </c>
      <c r="Y45" s="37">
        <f t="shared" si="75"/>
        <v>0</v>
      </c>
      <c r="Z45" s="14">
        <v>1</v>
      </c>
      <c r="AA45" s="26">
        <f t="shared" si="12"/>
        <v>39184.331899999997</v>
      </c>
      <c r="AB45" s="37">
        <f t="shared" si="76"/>
        <v>39184.331899999997</v>
      </c>
      <c r="AC45" s="14">
        <v>1</v>
      </c>
      <c r="AD45" s="26">
        <f t="shared" si="14"/>
        <v>39184.331899999997</v>
      </c>
      <c r="AE45" s="37">
        <f t="shared" si="77"/>
        <v>39184.331899999997</v>
      </c>
      <c r="AF45" s="14">
        <v>1</v>
      </c>
      <c r="AG45" s="26">
        <f t="shared" si="16"/>
        <v>39184.331899999997</v>
      </c>
      <c r="AH45" s="37">
        <f t="shared" si="78"/>
        <v>39184.331899999997</v>
      </c>
      <c r="AI45" s="14">
        <v>1</v>
      </c>
      <c r="AJ45" s="26">
        <f t="shared" si="18"/>
        <v>39184.331899999997</v>
      </c>
      <c r="AK45" s="37">
        <f t="shared" si="79"/>
        <v>39184.331899999997</v>
      </c>
      <c r="AL45" s="14"/>
      <c r="AM45" s="26">
        <f t="shared" si="20"/>
        <v>39184.331899999997</v>
      </c>
      <c r="AN45" s="37">
        <f t="shared" si="80"/>
        <v>0</v>
      </c>
      <c r="AO45" s="13">
        <f t="shared" si="27"/>
        <v>5</v>
      </c>
      <c r="AP45" s="77">
        <f t="shared" si="28"/>
        <v>32928.01</v>
      </c>
      <c r="AQ45" s="77">
        <f t="shared" si="29"/>
        <v>164640.05000000002</v>
      </c>
      <c r="AR45" s="26">
        <f t="shared" si="22"/>
        <v>39184.331899999997</v>
      </c>
      <c r="AS45" s="37">
        <f t="shared" si="81"/>
        <v>195921.65949999998</v>
      </c>
      <c r="AT45" s="69" t="e" vm="117">
        <v>#VALUE!</v>
      </c>
      <c r="AU45" s="83"/>
    </row>
    <row r="46" spans="2:47" ht="145.15" customHeight="1">
      <c r="B46" s="241"/>
      <c r="C46" s="9" t="s">
        <v>285</v>
      </c>
      <c r="D46" s="10" t="s">
        <v>286</v>
      </c>
      <c r="E46" s="99" t="s">
        <v>39</v>
      </c>
      <c r="F46" s="117">
        <v>74790</v>
      </c>
      <c r="G46" s="41">
        <f t="shared" si="57"/>
        <v>89000.099999999991</v>
      </c>
      <c r="H46" s="116">
        <v>64202</v>
      </c>
      <c r="I46" s="41">
        <f t="shared" si="58"/>
        <v>76400.37999999999</v>
      </c>
      <c r="J46" s="126">
        <v>48000</v>
      </c>
      <c r="K46" s="125">
        <f t="shared" si="59"/>
        <v>57120</v>
      </c>
      <c r="L46" s="89">
        <f t="shared" si="25"/>
        <v>62330.666666666664</v>
      </c>
      <c r="M46" s="90">
        <f t="shared" si="26"/>
        <v>74173.493333333332</v>
      </c>
      <c r="N46" s="14">
        <v>1</v>
      </c>
      <c r="O46" s="26">
        <f t="shared" si="4"/>
        <v>74173.493333333332</v>
      </c>
      <c r="P46" s="37">
        <f t="shared" si="56"/>
        <v>74173.493333333332</v>
      </c>
      <c r="Q46" s="14">
        <v>0</v>
      </c>
      <c r="R46" s="26">
        <f t="shared" si="6"/>
        <v>74173.493333333332</v>
      </c>
      <c r="S46" s="37">
        <f t="shared" si="60"/>
        <v>0</v>
      </c>
      <c r="T46" s="14">
        <v>0</v>
      </c>
      <c r="U46" s="26">
        <f t="shared" si="8"/>
        <v>74173.493333333332</v>
      </c>
      <c r="V46" s="37">
        <f t="shared" si="61"/>
        <v>0</v>
      </c>
      <c r="W46" s="14">
        <v>0</v>
      </c>
      <c r="X46" s="26">
        <f t="shared" si="10"/>
        <v>74173.493333333332</v>
      </c>
      <c r="Y46" s="37">
        <f t="shared" si="62"/>
        <v>0</v>
      </c>
      <c r="Z46" s="14">
        <v>2</v>
      </c>
      <c r="AA46" s="26">
        <f t="shared" si="12"/>
        <v>74173.493333333332</v>
      </c>
      <c r="AB46" s="37">
        <f t="shared" si="63"/>
        <v>148346.98666666666</v>
      </c>
      <c r="AC46" s="14">
        <v>4</v>
      </c>
      <c r="AD46" s="26">
        <f t="shared" si="14"/>
        <v>74173.493333333332</v>
      </c>
      <c r="AE46" s="37">
        <f t="shared" si="64"/>
        <v>296693.97333333333</v>
      </c>
      <c r="AF46" s="14">
        <v>4</v>
      </c>
      <c r="AG46" s="26">
        <f t="shared" si="16"/>
        <v>74173.493333333332</v>
      </c>
      <c r="AH46" s="37">
        <f t="shared" si="65"/>
        <v>296693.97333333333</v>
      </c>
      <c r="AI46" s="14">
        <v>4</v>
      </c>
      <c r="AJ46" s="26">
        <f t="shared" si="18"/>
        <v>74173.493333333332</v>
      </c>
      <c r="AK46" s="37">
        <f t="shared" si="66"/>
        <v>296693.97333333333</v>
      </c>
      <c r="AL46" s="14"/>
      <c r="AM46" s="26">
        <f t="shared" si="20"/>
        <v>74173.493333333332</v>
      </c>
      <c r="AN46" s="37">
        <f t="shared" si="67"/>
        <v>0</v>
      </c>
      <c r="AO46" s="13">
        <f t="shared" si="27"/>
        <v>15</v>
      </c>
      <c r="AP46" s="77">
        <f t="shared" si="28"/>
        <v>62330.666666666664</v>
      </c>
      <c r="AQ46" s="77">
        <f t="shared" si="29"/>
        <v>934960</v>
      </c>
      <c r="AR46" s="26">
        <f t="shared" si="22"/>
        <v>74173.493333333332</v>
      </c>
      <c r="AS46" s="37">
        <f t="shared" si="68"/>
        <v>1112602.3999999999</v>
      </c>
      <c r="AT46" s="69" t="e" vm="118">
        <v>#VALUE!</v>
      </c>
      <c r="AU46" s="83"/>
    </row>
    <row r="47" spans="2:47" ht="127.5" customHeight="1" thickBot="1">
      <c r="B47" s="242"/>
      <c r="C47" s="72" t="s">
        <v>287</v>
      </c>
      <c r="D47" s="44" t="s">
        <v>288</v>
      </c>
      <c r="E47" s="103" t="s">
        <v>39</v>
      </c>
      <c r="F47" s="120">
        <v>34033</v>
      </c>
      <c r="G47" s="91">
        <f t="shared" si="44"/>
        <v>40499.269999999997</v>
      </c>
      <c r="H47" s="121">
        <v>33613.449999999997</v>
      </c>
      <c r="I47" s="91">
        <f t="shared" si="45"/>
        <v>40000.005499999992</v>
      </c>
      <c r="J47" s="134">
        <v>29160</v>
      </c>
      <c r="K47" s="130">
        <f t="shared" si="46"/>
        <v>34700.400000000001</v>
      </c>
      <c r="L47" s="89">
        <f t="shared" si="25"/>
        <v>32268.816666666666</v>
      </c>
      <c r="M47" s="90">
        <f t="shared" si="26"/>
        <v>38399.891833333328</v>
      </c>
      <c r="N47" s="18">
        <v>2</v>
      </c>
      <c r="O47" s="27">
        <f t="shared" si="4"/>
        <v>38399.891833333328</v>
      </c>
      <c r="P47" s="38">
        <f t="shared" si="56"/>
        <v>76799.783666666655</v>
      </c>
      <c r="Q47" s="18">
        <v>0</v>
      </c>
      <c r="R47" s="27">
        <f t="shared" si="6"/>
        <v>38399.891833333328</v>
      </c>
      <c r="S47" s="38">
        <f t="shared" si="47"/>
        <v>0</v>
      </c>
      <c r="T47" s="18">
        <v>0</v>
      </c>
      <c r="U47" s="27">
        <f t="shared" si="8"/>
        <v>38399.891833333328</v>
      </c>
      <c r="V47" s="38">
        <f t="shared" si="48"/>
        <v>0</v>
      </c>
      <c r="W47" s="18">
        <v>0</v>
      </c>
      <c r="X47" s="27">
        <f t="shared" si="10"/>
        <v>38399.891833333328</v>
      </c>
      <c r="Y47" s="38">
        <f t="shared" si="49"/>
        <v>0</v>
      </c>
      <c r="Z47" s="18">
        <v>5</v>
      </c>
      <c r="AA47" s="27">
        <f t="shared" si="12"/>
        <v>38399.891833333328</v>
      </c>
      <c r="AB47" s="38">
        <f t="shared" si="50"/>
        <v>191999.45916666664</v>
      </c>
      <c r="AC47" s="18">
        <v>12</v>
      </c>
      <c r="AD47" s="27">
        <f t="shared" si="14"/>
        <v>38399.891833333328</v>
      </c>
      <c r="AE47" s="38">
        <f t="shared" si="51"/>
        <v>460798.70199999993</v>
      </c>
      <c r="AF47" s="18">
        <v>14</v>
      </c>
      <c r="AG47" s="27">
        <f t="shared" si="16"/>
        <v>38399.891833333328</v>
      </c>
      <c r="AH47" s="38">
        <f t="shared" si="52"/>
        <v>537598.48566666665</v>
      </c>
      <c r="AI47" s="18">
        <v>12</v>
      </c>
      <c r="AJ47" s="27">
        <f t="shared" si="18"/>
        <v>38399.891833333328</v>
      </c>
      <c r="AK47" s="38">
        <f t="shared" si="53"/>
        <v>460798.70199999993</v>
      </c>
      <c r="AL47" s="18"/>
      <c r="AM47" s="27">
        <f t="shared" si="20"/>
        <v>38399.891833333328</v>
      </c>
      <c r="AN47" s="38">
        <f t="shared" si="54"/>
        <v>0</v>
      </c>
      <c r="AO47" s="18">
        <f>$N47+$Q47+$T47+$W47+$Z47+$AC47+$AF47+$AI47+$AL47</f>
        <v>45</v>
      </c>
      <c r="AP47" s="82">
        <f t="shared" si="28"/>
        <v>32268.816666666666</v>
      </c>
      <c r="AQ47" s="82">
        <f t="shared" si="29"/>
        <v>1452096.75</v>
      </c>
      <c r="AR47" s="27">
        <f t="shared" si="22"/>
        <v>38399.891833333328</v>
      </c>
      <c r="AS47" s="38">
        <f t="shared" si="55"/>
        <v>1727995.1324999998</v>
      </c>
      <c r="AT47" s="49" t="e" vm="119">
        <v>#VALUE!</v>
      </c>
      <c r="AU47" s="83"/>
    </row>
    <row r="48" spans="2:47" ht="123" customHeight="1">
      <c r="B48" s="1"/>
      <c r="C48" s="3"/>
      <c r="G48" s="61"/>
      <c r="H48" s="61"/>
      <c r="I48" s="61"/>
      <c r="J48" s="61"/>
      <c r="K48" s="61"/>
      <c r="M48" s="59"/>
      <c r="N48" s="60"/>
      <c r="O48" s="59"/>
      <c r="P48" s="59"/>
      <c r="Q48" s="60"/>
      <c r="R48" s="59"/>
      <c r="S48" s="59"/>
      <c r="T48" s="60"/>
      <c r="U48" s="59"/>
      <c r="V48" s="59"/>
      <c r="W48" s="60"/>
      <c r="X48" s="59"/>
      <c r="Y48" s="59"/>
      <c r="Z48" s="60"/>
      <c r="AA48" s="59"/>
      <c r="AB48" s="59"/>
      <c r="AC48" s="60"/>
      <c r="AD48" s="59"/>
      <c r="AE48" s="59"/>
      <c r="AF48" s="60"/>
      <c r="AG48" s="59"/>
      <c r="AH48" s="59"/>
      <c r="AI48" s="60"/>
      <c r="AJ48" s="59"/>
      <c r="AK48" s="59"/>
      <c r="AL48" s="60"/>
      <c r="AM48" s="59"/>
      <c r="AN48" s="59"/>
      <c r="AO48" s="60"/>
      <c r="AQ48" s="81">
        <f>SUM(AQ6:AQ47)</f>
        <v>59527139.272717081</v>
      </c>
      <c r="AR48" s="59"/>
      <c r="AS48" s="59">
        <f>SUM(AS6:AS47)</f>
        <v>70837295.73453334</v>
      </c>
      <c r="AT48" s="60"/>
    </row>
    <row r="49" spans="2:46" ht="114.75" customHeight="1">
      <c r="B49" s="1"/>
      <c r="C49" s="3"/>
      <c r="AL49" s="22"/>
    </row>
    <row r="50" spans="2:46" ht="114" customHeight="1">
      <c r="B50" s="1"/>
      <c r="C50" s="3"/>
    </row>
    <row r="51" spans="2:46" s="2" customFormat="1" ht="113.25" customHeight="1">
      <c r="B51" s="1"/>
      <c r="C51" s="3"/>
      <c r="D51"/>
      <c r="E51"/>
      <c r="F51" s="61"/>
      <c r="G51" s="40"/>
      <c r="H51" s="40"/>
      <c r="I51" s="40"/>
      <c r="J51" s="40"/>
      <c r="K51" s="40"/>
      <c r="L51" s="40"/>
      <c r="M51" s="22"/>
      <c r="N51" s="4"/>
      <c r="O51" s="22"/>
      <c r="P51" s="22"/>
      <c r="Q51" s="4"/>
      <c r="R51" s="22"/>
      <c r="S51" s="22"/>
      <c r="T51" s="4"/>
      <c r="U51" s="22"/>
      <c r="V51" s="22"/>
      <c r="W51" s="4"/>
      <c r="X51" s="22"/>
      <c r="Y51" s="22"/>
      <c r="Z51" s="4"/>
      <c r="AA51" s="22"/>
      <c r="AB51" s="22"/>
      <c r="AC51" s="4"/>
      <c r="AD51" s="22"/>
      <c r="AE51" s="22"/>
      <c r="AF51" s="4"/>
      <c r="AG51" s="22"/>
      <c r="AH51" s="22"/>
      <c r="AI51" s="4"/>
      <c r="AJ51" s="22"/>
      <c r="AK51" s="22"/>
      <c r="AL51" s="4"/>
      <c r="AM51" s="22"/>
      <c r="AN51" s="22"/>
      <c r="AO51" s="4"/>
      <c r="AP51" s="4"/>
      <c r="AQ51" s="4"/>
      <c r="AR51" s="22"/>
      <c r="AS51" s="22"/>
      <c r="AT51" s="4"/>
    </row>
    <row r="52" spans="2:46" s="2" customFormat="1" ht="108.75" customHeight="1">
      <c r="B52" s="1"/>
      <c r="C52" s="3"/>
      <c r="D52"/>
      <c r="E52"/>
      <c r="F52" s="61"/>
      <c r="G52" s="40"/>
      <c r="H52" s="40"/>
      <c r="I52" s="40"/>
      <c r="J52" s="40"/>
      <c r="K52" s="40"/>
      <c r="L52" s="40"/>
      <c r="M52" s="22"/>
      <c r="N52" s="4"/>
      <c r="O52" s="22"/>
      <c r="P52" s="22"/>
      <c r="Q52" s="4"/>
      <c r="R52" s="22"/>
      <c r="S52" s="22"/>
      <c r="T52" s="4"/>
      <c r="U52" s="22"/>
      <c r="V52" s="22"/>
      <c r="W52" s="4"/>
      <c r="X52" s="22"/>
      <c r="Y52" s="22"/>
      <c r="Z52" s="4"/>
      <c r="AA52" s="22"/>
      <c r="AB52" s="22"/>
      <c r="AC52" s="4"/>
      <c r="AD52" s="22"/>
      <c r="AE52" s="22"/>
      <c r="AF52" s="4"/>
      <c r="AG52" s="22"/>
      <c r="AH52" s="22"/>
      <c r="AI52" s="4"/>
      <c r="AJ52" s="22"/>
      <c r="AK52" s="22"/>
      <c r="AL52" s="4"/>
      <c r="AM52" s="22"/>
      <c r="AN52" s="22"/>
      <c r="AO52" s="4"/>
      <c r="AP52" s="4"/>
      <c r="AQ52" s="4"/>
      <c r="AR52" s="22"/>
      <c r="AS52" s="22"/>
      <c r="AT52" s="4"/>
    </row>
    <row r="53" spans="2:46" s="2" customFormat="1" ht="108.75" customHeight="1">
      <c r="B53" s="1"/>
      <c r="C53" s="3"/>
      <c r="D53"/>
      <c r="E53"/>
      <c r="F53" s="61"/>
      <c r="G53" s="40"/>
      <c r="H53" s="40"/>
      <c r="I53" s="40"/>
      <c r="J53" s="40"/>
      <c r="K53" s="40"/>
      <c r="L53" s="40"/>
      <c r="M53" s="22"/>
      <c r="N53" s="4"/>
      <c r="O53" s="22"/>
      <c r="P53" s="22"/>
      <c r="Q53" s="4"/>
      <c r="R53" s="22"/>
      <c r="S53" s="22"/>
      <c r="T53" s="4"/>
      <c r="U53" s="22"/>
      <c r="V53" s="22"/>
      <c r="W53" s="4"/>
      <c r="X53" s="22"/>
      <c r="Y53" s="22"/>
      <c r="Z53" s="4"/>
      <c r="AA53" s="22"/>
      <c r="AB53" s="22"/>
      <c r="AC53" s="4"/>
      <c r="AD53" s="22"/>
      <c r="AE53" s="22"/>
      <c r="AF53" s="4"/>
      <c r="AG53" s="22"/>
      <c r="AH53" s="22"/>
      <c r="AI53" s="4"/>
      <c r="AJ53" s="22"/>
      <c r="AK53" s="22"/>
      <c r="AL53" s="4"/>
      <c r="AM53" s="22"/>
      <c r="AN53" s="22"/>
      <c r="AO53" s="4"/>
      <c r="AP53" s="4"/>
      <c r="AQ53" s="4"/>
      <c r="AR53" s="22"/>
      <c r="AS53" s="22"/>
      <c r="AT53" s="4"/>
    </row>
    <row r="54" spans="2:46" s="2" customFormat="1" ht="108.75" customHeight="1">
      <c r="B54" s="1"/>
      <c r="C54" s="3"/>
      <c r="D54"/>
      <c r="E54"/>
      <c r="F54" s="61"/>
      <c r="G54" s="40"/>
      <c r="H54" s="40"/>
      <c r="I54" s="40"/>
      <c r="J54" s="40"/>
      <c r="K54" s="40"/>
      <c r="L54" s="40"/>
      <c r="M54" s="22"/>
      <c r="N54" s="4"/>
      <c r="O54" s="22"/>
      <c r="P54" s="22"/>
      <c r="Q54" s="4"/>
      <c r="R54" s="22"/>
      <c r="S54" s="22"/>
      <c r="T54" s="4"/>
      <c r="U54" s="22"/>
      <c r="V54" s="22"/>
      <c r="W54" s="4"/>
      <c r="X54" s="22"/>
      <c r="Y54" s="22"/>
      <c r="Z54" s="4"/>
      <c r="AA54" s="22"/>
      <c r="AB54" s="22"/>
      <c r="AC54" s="4"/>
      <c r="AD54" s="22"/>
      <c r="AE54" s="22"/>
      <c r="AF54" s="4"/>
      <c r="AG54" s="22"/>
      <c r="AH54" s="22"/>
      <c r="AI54" s="4"/>
      <c r="AJ54" s="22"/>
      <c r="AK54" s="22"/>
      <c r="AL54" s="4"/>
      <c r="AM54" s="22"/>
      <c r="AN54" s="22"/>
      <c r="AO54" s="4"/>
      <c r="AP54" s="4"/>
      <c r="AQ54" s="4"/>
      <c r="AR54" s="22"/>
      <c r="AS54" s="22"/>
      <c r="AT54" s="4"/>
    </row>
    <row r="55" spans="2:46" s="2" customFormat="1" ht="108.75" customHeight="1">
      <c r="B55" s="1"/>
      <c r="C55" s="3"/>
      <c r="D55"/>
      <c r="E55"/>
      <c r="F55" s="61"/>
      <c r="G55" s="40"/>
      <c r="H55" s="40"/>
      <c r="I55" s="40"/>
      <c r="J55" s="40"/>
      <c r="K55" s="40"/>
      <c r="L55" s="40"/>
      <c r="M55" s="22"/>
      <c r="N55" s="4"/>
      <c r="O55" s="22"/>
      <c r="P55" s="22"/>
      <c r="Q55" s="4"/>
      <c r="R55" s="22"/>
      <c r="S55" s="22"/>
      <c r="T55" s="4"/>
      <c r="U55" s="22"/>
      <c r="V55" s="22"/>
      <c r="W55" s="4"/>
      <c r="X55" s="22"/>
      <c r="Y55" s="22"/>
      <c r="Z55" s="4"/>
      <c r="AA55" s="22"/>
      <c r="AB55" s="22"/>
      <c r="AC55" s="4"/>
      <c r="AD55" s="22"/>
      <c r="AE55" s="22"/>
      <c r="AF55" s="4"/>
      <c r="AG55" s="22"/>
      <c r="AH55" s="22"/>
      <c r="AI55" s="4"/>
      <c r="AJ55" s="22"/>
      <c r="AK55" s="22"/>
      <c r="AL55" s="4"/>
      <c r="AM55" s="22"/>
      <c r="AN55" s="22"/>
      <c r="AO55" s="4"/>
      <c r="AP55" s="4"/>
      <c r="AQ55" s="4"/>
      <c r="AR55" s="22"/>
      <c r="AS55" s="22"/>
      <c r="AT55" s="4"/>
    </row>
    <row r="56" spans="2:46" s="2" customFormat="1" ht="96" customHeight="1">
      <c r="B56" s="1"/>
      <c r="C56" s="3"/>
      <c r="D56"/>
      <c r="E56"/>
      <c r="F56" s="61"/>
      <c r="G56" s="40"/>
      <c r="H56" s="40"/>
      <c r="I56" s="40"/>
      <c r="J56" s="40"/>
      <c r="K56" s="40"/>
      <c r="L56" s="40"/>
      <c r="M56" s="22"/>
      <c r="N56" s="4"/>
      <c r="O56" s="22"/>
      <c r="P56" s="22"/>
      <c r="Q56" s="4"/>
      <c r="R56" s="22"/>
      <c r="S56" s="22"/>
      <c r="T56" s="4"/>
      <c r="U56" s="22"/>
      <c r="V56" s="22"/>
      <c r="W56" s="4"/>
      <c r="X56" s="22"/>
      <c r="Y56" s="22"/>
      <c r="Z56" s="4"/>
      <c r="AA56" s="22"/>
      <c r="AB56" s="22"/>
      <c r="AC56" s="4"/>
      <c r="AD56" s="22"/>
      <c r="AE56" s="22"/>
      <c r="AF56" s="4"/>
      <c r="AG56" s="22"/>
      <c r="AH56" s="22"/>
      <c r="AI56" s="4"/>
      <c r="AJ56" s="22"/>
      <c r="AK56" s="22"/>
      <c r="AL56" s="4"/>
      <c r="AM56" s="22"/>
      <c r="AN56" s="22"/>
      <c r="AO56" s="4"/>
      <c r="AP56" s="4"/>
      <c r="AQ56" s="4"/>
      <c r="AR56" s="22"/>
      <c r="AS56" s="22"/>
      <c r="AT56" s="4"/>
    </row>
    <row r="57" spans="2:46" s="2" customFormat="1" ht="120.75" customHeight="1">
      <c r="B57" s="1"/>
      <c r="C57" s="3"/>
      <c r="D57"/>
      <c r="E57"/>
      <c r="F57" s="61"/>
      <c r="G57" s="40"/>
      <c r="H57" s="40"/>
      <c r="I57" s="40"/>
      <c r="J57" s="40"/>
      <c r="K57" s="40"/>
      <c r="L57" s="40"/>
      <c r="M57" s="22"/>
      <c r="N57" s="4"/>
      <c r="O57" s="22"/>
      <c r="P57" s="22"/>
      <c r="Q57" s="4"/>
      <c r="R57" s="22"/>
      <c r="S57" s="22"/>
      <c r="T57" s="4"/>
      <c r="U57" s="22"/>
      <c r="V57" s="22"/>
      <c r="W57" s="4"/>
      <c r="X57" s="22"/>
      <c r="Y57" s="22"/>
      <c r="Z57" s="4"/>
      <c r="AA57" s="22"/>
      <c r="AB57" s="22"/>
      <c r="AC57" s="4"/>
      <c r="AD57" s="22"/>
      <c r="AE57" s="22"/>
      <c r="AF57" s="4"/>
      <c r="AG57" s="22"/>
      <c r="AH57" s="22"/>
      <c r="AI57" s="4"/>
      <c r="AJ57" s="22"/>
      <c r="AK57" s="22"/>
      <c r="AL57" s="4"/>
      <c r="AM57" s="22"/>
      <c r="AN57" s="22"/>
      <c r="AO57" s="4"/>
      <c r="AP57" s="4"/>
      <c r="AQ57" s="4"/>
      <c r="AR57" s="22"/>
      <c r="AS57" s="22"/>
      <c r="AT57" s="4"/>
    </row>
    <row r="58" spans="2:46" s="2" customFormat="1" ht="291" customHeight="1">
      <c r="B58" s="1"/>
      <c r="C58" s="3"/>
      <c r="D58"/>
      <c r="E58"/>
      <c r="F58" s="61"/>
      <c r="G58" s="40"/>
      <c r="H58" s="40"/>
      <c r="I58" s="40"/>
      <c r="J58" s="40"/>
      <c r="K58" s="40"/>
      <c r="L58" s="40"/>
      <c r="M58" s="22"/>
      <c r="N58" s="4"/>
      <c r="O58" s="22"/>
      <c r="P58" s="22"/>
      <c r="Q58" s="4"/>
      <c r="R58" s="22"/>
      <c r="S58" s="22"/>
      <c r="T58" s="4"/>
      <c r="U58" s="22"/>
      <c r="V58" s="22"/>
      <c r="W58" s="4"/>
      <c r="X58" s="22"/>
      <c r="Y58" s="22"/>
      <c r="Z58" s="4"/>
      <c r="AA58" s="22"/>
      <c r="AB58" s="22"/>
      <c r="AC58" s="4"/>
      <c r="AD58" s="22"/>
      <c r="AE58" s="22"/>
      <c r="AF58" s="4"/>
      <c r="AG58" s="22"/>
      <c r="AH58" s="22"/>
      <c r="AI58" s="4"/>
      <c r="AJ58" s="22"/>
      <c r="AK58" s="22"/>
      <c r="AL58" s="4"/>
      <c r="AM58" s="22"/>
      <c r="AN58" s="22"/>
      <c r="AO58" s="4"/>
      <c r="AP58" s="4"/>
      <c r="AQ58" s="4"/>
      <c r="AR58" s="22"/>
      <c r="AS58" s="22"/>
      <c r="AT58" s="4"/>
    </row>
    <row r="59" spans="2:46" s="2" customFormat="1" ht="226.15" customHeight="1">
      <c r="B59" s="1"/>
      <c r="C59" s="3"/>
      <c r="D59"/>
      <c r="E59"/>
      <c r="F59" s="61"/>
      <c r="G59" s="40"/>
      <c r="H59" s="40"/>
      <c r="I59" s="40"/>
      <c r="J59" s="40"/>
      <c r="K59" s="40"/>
      <c r="L59" s="40"/>
      <c r="M59" s="22"/>
      <c r="N59" s="4"/>
      <c r="O59" s="22"/>
      <c r="P59" s="22"/>
      <c r="Q59" s="4"/>
      <c r="R59" s="22"/>
      <c r="S59" s="22"/>
      <c r="T59" s="4"/>
      <c r="U59" s="22"/>
      <c r="V59" s="22"/>
      <c r="W59" s="4"/>
      <c r="X59" s="22"/>
      <c r="Y59" s="22"/>
      <c r="Z59" s="4"/>
      <c r="AA59" s="22"/>
      <c r="AB59" s="22"/>
      <c r="AC59" s="4"/>
      <c r="AD59" s="22"/>
      <c r="AE59" s="22"/>
      <c r="AF59" s="4"/>
      <c r="AG59" s="22"/>
      <c r="AH59" s="22"/>
      <c r="AI59" s="4"/>
      <c r="AJ59" s="22"/>
      <c r="AK59" s="22"/>
      <c r="AL59" s="4"/>
      <c r="AM59" s="22"/>
      <c r="AN59" s="22"/>
      <c r="AO59" s="4"/>
      <c r="AP59" s="4"/>
      <c r="AQ59" s="4"/>
      <c r="AR59" s="22"/>
      <c r="AS59" s="22"/>
      <c r="AT59" s="4"/>
    </row>
    <row r="60" spans="2:46" s="2" customFormat="1" ht="148.5" customHeight="1">
      <c r="B60" s="1"/>
      <c r="C60" s="3"/>
      <c r="D60"/>
      <c r="E60"/>
      <c r="F60" s="61"/>
      <c r="G60" s="40"/>
      <c r="H60" s="40"/>
      <c r="I60" s="40"/>
      <c r="J60" s="40"/>
      <c r="K60" s="40"/>
      <c r="L60" s="40"/>
      <c r="M60" s="22"/>
      <c r="N60" s="4"/>
      <c r="O60" s="22"/>
      <c r="P60" s="22"/>
      <c r="Q60" s="4"/>
      <c r="R60" s="22"/>
      <c r="S60" s="22"/>
      <c r="T60" s="4"/>
      <c r="U60" s="22"/>
      <c r="V60" s="22"/>
      <c r="W60" s="4"/>
      <c r="X60" s="22"/>
      <c r="Y60" s="22"/>
      <c r="Z60" s="4"/>
      <c r="AA60" s="22"/>
      <c r="AB60" s="22"/>
      <c r="AC60" s="4"/>
      <c r="AD60" s="22"/>
      <c r="AE60" s="22"/>
      <c r="AF60" s="4"/>
      <c r="AG60" s="22"/>
      <c r="AH60" s="22"/>
      <c r="AI60" s="4"/>
      <c r="AJ60" s="22"/>
      <c r="AK60" s="22"/>
      <c r="AL60" s="4"/>
      <c r="AM60" s="22"/>
      <c r="AN60" s="22"/>
      <c r="AO60" s="4"/>
      <c r="AP60" s="4"/>
      <c r="AQ60" s="4"/>
      <c r="AR60" s="22"/>
      <c r="AS60" s="22"/>
      <c r="AT60" s="4"/>
    </row>
    <row r="61" spans="2:46" s="2" customFormat="1" ht="124.5" customHeight="1">
      <c r="B61" s="1"/>
      <c r="C61" s="3"/>
      <c r="D61"/>
      <c r="E61"/>
      <c r="F61" s="61"/>
      <c r="G61" s="40"/>
      <c r="H61" s="40"/>
      <c r="I61" s="40"/>
      <c r="J61" s="40"/>
      <c r="K61" s="40"/>
      <c r="L61" s="40"/>
      <c r="M61" s="22"/>
      <c r="N61" s="4"/>
      <c r="O61" s="22"/>
      <c r="P61" s="22"/>
      <c r="Q61" s="4"/>
      <c r="R61" s="22"/>
      <c r="S61" s="22"/>
      <c r="T61" s="4"/>
      <c r="U61" s="22"/>
      <c r="V61" s="22"/>
      <c r="W61" s="4"/>
      <c r="X61" s="22"/>
      <c r="Y61" s="22"/>
      <c r="Z61" s="4"/>
      <c r="AA61" s="22"/>
      <c r="AB61" s="22"/>
      <c r="AC61" s="4"/>
      <c r="AD61" s="22"/>
      <c r="AE61" s="22"/>
      <c r="AF61" s="4"/>
      <c r="AG61" s="22"/>
      <c r="AH61" s="22"/>
      <c r="AI61" s="4"/>
      <c r="AJ61" s="22"/>
      <c r="AK61" s="22"/>
      <c r="AL61" s="4"/>
      <c r="AM61" s="22"/>
      <c r="AN61" s="22"/>
      <c r="AO61" s="4"/>
      <c r="AP61" s="4"/>
      <c r="AQ61" s="4"/>
      <c r="AR61" s="22"/>
      <c r="AS61" s="22"/>
      <c r="AT61" s="4"/>
    </row>
    <row r="62" spans="2:46" s="2" customFormat="1" ht="96.75" customHeight="1">
      <c r="B62" s="1"/>
      <c r="C62" s="3"/>
      <c r="D62"/>
      <c r="E62"/>
      <c r="F62" s="61"/>
      <c r="G62" s="40"/>
      <c r="H62" s="40"/>
      <c r="I62" s="40"/>
      <c r="J62" s="40"/>
      <c r="K62" s="40"/>
      <c r="L62" s="40"/>
      <c r="M62" s="22"/>
      <c r="N62" s="4"/>
      <c r="O62" s="22"/>
      <c r="P62" s="22"/>
      <c r="Q62" s="4"/>
      <c r="R62" s="22"/>
      <c r="S62" s="22"/>
      <c r="T62" s="4"/>
      <c r="U62" s="22"/>
      <c r="V62" s="22"/>
      <c r="W62" s="4"/>
      <c r="X62" s="22"/>
      <c r="Y62" s="22"/>
      <c r="Z62" s="4"/>
      <c r="AA62" s="22"/>
      <c r="AB62" s="22"/>
      <c r="AC62" s="4"/>
      <c r="AD62" s="22"/>
      <c r="AE62" s="22"/>
      <c r="AF62" s="4"/>
      <c r="AG62" s="22"/>
      <c r="AH62" s="22"/>
      <c r="AI62" s="4"/>
      <c r="AJ62" s="22"/>
      <c r="AK62" s="22"/>
      <c r="AL62" s="4"/>
      <c r="AM62" s="22"/>
      <c r="AN62" s="22"/>
      <c r="AO62" s="4"/>
      <c r="AP62" s="4"/>
      <c r="AQ62" s="4"/>
      <c r="AR62" s="22"/>
      <c r="AS62" s="22"/>
      <c r="AT62" s="4"/>
    </row>
    <row r="63" spans="2:46" s="2" customFormat="1" ht="137.25" customHeight="1">
      <c r="B63" s="1"/>
      <c r="C63" s="3"/>
      <c r="D63"/>
      <c r="E63"/>
      <c r="F63" s="61"/>
      <c r="G63" s="40"/>
      <c r="H63" s="40"/>
      <c r="I63" s="40"/>
      <c r="J63" s="40"/>
      <c r="K63" s="40"/>
      <c r="L63" s="40"/>
      <c r="M63" s="22"/>
      <c r="N63" s="4"/>
      <c r="O63" s="22"/>
      <c r="P63" s="22"/>
      <c r="Q63" s="4"/>
      <c r="R63" s="22"/>
      <c r="S63" s="22"/>
      <c r="T63" s="4"/>
      <c r="U63" s="22"/>
      <c r="V63" s="22"/>
      <c r="W63" s="4"/>
      <c r="X63" s="32"/>
      <c r="Y63" s="22"/>
      <c r="Z63" s="4"/>
      <c r="AA63" s="32"/>
      <c r="AB63" s="22"/>
      <c r="AC63" s="4"/>
      <c r="AD63" s="22"/>
      <c r="AE63" s="22"/>
      <c r="AF63" s="4"/>
      <c r="AG63" s="22"/>
      <c r="AH63" s="22"/>
      <c r="AI63" s="4"/>
      <c r="AJ63" s="22"/>
      <c r="AK63" s="22"/>
      <c r="AL63" s="4"/>
      <c r="AM63" s="22"/>
      <c r="AN63" s="22"/>
      <c r="AO63" s="4"/>
      <c r="AP63" s="4"/>
      <c r="AQ63" s="4"/>
      <c r="AR63" s="22"/>
      <c r="AS63" s="22"/>
      <c r="AT63" s="4"/>
    </row>
    <row r="64" spans="2:46" s="2" customFormat="1" ht="143.25" customHeight="1">
      <c r="B64" s="1"/>
      <c r="C64" s="3"/>
      <c r="D64"/>
      <c r="E64"/>
      <c r="F64" s="61"/>
      <c r="G64" s="40"/>
      <c r="H64" s="40"/>
      <c r="I64" s="40"/>
      <c r="J64" s="40"/>
      <c r="K64" s="40"/>
      <c r="L64" s="40"/>
      <c r="M64" s="22"/>
      <c r="N64" s="4"/>
      <c r="O64" s="22"/>
      <c r="P64" s="22"/>
      <c r="Q64" s="4"/>
      <c r="R64" s="22"/>
      <c r="S64" s="22"/>
      <c r="T64" s="4"/>
      <c r="U64" s="22"/>
      <c r="V64" s="22"/>
      <c r="W64" s="4"/>
      <c r="X64" s="22"/>
      <c r="Y64" s="22"/>
      <c r="Z64" s="4"/>
      <c r="AA64" s="22"/>
      <c r="AB64" s="22"/>
      <c r="AC64" s="4"/>
      <c r="AD64" s="22"/>
      <c r="AE64" s="22"/>
      <c r="AF64" s="4"/>
      <c r="AG64" s="22"/>
      <c r="AH64" s="22"/>
      <c r="AI64" s="4"/>
      <c r="AJ64" s="22"/>
      <c r="AK64" s="22"/>
      <c r="AL64" s="4"/>
      <c r="AM64" s="22"/>
      <c r="AN64" s="22"/>
      <c r="AO64" s="4"/>
      <c r="AP64" s="4"/>
      <c r="AQ64" s="4"/>
      <c r="AR64" s="22"/>
      <c r="AS64" s="22"/>
      <c r="AT64" s="4"/>
    </row>
    <row r="65" spans="2:46" s="2" customFormat="1" ht="147" customHeight="1">
      <c r="B65" s="1"/>
      <c r="C65" s="3"/>
      <c r="D65"/>
      <c r="E65"/>
      <c r="F65" s="61"/>
      <c r="G65" s="40"/>
      <c r="H65" s="40"/>
      <c r="I65" s="40"/>
      <c r="J65" s="40"/>
      <c r="K65" s="40"/>
      <c r="L65" s="40"/>
      <c r="M65" s="22"/>
      <c r="N65" s="4"/>
      <c r="O65" s="22"/>
      <c r="P65" s="22"/>
      <c r="Q65" s="4"/>
      <c r="R65" s="22"/>
      <c r="S65" s="22"/>
      <c r="T65" s="4"/>
      <c r="U65" s="22"/>
      <c r="V65" s="22"/>
      <c r="W65" s="4"/>
      <c r="X65" s="22"/>
      <c r="Y65" s="22"/>
      <c r="Z65" s="4"/>
      <c r="AA65" s="22"/>
      <c r="AB65" s="22"/>
      <c r="AC65" s="4"/>
      <c r="AD65" s="22"/>
      <c r="AE65" s="22"/>
      <c r="AF65" s="4"/>
      <c r="AG65" s="22"/>
      <c r="AH65" s="22"/>
      <c r="AI65" s="4"/>
      <c r="AJ65" s="22"/>
      <c r="AK65" s="22"/>
      <c r="AL65" s="4"/>
      <c r="AM65" s="22"/>
      <c r="AN65" s="22"/>
      <c r="AO65" s="4"/>
      <c r="AP65" s="4"/>
      <c r="AQ65" s="4"/>
      <c r="AR65" s="22"/>
      <c r="AS65" s="22"/>
      <c r="AT65" s="4"/>
    </row>
    <row r="66" spans="2:46" s="2" customFormat="1" ht="148.5" customHeight="1">
      <c r="B66" s="1"/>
      <c r="C66" s="3"/>
      <c r="D66"/>
      <c r="E66"/>
      <c r="F66" s="61"/>
      <c r="G66" s="40"/>
      <c r="H66" s="40"/>
      <c r="I66" s="40"/>
      <c r="J66" s="40"/>
      <c r="K66" s="40"/>
      <c r="L66" s="40"/>
      <c r="M66" s="22"/>
      <c r="N66" s="4"/>
      <c r="O66" s="22"/>
      <c r="P66" s="22"/>
      <c r="Q66" s="4"/>
      <c r="R66" s="22"/>
      <c r="S66" s="22"/>
      <c r="T66" s="4"/>
      <c r="U66" s="22"/>
      <c r="V66" s="22"/>
      <c r="W66" s="4"/>
      <c r="X66" s="22"/>
      <c r="Y66" s="22"/>
      <c r="Z66" s="4"/>
      <c r="AA66" s="22"/>
      <c r="AB66" s="22"/>
      <c r="AC66" s="4"/>
      <c r="AD66" s="22"/>
      <c r="AE66" s="22"/>
      <c r="AF66" s="4"/>
      <c r="AG66" s="22"/>
      <c r="AH66" s="22"/>
      <c r="AI66" s="4"/>
      <c r="AJ66" s="22"/>
      <c r="AK66" s="22"/>
      <c r="AL66" s="4"/>
      <c r="AM66" s="22"/>
      <c r="AN66" s="22"/>
      <c r="AO66" s="4"/>
      <c r="AP66" s="4"/>
      <c r="AQ66" s="4"/>
      <c r="AR66" s="22"/>
      <c r="AS66" s="22"/>
      <c r="AT66" s="4"/>
    </row>
    <row r="67" spans="2:46" s="2" customFormat="1" ht="150" customHeight="1">
      <c r="B67" s="1"/>
      <c r="C67" s="3"/>
      <c r="D67"/>
      <c r="E67"/>
      <c r="F67" s="61"/>
      <c r="G67" s="40"/>
      <c r="H67" s="40"/>
      <c r="I67" s="40"/>
      <c r="J67" s="40"/>
      <c r="K67" s="40"/>
      <c r="L67" s="40"/>
      <c r="M67" s="22"/>
      <c r="N67" s="4"/>
      <c r="O67" s="22"/>
      <c r="P67" s="22"/>
      <c r="Q67" s="4"/>
      <c r="R67" s="22"/>
      <c r="S67" s="22"/>
      <c r="T67" s="4"/>
      <c r="U67" s="22"/>
      <c r="V67" s="22"/>
      <c r="W67" s="4"/>
      <c r="X67" s="22"/>
      <c r="Y67" s="22"/>
      <c r="Z67" s="4"/>
      <c r="AA67" s="22"/>
      <c r="AB67" s="22"/>
      <c r="AC67" s="4"/>
      <c r="AD67" s="22"/>
      <c r="AE67" s="22"/>
      <c r="AF67" s="4"/>
      <c r="AG67" s="22"/>
      <c r="AH67" s="22"/>
      <c r="AI67" s="4"/>
      <c r="AJ67" s="22"/>
      <c r="AK67" s="22"/>
      <c r="AL67" s="4"/>
      <c r="AM67" s="22"/>
      <c r="AN67" s="22"/>
      <c r="AO67" s="4"/>
      <c r="AP67" s="4"/>
      <c r="AQ67" s="4"/>
      <c r="AR67" s="22"/>
      <c r="AS67" s="22"/>
      <c r="AT67" s="4"/>
    </row>
    <row r="68" spans="2:46" s="2" customFormat="1" ht="220.5" customHeight="1">
      <c r="B68" s="1"/>
      <c r="C68" s="3"/>
      <c r="D68"/>
      <c r="E68"/>
      <c r="F68" s="61"/>
      <c r="G68" s="40"/>
      <c r="H68" s="40"/>
      <c r="I68" s="40"/>
      <c r="J68" s="40"/>
      <c r="K68" s="40"/>
      <c r="L68" s="40"/>
      <c r="M68" s="22"/>
      <c r="N68" s="4"/>
      <c r="O68" s="22"/>
      <c r="P68" s="22"/>
      <c r="Q68" s="4"/>
      <c r="R68" s="22"/>
      <c r="S68" s="22"/>
      <c r="T68" s="4"/>
      <c r="U68" s="22"/>
      <c r="V68" s="22"/>
      <c r="W68" s="4"/>
      <c r="X68" s="22"/>
      <c r="Y68" s="22"/>
      <c r="Z68" s="4"/>
      <c r="AA68" s="22"/>
      <c r="AB68" s="22"/>
      <c r="AC68" s="4"/>
      <c r="AD68" s="22"/>
      <c r="AE68" s="22"/>
      <c r="AF68" s="4"/>
      <c r="AG68" s="22"/>
      <c r="AH68" s="22"/>
      <c r="AI68" s="4"/>
      <c r="AJ68" s="22"/>
      <c r="AK68" s="22"/>
      <c r="AL68" s="4"/>
      <c r="AM68" s="22"/>
      <c r="AN68" s="22"/>
      <c r="AO68" s="4"/>
      <c r="AP68" s="4"/>
      <c r="AQ68" s="4"/>
      <c r="AR68" s="22"/>
      <c r="AS68" s="22"/>
      <c r="AT68" s="4"/>
    </row>
    <row r="69" spans="2:46" s="2" customFormat="1" ht="113.25" customHeight="1">
      <c r="B69" s="1"/>
      <c r="C69" s="3"/>
      <c r="D69"/>
      <c r="E69"/>
      <c r="F69" s="61"/>
      <c r="G69" s="40"/>
      <c r="H69" s="40"/>
      <c r="I69" s="40"/>
      <c r="J69" s="40"/>
      <c r="K69" s="40"/>
      <c r="L69" s="40"/>
      <c r="M69" s="22"/>
      <c r="N69" s="4"/>
      <c r="O69" s="22"/>
      <c r="P69" s="22"/>
      <c r="Q69" s="4"/>
      <c r="R69" s="22"/>
      <c r="S69" s="22"/>
      <c r="T69" s="4"/>
      <c r="U69" s="22"/>
      <c r="V69" s="22"/>
      <c r="W69" s="4"/>
      <c r="X69" s="22"/>
      <c r="Y69" s="22"/>
      <c r="Z69" s="4"/>
      <c r="AA69" s="22"/>
      <c r="AB69" s="22"/>
      <c r="AC69" s="4"/>
      <c r="AD69" s="22"/>
      <c r="AE69" s="22"/>
      <c r="AF69" s="4"/>
      <c r="AG69" s="22"/>
      <c r="AH69" s="22"/>
      <c r="AI69" s="4"/>
      <c r="AJ69" s="22"/>
      <c r="AK69" s="22"/>
      <c r="AL69" s="4"/>
      <c r="AM69" s="22"/>
      <c r="AN69" s="22"/>
      <c r="AO69" s="4"/>
      <c r="AP69" s="4"/>
      <c r="AQ69" s="4"/>
      <c r="AR69" s="22"/>
      <c r="AS69" s="22"/>
      <c r="AT69" s="4"/>
    </row>
    <row r="70" spans="2:46" s="2" customFormat="1" ht="97.5" customHeight="1">
      <c r="B70" s="1"/>
      <c r="C70" s="3"/>
      <c r="D70"/>
      <c r="E70"/>
      <c r="F70" s="61"/>
      <c r="G70" s="40"/>
      <c r="H70" s="40"/>
      <c r="I70" s="40"/>
      <c r="J70" s="40"/>
      <c r="K70" s="40"/>
      <c r="L70" s="40"/>
      <c r="M70" s="22"/>
      <c r="N70" s="4"/>
      <c r="O70" s="22"/>
      <c r="P70" s="22"/>
      <c r="Q70" s="4"/>
      <c r="R70" s="22"/>
      <c r="S70" s="22"/>
      <c r="T70" s="4"/>
      <c r="U70" s="22"/>
      <c r="V70" s="22"/>
      <c r="W70" s="4"/>
      <c r="X70" s="22"/>
      <c r="Y70" s="22"/>
      <c r="Z70" s="4"/>
      <c r="AA70" s="22"/>
      <c r="AB70" s="22"/>
      <c r="AC70" s="4"/>
      <c r="AD70" s="22"/>
      <c r="AE70" s="22"/>
      <c r="AF70" s="4"/>
      <c r="AG70" s="22"/>
      <c r="AH70" s="22"/>
      <c r="AI70" s="4"/>
      <c r="AJ70" s="22"/>
      <c r="AK70" s="22"/>
      <c r="AL70" s="4"/>
      <c r="AM70" s="22"/>
      <c r="AN70" s="22"/>
      <c r="AO70" s="4"/>
      <c r="AP70" s="4"/>
      <c r="AQ70" s="4"/>
      <c r="AR70" s="22"/>
      <c r="AS70" s="22"/>
      <c r="AT70" s="4"/>
    </row>
    <row r="71" spans="2:46" s="2" customFormat="1" ht="201" customHeight="1">
      <c r="B71" s="1"/>
      <c r="C71" s="3"/>
      <c r="D71"/>
      <c r="E71"/>
      <c r="F71" s="61"/>
      <c r="G71" s="40"/>
      <c r="H71" s="40"/>
      <c r="I71" s="40"/>
      <c r="J71" s="40"/>
      <c r="K71" s="40"/>
      <c r="L71" s="40"/>
      <c r="M71" s="22"/>
      <c r="N71" s="4"/>
      <c r="O71" s="22"/>
      <c r="P71" s="22"/>
      <c r="Q71" s="4"/>
      <c r="R71" s="22"/>
      <c r="S71" s="22"/>
      <c r="T71" s="4"/>
      <c r="U71" s="22"/>
      <c r="V71" s="22"/>
      <c r="W71" s="4"/>
      <c r="X71" s="22"/>
      <c r="Y71" s="22"/>
      <c r="Z71" s="4"/>
      <c r="AA71" s="22"/>
      <c r="AB71" s="22"/>
      <c r="AC71" s="4"/>
      <c r="AD71" s="22"/>
      <c r="AE71" s="22"/>
      <c r="AF71" s="4"/>
      <c r="AG71" s="22"/>
      <c r="AH71" s="22"/>
      <c r="AI71" s="4"/>
      <c r="AJ71" s="22"/>
      <c r="AK71" s="22"/>
      <c r="AL71" s="4"/>
      <c r="AM71" s="22"/>
      <c r="AN71" s="22"/>
      <c r="AO71" s="4"/>
      <c r="AP71" s="4"/>
      <c r="AQ71" s="4"/>
      <c r="AR71" s="22"/>
      <c r="AS71" s="22"/>
      <c r="AT71" s="4"/>
    </row>
    <row r="72" spans="2:46" s="2" customFormat="1" ht="125.25" customHeight="1">
      <c r="B72" s="1"/>
      <c r="C72" s="3"/>
      <c r="D72"/>
      <c r="E72"/>
      <c r="F72" s="61"/>
      <c r="G72" s="40"/>
      <c r="H72" s="40"/>
      <c r="I72" s="40"/>
      <c r="J72" s="40"/>
      <c r="K72" s="40"/>
      <c r="L72" s="40"/>
      <c r="M72" s="22"/>
      <c r="N72" s="4"/>
      <c r="O72" s="22"/>
      <c r="P72" s="22"/>
      <c r="Q72" s="4"/>
      <c r="R72" s="22"/>
      <c r="S72" s="22"/>
      <c r="T72" s="4"/>
      <c r="U72" s="22"/>
      <c r="V72" s="22"/>
      <c r="W72" s="4"/>
      <c r="X72" s="22"/>
      <c r="Y72" s="22"/>
      <c r="Z72" s="4"/>
      <c r="AA72" s="22"/>
      <c r="AB72" s="22"/>
      <c r="AC72" s="4"/>
      <c r="AD72" s="22"/>
      <c r="AE72" s="22"/>
      <c r="AF72" s="4"/>
      <c r="AG72" s="22"/>
      <c r="AH72" s="22"/>
      <c r="AI72" s="4"/>
      <c r="AJ72" s="22"/>
      <c r="AK72" s="22"/>
      <c r="AL72" s="4"/>
      <c r="AM72" s="22"/>
      <c r="AN72" s="22"/>
      <c r="AO72" s="4"/>
      <c r="AP72" s="4"/>
      <c r="AQ72" s="4"/>
      <c r="AR72" s="22"/>
      <c r="AS72" s="22"/>
      <c r="AT72" s="4"/>
    </row>
    <row r="73" spans="2:46" s="2" customFormat="1" ht="138.75" customHeight="1">
      <c r="B73" s="1"/>
      <c r="C73" s="3"/>
      <c r="D73"/>
      <c r="E73"/>
      <c r="F73" s="61"/>
      <c r="G73" s="40"/>
      <c r="H73" s="40"/>
      <c r="I73" s="40"/>
      <c r="J73" s="40"/>
      <c r="K73" s="40"/>
      <c r="L73" s="40"/>
      <c r="M73" s="22"/>
      <c r="N73" s="4"/>
      <c r="O73" s="22"/>
      <c r="P73" s="22"/>
      <c r="Q73" s="4"/>
      <c r="R73" s="22"/>
      <c r="S73" s="22"/>
      <c r="T73" s="4"/>
      <c r="U73" s="22"/>
      <c r="V73" s="22"/>
      <c r="W73" s="4"/>
      <c r="X73" s="22"/>
      <c r="Y73" s="22"/>
      <c r="Z73" s="4"/>
      <c r="AA73" s="22"/>
      <c r="AB73" s="22"/>
      <c r="AC73" s="4"/>
      <c r="AD73" s="22"/>
      <c r="AE73" s="22"/>
      <c r="AF73" s="4"/>
      <c r="AG73" s="22"/>
      <c r="AH73" s="22"/>
      <c r="AI73" s="4"/>
      <c r="AJ73" s="22"/>
      <c r="AK73" s="22"/>
      <c r="AL73" s="4"/>
      <c r="AM73" s="22"/>
      <c r="AN73" s="22"/>
      <c r="AO73" s="4"/>
      <c r="AP73" s="4"/>
      <c r="AQ73" s="4"/>
      <c r="AR73" s="22"/>
      <c r="AS73" s="22"/>
      <c r="AT73" s="4"/>
    </row>
    <row r="74" spans="2:46" s="2" customFormat="1" ht="114.75" customHeight="1">
      <c r="B74" s="1"/>
      <c r="C74" s="3"/>
      <c r="D74"/>
      <c r="E74"/>
      <c r="F74" s="61"/>
      <c r="G74" s="40"/>
      <c r="H74" s="40"/>
      <c r="I74" s="40"/>
      <c r="J74" s="40"/>
      <c r="K74" s="40"/>
      <c r="L74" s="40"/>
      <c r="M74" s="22"/>
      <c r="N74" s="4"/>
      <c r="O74" s="22"/>
      <c r="P74" s="22"/>
      <c r="Q74" s="4"/>
      <c r="R74" s="22"/>
      <c r="S74" s="22"/>
      <c r="T74" s="4"/>
      <c r="U74" s="22"/>
      <c r="V74" s="22"/>
      <c r="W74" s="4"/>
      <c r="X74" s="22"/>
      <c r="Y74" s="22"/>
      <c r="Z74" s="4"/>
      <c r="AA74" s="22"/>
      <c r="AB74" s="22"/>
      <c r="AC74" s="4"/>
      <c r="AD74" s="22"/>
      <c r="AE74" s="22"/>
      <c r="AF74" s="4"/>
      <c r="AG74" s="22"/>
      <c r="AH74" s="22"/>
      <c r="AI74" s="4"/>
      <c r="AJ74" s="22"/>
      <c r="AK74" s="22"/>
      <c r="AL74" s="4"/>
      <c r="AM74" s="22"/>
      <c r="AN74" s="22"/>
      <c r="AO74" s="4"/>
      <c r="AP74" s="4"/>
      <c r="AQ74" s="4"/>
      <c r="AR74" s="22"/>
      <c r="AS74" s="22"/>
      <c r="AT74" s="4"/>
    </row>
    <row r="75" spans="2:46" s="2" customFormat="1" ht="137.25" customHeight="1">
      <c r="B75" s="1"/>
      <c r="C75" s="3"/>
      <c r="D75"/>
      <c r="E75"/>
      <c r="F75" s="61"/>
      <c r="G75" s="40"/>
      <c r="H75" s="40"/>
      <c r="I75" s="40"/>
      <c r="J75" s="40"/>
      <c r="K75" s="40"/>
      <c r="L75" s="40"/>
      <c r="M75" s="22"/>
      <c r="N75" s="4"/>
      <c r="O75" s="22"/>
      <c r="P75" s="22"/>
      <c r="Q75" s="4"/>
      <c r="R75" s="22"/>
      <c r="S75" s="22"/>
      <c r="T75" s="4"/>
      <c r="U75" s="22"/>
      <c r="V75" s="22"/>
      <c r="W75" s="4"/>
      <c r="X75" s="22"/>
      <c r="Y75" s="22"/>
      <c r="Z75" s="4"/>
      <c r="AA75" s="22"/>
      <c r="AB75" s="22"/>
      <c r="AC75" s="4"/>
      <c r="AD75" s="22"/>
      <c r="AE75" s="22"/>
      <c r="AF75" s="4"/>
      <c r="AG75" s="22"/>
      <c r="AH75" s="22"/>
      <c r="AI75" s="4"/>
      <c r="AJ75" s="22"/>
      <c r="AK75" s="22"/>
      <c r="AL75" s="4"/>
      <c r="AM75" s="22"/>
      <c r="AN75" s="22"/>
      <c r="AO75" s="4"/>
      <c r="AP75" s="4"/>
      <c r="AQ75" s="4"/>
      <c r="AR75" s="22"/>
      <c r="AS75" s="22"/>
      <c r="AT75" s="4"/>
    </row>
    <row r="76" spans="2:46" s="2" customFormat="1" ht="123.75" customHeight="1">
      <c r="B76" s="1"/>
      <c r="C76" s="3"/>
      <c r="D76"/>
      <c r="E76"/>
      <c r="F76" s="61"/>
      <c r="G76" s="40"/>
      <c r="H76" s="40"/>
      <c r="I76" s="40"/>
      <c r="J76" s="40"/>
      <c r="K76" s="40"/>
      <c r="L76" s="40"/>
      <c r="M76" s="22"/>
      <c r="N76" s="4"/>
      <c r="O76" s="22"/>
      <c r="P76" s="22"/>
      <c r="Q76" s="4"/>
      <c r="R76" s="22"/>
      <c r="S76" s="22"/>
      <c r="T76" s="4"/>
      <c r="U76" s="22"/>
      <c r="V76" s="22"/>
      <c r="W76" s="4"/>
      <c r="X76" s="22"/>
      <c r="Y76" s="22"/>
      <c r="Z76" s="4"/>
      <c r="AA76" s="22"/>
      <c r="AB76" s="22"/>
      <c r="AC76" s="4"/>
      <c r="AD76" s="22"/>
      <c r="AE76" s="22"/>
      <c r="AF76" s="4"/>
      <c r="AG76" s="22"/>
      <c r="AH76" s="22"/>
      <c r="AI76" s="4"/>
      <c r="AJ76" s="22"/>
      <c r="AK76" s="22"/>
      <c r="AL76" s="4"/>
      <c r="AM76" s="22"/>
      <c r="AN76" s="22"/>
      <c r="AO76" s="4"/>
      <c r="AP76" s="4"/>
      <c r="AQ76" s="4"/>
      <c r="AR76" s="22"/>
      <c r="AS76" s="22"/>
      <c r="AT76" s="4"/>
    </row>
    <row r="77" spans="2:46" s="2" customFormat="1" ht="100.5" customHeight="1">
      <c r="B77" s="1"/>
      <c r="C77" s="3"/>
      <c r="D77"/>
      <c r="E77"/>
      <c r="F77" s="61"/>
      <c r="G77" s="40"/>
      <c r="H77" s="40"/>
      <c r="I77" s="40"/>
      <c r="J77" s="40"/>
      <c r="K77" s="40"/>
      <c r="L77" s="40"/>
      <c r="M77" s="22"/>
      <c r="N77" s="4"/>
      <c r="O77" s="22"/>
      <c r="P77" s="22"/>
      <c r="Q77" s="4"/>
      <c r="R77" s="22"/>
      <c r="S77" s="22"/>
      <c r="T77" s="4"/>
      <c r="U77" s="22"/>
      <c r="V77" s="22"/>
      <c r="W77" s="4"/>
      <c r="X77" s="22"/>
      <c r="Y77" s="22"/>
      <c r="Z77" s="4"/>
      <c r="AA77" s="22"/>
      <c r="AB77" s="22"/>
      <c r="AC77" s="4"/>
      <c r="AD77" s="22"/>
      <c r="AE77" s="22"/>
      <c r="AF77" s="4"/>
      <c r="AG77" s="22"/>
      <c r="AH77" s="22"/>
      <c r="AI77" s="4"/>
      <c r="AJ77" s="22"/>
      <c r="AK77" s="22"/>
      <c r="AL77" s="4"/>
      <c r="AM77" s="22"/>
      <c r="AN77" s="22"/>
      <c r="AO77" s="4"/>
      <c r="AP77" s="4"/>
      <c r="AQ77" s="4"/>
      <c r="AR77" s="22"/>
      <c r="AS77" s="22"/>
      <c r="AT77" s="4"/>
    </row>
    <row r="78" spans="2:46" s="2" customFormat="1" ht="108.75" customHeight="1">
      <c r="B78" s="1"/>
      <c r="C78" s="3"/>
      <c r="D78"/>
      <c r="E78"/>
      <c r="F78" s="61"/>
      <c r="G78" s="40"/>
      <c r="H78" s="40"/>
      <c r="I78" s="40"/>
      <c r="J78" s="40"/>
      <c r="K78" s="40"/>
      <c r="L78" s="40"/>
      <c r="M78" s="22"/>
      <c r="N78" s="4"/>
      <c r="O78" s="22"/>
      <c r="P78" s="22"/>
      <c r="Q78" s="4"/>
      <c r="R78" s="22"/>
      <c r="S78" s="22"/>
      <c r="T78" s="4"/>
      <c r="U78" s="22"/>
      <c r="V78" s="22"/>
      <c r="W78" s="4"/>
      <c r="X78" s="22"/>
      <c r="Y78" s="22"/>
      <c r="Z78" s="4"/>
      <c r="AA78" s="22"/>
      <c r="AB78" s="22"/>
      <c r="AC78" s="4"/>
      <c r="AD78" s="22"/>
      <c r="AE78" s="22"/>
      <c r="AF78" s="4"/>
      <c r="AG78" s="22"/>
      <c r="AH78" s="22"/>
      <c r="AI78" s="4"/>
      <c r="AJ78" s="22"/>
      <c r="AK78" s="22"/>
      <c r="AL78" s="4"/>
      <c r="AM78" s="22"/>
      <c r="AN78" s="22"/>
      <c r="AO78" s="4"/>
      <c r="AP78" s="4"/>
      <c r="AQ78" s="4"/>
      <c r="AR78" s="22"/>
      <c r="AS78" s="22"/>
      <c r="AT78" s="4"/>
    </row>
    <row r="79" spans="2:46" ht="126.75" customHeight="1">
      <c r="B79" s="1"/>
      <c r="C79" s="3"/>
    </row>
    <row r="80" spans="2:46" ht="123.75" customHeight="1">
      <c r="B80" s="1"/>
      <c r="C80" s="3"/>
    </row>
    <row r="81" spans="2:46" ht="131.25" customHeight="1">
      <c r="B81" s="1"/>
      <c r="C81" s="3"/>
    </row>
    <row r="82" spans="2:46" ht="112.5" customHeight="1">
      <c r="B82" s="1"/>
      <c r="C82" s="3"/>
    </row>
    <row r="83" spans="2:46" ht="143.25" customHeight="1">
      <c r="B83" s="1"/>
      <c r="C83" s="3"/>
    </row>
    <row r="84" spans="2:46" ht="121.5" customHeight="1">
      <c r="B84" s="1"/>
      <c r="C84" s="3"/>
    </row>
    <row r="85" spans="2:46" ht="102" customHeight="1">
      <c r="B85" s="1"/>
      <c r="C85" s="3"/>
    </row>
    <row r="86" spans="2:46" ht="120" customHeight="1">
      <c r="B86" s="1"/>
      <c r="C86" s="3"/>
    </row>
    <row r="87" spans="2:46" s="2" customFormat="1" ht="123.75" customHeight="1">
      <c r="B87" s="1"/>
      <c r="C87" s="3"/>
      <c r="D87"/>
      <c r="E87"/>
      <c r="F87" s="61"/>
      <c r="G87" s="40"/>
      <c r="H87" s="40"/>
      <c r="I87" s="40"/>
      <c r="J87" s="40"/>
      <c r="K87" s="40"/>
      <c r="L87" s="40"/>
      <c r="M87" s="22"/>
      <c r="N87" s="4"/>
      <c r="O87" s="22"/>
      <c r="P87" s="22"/>
      <c r="Q87" s="4"/>
      <c r="R87" s="22"/>
      <c r="S87" s="22"/>
      <c r="T87" s="4"/>
      <c r="U87" s="22"/>
      <c r="V87" s="22"/>
      <c r="W87" s="4"/>
      <c r="X87" s="22"/>
      <c r="Y87" s="22"/>
      <c r="Z87" s="4"/>
      <c r="AA87" s="22"/>
      <c r="AB87" s="22"/>
      <c r="AC87" s="4"/>
      <c r="AD87" s="22"/>
      <c r="AE87" s="22"/>
      <c r="AF87" s="4"/>
      <c r="AG87" s="22"/>
      <c r="AH87" s="22"/>
      <c r="AI87" s="4"/>
      <c r="AJ87" s="22"/>
      <c r="AK87" s="22"/>
      <c r="AL87" s="4"/>
      <c r="AM87" s="22"/>
      <c r="AN87" s="22"/>
      <c r="AO87" s="4"/>
      <c r="AP87" s="4"/>
      <c r="AQ87" s="4"/>
      <c r="AR87" s="22"/>
      <c r="AS87" s="22"/>
      <c r="AT87" s="4"/>
    </row>
    <row r="88" spans="2:46" s="2" customFormat="1" ht="116.25" customHeight="1">
      <c r="B88" s="1"/>
      <c r="C88" s="3"/>
      <c r="D88"/>
      <c r="E88"/>
      <c r="F88" s="61"/>
      <c r="G88" s="40"/>
      <c r="H88" s="40"/>
      <c r="I88" s="40"/>
      <c r="J88" s="40"/>
      <c r="K88" s="40"/>
      <c r="L88" s="40"/>
      <c r="M88" s="22"/>
      <c r="N88" s="4"/>
      <c r="O88" s="22"/>
      <c r="P88" s="22"/>
      <c r="Q88" s="4"/>
      <c r="R88" s="22"/>
      <c r="S88" s="22"/>
      <c r="T88" s="4"/>
      <c r="U88" s="22"/>
      <c r="V88" s="22"/>
      <c r="W88" s="4"/>
      <c r="X88" s="22"/>
      <c r="Y88" s="22"/>
      <c r="Z88" s="4"/>
      <c r="AA88" s="22"/>
      <c r="AB88" s="22"/>
      <c r="AC88" s="4"/>
      <c r="AD88" s="22"/>
      <c r="AE88" s="22"/>
      <c r="AF88" s="4"/>
      <c r="AG88" s="22"/>
      <c r="AH88" s="22"/>
      <c r="AI88" s="4"/>
      <c r="AJ88" s="22"/>
      <c r="AK88" s="22"/>
      <c r="AL88" s="4"/>
      <c r="AM88" s="22"/>
      <c r="AN88" s="22"/>
      <c r="AO88" s="4"/>
      <c r="AP88" s="4"/>
      <c r="AQ88" s="4"/>
      <c r="AR88" s="22"/>
      <c r="AS88" s="22"/>
      <c r="AT88" s="4"/>
    </row>
    <row r="89" spans="2:46" s="2" customFormat="1" ht="150.75" customHeight="1">
      <c r="B89" s="1"/>
      <c r="C89" s="3"/>
      <c r="D89"/>
      <c r="E89"/>
      <c r="F89" s="61"/>
      <c r="G89" s="40"/>
      <c r="H89" s="40"/>
      <c r="I89" s="40"/>
      <c r="J89" s="40"/>
      <c r="K89" s="40"/>
      <c r="L89" s="40"/>
      <c r="M89" s="22"/>
      <c r="N89" s="4"/>
      <c r="O89" s="22"/>
      <c r="P89" s="22"/>
      <c r="Q89" s="4"/>
      <c r="R89" s="22"/>
      <c r="S89" s="22"/>
      <c r="T89" s="4"/>
      <c r="U89" s="22"/>
      <c r="V89" s="22"/>
      <c r="W89" s="4"/>
      <c r="X89" s="22"/>
      <c r="Y89" s="22"/>
      <c r="Z89" s="4"/>
      <c r="AA89" s="22"/>
      <c r="AB89" s="22"/>
      <c r="AC89" s="4"/>
      <c r="AD89" s="22"/>
      <c r="AE89" s="22"/>
      <c r="AF89" s="4"/>
      <c r="AG89" s="22"/>
      <c r="AH89" s="22"/>
      <c r="AI89" s="4"/>
      <c r="AJ89" s="22"/>
      <c r="AK89" s="22"/>
      <c r="AL89" s="4"/>
      <c r="AM89" s="22"/>
      <c r="AN89" s="22"/>
      <c r="AO89" s="4"/>
      <c r="AP89" s="4"/>
      <c r="AQ89" s="4"/>
      <c r="AR89" s="22"/>
      <c r="AS89" s="22"/>
      <c r="AT89" s="4"/>
    </row>
    <row r="90" spans="2:46" s="2" customFormat="1" ht="123" customHeight="1">
      <c r="B90" s="1"/>
      <c r="C90" s="3"/>
      <c r="D90"/>
      <c r="E90"/>
      <c r="F90" s="61"/>
      <c r="G90" s="40"/>
      <c r="H90" s="40"/>
      <c r="I90" s="40"/>
      <c r="J90" s="40"/>
      <c r="K90" s="40"/>
      <c r="L90" s="40"/>
      <c r="M90" s="22"/>
      <c r="N90" s="4"/>
      <c r="O90" s="22"/>
      <c r="P90" s="22"/>
      <c r="Q90" s="4"/>
      <c r="R90" s="22"/>
      <c r="S90" s="22"/>
      <c r="T90" s="4"/>
      <c r="U90" s="22"/>
      <c r="V90" s="22"/>
      <c r="W90" s="4"/>
      <c r="X90" s="22"/>
      <c r="Y90" s="22"/>
      <c r="Z90" s="4"/>
      <c r="AA90" s="22"/>
      <c r="AB90" s="22"/>
      <c r="AC90" s="4"/>
      <c r="AD90" s="22"/>
      <c r="AE90" s="22"/>
      <c r="AF90" s="4"/>
      <c r="AG90" s="22"/>
      <c r="AH90" s="22"/>
      <c r="AI90" s="4"/>
      <c r="AJ90" s="22"/>
      <c r="AK90" s="22"/>
      <c r="AL90" s="4"/>
      <c r="AM90" s="22"/>
      <c r="AN90" s="22"/>
      <c r="AO90" s="4"/>
      <c r="AP90" s="4"/>
      <c r="AQ90" s="4"/>
      <c r="AR90" s="22"/>
      <c r="AS90" s="22"/>
      <c r="AT90" s="4"/>
    </row>
    <row r="91" spans="2:46" s="2" customFormat="1" ht="166.5" customHeight="1">
      <c r="B91" s="1"/>
      <c r="C91" s="3"/>
      <c r="D91"/>
      <c r="E91"/>
      <c r="F91" s="61"/>
      <c r="G91" s="40"/>
      <c r="H91" s="40"/>
      <c r="I91" s="40"/>
      <c r="J91" s="40"/>
      <c r="K91" s="40"/>
      <c r="L91" s="40"/>
      <c r="M91" s="22"/>
      <c r="N91" s="4"/>
      <c r="O91" s="22"/>
      <c r="P91" s="22"/>
      <c r="Q91" s="4"/>
      <c r="R91" s="22"/>
      <c r="S91" s="22"/>
      <c r="T91" s="4"/>
      <c r="U91" s="22"/>
      <c r="V91" s="22"/>
      <c r="W91" s="4"/>
      <c r="X91" s="22"/>
      <c r="Y91" s="22"/>
      <c r="Z91" s="4"/>
      <c r="AA91" s="22"/>
      <c r="AB91" s="22"/>
      <c r="AC91" s="4"/>
      <c r="AD91" s="22"/>
      <c r="AE91" s="22"/>
      <c r="AF91" s="4"/>
      <c r="AG91" s="22"/>
      <c r="AH91" s="22"/>
      <c r="AI91" s="4"/>
      <c r="AJ91" s="22"/>
      <c r="AK91" s="22"/>
      <c r="AL91" s="4"/>
      <c r="AM91" s="22"/>
      <c r="AN91" s="22"/>
      <c r="AO91" s="4"/>
      <c r="AP91" s="4"/>
      <c r="AQ91" s="4"/>
      <c r="AR91" s="22"/>
      <c r="AS91" s="22"/>
      <c r="AT91" s="4"/>
    </row>
    <row r="92" spans="2:46" s="2" customFormat="1" ht="144" customHeight="1">
      <c r="B92" s="1"/>
      <c r="C92" s="3"/>
      <c r="D92"/>
      <c r="E92"/>
      <c r="F92" s="61"/>
      <c r="G92" s="40"/>
      <c r="H92" s="40"/>
      <c r="I92" s="40"/>
      <c r="J92" s="40"/>
      <c r="K92" s="40"/>
      <c r="L92" s="40"/>
      <c r="M92" s="22"/>
      <c r="N92" s="4"/>
      <c r="O92" s="22"/>
      <c r="P92" s="22"/>
      <c r="Q92" s="4"/>
      <c r="R92" s="22"/>
      <c r="S92" s="22"/>
      <c r="T92" s="4"/>
      <c r="U92" s="22"/>
      <c r="V92" s="22"/>
      <c r="W92" s="4"/>
      <c r="X92" s="22"/>
      <c r="Y92" s="22"/>
      <c r="Z92" s="4"/>
      <c r="AA92" s="22"/>
      <c r="AB92" s="22"/>
      <c r="AC92" s="4"/>
      <c r="AD92" s="22"/>
      <c r="AE92" s="22"/>
      <c r="AF92" s="4"/>
      <c r="AG92" s="22"/>
      <c r="AH92" s="22"/>
      <c r="AI92" s="4"/>
      <c r="AJ92" s="22"/>
      <c r="AK92" s="22"/>
      <c r="AL92" s="4"/>
      <c r="AM92" s="22"/>
      <c r="AN92" s="22"/>
      <c r="AO92" s="4"/>
      <c r="AP92" s="4"/>
      <c r="AQ92" s="4"/>
      <c r="AR92" s="22"/>
      <c r="AS92" s="22"/>
      <c r="AT92" s="4"/>
    </row>
    <row r="93" spans="2:46" ht="129" customHeight="1">
      <c r="B93" s="1"/>
      <c r="C93" s="3"/>
    </row>
    <row r="94" spans="2:46" ht="122.25" customHeight="1">
      <c r="B94" s="1"/>
      <c r="C94" s="3"/>
    </row>
    <row r="95" spans="2:46" ht="115.5" customHeight="1">
      <c r="B95" s="1"/>
      <c r="C95" s="3"/>
    </row>
    <row r="96" spans="2:46" ht="102" customHeight="1">
      <c r="B96" s="1"/>
      <c r="C96" s="3"/>
    </row>
    <row r="97" spans="2:46" ht="222.6" customHeight="1">
      <c r="B97" s="1"/>
      <c r="C97" s="3"/>
    </row>
    <row r="98" spans="2:46" ht="117.75" customHeight="1">
      <c r="B98" s="1"/>
      <c r="C98" s="3"/>
    </row>
    <row r="99" spans="2:46" ht="117.75" customHeight="1">
      <c r="B99" s="1"/>
      <c r="C99" s="3"/>
    </row>
    <row r="100" spans="2:46" ht="117.75" customHeight="1">
      <c r="B100" s="1"/>
      <c r="C100" s="3"/>
    </row>
    <row r="101" spans="2:46" ht="117.75" customHeight="1">
      <c r="B101" s="1"/>
      <c r="C101" s="3"/>
    </row>
    <row r="102" spans="2:46" s="2" customFormat="1" ht="143.25" customHeight="1">
      <c r="B102" s="1"/>
      <c r="C102" s="3"/>
      <c r="D102"/>
      <c r="E102"/>
      <c r="F102" s="61"/>
      <c r="G102" s="40"/>
      <c r="H102" s="40"/>
      <c r="I102" s="40"/>
      <c r="J102" s="40"/>
      <c r="K102" s="40"/>
      <c r="L102" s="40"/>
      <c r="M102" s="22"/>
      <c r="N102" s="4"/>
      <c r="O102" s="22"/>
      <c r="P102" s="22"/>
      <c r="Q102" s="4"/>
      <c r="R102" s="22"/>
      <c r="S102" s="22"/>
      <c r="T102" s="4"/>
      <c r="U102" s="22"/>
      <c r="V102" s="22"/>
      <c r="W102" s="4"/>
      <c r="X102" s="22"/>
      <c r="Y102" s="22"/>
      <c r="Z102" s="4"/>
      <c r="AA102" s="22"/>
      <c r="AB102" s="22"/>
      <c r="AC102" s="4"/>
      <c r="AD102" s="22"/>
      <c r="AE102" s="22"/>
      <c r="AF102" s="4"/>
      <c r="AG102" s="22"/>
      <c r="AH102" s="22"/>
      <c r="AI102" s="4"/>
      <c r="AJ102" s="22"/>
      <c r="AK102" s="22"/>
      <c r="AL102" s="4"/>
      <c r="AM102" s="22"/>
      <c r="AN102" s="22"/>
      <c r="AO102" s="4"/>
      <c r="AP102" s="4"/>
      <c r="AQ102" s="4"/>
      <c r="AR102" s="22"/>
      <c r="AS102" s="22"/>
      <c r="AT102" s="4"/>
    </row>
    <row r="103" spans="2:46" s="2" customFormat="1">
      <c r="B103" s="1"/>
      <c r="C103" s="3"/>
      <c r="D103"/>
      <c r="E103"/>
      <c r="F103" s="61"/>
      <c r="G103" s="40"/>
      <c r="H103" s="40"/>
      <c r="I103" s="40"/>
      <c r="J103" s="40"/>
      <c r="K103" s="40"/>
      <c r="L103" s="40"/>
      <c r="M103" s="22"/>
      <c r="N103" s="4"/>
      <c r="O103" s="22"/>
      <c r="P103" s="22"/>
      <c r="Q103" s="4"/>
      <c r="R103" s="22"/>
      <c r="S103" s="22"/>
      <c r="T103" s="4"/>
      <c r="U103" s="22"/>
      <c r="V103" s="22"/>
      <c r="W103" s="4"/>
      <c r="X103" s="22"/>
      <c r="Y103" s="22"/>
      <c r="Z103" s="4"/>
      <c r="AA103" s="22"/>
      <c r="AB103" s="22"/>
      <c r="AC103" s="4"/>
      <c r="AD103" s="22"/>
      <c r="AE103" s="22"/>
      <c r="AF103" s="4"/>
      <c r="AG103" s="22"/>
      <c r="AH103" s="22"/>
      <c r="AI103" s="4"/>
      <c r="AJ103" s="22"/>
      <c r="AK103" s="22"/>
      <c r="AL103" s="4"/>
      <c r="AM103" s="22"/>
      <c r="AN103" s="22"/>
      <c r="AO103" s="4"/>
      <c r="AP103" s="4"/>
      <c r="AQ103" s="4"/>
      <c r="AR103" s="22"/>
      <c r="AS103" s="22"/>
      <c r="AT103" s="4"/>
    </row>
    <row r="104" spans="2:46" s="2" customFormat="1" ht="144" customHeight="1">
      <c r="B104" s="1"/>
      <c r="C104" s="3"/>
      <c r="D104"/>
      <c r="E104"/>
      <c r="F104" s="61"/>
      <c r="G104" s="40"/>
      <c r="H104" s="40"/>
      <c r="I104" s="40"/>
      <c r="J104" s="40"/>
      <c r="K104" s="40"/>
      <c r="L104" s="40"/>
      <c r="M104" s="22"/>
      <c r="N104" s="4"/>
      <c r="O104" s="22"/>
      <c r="P104" s="22"/>
      <c r="Q104" s="4"/>
      <c r="R104" s="22"/>
      <c r="S104" s="22"/>
      <c r="T104" s="4"/>
      <c r="U104" s="22"/>
      <c r="V104" s="22"/>
      <c r="W104" s="4"/>
      <c r="X104" s="22"/>
      <c r="Y104" s="22"/>
      <c r="Z104" s="4"/>
      <c r="AA104" s="22"/>
      <c r="AB104" s="22"/>
      <c r="AC104" s="4"/>
      <c r="AD104" s="22"/>
      <c r="AE104" s="22"/>
      <c r="AF104" s="4"/>
      <c r="AG104" s="22"/>
      <c r="AH104" s="22"/>
      <c r="AI104" s="4"/>
      <c r="AJ104" s="22"/>
      <c r="AK104" s="22"/>
      <c r="AL104" s="4"/>
      <c r="AM104" s="22"/>
      <c r="AN104" s="22"/>
      <c r="AO104" s="4"/>
      <c r="AP104" s="4"/>
      <c r="AQ104" s="4"/>
      <c r="AR104" s="22"/>
      <c r="AS104" s="22"/>
      <c r="AT104" s="4"/>
    </row>
    <row r="105" spans="2:46" s="2" customFormat="1" ht="109.5" customHeight="1">
      <c r="B105" s="1"/>
      <c r="C105" s="3"/>
      <c r="D105"/>
      <c r="E105"/>
      <c r="F105" s="61"/>
      <c r="G105" s="40"/>
      <c r="H105" s="40"/>
      <c r="I105" s="40"/>
      <c r="J105" s="40"/>
      <c r="K105" s="40"/>
      <c r="L105" s="40"/>
      <c r="M105" s="22"/>
      <c r="N105" s="4"/>
      <c r="O105" s="22"/>
      <c r="P105" s="22"/>
      <c r="Q105" s="4"/>
      <c r="R105" s="22"/>
      <c r="S105" s="22"/>
      <c r="T105" s="4"/>
      <c r="U105" s="22"/>
      <c r="V105" s="22"/>
      <c r="W105" s="4"/>
      <c r="X105" s="22"/>
      <c r="Y105" s="22"/>
      <c r="Z105" s="4"/>
      <c r="AA105" s="22"/>
      <c r="AB105" s="22"/>
      <c r="AC105" s="4"/>
      <c r="AD105" s="22"/>
      <c r="AE105" s="22"/>
      <c r="AF105" s="4"/>
      <c r="AG105" s="22"/>
      <c r="AH105" s="22"/>
      <c r="AI105" s="4"/>
      <c r="AJ105" s="22"/>
      <c r="AK105" s="22"/>
      <c r="AL105" s="4"/>
      <c r="AM105" s="22"/>
      <c r="AN105" s="22"/>
      <c r="AO105" s="4"/>
      <c r="AP105" s="4"/>
      <c r="AQ105" s="4"/>
      <c r="AR105" s="22"/>
      <c r="AS105" s="22"/>
      <c r="AT105" s="4"/>
    </row>
    <row r="106" spans="2:46" s="2" customFormat="1" ht="109.5" customHeight="1">
      <c r="B106" s="1"/>
      <c r="C106" s="3"/>
      <c r="D106"/>
      <c r="E106"/>
      <c r="F106" s="61"/>
      <c r="G106" s="40"/>
      <c r="H106" s="40"/>
      <c r="I106" s="40"/>
      <c r="J106" s="40"/>
      <c r="K106" s="40"/>
      <c r="L106" s="40"/>
      <c r="M106" s="22"/>
      <c r="N106" s="4"/>
      <c r="O106" s="22"/>
      <c r="P106" s="22"/>
      <c r="Q106" s="4"/>
      <c r="R106" s="22"/>
      <c r="S106" s="22"/>
      <c r="T106" s="4"/>
      <c r="U106" s="22"/>
      <c r="V106" s="22"/>
      <c r="W106" s="4"/>
      <c r="X106" s="22"/>
      <c r="Y106" s="22"/>
      <c r="Z106" s="4"/>
      <c r="AA106" s="22"/>
      <c r="AB106" s="22"/>
      <c r="AC106" s="4"/>
      <c r="AD106" s="22"/>
      <c r="AE106" s="22"/>
      <c r="AF106" s="4"/>
      <c r="AG106" s="22"/>
      <c r="AH106" s="22"/>
      <c r="AI106" s="4"/>
      <c r="AJ106" s="22"/>
      <c r="AK106" s="22"/>
      <c r="AL106" s="4"/>
      <c r="AM106" s="22"/>
      <c r="AN106" s="22"/>
      <c r="AO106" s="4"/>
      <c r="AP106" s="4"/>
      <c r="AQ106" s="4"/>
      <c r="AR106" s="22"/>
      <c r="AS106" s="22"/>
      <c r="AT106" s="4"/>
    </row>
    <row r="107" spans="2:46" s="2" customFormat="1" ht="291.60000000000002" customHeight="1">
      <c r="B107" s="1"/>
      <c r="C107" s="3"/>
      <c r="D107"/>
      <c r="E107"/>
      <c r="F107" s="61"/>
      <c r="G107" s="40"/>
      <c r="H107" s="40"/>
      <c r="I107" s="40"/>
      <c r="J107" s="40"/>
      <c r="K107" s="40"/>
      <c r="L107" s="40"/>
      <c r="M107" s="22"/>
      <c r="N107" s="4"/>
      <c r="O107" s="22"/>
      <c r="P107" s="22"/>
      <c r="Q107" s="4"/>
      <c r="R107" s="22"/>
      <c r="S107" s="22"/>
      <c r="T107" s="4"/>
      <c r="U107" s="22"/>
      <c r="V107" s="22"/>
      <c r="W107" s="4"/>
      <c r="X107" s="22"/>
      <c r="Y107" s="22"/>
      <c r="Z107" s="4"/>
      <c r="AA107" s="22"/>
      <c r="AB107" s="22"/>
      <c r="AC107" s="4"/>
      <c r="AD107" s="22"/>
      <c r="AE107" s="22"/>
      <c r="AF107" s="4"/>
      <c r="AG107" s="22"/>
      <c r="AH107" s="22"/>
      <c r="AI107" s="4"/>
      <c r="AJ107" s="22"/>
      <c r="AK107" s="22"/>
      <c r="AL107" s="4"/>
      <c r="AM107" s="22"/>
      <c r="AN107" s="22"/>
      <c r="AO107" s="4"/>
      <c r="AP107" s="4"/>
      <c r="AQ107" s="4"/>
      <c r="AR107" s="22"/>
      <c r="AS107" s="22"/>
      <c r="AT107" s="4"/>
    </row>
    <row r="108" spans="2:46" s="2" customFormat="1" ht="110.25" customHeight="1">
      <c r="B108" s="1"/>
      <c r="C108" s="3"/>
      <c r="D108"/>
      <c r="E108"/>
      <c r="F108" s="61"/>
      <c r="G108" s="40"/>
      <c r="H108" s="40"/>
      <c r="I108" s="40"/>
      <c r="J108" s="40"/>
      <c r="K108" s="40"/>
      <c r="L108" s="40"/>
      <c r="M108" s="22"/>
      <c r="N108" s="4"/>
      <c r="O108" s="22"/>
      <c r="P108" s="22"/>
      <c r="Q108" s="4"/>
      <c r="R108" s="22"/>
      <c r="S108" s="22"/>
      <c r="T108" s="4"/>
      <c r="U108" s="22"/>
      <c r="V108" s="22"/>
      <c r="W108" s="4"/>
      <c r="X108" s="22"/>
      <c r="Y108" s="22"/>
      <c r="Z108" s="4"/>
      <c r="AA108" s="22"/>
      <c r="AB108" s="22"/>
      <c r="AC108" s="4"/>
      <c r="AD108" s="22"/>
      <c r="AE108" s="22"/>
      <c r="AF108" s="4"/>
      <c r="AG108" s="22"/>
      <c r="AH108" s="22"/>
      <c r="AI108" s="4"/>
      <c r="AJ108" s="22"/>
      <c r="AK108" s="22"/>
      <c r="AL108" s="4"/>
      <c r="AM108" s="22"/>
      <c r="AN108" s="22"/>
      <c r="AO108" s="4"/>
      <c r="AP108" s="4"/>
      <c r="AQ108" s="4"/>
      <c r="AR108" s="22"/>
      <c r="AS108" s="22"/>
      <c r="AT108" s="4"/>
    </row>
    <row r="109" spans="2:46" s="2" customFormat="1" ht="119.25" customHeight="1">
      <c r="B109" s="1"/>
      <c r="C109" s="3"/>
      <c r="D109"/>
      <c r="E109"/>
      <c r="F109" s="61"/>
      <c r="G109" s="40"/>
      <c r="H109" s="40"/>
      <c r="I109" s="40"/>
      <c r="J109" s="40"/>
      <c r="K109" s="40"/>
      <c r="L109" s="40"/>
      <c r="M109" s="22"/>
      <c r="N109" s="4"/>
      <c r="O109" s="22"/>
      <c r="P109" s="22"/>
      <c r="Q109" s="4"/>
      <c r="R109" s="22"/>
      <c r="S109" s="22"/>
      <c r="T109" s="4"/>
      <c r="U109" s="22"/>
      <c r="V109" s="22"/>
      <c r="W109" s="4"/>
      <c r="X109" s="22"/>
      <c r="Y109" s="22"/>
      <c r="Z109" s="4"/>
      <c r="AA109" s="22"/>
      <c r="AB109" s="22"/>
      <c r="AC109" s="4"/>
      <c r="AD109" s="22"/>
      <c r="AE109" s="22"/>
      <c r="AF109" s="4"/>
      <c r="AG109" s="22"/>
      <c r="AH109" s="22"/>
      <c r="AI109" s="4"/>
      <c r="AJ109" s="22"/>
      <c r="AK109" s="22"/>
      <c r="AL109" s="4"/>
      <c r="AM109" s="22"/>
      <c r="AN109" s="22"/>
      <c r="AO109" s="4"/>
      <c r="AP109" s="4"/>
      <c r="AQ109" s="4"/>
      <c r="AR109" s="22"/>
      <c r="AS109" s="22"/>
      <c r="AT109" s="4"/>
    </row>
    <row r="110" spans="2:46" s="2" customFormat="1" ht="112.5" customHeight="1">
      <c r="B110" s="1"/>
      <c r="C110" s="3"/>
      <c r="D110"/>
      <c r="E110"/>
      <c r="F110" s="61"/>
      <c r="G110" s="40"/>
      <c r="H110" s="40"/>
      <c r="I110" s="40"/>
      <c r="J110" s="40"/>
      <c r="K110" s="40"/>
      <c r="L110" s="40"/>
      <c r="M110" s="22"/>
      <c r="N110" s="4"/>
      <c r="O110" s="22"/>
      <c r="P110" s="22"/>
      <c r="Q110" s="4"/>
      <c r="R110" s="22"/>
      <c r="S110" s="22"/>
      <c r="T110" s="4"/>
      <c r="U110" s="22"/>
      <c r="V110" s="22"/>
      <c r="W110" s="4"/>
      <c r="X110" s="22"/>
      <c r="Y110" s="22"/>
      <c r="Z110" s="4"/>
      <c r="AA110" s="22"/>
      <c r="AB110" s="22"/>
      <c r="AC110" s="4"/>
      <c r="AD110" s="22"/>
      <c r="AE110" s="22"/>
      <c r="AF110" s="4"/>
      <c r="AG110" s="22"/>
      <c r="AH110" s="22"/>
      <c r="AI110" s="4"/>
      <c r="AJ110" s="22"/>
      <c r="AK110" s="22"/>
      <c r="AL110" s="4"/>
      <c r="AM110" s="22"/>
      <c r="AN110" s="22"/>
      <c r="AO110" s="4"/>
      <c r="AP110" s="4"/>
      <c r="AQ110" s="4"/>
      <c r="AR110" s="22"/>
      <c r="AS110" s="22"/>
      <c r="AT110" s="4"/>
    </row>
    <row r="111" spans="2:46" s="2" customFormat="1" ht="111" customHeight="1">
      <c r="B111" s="1"/>
      <c r="C111" s="3"/>
      <c r="D111"/>
      <c r="E111"/>
      <c r="F111" s="61"/>
      <c r="G111" s="40"/>
      <c r="H111" s="40"/>
      <c r="I111" s="40"/>
      <c r="J111" s="40"/>
      <c r="K111" s="40"/>
      <c r="L111" s="40"/>
      <c r="M111" s="22"/>
      <c r="N111" s="4"/>
      <c r="O111" s="22"/>
      <c r="P111" s="22"/>
      <c r="Q111" s="4"/>
      <c r="R111" s="22"/>
      <c r="S111" s="22"/>
      <c r="T111" s="4"/>
      <c r="U111" s="22"/>
      <c r="V111" s="22"/>
      <c r="W111" s="4"/>
      <c r="X111" s="22"/>
      <c r="Y111" s="22"/>
      <c r="Z111" s="4"/>
      <c r="AA111" s="22"/>
      <c r="AB111" s="22"/>
      <c r="AC111" s="4"/>
      <c r="AD111" s="22"/>
      <c r="AE111" s="22"/>
      <c r="AF111" s="4"/>
      <c r="AG111" s="22"/>
      <c r="AH111" s="22"/>
      <c r="AI111" s="4"/>
      <c r="AJ111" s="22"/>
      <c r="AK111" s="22"/>
      <c r="AL111" s="4"/>
      <c r="AM111" s="22"/>
      <c r="AN111" s="22"/>
      <c r="AO111" s="4"/>
      <c r="AP111" s="4"/>
      <c r="AQ111" s="4"/>
      <c r="AR111" s="22"/>
      <c r="AS111" s="22"/>
      <c r="AT111" s="4"/>
    </row>
    <row r="112" spans="2:46" s="2" customFormat="1" ht="107.25" customHeight="1">
      <c r="B112" s="1"/>
      <c r="C112" s="3"/>
      <c r="D112"/>
      <c r="E112"/>
      <c r="F112" s="61"/>
      <c r="G112" s="40"/>
      <c r="H112" s="40"/>
      <c r="I112" s="40"/>
      <c r="J112" s="40"/>
      <c r="K112" s="40"/>
      <c r="L112" s="40"/>
      <c r="M112" s="22"/>
      <c r="N112" s="4"/>
      <c r="O112" s="22"/>
      <c r="P112" s="22"/>
      <c r="Q112" s="4"/>
      <c r="R112" s="22"/>
      <c r="S112" s="22"/>
      <c r="T112" s="4"/>
      <c r="U112" s="22"/>
      <c r="V112" s="22"/>
      <c r="W112" s="4"/>
      <c r="X112" s="22"/>
      <c r="Y112" s="22"/>
      <c r="Z112" s="4"/>
      <c r="AA112" s="22"/>
      <c r="AB112" s="22"/>
      <c r="AC112" s="4"/>
      <c r="AD112" s="22"/>
      <c r="AE112" s="22"/>
      <c r="AF112" s="4"/>
      <c r="AG112" s="22"/>
      <c r="AH112" s="22"/>
      <c r="AI112" s="4"/>
      <c r="AJ112" s="22"/>
      <c r="AK112" s="22"/>
      <c r="AL112" s="4"/>
      <c r="AM112" s="22"/>
      <c r="AN112" s="22"/>
      <c r="AO112" s="4"/>
      <c r="AP112" s="4"/>
      <c r="AQ112" s="4"/>
      <c r="AR112" s="22"/>
      <c r="AS112" s="22"/>
      <c r="AT112" s="4"/>
    </row>
    <row r="113" spans="2:46" s="2" customFormat="1" ht="97.5" customHeight="1">
      <c r="B113" s="1"/>
      <c r="C113" s="3"/>
      <c r="D113"/>
      <c r="E113"/>
      <c r="F113" s="61"/>
      <c r="G113" s="40"/>
      <c r="H113" s="40"/>
      <c r="I113" s="40"/>
      <c r="J113" s="40"/>
      <c r="K113" s="40"/>
      <c r="L113" s="40"/>
      <c r="M113" s="22"/>
      <c r="N113" s="4"/>
      <c r="O113" s="22"/>
      <c r="P113" s="22"/>
      <c r="Q113" s="4"/>
      <c r="R113" s="22"/>
      <c r="S113" s="22"/>
      <c r="T113" s="4"/>
      <c r="U113" s="22"/>
      <c r="V113" s="22"/>
      <c r="W113" s="4"/>
      <c r="X113" s="22"/>
      <c r="Y113" s="22"/>
      <c r="Z113" s="4"/>
      <c r="AA113" s="22"/>
      <c r="AB113" s="22"/>
      <c r="AC113" s="4"/>
      <c r="AD113" s="22"/>
      <c r="AE113" s="22"/>
      <c r="AF113" s="4"/>
      <c r="AG113" s="22"/>
      <c r="AH113" s="22"/>
      <c r="AI113" s="4"/>
      <c r="AJ113" s="22"/>
      <c r="AK113" s="22"/>
      <c r="AL113" s="4"/>
      <c r="AM113" s="22"/>
      <c r="AN113" s="22"/>
      <c r="AO113" s="4"/>
      <c r="AP113" s="4"/>
      <c r="AQ113" s="4"/>
      <c r="AR113" s="22"/>
      <c r="AS113" s="22"/>
      <c r="AT113" s="4"/>
    </row>
    <row r="114" spans="2:46" s="2" customFormat="1" ht="84.75" customHeight="1">
      <c r="B114" s="1"/>
      <c r="C114" s="3"/>
      <c r="D114"/>
      <c r="E114"/>
      <c r="F114" s="61"/>
      <c r="G114" s="40"/>
      <c r="H114" s="40"/>
      <c r="I114" s="40"/>
      <c r="J114" s="40"/>
      <c r="K114" s="40"/>
      <c r="L114" s="40"/>
      <c r="M114" s="22"/>
      <c r="N114" s="4"/>
      <c r="O114" s="22"/>
      <c r="P114" s="22"/>
      <c r="Q114" s="4"/>
      <c r="R114" s="22"/>
      <c r="S114" s="22"/>
      <c r="T114" s="4"/>
      <c r="U114" s="22"/>
      <c r="V114" s="22"/>
      <c r="W114" s="4"/>
      <c r="X114" s="22"/>
      <c r="Y114" s="22"/>
      <c r="Z114" s="4"/>
      <c r="AA114" s="22"/>
      <c r="AB114" s="22"/>
      <c r="AC114" s="4"/>
      <c r="AD114" s="22"/>
      <c r="AE114" s="22"/>
      <c r="AF114" s="4"/>
      <c r="AG114" s="22"/>
      <c r="AH114" s="22"/>
      <c r="AI114" s="4"/>
      <c r="AJ114" s="22"/>
      <c r="AK114" s="22"/>
      <c r="AL114" s="4"/>
      <c r="AM114" s="22"/>
      <c r="AN114" s="22"/>
      <c r="AO114" s="4"/>
      <c r="AP114" s="4"/>
      <c r="AQ114" s="4"/>
      <c r="AR114" s="22"/>
      <c r="AS114" s="22"/>
      <c r="AT114" s="4"/>
    </row>
    <row r="115" spans="2:46" s="2" customFormat="1" ht="116.25" customHeight="1">
      <c r="B115" s="1"/>
      <c r="C115" s="3"/>
      <c r="D115"/>
      <c r="E115"/>
      <c r="F115" s="61"/>
      <c r="G115" s="40"/>
      <c r="H115" s="40"/>
      <c r="I115" s="40"/>
      <c r="J115" s="40"/>
      <c r="K115" s="40"/>
      <c r="L115" s="40"/>
      <c r="M115" s="22"/>
      <c r="N115" s="4"/>
      <c r="O115" s="22"/>
      <c r="P115" s="22"/>
      <c r="Q115" s="4"/>
      <c r="R115" s="22"/>
      <c r="S115" s="22"/>
      <c r="T115" s="4"/>
      <c r="U115" s="22"/>
      <c r="V115" s="22"/>
      <c r="W115" s="4"/>
      <c r="X115" s="22"/>
      <c r="Y115" s="22"/>
      <c r="Z115" s="4"/>
      <c r="AA115" s="22"/>
      <c r="AB115" s="22"/>
      <c r="AC115" s="4"/>
      <c r="AD115" s="22"/>
      <c r="AE115" s="22"/>
      <c r="AF115" s="4"/>
      <c r="AG115" s="22"/>
      <c r="AH115" s="22"/>
      <c r="AI115" s="4"/>
      <c r="AJ115" s="22"/>
      <c r="AK115" s="22"/>
      <c r="AL115" s="4"/>
      <c r="AM115" s="22"/>
      <c r="AN115" s="22"/>
      <c r="AO115" s="4"/>
      <c r="AP115" s="4"/>
      <c r="AQ115" s="4"/>
      <c r="AR115" s="22"/>
      <c r="AS115" s="22"/>
      <c r="AT115" s="4"/>
    </row>
    <row r="116" spans="2:46" s="2" customFormat="1" ht="117.75" customHeight="1">
      <c r="B116" s="1"/>
      <c r="C116" s="3"/>
      <c r="D116"/>
      <c r="E116"/>
      <c r="F116" s="61"/>
      <c r="G116" s="40"/>
      <c r="H116" s="40"/>
      <c r="I116" s="40"/>
      <c r="J116" s="40"/>
      <c r="K116" s="40"/>
      <c r="L116" s="40"/>
      <c r="M116" s="22"/>
      <c r="N116" s="4"/>
      <c r="O116" s="22"/>
      <c r="P116" s="22"/>
      <c r="Q116" s="4"/>
      <c r="R116" s="22"/>
      <c r="S116" s="22"/>
      <c r="T116" s="4"/>
      <c r="U116" s="22"/>
      <c r="V116" s="22"/>
      <c r="W116" s="4"/>
      <c r="X116" s="22"/>
      <c r="Y116" s="22"/>
      <c r="Z116" s="4"/>
      <c r="AA116" s="22"/>
      <c r="AB116" s="22"/>
      <c r="AC116" s="4"/>
      <c r="AD116" s="22"/>
      <c r="AE116" s="22"/>
      <c r="AF116" s="4"/>
      <c r="AG116" s="22"/>
      <c r="AH116" s="22"/>
      <c r="AI116" s="4"/>
      <c r="AJ116" s="22"/>
      <c r="AK116" s="22"/>
      <c r="AL116" s="4"/>
      <c r="AM116" s="22"/>
      <c r="AN116" s="22"/>
      <c r="AO116" s="4"/>
      <c r="AP116" s="4"/>
      <c r="AQ116" s="4"/>
      <c r="AR116" s="22"/>
      <c r="AS116" s="22"/>
      <c r="AT116" s="4"/>
    </row>
    <row r="117" spans="2:46" s="2" customFormat="1" ht="124.5" customHeight="1">
      <c r="B117" s="1"/>
      <c r="C117" s="3"/>
      <c r="D117"/>
      <c r="E117"/>
      <c r="F117" s="61"/>
      <c r="G117" s="40"/>
      <c r="H117" s="40"/>
      <c r="I117" s="40"/>
      <c r="J117" s="40"/>
      <c r="K117" s="40"/>
      <c r="L117" s="40"/>
      <c r="M117" s="22"/>
      <c r="N117" s="4"/>
      <c r="O117" s="22"/>
      <c r="P117" s="22"/>
      <c r="Q117" s="4"/>
      <c r="R117" s="22"/>
      <c r="S117" s="22"/>
      <c r="T117" s="4"/>
      <c r="U117" s="22"/>
      <c r="V117" s="22"/>
      <c r="W117" s="4"/>
      <c r="X117" s="22"/>
      <c r="Y117" s="22"/>
      <c r="Z117" s="4"/>
      <c r="AA117" s="22"/>
      <c r="AB117" s="22"/>
      <c r="AC117" s="4"/>
      <c r="AD117" s="22"/>
      <c r="AE117" s="22"/>
      <c r="AF117" s="4"/>
      <c r="AG117" s="22"/>
      <c r="AH117" s="22"/>
      <c r="AI117" s="4"/>
      <c r="AJ117" s="22"/>
      <c r="AK117" s="22"/>
      <c r="AL117" s="4"/>
      <c r="AM117" s="22"/>
      <c r="AN117" s="22"/>
      <c r="AO117" s="4"/>
      <c r="AP117" s="4"/>
      <c r="AQ117" s="4"/>
      <c r="AR117" s="22"/>
      <c r="AS117" s="22"/>
      <c r="AT117" s="4"/>
    </row>
    <row r="118" spans="2:46" s="2" customFormat="1" ht="135.75" customHeight="1">
      <c r="B118" s="1"/>
      <c r="C118" s="3"/>
      <c r="D118"/>
      <c r="E118"/>
      <c r="F118" s="61"/>
      <c r="G118" s="40"/>
      <c r="H118" s="40"/>
      <c r="I118" s="40"/>
      <c r="J118" s="40"/>
      <c r="K118" s="40"/>
      <c r="L118" s="40"/>
      <c r="M118" s="22"/>
      <c r="N118" s="4"/>
      <c r="O118" s="22"/>
      <c r="P118" s="22"/>
      <c r="Q118" s="4"/>
      <c r="R118" s="22"/>
      <c r="S118" s="22"/>
      <c r="T118" s="4"/>
      <c r="U118" s="22"/>
      <c r="V118" s="22"/>
      <c r="W118" s="4"/>
      <c r="X118" s="22"/>
      <c r="Y118" s="22"/>
      <c r="Z118" s="4"/>
      <c r="AA118" s="22"/>
      <c r="AB118" s="22"/>
      <c r="AC118" s="4"/>
      <c r="AD118" s="22"/>
      <c r="AE118" s="22"/>
      <c r="AF118" s="4"/>
      <c r="AG118" s="22"/>
      <c r="AH118" s="22"/>
      <c r="AI118" s="4"/>
      <c r="AJ118" s="22"/>
      <c r="AK118" s="22"/>
      <c r="AL118" s="4"/>
      <c r="AM118" s="22"/>
      <c r="AN118" s="22"/>
      <c r="AO118" s="4"/>
      <c r="AP118" s="4"/>
      <c r="AQ118" s="4"/>
      <c r="AR118" s="22"/>
      <c r="AS118" s="22"/>
      <c r="AT118" s="4"/>
    </row>
    <row r="119" spans="2:46" s="2" customFormat="1" ht="105.75" customHeight="1">
      <c r="B119" s="1"/>
      <c r="C119" s="3"/>
      <c r="D119"/>
      <c r="E119"/>
      <c r="F119" s="61"/>
      <c r="G119" s="40"/>
      <c r="H119" s="40"/>
      <c r="I119" s="40"/>
      <c r="J119" s="40"/>
      <c r="K119" s="40"/>
      <c r="L119" s="40"/>
      <c r="M119" s="22"/>
      <c r="N119" s="4"/>
      <c r="O119" s="22"/>
      <c r="P119" s="22"/>
      <c r="Q119" s="4"/>
      <c r="R119" s="22"/>
      <c r="S119" s="22"/>
      <c r="T119" s="4"/>
      <c r="U119" s="22"/>
      <c r="V119" s="22"/>
      <c r="W119" s="4"/>
      <c r="X119" s="22"/>
      <c r="Y119" s="22"/>
      <c r="Z119" s="4"/>
      <c r="AA119" s="22"/>
      <c r="AB119" s="22"/>
      <c r="AC119" s="4"/>
      <c r="AD119" s="22"/>
      <c r="AE119" s="22"/>
      <c r="AF119" s="4"/>
      <c r="AG119" s="22"/>
      <c r="AH119" s="22"/>
      <c r="AI119" s="4"/>
      <c r="AJ119" s="22"/>
      <c r="AK119" s="22"/>
      <c r="AL119" s="4"/>
      <c r="AM119" s="22"/>
      <c r="AN119" s="22"/>
      <c r="AO119" s="4"/>
      <c r="AP119" s="4"/>
      <c r="AQ119" s="4"/>
      <c r="AR119" s="22"/>
      <c r="AS119" s="22"/>
      <c r="AT119" s="4"/>
    </row>
    <row r="120" spans="2:46" s="2" customFormat="1" ht="409.5" customHeight="1">
      <c r="B120" s="1"/>
      <c r="C120" s="3"/>
      <c r="D120"/>
      <c r="E120"/>
      <c r="F120" s="61"/>
      <c r="G120" s="40"/>
      <c r="H120" s="40"/>
      <c r="I120" s="40"/>
      <c r="J120" s="40"/>
      <c r="K120" s="40"/>
      <c r="L120" s="40"/>
      <c r="M120" s="22"/>
      <c r="N120" s="4"/>
      <c r="O120" s="22"/>
      <c r="P120" s="22"/>
      <c r="Q120" s="4"/>
      <c r="R120" s="22"/>
      <c r="S120" s="22"/>
      <c r="T120" s="4"/>
      <c r="U120" s="22"/>
      <c r="V120" s="22"/>
      <c r="W120" s="4"/>
      <c r="X120" s="22"/>
      <c r="Y120" s="22"/>
      <c r="Z120" s="4"/>
      <c r="AA120" s="22"/>
      <c r="AB120" s="22"/>
      <c r="AC120" s="4"/>
      <c r="AD120" s="22"/>
      <c r="AE120" s="22"/>
      <c r="AF120" s="4"/>
      <c r="AG120" s="22"/>
      <c r="AH120" s="22"/>
      <c r="AI120" s="4"/>
      <c r="AJ120" s="22"/>
      <c r="AK120" s="22"/>
      <c r="AL120" s="4"/>
      <c r="AM120" s="22"/>
      <c r="AN120" s="22"/>
      <c r="AO120" s="4"/>
      <c r="AP120" s="4"/>
      <c r="AQ120" s="4"/>
      <c r="AR120" s="22"/>
      <c r="AS120" s="22"/>
      <c r="AT120" s="4"/>
    </row>
    <row r="121" spans="2:46" s="2" customFormat="1" ht="120" customHeight="1">
      <c r="B121" s="1"/>
      <c r="C121" s="3"/>
      <c r="D121"/>
      <c r="E121"/>
      <c r="F121" s="61"/>
      <c r="G121" s="40"/>
      <c r="H121" s="40"/>
      <c r="I121" s="40"/>
      <c r="J121" s="40"/>
      <c r="K121" s="40"/>
      <c r="L121" s="40"/>
      <c r="M121" s="22"/>
      <c r="N121" s="4"/>
      <c r="O121" s="22"/>
      <c r="P121" s="22"/>
      <c r="Q121" s="4"/>
      <c r="R121" s="22"/>
      <c r="S121" s="22"/>
      <c r="T121" s="4"/>
      <c r="U121" s="22"/>
      <c r="V121" s="22"/>
      <c r="W121" s="4"/>
      <c r="X121" s="22"/>
      <c r="Y121" s="22"/>
      <c r="Z121" s="4"/>
      <c r="AA121" s="22"/>
      <c r="AB121" s="22"/>
      <c r="AC121" s="4"/>
      <c r="AD121" s="22"/>
      <c r="AE121" s="22"/>
      <c r="AF121" s="4"/>
      <c r="AG121" s="22"/>
      <c r="AH121" s="22"/>
      <c r="AI121" s="4"/>
      <c r="AJ121" s="22"/>
      <c r="AK121" s="22"/>
      <c r="AL121" s="4"/>
      <c r="AM121" s="22"/>
      <c r="AN121" s="22"/>
      <c r="AO121" s="4"/>
      <c r="AP121" s="4"/>
      <c r="AQ121" s="4"/>
      <c r="AR121" s="22"/>
      <c r="AS121" s="22"/>
      <c r="AT121" s="4"/>
    </row>
    <row r="122" spans="2:46" s="2" customFormat="1" ht="174" customHeight="1">
      <c r="B122" s="1"/>
      <c r="C122" s="3"/>
      <c r="D122"/>
      <c r="E122"/>
      <c r="F122" s="61"/>
      <c r="G122" s="40"/>
      <c r="H122" s="40"/>
      <c r="I122" s="40"/>
      <c r="J122" s="40"/>
      <c r="K122" s="40"/>
      <c r="L122" s="40"/>
      <c r="M122" s="22"/>
      <c r="N122" s="4"/>
      <c r="O122" s="22"/>
      <c r="P122" s="22"/>
      <c r="Q122" s="4"/>
      <c r="R122" s="22"/>
      <c r="S122" s="22"/>
      <c r="T122" s="4"/>
      <c r="U122" s="22"/>
      <c r="V122" s="22"/>
      <c r="W122" s="4"/>
      <c r="X122" s="22"/>
      <c r="Y122" s="22"/>
      <c r="Z122" s="4"/>
      <c r="AA122" s="22"/>
      <c r="AB122" s="22"/>
      <c r="AC122" s="4"/>
      <c r="AD122" s="22"/>
      <c r="AE122" s="22"/>
      <c r="AF122" s="4"/>
      <c r="AG122" s="22"/>
      <c r="AH122" s="22"/>
      <c r="AI122" s="4"/>
      <c r="AJ122" s="22"/>
      <c r="AK122" s="22"/>
      <c r="AL122" s="4"/>
      <c r="AM122" s="22"/>
      <c r="AN122" s="22"/>
      <c r="AO122" s="4"/>
      <c r="AP122" s="4"/>
      <c r="AQ122" s="4"/>
      <c r="AR122" s="22"/>
      <c r="AS122" s="22"/>
      <c r="AT122" s="4"/>
    </row>
    <row r="123" spans="2:46" s="2" customFormat="1" ht="102" customHeight="1">
      <c r="B123" s="1"/>
      <c r="C123" s="3"/>
      <c r="D123"/>
      <c r="E123"/>
      <c r="F123" s="61"/>
      <c r="G123" s="40"/>
      <c r="H123" s="40"/>
      <c r="I123" s="40"/>
      <c r="J123" s="40"/>
      <c r="K123" s="40"/>
      <c r="L123" s="40"/>
      <c r="M123" s="22"/>
      <c r="N123" s="4"/>
      <c r="O123" s="22"/>
      <c r="P123" s="22"/>
      <c r="Q123" s="4"/>
      <c r="R123" s="22"/>
      <c r="S123" s="22"/>
      <c r="T123" s="4"/>
      <c r="U123" s="22"/>
      <c r="V123" s="22"/>
      <c r="W123" s="4"/>
      <c r="X123" s="22"/>
      <c r="Y123" s="22"/>
      <c r="Z123" s="4"/>
      <c r="AA123" s="22"/>
      <c r="AB123" s="22"/>
      <c r="AC123" s="4"/>
      <c r="AD123" s="22"/>
      <c r="AE123" s="22"/>
      <c r="AF123" s="4"/>
      <c r="AG123" s="22"/>
      <c r="AH123" s="22"/>
      <c r="AI123" s="4"/>
      <c r="AJ123" s="22"/>
      <c r="AK123" s="22"/>
      <c r="AL123" s="4"/>
      <c r="AM123" s="22"/>
      <c r="AN123" s="22"/>
      <c r="AO123" s="4"/>
      <c r="AP123" s="4"/>
      <c r="AQ123" s="4"/>
      <c r="AR123" s="22"/>
      <c r="AS123" s="22"/>
      <c r="AT123" s="4"/>
    </row>
    <row r="124" spans="2:46" s="2" customFormat="1" ht="102" customHeight="1">
      <c r="B124" s="1"/>
      <c r="C124" s="3"/>
      <c r="D124"/>
      <c r="E124"/>
      <c r="F124" s="61"/>
      <c r="G124" s="40"/>
      <c r="H124" s="40"/>
      <c r="I124" s="40"/>
      <c r="J124" s="40"/>
      <c r="K124" s="40"/>
      <c r="L124" s="40"/>
      <c r="M124" s="22"/>
      <c r="N124" s="4"/>
      <c r="O124" s="22"/>
      <c r="P124" s="22"/>
      <c r="Q124" s="4"/>
      <c r="R124" s="22"/>
      <c r="S124" s="22"/>
      <c r="T124" s="4"/>
      <c r="U124" s="22"/>
      <c r="V124" s="22"/>
      <c r="W124" s="4"/>
      <c r="X124" s="22"/>
      <c r="Y124" s="22"/>
      <c r="Z124" s="4"/>
      <c r="AA124" s="22"/>
      <c r="AB124" s="22"/>
      <c r="AC124" s="4"/>
      <c r="AD124" s="22"/>
      <c r="AE124" s="22"/>
      <c r="AF124" s="4"/>
      <c r="AG124" s="22"/>
      <c r="AH124" s="22"/>
      <c r="AI124" s="4"/>
      <c r="AJ124" s="22"/>
      <c r="AK124" s="22"/>
      <c r="AL124" s="4"/>
      <c r="AM124" s="22"/>
      <c r="AN124" s="22"/>
      <c r="AO124" s="4"/>
      <c r="AP124" s="4"/>
      <c r="AQ124" s="4"/>
      <c r="AR124" s="22"/>
      <c r="AS124" s="22"/>
      <c r="AT124" s="4"/>
    </row>
    <row r="125" spans="2:46" ht="64.150000000000006" customHeight="1">
      <c r="B125" s="1"/>
      <c r="C125" s="3"/>
    </row>
    <row r="126" spans="2:46" ht="64.150000000000006" customHeight="1">
      <c r="B126" s="1"/>
      <c r="C126" s="3"/>
    </row>
    <row r="127" spans="2:46" ht="36" customHeight="1">
      <c r="B127" s="1"/>
      <c r="C127" s="3"/>
    </row>
    <row r="128" spans="2:46" ht="36" customHeight="1">
      <c r="B128" s="1"/>
      <c r="C128" s="3"/>
    </row>
    <row r="129" spans="2:46" ht="36" customHeight="1">
      <c r="B129" s="1"/>
      <c r="C129" s="3"/>
    </row>
    <row r="130" spans="2:46" ht="36" customHeight="1">
      <c r="B130" s="1"/>
      <c r="C130" s="3"/>
    </row>
    <row r="131" spans="2:46" ht="36" customHeight="1">
      <c r="B131" s="1"/>
      <c r="C131" s="3"/>
    </row>
    <row r="132" spans="2:46" ht="15.75" customHeight="1">
      <c r="B132" s="1"/>
      <c r="C132" s="3"/>
    </row>
    <row r="133" spans="2:46" ht="15.75" customHeight="1">
      <c r="B133" s="1"/>
      <c r="C133" s="3"/>
    </row>
    <row r="134" spans="2:46" ht="15.75" customHeight="1">
      <c r="B134" s="1"/>
      <c r="C134" s="3"/>
    </row>
    <row r="135" spans="2:46" ht="15.75" customHeight="1">
      <c r="B135" s="1"/>
      <c r="C135" s="3"/>
    </row>
    <row r="136" spans="2:46" ht="15.75" customHeight="1">
      <c r="B136" s="1"/>
      <c r="C136" s="3"/>
    </row>
    <row r="137" spans="2:46" ht="15.75" customHeight="1">
      <c r="B137" s="1"/>
      <c r="C137" s="3"/>
    </row>
    <row r="138" spans="2:46" s="22" customFormat="1" ht="15.75" customHeight="1">
      <c r="B138" s="1"/>
      <c r="C138" s="3"/>
      <c r="D138"/>
      <c r="E138"/>
      <c r="F138" s="61"/>
      <c r="G138" s="40"/>
      <c r="H138" s="40"/>
      <c r="I138" s="40"/>
      <c r="J138" s="40"/>
      <c r="K138" s="40"/>
      <c r="L138" s="40"/>
      <c r="N138" s="4"/>
      <c r="Q138" s="4"/>
      <c r="T138" s="4"/>
      <c r="W138" s="4"/>
      <c r="Z138" s="4"/>
      <c r="AC138" s="4"/>
      <c r="AF138" s="4"/>
      <c r="AI138" s="4"/>
      <c r="AL138" s="4"/>
      <c r="AO138" s="4"/>
      <c r="AP138" s="4"/>
      <c r="AQ138" s="4"/>
      <c r="AT138" s="4"/>
    </row>
    <row r="139" spans="2:46" s="22" customFormat="1" ht="15.75" customHeight="1">
      <c r="B139" s="1"/>
      <c r="C139" s="3"/>
      <c r="D139"/>
      <c r="E139"/>
      <c r="F139" s="61"/>
      <c r="G139" s="40"/>
      <c r="H139" s="40"/>
      <c r="I139" s="40"/>
      <c r="J139" s="40"/>
      <c r="K139" s="40"/>
      <c r="L139" s="40"/>
      <c r="N139" s="4"/>
      <c r="Q139" s="4"/>
      <c r="T139" s="4"/>
      <c r="W139" s="4"/>
      <c r="Z139" s="4"/>
      <c r="AC139" s="4"/>
      <c r="AF139" s="4"/>
      <c r="AI139" s="4"/>
      <c r="AL139" s="4"/>
      <c r="AO139" s="4"/>
      <c r="AP139" s="4"/>
      <c r="AQ139" s="4"/>
      <c r="AT139" s="4"/>
    </row>
    <row r="140" spans="2:46" s="22" customFormat="1" ht="15.75" customHeight="1">
      <c r="B140" s="1"/>
      <c r="C140" s="3"/>
      <c r="D140"/>
      <c r="E140"/>
      <c r="F140" s="61"/>
      <c r="G140" s="40"/>
      <c r="H140" s="40"/>
      <c r="I140" s="40"/>
      <c r="J140" s="40"/>
      <c r="K140" s="40"/>
      <c r="L140" s="40"/>
      <c r="N140" s="4"/>
      <c r="Q140" s="4"/>
      <c r="T140" s="4"/>
      <c r="W140" s="4"/>
      <c r="Z140" s="4"/>
      <c r="AC140" s="4"/>
      <c r="AF140" s="4"/>
      <c r="AI140" s="4"/>
      <c r="AL140" s="4"/>
      <c r="AO140" s="4"/>
      <c r="AP140" s="4"/>
      <c r="AQ140" s="4"/>
      <c r="AT140" s="4"/>
    </row>
    <row r="141" spans="2:46" s="22" customFormat="1" ht="15.75" customHeight="1">
      <c r="B141" s="1"/>
      <c r="C141" s="3"/>
      <c r="D141"/>
      <c r="E141"/>
      <c r="F141" s="61"/>
      <c r="G141" s="40"/>
      <c r="H141" s="40"/>
      <c r="I141" s="40"/>
      <c r="J141" s="40"/>
      <c r="K141" s="40"/>
      <c r="L141" s="40"/>
      <c r="N141" s="4"/>
      <c r="Q141" s="4"/>
      <c r="T141" s="4"/>
      <c r="W141" s="4"/>
      <c r="Z141" s="4"/>
      <c r="AC141" s="4"/>
      <c r="AF141" s="4"/>
      <c r="AI141" s="4"/>
      <c r="AL141" s="4"/>
      <c r="AO141" s="4"/>
      <c r="AP141" s="4"/>
      <c r="AQ141" s="4"/>
      <c r="AT141" s="4"/>
    </row>
    <row r="142" spans="2:46" s="22" customFormat="1" ht="15.75" customHeight="1">
      <c r="B142" s="1"/>
      <c r="C142" s="3"/>
      <c r="D142"/>
      <c r="E142"/>
      <c r="F142" s="61"/>
      <c r="G142" s="40"/>
      <c r="H142" s="40"/>
      <c r="I142" s="40"/>
      <c r="J142" s="40"/>
      <c r="K142" s="40"/>
      <c r="L142" s="40"/>
      <c r="N142" s="4"/>
      <c r="Q142" s="4"/>
      <c r="T142" s="4"/>
      <c r="W142" s="4"/>
      <c r="Z142" s="4"/>
      <c r="AC142" s="4"/>
      <c r="AF142" s="4"/>
      <c r="AI142" s="4"/>
      <c r="AL142" s="4"/>
      <c r="AO142" s="4"/>
      <c r="AP142" s="4"/>
      <c r="AQ142" s="4"/>
      <c r="AT142" s="4"/>
    </row>
    <row r="143" spans="2:46" s="22" customFormat="1" ht="15.75" customHeight="1">
      <c r="B143" s="1"/>
      <c r="C143" s="3"/>
      <c r="D143"/>
      <c r="E143"/>
      <c r="F143" s="61"/>
      <c r="G143" s="40"/>
      <c r="H143" s="40"/>
      <c r="I143" s="40"/>
      <c r="J143" s="40"/>
      <c r="K143" s="40"/>
      <c r="L143" s="40"/>
      <c r="N143" s="4"/>
      <c r="Q143" s="4"/>
      <c r="T143" s="4"/>
      <c r="W143" s="4"/>
      <c r="Z143" s="4"/>
      <c r="AC143" s="4"/>
      <c r="AF143" s="4"/>
      <c r="AI143" s="4"/>
      <c r="AL143" s="4"/>
      <c r="AO143" s="4"/>
      <c r="AP143" s="4"/>
      <c r="AQ143" s="4"/>
      <c r="AT143" s="4"/>
    </row>
    <row r="144" spans="2:46" s="22" customFormat="1" ht="15.75" customHeight="1">
      <c r="B144" s="1"/>
      <c r="C144" s="3"/>
      <c r="D144"/>
      <c r="E144"/>
      <c r="F144" s="61"/>
      <c r="G144" s="40"/>
      <c r="H144" s="40"/>
      <c r="I144" s="40"/>
      <c r="J144" s="40"/>
      <c r="K144" s="40"/>
      <c r="L144" s="40"/>
      <c r="N144" s="4"/>
      <c r="Q144" s="4"/>
      <c r="T144" s="4"/>
      <c r="W144" s="4"/>
      <c r="Z144" s="4"/>
      <c r="AC144" s="4"/>
      <c r="AF144" s="4"/>
      <c r="AI144" s="4"/>
      <c r="AL144" s="4"/>
      <c r="AO144" s="4"/>
      <c r="AP144" s="4"/>
      <c r="AQ144" s="4"/>
      <c r="AT144" s="4"/>
    </row>
    <row r="145" spans="2:46" s="22" customFormat="1" ht="15.75" customHeight="1">
      <c r="B145" s="1"/>
      <c r="C145" s="3"/>
      <c r="D145"/>
      <c r="E145"/>
      <c r="F145" s="61"/>
      <c r="G145" s="40"/>
      <c r="H145" s="40"/>
      <c r="I145" s="40"/>
      <c r="J145" s="40"/>
      <c r="K145" s="40"/>
      <c r="L145" s="40"/>
      <c r="N145" s="4"/>
      <c r="Q145" s="4"/>
      <c r="T145" s="4"/>
      <c r="W145" s="4"/>
      <c r="Z145" s="4"/>
      <c r="AC145" s="4"/>
      <c r="AF145" s="4"/>
      <c r="AI145" s="4"/>
      <c r="AL145" s="4"/>
      <c r="AO145" s="4"/>
      <c r="AP145" s="4"/>
      <c r="AQ145" s="4"/>
      <c r="AT145" s="4"/>
    </row>
    <row r="146" spans="2:46" s="22" customFormat="1" ht="15.75" customHeight="1">
      <c r="B146" s="1"/>
      <c r="C146" s="3"/>
      <c r="D146"/>
      <c r="E146"/>
      <c r="F146" s="61"/>
      <c r="G146" s="40"/>
      <c r="H146" s="40"/>
      <c r="I146" s="40"/>
      <c r="J146" s="40"/>
      <c r="K146" s="40"/>
      <c r="L146" s="40"/>
      <c r="N146" s="4"/>
      <c r="Q146" s="4"/>
      <c r="T146" s="4"/>
      <c r="W146" s="4"/>
      <c r="Z146" s="4"/>
      <c r="AC146" s="4"/>
      <c r="AF146" s="4"/>
      <c r="AI146" s="4"/>
      <c r="AL146" s="4"/>
      <c r="AO146" s="4"/>
      <c r="AP146" s="4"/>
      <c r="AQ146" s="4"/>
      <c r="AT146" s="4"/>
    </row>
    <row r="147" spans="2:46" s="22" customFormat="1" ht="15.75" customHeight="1">
      <c r="B147" s="1"/>
      <c r="C147" s="3"/>
      <c r="D147"/>
      <c r="E147"/>
      <c r="F147" s="61"/>
      <c r="G147" s="40"/>
      <c r="H147" s="40"/>
      <c r="I147" s="40"/>
      <c r="J147" s="40"/>
      <c r="K147" s="40"/>
      <c r="L147" s="40"/>
      <c r="N147" s="4"/>
      <c r="Q147" s="4"/>
      <c r="T147" s="4"/>
      <c r="W147" s="4"/>
      <c r="Z147" s="4"/>
      <c r="AC147" s="4"/>
      <c r="AF147" s="4"/>
      <c r="AI147" s="4"/>
      <c r="AL147" s="4"/>
      <c r="AO147" s="4"/>
      <c r="AP147" s="4"/>
      <c r="AQ147" s="4"/>
      <c r="AT147" s="4"/>
    </row>
    <row r="148" spans="2:46" s="22" customFormat="1" ht="15.75" customHeight="1">
      <c r="B148" s="1"/>
      <c r="C148" s="3"/>
      <c r="D148"/>
      <c r="E148"/>
      <c r="F148" s="61"/>
      <c r="G148" s="40"/>
      <c r="H148" s="40"/>
      <c r="I148" s="40"/>
      <c r="J148" s="40"/>
      <c r="K148" s="40"/>
      <c r="L148" s="40"/>
      <c r="N148" s="4"/>
      <c r="Q148" s="4"/>
      <c r="T148" s="4"/>
      <c r="W148" s="4"/>
      <c r="Z148" s="4"/>
      <c r="AC148" s="4"/>
      <c r="AF148" s="4"/>
      <c r="AI148" s="4"/>
      <c r="AL148" s="4"/>
      <c r="AO148" s="4"/>
      <c r="AP148" s="4"/>
      <c r="AQ148" s="4"/>
      <c r="AT148" s="4"/>
    </row>
    <row r="149" spans="2:46" s="22" customFormat="1" ht="15.75" customHeight="1">
      <c r="B149" s="1"/>
      <c r="C149" s="3"/>
      <c r="D149"/>
      <c r="E149"/>
      <c r="F149" s="61"/>
      <c r="G149" s="40"/>
      <c r="H149" s="40"/>
      <c r="I149" s="40"/>
      <c r="J149" s="40"/>
      <c r="K149" s="40"/>
      <c r="L149" s="40"/>
      <c r="N149" s="4"/>
      <c r="Q149" s="4"/>
      <c r="T149" s="4"/>
      <c r="W149" s="4"/>
      <c r="Z149" s="4"/>
      <c r="AC149" s="4"/>
      <c r="AF149" s="4"/>
      <c r="AI149" s="4"/>
      <c r="AL149" s="4"/>
      <c r="AO149" s="4"/>
      <c r="AP149" s="4"/>
      <c r="AQ149" s="4"/>
      <c r="AT149" s="4"/>
    </row>
    <row r="150" spans="2:46" s="22" customFormat="1" ht="15.75" customHeight="1">
      <c r="B150" s="1"/>
      <c r="C150" s="3"/>
      <c r="D150"/>
      <c r="E150"/>
      <c r="F150" s="61"/>
      <c r="G150" s="40"/>
      <c r="H150" s="40"/>
      <c r="I150" s="40"/>
      <c r="J150" s="40"/>
      <c r="K150" s="40"/>
      <c r="L150" s="40"/>
      <c r="N150" s="4"/>
      <c r="Q150" s="4"/>
      <c r="T150" s="4"/>
      <c r="W150" s="4"/>
      <c r="Z150" s="4"/>
      <c r="AC150" s="4"/>
      <c r="AF150" s="4"/>
      <c r="AI150" s="4"/>
      <c r="AL150" s="4"/>
      <c r="AO150" s="4"/>
      <c r="AP150" s="4"/>
      <c r="AQ150" s="4"/>
      <c r="AT150" s="4"/>
    </row>
    <row r="151" spans="2:46" s="22" customFormat="1" ht="15.75" customHeight="1">
      <c r="B151" s="1"/>
      <c r="C151" s="3"/>
      <c r="D151"/>
      <c r="E151"/>
      <c r="F151" s="61"/>
      <c r="G151" s="40"/>
      <c r="H151" s="40"/>
      <c r="I151" s="40"/>
      <c r="J151" s="40"/>
      <c r="K151" s="40"/>
      <c r="L151" s="40"/>
      <c r="N151" s="4"/>
      <c r="Q151" s="4"/>
      <c r="T151" s="4"/>
      <c r="W151" s="4"/>
      <c r="Z151" s="4"/>
      <c r="AC151" s="4"/>
      <c r="AF151" s="4"/>
      <c r="AI151" s="4"/>
      <c r="AL151" s="4"/>
      <c r="AO151" s="4"/>
      <c r="AP151" s="4"/>
      <c r="AQ151" s="4"/>
      <c r="AT151" s="4"/>
    </row>
    <row r="152" spans="2:46" s="22" customFormat="1" ht="15.75" customHeight="1">
      <c r="B152" s="1"/>
      <c r="C152" s="3"/>
      <c r="D152"/>
      <c r="E152"/>
      <c r="F152" s="61"/>
      <c r="G152" s="40"/>
      <c r="H152" s="40"/>
      <c r="I152" s="40"/>
      <c r="J152" s="40"/>
      <c r="K152" s="40"/>
      <c r="L152" s="40"/>
      <c r="N152" s="4"/>
      <c r="Q152" s="4"/>
      <c r="T152" s="4"/>
      <c r="W152" s="4"/>
      <c r="Z152" s="4"/>
      <c r="AC152" s="4"/>
      <c r="AF152" s="4"/>
      <c r="AI152" s="4"/>
      <c r="AL152" s="4"/>
      <c r="AO152" s="4"/>
      <c r="AP152" s="4"/>
      <c r="AQ152" s="4"/>
      <c r="AT152" s="4"/>
    </row>
    <row r="153" spans="2:46" s="22" customFormat="1" ht="15.75" customHeight="1">
      <c r="B153" s="1"/>
      <c r="C153" s="3"/>
      <c r="D153"/>
      <c r="E153"/>
      <c r="F153" s="61"/>
      <c r="G153" s="40"/>
      <c r="H153" s="40"/>
      <c r="I153" s="40"/>
      <c r="J153" s="40"/>
      <c r="K153" s="40"/>
      <c r="L153" s="40"/>
      <c r="N153" s="4"/>
      <c r="Q153" s="4"/>
      <c r="T153" s="4"/>
      <c r="W153" s="4"/>
      <c r="Z153" s="4"/>
      <c r="AC153" s="4"/>
      <c r="AF153" s="4"/>
      <c r="AI153" s="4"/>
      <c r="AL153" s="4"/>
      <c r="AO153" s="4"/>
      <c r="AP153" s="4"/>
      <c r="AQ153" s="4"/>
      <c r="AT153" s="4"/>
    </row>
    <row r="154" spans="2:46" ht="15.75" customHeight="1">
      <c r="B154" s="1"/>
      <c r="C154" s="3"/>
    </row>
    <row r="155" spans="2:46" ht="15.75" customHeight="1">
      <c r="B155" s="1"/>
      <c r="C155" s="3"/>
    </row>
    <row r="156" spans="2:46" ht="15.75" customHeight="1">
      <c r="B156" s="1"/>
      <c r="C156" s="3"/>
    </row>
    <row r="157" spans="2:46" ht="15.75" customHeight="1">
      <c r="B157" s="1"/>
      <c r="C157" s="3"/>
    </row>
    <row r="158" spans="2:46" ht="15.75" customHeight="1">
      <c r="B158" s="1"/>
      <c r="C158" s="3"/>
    </row>
    <row r="159" spans="2:46" ht="15.75" customHeight="1">
      <c r="B159" s="1"/>
      <c r="C159" s="3"/>
    </row>
    <row r="160" spans="2:46" ht="15.75" customHeight="1">
      <c r="B160" s="1"/>
      <c r="C160" s="3"/>
    </row>
    <row r="161" spans="2:3" ht="15.75" customHeight="1">
      <c r="B161" s="1"/>
      <c r="C161" s="3"/>
    </row>
    <row r="162" spans="2:3" ht="15.75" customHeight="1">
      <c r="B162" s="1"/>
      <c r="C162" s="3"/>
    </row>
    <row r="163" spans="2:3" ht="15.75" customHeight="1">
      <c r="B163" s="1"/>
      <c r="C163" s="3"/>
    </row>
    <row r="164" spans="2:3" ht="15.75" customHeight="1">
      <c r="B164" s="1"/>
      <c r="C164" s="3"/>
    </row>
    <row r="165" spans="2:3" ht="15.75" customHeight="1">
      <c r="B165" s="1"/>
      <c r="C165" s="3"/>
    </row>
    <row r="166" spans="2:3" ht="15.75" customHeight="1">
      <c r="B166" s="1"/>
      <c r="C166" s="3"/>
    </row>
    <row r="167" spans="2:3" ht="15.75" customHeight="1">
      <c r="B167" s="1"/>
      <c r="C167" s="3"/>
    </row>
    <row r="168" spans="2:3" ht="15.75" customHeight="1">
      <c r="B168" s="1"/>
      <c r="C168" s="3"/>
    </row>
    <row r="169" spans="2:3" ht="15.75" customHeight="1">
      <c r="B169" s="1"/>
      <c r="C169" s="3"/>
    </row>
    <row r="170" spans="2:3" ht="15.75" customHeight="1">
      <c r="B170" s="1"/>
      <c r="C170" s="3"/>
    </row>
    <row r="171" spans="2:3" ht="15.75" customHeight="1">
      <c r="B171" s="1"/>
      <c r="C171" s="3"/>
    </row>
    <row r="172" spans="2:3" ht="15.75" customHeight="1">
      <c r="B172" s="1"/>
      <c r="C172" s="3"/>
    </row>
    <row r="173" spans="2:3" ht="15.75" customHeight="1">
      <c r="B173" s="1"/>
      <c r="C173" s="3"/>
    </row>
    <row r="174" spans="2:3" ht="15.75" customHeight="1">
      <c r="B174" s="1"/>
      <c r="C174" s="3"/>
    </row>
    <row r="175" spans="2:3" ht="15.75" customHeight="1">
      <c r="B175" s="1"/>
      <c r="C175" s="3"/>
    </row>
    <row r="176" spans="2:3" ht="15.75" customHeight="1">
      <c r="B176" s="1"/>
      <c r="C176" s="3"/>
    </row>
    <row r="177" spans="2:3" ht="15.75" customHeight="1">
      <c r="B177" s="1"/>
      <c r="C177" s="3"/>
    </row>
    <row r="178" spans="2:3" ht="15.75" customHeight="1">
      <c r="B178" s="1"/>
      <c r="C178" s="3"/>
    </row>
    <row r="179" spans="2:3" ht="15.75" customHeight="1">
      <c r="B179" s="1"/>
      <c r="C179" s="3"/>
    </row>
    <row r="180" spans="2:3" ht="15.75" customHeight="1">
      <c r="B180" s="1"/>
      <c r="C180" s="3"/>
    </row>
    <row r="181" spans="2:3" ht="15.75" customHeight="1">
      <c r="B181" s="1"/>
      <c r="C181" s="3"/>
    </row>
    <row r="182" spans="2:3" ht="15.75" customHeight="1">
      <c r="B182" s="1"/>
      <c r="C182" s="3"/>
    </row>
    <row r="183" spans="2:3" ht="15.75" customHeight="1">
      <c r="B183" s="1"/>
      <c r="C183" s="3"/>
    </row>
    <row r="184" spans="2:3" ht="15.75" customHeight="1">
      <c r="B184" s="1"/>
      <c r="C184" s="3"/>
    </row>
    <row r="185" spans="2:3" ht="15.75" customHeight="1">
      <c r="B185" s="1"/>
      <c r="C185" s="3"/>
    </row>
    <row r="186" spans="2:3" ht="15.75" customHeight="1">
      <c r="B186" s="1"/>
      <c r="C186" s="3"/>
    </row>
    <row r="187" spans="2:3" ht="15.75" customHeight="1">
      <c r="B187" s="1"/>
      <c r="C187" s="3"/>
    </row>
    <row r="188" spans="2:3" ht="15.75" customHeight="1">
      <c r="B188" s="1"/>
      <c r="C188" s="3"/>
    </row>
    <row r="189" spans="2:3" ht="15.75" customHeight="1">
      <c r="B189" s="1"/>
      <c r="C189" s="3"/>
    </row>
    <row r="190" spans="2:3" ht="15.75" customHeight="1">
      <c r="B190" s="1"/>
      <c r="C190" s="3"/>
    </row>
    <row r="191" spans="2:3" ht="15.75" customHeight="1">
      <c r="B191" s="1"/>
      <c r="C191" s="3"/>
    </row>
    <row r="192" spans="2:3" ht="15.75" customHeight="1">
      <c r="B192" s="1"/>
      <c r="C192" s="3"/>
    </row>
    <row r="193" spans="2:3" ht="15.75" customHeight="1">
      <c r="B193" s="1"/>
      <c r="C193" s="3"/>
    </row>
    <row r="194" spans="2:3" ht="15.75" customHeight="1">
      <c r="B194" s="1"/>
      <c r="C194" s="3"/>
    </row>
    <row r="195" spans="2:3" ht="15.75" customHeight="1">
      <c r="B195" s="1"/>
      <c r="C195" s="3"/>
    </row>
    <row r="196" spans="2:3" ht="15.75" customHeight="1">
      <c r="B196" s="1"/>
      <c r="C196" s="3"/>
    </row>
    <row r="197" spans="2:3" ht="15.75" customHeight="1">
      <c r="B197" s="1"/>
      <c r="C197" s="3"/>
    </row>
    <row r="198" spans="2:3" ht="15.75" customHeight="1">
      <c r="B198" s="1"/>
      <c r="C198" s="3"/>
    </row>
    <row r="199" spans="2:3" ht="15.75" customHeight="1">
      <c r="B199" s="1"/>
      <c r="C199" s="3"/>
    </row>
    <row r="200" spans="2:3" ht="15.75" customHeight="1">
      <c r="B200" s="1"/>
      <c r="C200" s="3"/>
    </row>
    <row r="201" spans="2:3" ht="15.75" customHeight="1">
      <c r="B201" s="1"/>
      <c r="C201" s="3"/>
    </row>
    <row r="202" spans="2:3" ht="15.75" customHeight="1">
      <c r="B202" s="1"/>
      <c r="C202" s="3"/>
    </row>
    <row r="203" spans="2:3" ht="15.75" customHeight="1">
      <c r="B203" s="1"/>
      <c r="C203" s="3"/>
    </row>
    <row r="204" spans="2:3" ht="15.75" customHeight="1">
      <c r="B204" s="1"/>
      <c r="C204" s="3"/>
    </row>
    <row r="205" spans="2:3" ht="15.75" customHeight="1">
      <c r="B205" s="1"/>
      <c r="C205" s="3"/>
    </row>
    <row r="206" spans="2:3" ht="15.75" customHeight="1">
      <c r="B206" s="1"/>
      <c r="C206" s="3"/>
    </row>
    <row r="207" spans="2:3" ht="15.75" customHeight="1">
      <c r="B207" s="1"/>
      <c r="C207" s="3"/>
    </row>
    <row r="208" spans="2:3" ht="15.75" customHeight="1">
      <c r="B208" s="1"/>
      <c r="C208" s="3"/>
    </row>
    <row r="209" spans="2:3" ht="15.75" customHeight="1">
      <c r="B209" s="1"/>
      <c r="C209" s="3"/>
    </row>
    <row r="210" spans="2:3" ht="15.75" customHeight="1">
      <c r="B210" s="1"/>
      <c r="C210" s="3"/>
    </row>
    <row r="211" spans="2:3" ht="15.75" customHeight="1">
      <c r="B211" s="1"/>
      <c r="C211" s="3"/>
    </row>
    <row r="212" spans="2:3" ht="15.75" customHeight="1">
      <c r="B212" s="1"/>
      <c r="C212" s="3"/>
    </row>
    <row r="213" spans="2:3" ht="15.75" customHeight="1">
      <c r="B213" s="1"/>
      <c r="C213" s="3"/>
    </row>
    <row r="214" spans="2:3" ht="15.75" customHeight="1">
      <c r="B214" s="1"/>
      <c r="C214" s="3"/>
    </row>
    <row r="215" spans="2:3" ht="15.75" customHeight="1">
      <c r="B215" s="1"/>
      <c r="C215" s="3"/>
    </row>
    <row r="216" spans="2:3" ht="15.75" customHeight="1">
      <c r="B216" s="1"/>
      <c r="C216" s="3"/>
    </row>
    <row r="217" spans="2:3" ht="15.75" customHeight="1">
      <c r="B217" s="1"/>
      <c r="C217" s="3"/>
    </row>
    <row r="218" spans="2:3" ht="15.75" customHeight="1">
      <c r="B218" s="1"/>
      <c r="C218" s="3"/>
    </row>
    <row r="219" spans="2:3" ht="15.75" customHeight="1">
      <c r="B219" s="1"/>
      <c r="C219" s="3"/>
    </row>
    <row r="220" spans="2:3" ht="15.75" customHeight="1">
      <c r="B220" s="1"/>
      <c r="C220" s="3"/>
    </row>
    <row r="221" spans="2:3" ht="15.75" customHeight="1">
      <c r="B221" s="1"/>
      <c r="C221" s="3"/>
    </row>
    <row r="222" spans="2:3" ht="15.75" customHeight="1">
      <c r="B222" s="1"/>
      <c r="C222" s="3"/>
    </row>
    <row r="223" spans="2:3" ht="15.75" customHeight="1">
      <c r="B223" s="1"/>
      <c r="C223" s="3"/>
    </row>
    <row r="224" spans="2:3" ht="15.75" customHeight="1">
      <c r="B224" s="1"/>
      <c r="C224" s="3"/>
    </row>
    <row r="225" spans="2:3" ht="15.75" customHeight="1">
      <c r="B225" s="1"/>
      <c r="C225" s="3"/>
    </row>
    <row r="226" spans="2:3" ht="15.75" customHeight="1">
      <c r="B226" s="1"/>
      <c r="C226" s="3"/>
    </row>
    <row r="227" spans="2:3" ht="15.75" customHeight="1">
      <c r="B227" s="1"/>
      <c r="C227" s="3"/>
    </row>
    <row r="228" spans="2:3" ht="15.75" customHeight="1">
      <c r="B228" s="1"/>
      <c r="C228" s="3"/>
    </row>
    <row r="229" spans="2:3" ht="15.75" customHeight="1">
      <c r="B229" s="1"/>
      <c r="C229" s="3"/>
    </row>
    <row r="230" spans="2:3" ht="15.75" customHeight="1">
      <c r="B230" s="1"/>
      <c r="C230" s="3"/>
    </row>
    <row r="231" spans="2:3" ht="15.75" customHeight="1">
      <c r="B231" s="1"/>
      <c r="C231" s="3"/>
    </row>
    <row r="232" spans="2:3" ht="15.75" customHeight="1">
      <c r="B232" s="1"/>
      <c r="C232" s="3"/>
    </row>
    <row r="233" spans="2:3" ht="15.75" customHeight="1">
      <c r="B233" s="1"/>
      <c r="C233" s="3"/>
    </row>
    <row r="234" spans="2:3" ht="15.75" customHeight="1">
      <c r="B234" s="1"/>
      <c r="C234" s="3"/>
    </row>
    <row r="235" spans="2:3" ht="15.75" customHeight="1">
      <c r="B235" s="1"/>
      <c r="C235" s="3"/>
    </row>
    <row r="236" spans="2:3" ht="15.75" customHeight="1">
      <c r="B236" s="1"/>
      <c r="C236" s="3"/>
    </row>
    <row r="237" spans="2:3" ht="15.75" customHeight="1">
      <c r="B237" s="1"/>
      <c r="C237" s="3"/>
    </row>
    <row r="238" spans="2:3" ht="15.75" customHeight="1">
      <c r="B238" s="1"/>
      <c r="C238" s="3"/>
    </row>
    <row r="239" spans="2:3" ht="15.75" customHeight="1">
      <c r="B239" s="1"/>
      <c r="C239" s="3"/>
    </row>
    <row r="240" spans="2:3" ht="15.75" customHeight="1">
      <c r="B240" s="1"/>
      <c r="C240" s="3"/>
    </row>
    <row r="241" spans="2:3" ht="15.75" customHeight="1">
      <c r="B241" s="1"/>
      <c r="C241" s="3"/>
    </row>
    <row r="242" spans="2:3" ht="15.75" customHeight="1">
      <c r="B242" s="1"/>
      <c r="C242" s="3"/>
    </row>
    <row r="243" spans="2:3" ht="15.75" customHeight="1">
      <c r="B243" s="1"/>
      <c r="C243" s="3"/>
    </row>
    <row r="244" spans="2:3" ht="15.75" customHeight="1">
      <c r="B244" s="1"/>
      <c r="C244" s="3"/>
    </row>
    <row r="245" spans="2:3" ht="15.75" customHeight="1">
      <c r="B245" s="1"/>
      <c r="C245" s="3"/>
    </row>
    <row r="246" spans="2:3" ht="15.75" customHeight="1">
      <c r="B246" s="1"/>
      <c r="C246" s="3"/>
    </row>
    <row r="247" spans="2:3" ht="15.75" customHeight="1">
      <c r="B247" s="1"/>
      <c r="C247" s="3"/>
    </row>
    <row r="248" spans="2:3" ht="15.75" customHeight="1">
      <c r="B248" s="1"/>
      <c r="C248" s="3"/>
    </row>
    <row r="249" spans="2:3" ht="15.75" customHeight="1">
      <c r="B249" s="1"/>
      <c r="C249" s="3"/>
    </row>
    <row r="250" spans="2:3" ht="15.75" customHeight="1">
      <c r="B250" s="1"/>
      <c r="C250" s="3"/>
    </row>
    <row r="251" spans="2:3" ht="15.75" customHeight="1">
      <c r="B251" s="1"/>
      <c r="C251" s="3"/>
    </row>
    <row r="252" spans="2:3" ht="15.75" customHeight="1">
      <c r="B252" s="1"/>
      <c r="C252" s="3"/>
    </row>
    <row r="253" spans="2:3" ht="15.75" customHeight="1">
      <c r="B253" s="1"/>
      <c r="C253" s="3"/>
    </row>
    <row r="254" spans="2:3" ht="15.75" customHeight="1">
      <c r="B254" s="1"/>
      <c r="C254" s="3"/>
    </row>
    <row r="255" spans="2:3" ht="15.75" customHeight="1">
      <c r="B255" s="1"/>
      <c r="C255" s="3"/>
    </row>
    <row r="256" spans="2:3" ht="15.75" customHeight="1">
      <c r="B256" s="1"/>
      <c r="C256" s="3"/>
    </row>
    <row r="257" spans="2:3" ht="15.75" customHeight="1">
      <c r="B257" s="1"/>
      <c r="C257" s="3"/>
    </row>
    <row r="258" spans="2:3" ht="15.75" customHeight="1">
      <c r="B258" s="1"/>
      <c r="C258" s="3"/>
    </row>
    <row r="259" spans="2:3" ht="15.75" customHeight="1">
      <c r="B259" s="1"/>
      <c r="C259" s="3"/>
    </row>
    <row r="260" spans="2:3" ht="15.75" customHeight="1">
      <c r="B260" s="1"/>
      <c r="C260" s="3"/>
    </row>
    <row r="261" spans="2:3" ht="15.75" customHeight="1">
      <c r="B261" s="1"/>
      <c r="C261" s="3"/>
    </row>
    <row r="262" spans="2:3" ht="15.75" customHeight="1">
      <c r="B262" s="1"/>
      <c r="C262" s="3"/>
    </row>
    <row r="263" spans="2:3" ht="15.75" customHeight="1">
      <c r="B263" s="1"/>
      <c r="C263" s="3"/>
    </row>
    <row r="264" spans="2:3" ht="15.75" customHeight="1">
      <c r="B264" s="1"/>
      <c r="C264" s="3"/>
    </row>
    <row r="265" spans="2:3" ht="15.75" customHeight="1">
      <c r="B265" s="1"/>
      <c r="C265" s="3"/>
    </row>
    <row r="266" spans="2:3" ht="15.75" customHeight="1">
      <c r="B266" s="1"/>
      <c r="C266" s="3"/>
    </row>
    <row r="267" spans="2:3" ht="15.75" customHeight="1">
      <c r="B267" s="1"/>
      <c r="C267" s="3"/>
    </row>
    <row r="268" spans="2:3" ht="15.75" customHeight="1">
      <c r="B268" s="1"/>
      <c r="C268" s="3"/>
    </row>
    <row r="269" spans="2:3" ht="15.75" customHeight="1">
      <c r="B269" s="1"/>
      <c r="C269" s="3"/>
    </row>
    <row r="270" spans="2:3" ht="15.75" customHeight="1">
      <c r="B270" s="1"/>
      <c r="C270" s="3"/>
    </row>
    <row r="271" spans="2:3" ht="15.75" customHeight="1">
      <c r="B271" s="1"/>
      <c r="C271" s="3"/>
    </row>
    <row r="272" spans="2:3" ht="15.75" customHeight="1">
      <c r="B272" s="1"/>
      <c r="C272" s="3"/>
    </row>
    <row r="273" spans="2:3" ht="15.75" customHeight="1">
      <c r="B273" s="1"/>
      <c r="C273" s="3"/>
    </row>
    <row r="274" spans="2:3" ht="15.75" customHeight="1">
      <c r="B274" s="1"/>
      <c r="C274" s="3"/>
    </row>
    <row r="275" spans="2:3" ht="15.75" customHeight="1">
      <c r="B275" s="1"/>
      <c r="C275" s="3"/>
    </row>
    <row r="276" spans="2:3" ht="15.75" customHeight="1">
      <c r="B276" s="1"/>
      <c r="C276" s="3"/>
    </row>
    <row r="277" spans="2:3" ht="15.75" customHeight="1">
      <c r="B277" s="1"/>
      <c r="C277" s="3"/>
    </row>
    <row r="278" spans="2:3" ht="15.75" customHeight="1">
      <c r="B278" s="1"/>
      <c r="C278" s="3"/>
    </row>
    <row r="279" spans="2:3" ht="15.75" customHeight="1">
      <c r="B279" s="1"/>
      <c r="C279" s="3"/>
    </row>
    <row r="280" spans="2:3" ht="15.75" customHeight="1">
      <c r="B280" s="1"/>
      <c r="C280" s="3"/>
    </row>
    <row r="281" spans="2:3" ht="15.75" customHeight="1">
      <c r="B281" s="1"/>
      <c r="C281" s="3"/>
    </row>
    <row r="282" spans="2:3" ht="15.75" customHeight="1">
      <c r="B282" s="1"/>
      <c r="C282" s="3"/>
    </row>
    <row r="283" spans="2:3" ht="15.75" customHeight="1">
      <c r="B283" s="1"/>
      <c r="C283" s="3"/>
    </row>
    <row r="284" spans="2:3" ht="15.75" customHeight="1">
      <c r="B284" s="1"/>
      <c r="C284" s="3"/>
    </row>
    <row r="285" spans="2:3" ht="15.75" customHeight="1">
      <c r="B285" s="1"/>
      <c r="C285" s="3"/>
    </row>
    <row r="286" spans="2:3" ht="15.75" customHeight="1">
      <c r="B286" s="1"/>
      <c r="C286" s="3"/>
    </row>
    <row r="287" spans="2:3" ht="15.75" customHeight="1">
      <c r="B287" s="1"/>
      <c r="C287" s="3"/>
    </row>
    <row r="288" spans="2:3" ht="15.75" customHeight="1">
      <c r="B288" s="1"/>
      <c r="C288" s="3"/>
    </row>
    <row r="289" spans="2:3" ht="15.75" customHeight="1">
      <c r="B289" s="1"/>
      <c r="C289" s="3"/>
    </row>
    <row r="290" spans="2:3" ht="15.75" customHeight="1">
      <c r="B290" s="1"/>
      <c r="C290" s="3"/>
    </row>
    <row r="291" spans="2:3" ht="15.75" customHeight="1">
      <c r="B291" s="1"/>
      <c r="C291" s="3"/>
    </row>
    <row r="292" spans="2:3" ht="15.75" customHeight="1">
      <c r="B292" s="1"/>
      <c r="C292" s="3"/>
    </row>
    <row r="293" spans="2:3" ht="15.75" customHeight="1">
      <c r="B293" s="1"/>
      <c r="C293" s="3"/>
    </row>
    <row r="294" spans="2:3" ht="15.75" customHeight="1">
      <c r="B294" s="1"/>
      <c r="C294" s="3"/>
    </row>
    <row r="295" spans="2:3" ht="15.75" customHeight="1">
      <c r="B295" s="1"/>
      <c r="C295" s="3"/>
    </row>
    <row r="296" spans="2:3" ht="15.75" customHeight="1">
      <c r="B296" s="1"/>
      <c r="C296" s="3"/>
    </row>
    <row r="297" spans="2:3" ht="15.75" customHeight="1">
      <c r="B297" s="1"/>
      <c r="C297" s="3"/>
    </row>
    <row r="298" spans="2:3" ht="15.75" customHeight="1">
      <c r="B298" s="1"/>
      <c r="C298" s="3"/>
    </row>
    <row r="299" spans="2:3" ht="15.75" customHeight="1">
      <c r="B299" s="1"/>
      <c r="C299" s="3"/>
    </row>
    <row r="300" spans="2:3" ht="15.75" customHeight="1">
      <c r="B300" s="1"/>
      <c r="C300" s="3"/>
    </row>
    <row r="301" spans="2:3" ht="15.75" customHeight="1">
      <c r="B301" s="1"/>
      <c r="C301" s="3"/>
    </row>
    <row r="302" spans="2:3" ht="15.75" customHeight="1">
      <c r="B302" s="1"/>
      <c r="C302" s="3"/>
    </row>
    <row r="303" spans="2:3" ht="15.75" customHeight="1">
      <c r="B303" s="1"/>
      <c r="C303" s="3"/>
    </row>
    <row r="304" spans="2:3" ht="15.75" customHeight="1">
      <c r="B304" s="1"/>
      <c r="C304" s="3"/>
    </row>
    <row r="305" spans="2:3" ht="15.75" customHeight="1">
      <c r="B305" s="1"/>
      <c r="C305" s="3"/>
    </row>
    <row r="306" spans="2:3" ht="15.75" customHeight="1">
      <c r="B306" s="1"/>
      <c r="C306" s="3"/>
    </row>
    <row r="307" spans="2:3" ht="15.75" customHeight="1">
      <c r="B307" s="1"/>
      <c r="C307" s="3"/>
    </row>
    <row r="308" spans="2:3" ht="15.75" customHeight="1">
      <c r="B308" s="1"/>
      <c r="C308" s="3"/>
    </row>
    <row r="309" spans="2:3" ht="15.75" customHeight="1">
      <c r="B309" s="1"/>
      <c r="C309" s="3"/>
    </row>
    <row r="310" spans="2:3" ht="15.75" customHeight="1">
      <c r="B310" s="1"/>
      <c r="C310" s="3"/>
    </row>
    <row r="311" spans="2:3" ht="15.75" customHeight="1">
      <c r="B311" s="1"/>
      <c r="C311" s="3"/>
    </row>
    <row r="312" spans="2:3" ht="15.75" customHeight="1">
      <c r="B312" s="1"/>
      <c r="C312" s="3"/>
    </row>
    <row r="313" spans="2:3" ht="15.75" customHeight="1">
      <c r="B313" s="1"/>
      <c r="C313" s="3"/>
    </row>
    <row r="314" spans="2:3" ht="15.75" customHeight="1">
      <c r="B314" s="1"/>
      <c r="C314" s="3"/>
    </row>
    <row r="315" spans="2:3" ht="15.75" customHeight="1">
      <c r="B315" s="1"/>
      <c r="C315" s="3"/>
    </row>
    <row r="316" spans="2:3" ht="15.75" customHeight="1">
      <c r="B316" s="1"/>
      <c r="C316" s="3"/>
    </row>
    <row r="317" spans="2:3" ht="15.75" customHeight="1">
      <c r="B317" s="1"/>
      <c r="C317" s="3"/>
    </row>
    <row r="318" spans="2:3" ht="15.75" customHeight="1">
      <c r="B318" s="1"/>
      <c r="C318" s="3"/>
    </row>
    <row r="319" spans="2:3" ht="15.75" customHeight="1">
      <c r="B319" s="1"/>
      <c r="C319" s="3"/>
    </row>
    <row r="320" spans="2:3" ht="15.75" customHeight="1">
      <c r="B320" s="1"/>
      <c r="C320" s="3"/>
    </row>
    <row r="321" spans="2:3" ht="15.75" customHeight="1">
      <c r="B321" s="1"/>
      <c r="C321" s="3"/>
    </row>
    <row r="322" spans="2:3" ht="15.75" customHeight="1">
      <c r="B322" s="1"/>
      <c r="C322" s="3"/>
    </row>
    <row r="323" spans="2:3" ht="15.75" customHeight="1">
      <c r="B323" s="1"/>
      <c r="C323" s="3"/>
    </row>
    <row r="324" spans="2:3" ht="15.75" customHeight="1">
      <c r="B324" s="1"/>
      <c r="C324" s="3"/>
    </row>
    <row r="325" spans="2:3" ht="15.75" customHeight="1">
      <c r="B325" s="1"/>
      <c r="C325" s="3"/>
    </row>
    <row r="326" spans="2:3" ht="15.75" customHeight="1">
      <c r="B326" s="1"/>
      <c r="C326" s="3"/>
    </row>
    <row r="327" spans="2:3" ht="15.75" customHeight="1">
      <c r="B327" s="1"/>
      <c r="C327" s="3"/>
    </row>
    <row r="328" spans="2:3" ht="15.75" customHeight="1">
      <c r="B328" s="1"/>
      <c r="C328" s="3"/>
    </row>
    <row r="329" spans="2:3" ht="15.75" customHeight="1">
      <c r="B329" s="1"/>
      <c r="C329" s="3"/>
    </row>
    <row r="330" spans="2:3" ht="15.75" customHeight="1">
      <c r="B330" s="1"/>
      <c r="C330" s="3"/>
    </row>
    <row r="331" spans="2:3" ht="15.75" customHeight="1">
      <c r="B331" s="1"/>
      <c r="C331" s="3"/>
    </row>
    <row r="332" spans="2:3" ht="15.75" customHeight="1">
      <c r="B332" s="1"/>
      <c r="C332" s="3"/>
    </row>
    <row r="333" spans="2:3" ht="15.75" customHeight="1">
      <c r="B333" s="1"/>
      <c r="C333" s="3"/>
    </row>
    <row r="334" spans="2:3" ht="15.75" customHeight="1">
      <c r="B334" s="1"/>
      <c r="C334" s="3"/>
    </row>
    <row r="335" spans="2:3" ht="15.75" customHeight="1">
      <c r="B335" s="1"/>
      <c r="C335" s="3"/>
    </row>
    <row r="336" spans="2:3" ht="15.75" customHeight="1">
      <c r="B336" s="1"/>
      <c r="C336" s="3"/>
    </row>
    <row r="337" spans="2:3" ht="15.75" customHeight="1">
      <c r="B337" s="1"/>
      <c r="C337" s="3"/>
    </row>
    <row r="338" spans="2:3" ht="15.75" customHeight="1">
      <c r="B338" s="1"/>
      <c r="C338" s="3"/>
    </row>
    <row r="339" spans="2:3" ht="15.75" customHeight="1">
      <c r="B339" s="1"/>
      <c r="C339" s="3"/>
    </row>
    <row r="340" spans="2:3" ht="15.75" customHeight="1">
      <c r="B340" s="1"/>
      <c r="C340" s="3"/>
    </row>
    <row r="341" spans="2:3" ht="15.75" customHeight="1">
      <c r="B341" s="1"/>
      <c r="C341" s="3"/>
    </row>
    <row r="342" spans="2:3" ht="15.75" customHeight="1">
      <c r="B342" s="1"/>
      <c r="C342" s="3"/>
    </row>
    <row r="343" spans="2:3" ht="15.75" customHeight="1">
      <c r="B343" s="1"/>
      <c r="C343" s="3"/>
    </row>
    <row r="344" spans="2:3" ht="15.75" customHeight="1">
      <c r="B344" s="1"/>
      <c r="C344" s="3"/>
    </row>
    <row r="345" spans="2:3" ht="15.75" customHeight="1">
      <c r="B345" s="1"/>
      <c r="C345" s="3"/>
    </row>
    <row r="346" spans="2:3" ht="15.75" customHeight="1">
      <c r="B346" s="1"/>
      <c r="C346" s="3"/>
    </row>
    <row r="347" spans="2:3" ht="15.75" customHeight="1">
      <c r="B347" s="1"/>
      <c r="C347" s="3"/>
    </row>
    <row r="348" spans="2:3" ht="15.75" customHeight="1">
      <c r="B348" s="1"/>
      <c r="C348" s="3"/>
    </row>
    <row r="349" spans="2:3" ht="15.75" customHeight="1">
      <c r="B349" s="1"/>
      <c r="C349" s="3"/>
    </row>
    <row r="350" spans="2:3" ht="15.75" customHeight="1">
      <c r="B350" s="1"/>
      <c r="C350" s="3"/>
    </row>
    <row r="351" spans="2:3" ht="15.75" customHeight="1">
      <c r="B351" s="1"/>
      <c r="C351" s="3"/>
    </row>
    <row r="352" spans="2:3" ht="15.75" customHeight="1">
      <c r="B352" s="1"/>
      <c r="C352" s="3"/>
    </row>
    <row r="353" spans="2:3" ht="15.75" customHeight="1">
      <c r="B353" s="1"/>
      <c r="C353" s="3"/>
    </row>
    <row r="354" spans="2:3" ht="15.75" customHeight="1">
      <c r="B354" s="1"/>
      <c r="C354" s="3"/>
    </row>
    <row r="355" spans="2:3" ht="15.75" customHeight="1">
      <c r="B355" s="1"/>
      <c r="C355" s="3"/>
    </row>
    <row r="356" spans="2:3" ht="15.75" customHeight="1">
      <c r="B356" s="1"/>
      <c r="C356" s="3"/>
    </row>
    <row r="357" spans="2:3" ht="15.75" customHeight="1">
      <c r="B357" s="1"/>
      <c r="C357" s="3"/>
    </row>
    <row r="358" spans="2:3" ht="15.75" customHeight="1">
      <c r="B358" s="1"/>
      <c r="C358" s="3"/>
    </row>
    <row r="359" spans="2:3" ht="15.75" customHeight="1">
      <c r="B359" s="1"/>
      <c r="C359" s="3"/>
    </row>
    <row r="360" spans="2:3" ht="15.75" customHeight="1">
      <c r="B360" s="1"/>
      <c r="C360" s="3"/>
    </row>
    <row r="361" spans="2:3" ht="15.75" customHeight="1">
      <c r="B361" s="1"/>
      <c r="C361" s="3"/>
    </row>
    <row r="362" spans="2:3" ht="15.75" customHeight="1">
      <c r="B362" s="1"/>
      <c r="C362" s="3"/>
    </row>
    <row r="363" spans="2:3" ht="15.75" customHeight="1">
      <c r="B363" s="1"/>
      <c r="C363" s="3"/>
    </row>
    <row r="364" spans="2:3" ht="15.75" customHeight="1">
      <c r="B364" s="1"/>
      <c r="C364" s="3"/>
    </row>
    <row r="365" spans="2:3" ht="15.75" customHeight="1">
      <c r="B365" s="1"/>
      <c r="C365" s="3"/>
    </row>
    <row r="366" spans="2:3" ht="15.75" customHeight="1">
      <c r="B366" s="1"/>
      <c r="C366" s="3"/>
    </row>
    <row r="367" spans="2:3" ht="15.75" customHeight="1">
      <c r="B367" s="1"/>
      <c r="C367" s="3"/>
    </row>
    <row r="368" spans="2:3" ht="15.75" customHeight="1">
      <c r="B368" s="1"/>
      <c r="C368" s="3"/>
    </row>
    <row r="369" spans="2:3" ht="15.75" customHeight="1">
      <c r="B369" s="1"/>
      <c r="C369" s="3"/>
    </row>
    <row r="370" spans="2:3" ht="15.75" customHeight="1">
      <c r="B370" s="1"/>
      <c r="C370" s="3"/>
    </row>
    <row r="371" spans="2:3" ht="15.75" customHeight="1">
      <c r="B371" s="1"/>
      <c r="C371" s="3"/>
    </row>
    <row r="372" spans="2:3" ht="15.75" customHeight="1">
      <c r="B372" s="1"/>
      <c r="C372" s="3"/>
    </row>
    <row r="373" spans="2:3" ht="15.75" customHeight="1">
      <c r="B373" s="1"/>
      <c r="C373" s="3"/>
    </row>
    <row r="374" spans="2:3" ht="15.75" customHeight="1">
      <c r="B374" s="1"/>
      <c r="C374" s="3"/>
    </row>
    <row r="375" spans="2:3" ht="15.75" customHeight="1">
      <c r="B375" s="1"/>
      <c r="C375" s="3"/>
    </row>
    <row r="376" spans="2:3" ht="15.75" customHeight="1">
      <c r="B376" s="1"/>
      <c r="C376" s="3"/>
    </row>
    <row r="377" spans="2:3" ht="15.75" customHeight="1">
      <c r="B377" s="1"/>
      <c r="C377" s="3"/>
    </row>
    <row r="378" spans="2:3" ht="15.75" customHeight="1">
      <c r="B378" s="1"/>
      <c r="C378" s="3"/>
    </row>
    <row r="379" spans="2:3" ht="15.75" customHeight="1">
      <c r="B379" s="1"/>
      <c r="C379" s="3"/>
    </row>
    <row r="380" spans="2:3" ht="15.75" customHeight="1">
      <c r="B380" s="1"/>
      <c r="C380" s="3"/>
    </row>
    <row r="381" spans="2:3" ht="15.75" customHeight="1">
      <c r="B381" s="1"/>
      <c r="C381" s="3"/>
    </row>
    <row r="382" spans="2:3" ht="15.75" customHeight="1">
      <c r="B382" s="1"/>
      <c r="C382" s="3"/>
    </row>
    <row r="383" spans="2:3" ht="15.75" customHeight="1">
      <c r="B383" s="1"/>
      <c r="C383" s="3"/>
    </row>
    <row r="384" spans="2:3" ht="15.75" customHeight="1">
      <c r="B384" s="1"/>
      <c r="C384" s="3"/>
    </row>
    <row r="385" spans="2:3" ht="15.75" customHeight="1">
      <c r="B385" s="1"/>
      <c r="C385" s="3"/>
    </row>
    <row r="386" spans="2:3" ht="15.75" customHeight="1">
      <c r="B386" s="1"/>
      <c r="C386" s="3"/>
    </row>
    <row r="387" spans="2:3" ht="15.75" customHeight="1">
      <c r="B387" s="1"/>
      <c r="C387" s="3"/>
    </row>
    <row r="388" spans="2:3" ht="15.75" customHeight="1">
      <c r="B388" s="1"/>
      <c r="C388" s="3"/>
    </row>
    <row r="389" spans="2:3" ht="15.75" customHeight="1">
      <c r="B389" s="1"/>
      <c r="C389" s="3"/>
    </row>
    <row r="390" spans="2:3" ht="15.75" customHeight="1">
      <c r="B390" s="1"/>
      <c r="C390" s="3"/>
    </row>
    <row r="391" spans="2:3" ht="15.75" customHeight="1">
      <c r="B391" s="1"/>
      <c r="C391" s="3"/>
    </row>
    <row r="392" spans="2:3" ht="15.75" customHeight="1">
      <c r="B392" s="1"/>
      <c r="C392" s="3"/>
    </row>
    <row r="393" spans="2:3" ht="15.75" customHeight="1">
      <c r="B393" s="1"/>
      <c r="C393" s="3"/>
    </row>
    <row r="394" spans="2:3" ht="15.75" customHeight="1">
      <c r="B394" s="1"/>
      <c r="C394" s="3"/>
    </row>
    <row r="395" spans="2:3" ht="15.75" customHeight="1">
      <c r="B395" s="1"/>
      <c r="C395" s="3"/>
    </row>
    <row r="396" spans="2:3" ht="15.75" customHeight="1">
      <c r="B396" s="1"/>
      <c r="C396" s="3"/>
    </row>
    <row r="397" spans="2:3" ht="15.75" customHeight="1">
      <c r="B397" s="1"/>
      <c r="C397" s="3"/>
    </row>
    <row r="398" spans="2:3" ht="15.75" customHeight="1">
      <c r="B398" s="1"/>
      <c r="C398" s="3"/>
    </row>
    <row r="399" spans="2:3" ht="15.75" customHeight="1">
      <c r="B399" s="1"/>
      <c r="C399" s="3"/>
    </row>
    <row r="400" spans="2:3" ht="15.75" customHeight="1">
      <c r="B400" s="1"/>
      <c r="C400" s="3"/>
    </row>
    <row r="401" spans="2:3" ht="15.75" customHeight="1">
      <c r="B401" s="1"/>
      <c r="C401" s="3"/>
    </row>
    <row r="402" spans="2:3" ht="15.75" customHeight="1">
      <c r="B402" s="1"/>
      <c r="C402" s="3"/>
    </row>
    <row r="403" spans="2:3" ht="15.75" customHeight="1">
      <c r="B403" s="1"/>
      <c r="C403" s="3"/>
    </row>
    <row r="404" spans="2:3" ht="15.75" customHeight="1">
      <c r="B404" s="1"/>
      <c r="C404" s="3"/>
    </row>
    <row r="405" spans="2:3" ht="15.75" customHeight="1">
      <c r="B405" s="1"/>
      <c r="C405" s="3"/>
    </row>
    <row r="406" spans="2:3" ht="15.75" customHeight="1">
      <c r="B406" s="1"/>
      <c r="C406" s="3"/>
    </row>
    <row r="407" spans="2:3" ht="15.75" customHeight="1">
      <c r="B407" s="1"/>
      <c r="C407" s="3"/>
    </row>
    <row r="408" spans="2:3" ht="15.75" customHeight="1">
      <c r="B408" s="1"/>
      <c r="C408" s="3"/>
    </row>
    <row r="409" spans="2:3" ht="15.75" customHeight="1">
      <c r="B409" s="1"/>
      <c r="C409" s="3"/>
    </row>
    <row r="410" spans="2:3" ht="15.75" customHeight="1">
      <c r="B410" s="1"/>
      <c r="C410" s="3"/>
    </row>
    <row r="411" spans="2:3" ht="15.75" customHeight="1">
      <c r="B411" s="1"/>
      <c r="C411" s="3"/>
    </row>
    <row r="412" spans="2:3" ht="15.75" customHeight="1">
      <c r="B412" s="1"/>
      <c r="C412" s="3"/>
    </row>
    <row r="413" spans="2:3" ht="15.75" customHeight="1">
      <c r="B413" s="1"/>
      <c r="C413" s="3"/>
    </row>
    <row r="414" spans="2:3" ht="15.75" customHeight="1">
      <c r="B414" s="1"/>
      <c r="C414" s="3"/>
    </row>
    <row r="415" spans="2:3" ht="15.75" customHeight="1">
      <c r="B415" s="1"/>
      <c r="C415" s="3"/>
    </row>
    <row r="416" spans="2:3" ht="15.75" customHeight="1">
      <c r="B416" s="1"/>
      <c r="C416" s="3"/>
    </row>
    <row r="417" spans="2:3" ht="15.75" customHeight="1">
      <c r="B417" s="1"/>
      <c r="C417" s="3"/>
    </row>
    <row r="418" spans="2:3" ht="15.75" customHeight="1">
      <c r="B418" s="1"/>
      <c r="C418" s="3"/>
    </row>
    <row r="419" spans="2:3" ht="15.75" customHeight="1">
      <c r="B419" s="1"/>
      <c r="C419" s="3"/>
    </row>
    <row r="420" spans="2:3" ht="15.75" customHeight="1">
      <c r="B420" s="1"/>
      <c r="C420" s="3"/>
    </row>
    <row r="421" spans="2:3" ht="15.75" customHeight="1">
      <c r="B421" s="1"/>
      <c r="C421" s="3"/>
    </row>
    <row r="422" spans="2:3" ht="15.75" customHeight="1">
      <c r="B422" s="1"/>
      <c r="C422" s="3"/>
    </row>
    <row r="423" spans="2:3" ht="15.75" customHeight="1">
      <c r="B423" s="1"/>
      <c r="C423" s="3"/>
    </row>
    <row r="424" spans="2:3" ht="15.75" customHeight="1">
      <c r="B424" s="1"/>
      <c r="C424" s="3"/>
    </row>
    <row r="425" spans="2:3" ht="15.75" customHeight="1">
      <c r="B425" s="1"/>
      <c r="C425" s="3"/>
    </row>
    <row r="426" spans="2:3" ht="15.75" customHeight="1">
      <c r="B426" s="1"/>
      <c r="C426" s="3"/>
    </row>
    <row r="427" spans="2:3" ht="15.75" customHeight="1">
      <c r="B427" s="1"/>
      <c r="C427" s="3"/>
    </row>
    <row r="428" spans="2:3" ht="15.75" customHeight="1">
      <c r="B428" s="1"/>
      <c r="C428" s="3"/>
    </row>
    <row r="429" spans="2:3" ht="15.75" customHeight="1">
      <c r="B429" s="1"/>
      <c r="C429" s="3"/>
    </row>
    <row r="430" spans="2:3" ht="15.75" customHeight="1">
      <c r="B430" s="1"/>
      <c r="C430" s="3"/>
    </row>
    <row r="431" spans="2:3" ht="15.75" customHeight="1">
      <c r="B431" s="1"/>
      <c r="C431" s="3"/>
    </row>
    <row r="432" spans="2:3" ht="15.75" customHeight="1">
      <c r="B432" s="1"/>
      <c r="C432" s="3"/>
    </row>
    <row r="433" spans="2:3" ht="15.75" customHeight="1">
      <c r="B433" s="1"/>
      <c r="C433" s="3"/>
    </row>
    <row r="434" spans="2:3" ht="15.75" customHeight="1">
      <c r="B434" s="1"/>
      <c r="C434" s="3"/>
    </row>
    <row r="435" spans="2:3" ht="15.75" customHeight="1">
      <c r="B435" s="1"/>
      <c r="C435" s="3"/>
    </row>
    <row r="436" spans="2:3" ht="15.75" customHeight="1">
      <c r="B436" s="1"/>
      <c r="C436" s="3"/>
    </row>
    <row r="437" spans="2:3" ht="15.75" customHeight="1">
      <c r="B437" s="1"/>
      <c r="C437" s="3"/>
    </row>
    <row r="438" spans="2:3" ht="15.75" customHeight="1">
      <c r="B438" s="1"/>
      <c r="C438" s="3"/>
    </row>
    <row r="439" spans="2:3" ht="15.75" customHeight="1">
      <c r="B439" s="1"/>
      <c r="C439" s="3"/>
    </row>
    <row r="440" spans="2:3" ht="15.75" customHeight="1">
      <c r="B440" s="1"/>
      <c r="C440" s="3"/>
    </row>
    <row r="441" spans="2:3" ht="15.75" customHeight="1">
      <c r="B441" s="1"/>
      <c r="C441" s="3"/>
    </row>
    <row r="442" spans="2:3" ht="15.75" customHeight="1">
      <c r="B442" s="1"/>
      <c r="C442" s="3"/>
    </row>
    <row r="443" spans="2:3" ht="15.75" customHeight="1">
      <c r="B443" s="1"/>
      <c r="C443" s="3"/>
    </row>
    <row r="444" spans="2:3" ht="15.75" customHeight="1">
      <c r="B444" s="1"/>
      <c r="C444" s="3"/>
    </row>
    <row r="445" spans="2:3" ht="15.75" customHeight="1">
      <c r="B445" s="1"/>
      <c r="C445" s="3"/>
    </row>
    <row r="446" spans="2:3" ht="15.75" customHeight="1">
      <c r="B446" s="1"/>
      <c r="C446" s="3"/>
    </row>
    <row r="447" spans="2:3" ht="15.75" customHeight="1">
      <c r="B447" s="1"/>
      <c r="C447" s="3"/>
    </row>
    <row r="448" spans="2:3" ht="15.75" customHeight="1">
      <c r="B448" s="1"/>
      <c r="C448" s="3"/>
    </row>
    <row r="449" spans="2:3" ht="15.75" customHeight="1">
      <c r="B449" s="1"/>
      <c r="C449" s="3"/>
    </row>
    <row r="450" spans="2:3" ht="15.75" customHeight="1">
      <c r="B450" s="1"/>
      <c r="C450" s="3"/>
    </row>
    <row r="451" spans="2:3" ht="15.75" customHeight="1">
      <c r="B451" s="1"/>
      <c r="C451" s="3"/>
    </row>
    <row r="452" spans="2:3" ht="15.75" customHeight="1">
      <c r="B452" s="1"/>
      <c r="C452" s="3"/>
    </row>
    <row r="453" spans="2:3" ht="15.75" customHeight="1">
      <c r="B453" s="1"/>
      <c r="C453" s="3"/>
    </row>
    <row r="454" spans="2:3" ht="15.75" customHeight="1">
      <c r="B454" s="1"/>
      <c r="C454" s="3"/>
    </row>
    <row r="455" spans="2:3" ht="15.75" customHeight="1">
      <c r="B455" s="1"/>
      <c r="C455" s="3"/>
    </row>
    <row r="456" spans="2:3" ht="15.75" customHeight="1">
      <c r="B456" s="1"/>
      <c r="C456" s="3"/>
    </row>
    <row r="457" spans="2:3" ht="15.75" customHeight="1">
      <c r="B457" s="1"/>
      <c r="C457" s="3"/>
    </row>
    <row r="458" spans="2:3" ht="15.75" customHeight="1">
      <c r="B458" s="1"/>
      <c r="C458" s="3"/>
    </row>
    <row r="459" spans="2:3" ht="15.75" customHeight="1">
      <c r="B459" s="1"/>
      <c r="C459" s="3"/>
    </row>
    <row r="460" spans="2:3" ht="15.75" customHeight="1">
      <c r="B460" s="1"/>
      <c r="C460" s="3"/>
    </row>
    <row r="461" spans="2:3" ht="15.75" customHeight="1">
      <c r="B461" s="1"/>
      <c r="C461" s="3"/>
    </row>
    <row r="462" spans="2:3" ht="15.75" customHeight="1">
      <c r="B462" s="1"/>
      <c r="C462" s="3"/>
    </row>
    <row r="463" spans="2:3" ht="15.75" customHeight="1">
      <c r="B463" s="1"/>
      <c r="C463" s="3"/>
    </row>
    <row r="464" spans="2:3" ht="15.75" customHeight="1">
      <c r="B464" s="1"/>
      <c r="C464" s="3"/>
    </row>
    <row r="465" spans="2:3" ht="15.75" customHeight="1">
      <c r="B465" s="1"/>
      <c r="C465" s="3"/>
    </row>
    <row r="466" spans="2:3" ht="15.75" customHeight="1">
      <c r="B466" s="1"/>
      <c r="C466" s="3"/>
    </row>
    <row r="467" spans="2:3" ht="15.75" customHeight="1">
      <c r="B467" s="1"/>
      <c r="C467" s="3"/>
    </row>
    <row r="468" spans="2:3" ht="15.75" customHeight="1">
      <c r="B468" s="1"/>
      <c r="C468" s="3"/>
    </row>
    <row r="469" spans="2:3" ht="15.75" customHeight="1">
      <c r="B469" s="1"/>
      <c r="C469" s="3"/>
    </row>
    <row r="470" spans="2:3" ht="15.75" customHeight="1">
      <c r="B470" s="1"/>
      <c r="C470" s="3"/>
    </row>
    <row r="471" spans="2:3" ht="15.75" customHeight="1">
      <c r="B471" s="1"/>
      <c r="C471" s="3"/>
    </row>
    <row r="472" spans="2:3" ht="15.75" customHeight="1">
      <c r="B472" s="1"/>
      <c r="C472" s="3"/>
    </row>
    <row r="473" spans="2:3" ht="15.75" customHeight="1">
      <c r="B473" s="1"/>
      <c r="C473" s="3"/>
    </row>
    <row r="474" spans="2:3" ht="15.75" customHeight="1">
      <c r="B474" s="1"/>
      <c r="C474" s="3"/>
    </row>
    <row r="475" spans="2:3" ht="15.75" customHeight="1">
      <c r="B475" s="1"/>
      <c r="C475" s="3"/>
    </row>
    <row r="476" spans="2:3" ht="15.75" customHeight="1">
      <c r="B476" s="1"/>
      <c r="C476" s="3"/>
    </row>
    <row r="477" spans="2:3" ht="15.75" customHeight="1">
      <c r="B477" s="1"/>
      <c r="C477" s="3"/>
    </row>
    <row r="478" spans="2:3" ht="15.75" customHeight="1">
      <c r="B478" s="1"/>
      <c r="C478" s="3"/>
    </row>
    <row r="479" spans="2:3" ht="15.75" customHeight="1">
      <c r="B479" s="1"/>
      <c r="C479" s="3"/>
    </row>
    <row r="480" spans="2:3" ht="15.75" customHeight="1">
      <c r="B480" s="1"/>
      <c r="C480" s="3"/>
    </row>
    <row r="481" spans="2:3" ht="15.75" customHeight="1">
      <c r="B481" s="1"/>
      <c r="C481" s="3"/>
    </row>
    <row r="482" spans="2:3" ht="15.75" customHeight="1">
      <c r="B482" s="1"/>
      <c r="C482" s="3"/>
    </row>
    <row r="483" spans="2:3" ht="15.75" customHeight="1">
      <c r="B483" s="1"/>
      <c r="C483" s="3"/>
    </row>
    <row r="484" spans="2:3" ht="15.75" customHeight="1">
      <c r="B484" s="1"/>
      <c r="C484" s="3"/>
    </row>
    <row r="485" spans="2:3" ht="15.75" customHeight="1">
      <c r="B485" s="1"/>
      <c r="C485" s="3"/>
    </row>
    <row r="486" spans="2:3" ht="15.75" customHeight="1">
      <c r="B486" s="1"/>
      <c r="C486" s="3"/>
    </row>
    <row r="487" spans="2:3" ht="15.75" customHeight="1">
      <c r="B487" s="1"/>
      <c r="C487" s="3"/>
    </row>
    <row r="488" spans="2:3" ht="15.75" customHeight="1">
      <c r="B488" s="1"/>
      <c r="C488" s="3"/>
    </row>
    <row r="489" spans="2:3" ht="15.75" customHeight="1">
      <c r="B489" s="1"/>
      <c r="C489" s="3"/>
    </row>
    <row r="490" spans="2:3" ht="15.75" customHeight="1">
      <c r="B490" s="1"/>
      <c r="C490" s="3"/>
    </row>
    <row r="491" spans="2:3" ht="15.75" customHeight="1">
      <c r="B491" s="1"/>
      <c r="C491" s="3"/>
    </row>
    <row r="492" spans="2:3" ht="15.75" customHeight="1">
      <c r="B492" s="1"/>
      <c r="C492" s="3"/>
    </row>
    <row r="493" spans="2:3" ht="15.75" customHeight="1">
      <c r="B493" s="1"/>
      <c r="C493" s="3"/>
    </row>
    <row r="494" spans="2:3" ht="15.75" customHeight="1">
      <c r="B494" s="1"/>
      <c r="C494" s="3"/>
    </row>
    <row r="495" spans="2:3" ht="15.75" customHeight="1">
      <c r="B495" s="1"/>
      <c r="C495" s="3"/>
    </row>
    <row r="496" spans="2:3" ht="15.75" customHeight="1">
      <c r="B496" s="1"/>
      <c r="C496" s="3"/>
    </row>
    <row r="497" spans="2:3" ht="15.75" customHeight="1">
      <c r="B497" s="1"/>
      <c r="C497" s="3"/>
    </row>
    <row r="498" spans="2:3" ht="15.75" customHeight="1">
      <c r="B498" s="1"/>
      <c r="C498" s="3"/>
    </row>
    <row r="499" spans="2:3" ht="15.75" customHeight="1">
      <c r="B499" s="1"/>
      <c r="C499" s="3"/>
    </row>
    <row r="500" spans="2:3" ht="15.75" customHeight="1">
      <c r="B500" s="1"/>
      <c r="C500" s="3"/>
    </row>
    <row r="501" spans="2:3" ht="15.75" customHeight="1">
      <c r="B501" s="1"/>
      <c r="C501" s="3"/>
    </row>
    <row r="502" spans="2:3" ht="15.75" customHeight="1">
      <c r="B502" s="1"/>
      <c r="C502" s="3"/>
    </row>
    <row r="503" spans="2:3" ht="15.75" customHeight="1">
      <c r="B503" s="1"/>
      <c r="C503" s="3"/>
    </row>
    <row r="504" spans="2:3" ht="15.75" customHeight="1">
      <c r="B504" s="1"/>
      <c r="C504" s="3"/>
    </row>
    <row r="505" spans="2:3" ht="15.75" customHeight="1">
      <c r="B505" s="1"/>
      <c r="C505" s="3"/>
    </row>
    <row r="506" spans="2:3" ht="15.75" customHeight="1">
      <c r="B506" s="1"/>
      <c r="C506" s="3"/>
    </row>
    <row r="507" spans="2:3" ht="15.75" customHeight="1">
      <c r="B507" s="1"/>
      <c r="C507" s="3"/>
    </row>
    <row r="508" spans="2:3" ht="15.75" customHeight="1">
      <c r="B508" s="1"/>
      <c r="C508" s="3"/>
    </row>
    <row r="509" spans="2:3" ht="15.75" customHeight="1">
      <c r="B509" s="1"/>
      <c r="C509" s="3"/>
    </row>
    <row r="510" spans="2:3" ht="15.75" customHeight="1">
      <c r="B510" s="1"/>
      <c r="C510" s="3"/>
    </row>
    <row r="511" spans="2:3" ht="15.75" customHeight="1">
      <c r="B511" s="1"/>
      <c r="C511" s="3"/>
    </row>
    <row r="512" spans="2:3" ht="15.75" customHeight="1">
      <c r="B512" s="1"/>
      <c r="C512" s="3"/>
    </row>
    <row r="513" spans="2:3" ht="15.75" customHeight="1">
      <c r="B513" s="1"/>
      <c r="C513" s="3"/>
    </row>
    <row r="514" spans="2:3" ht="15.75" customHeight="1">
      <c r="B514" s="1"/>
      <c r="C514" s="3"/>
    </row>
    <row r="515" spans="2:3" ht="15.75" customHeight="1">
      <c r="B515" s="1"/>
      <c r="C515" s="3"/>
    </row>
    <row r="516" spans="2:3" ht="15.75" customHeight="1">
      <c r="B516" s="1"/>
      <c r="C516" s="3"/>
    </row>
    <row r="517" spans="2:3" ht="15.75" customHeight="1">
      <c r="B517" s="1"/>
      <c r="C517" s="3"/>
    </row>
    <row r="518" spans="2:3" ht="15.75" customHeight="1">
      <c r="B518" s="1"/>
      <c r="C518" s="3"/>
    </row>
    <row r="519" spans="2:3" ht="15.75" customHeight="1">
      <c r="B519" s="1"/>
      <c r="C519" s="3"/>
    </row>
    <row r="520" spans="2:3" ht="15.75" customHeight="1">
      <c r="B520" s="1"/>
      <c r="C520" s="3"/>
    </row>
    <row r="521" spans="2:3" ht="15.75" customHeight="1">
      <c r="B521" s="1"/>
      <c r="C521" s="3"/>
    </row>
    <row r="522" spans="2:3" ht="15.75" customHeight="1">
      <c r="B522" s="1"/>
      <c r="C522" s="3"/>
    </row>
    <row r="523" spans="2:3" ht="15.75" customHeight="1">
      <c r="B523" s="1"/>
      <c r="C523" s="3"/>
    </row>
    <row r="524" spans="2:3" ht="15.75" customHeight="1">
      <c r="B524" s="1"/>
      <c r="C524" s="3"/>
    </row>
    <row r="525" spans="2:3" ht="15.75" customHeight="1">
      <c r="B525" s="1"/>
      <c r="C525" s="3"/>
    </row>
    <row r="526" spans="2:3" ht="15.75" customHeight="1">
      <c r="B526" s="1"/>
      <c r="C526" s="3"/>
    </row>
    <row r="527" spans="2:3" ht="15.75" customHeight="1">
      <c r="B527" s="1"/>
      <c r="C527" s="3"/>
    </row>
    <row r="528" spans="2:3" ht="15.75" customHeight="1">
      <c r="B528" s="1"/>
      <c r="C528" s="3"/>
    </row>
    <row r="529" spans="2:3" ht="15.75" customHeight="1">
      <c r="B529" s="1"/>
      <c r="C529" s="3"/>
    </row>
    <row r="530" spans="2:3" ht="15.75" customHeight="1">
      <c r="B530" s="1"/>
      <c r="C530" s="3"/>
    </row>
    <row r="531" spans="2:3" ht="15.75" customHeight="1">
      <c r="B531" s="1"/>
      <c r="C531" s="3"/>
    </row>
    <row r="532" spans="2:3" ht="15.75" customHeight="1">
      <c r="B532" s="1"/>
      <c r="C532" s="3"/>
    </row>
    <row r="533" spans="2:3" ht="15.75" customHeight="1">
      <c r="B533" s="1"/>
      <c r="C533" s="3"/>
    </row>
    <row r="534" spans="2:3" ht="15.75" customHeight="1">
      <c r="B534" s="1"/>
      <c r="C534" s="3"/>
    </row>
    <row r="535" spans="2:3" ht="15.75" customHeight="1">
      <c r="B535" s="1"/>
      <c r="C535" s="3"/>
    </row>
    <row r="536" spans="2:3" ht="15.75" customHeight="1">
      <c r="B536" s="1"/>
      <c r="C536" s="3"/>
    </row>
    <row r="537" spans="2:3" ht="15.75" customHeight="1">
      <c r="B537" s="1"/>
      <c r="C537" s="3"/>
    </row>
    <row r="538" spans="2:3" ht="15.75" customHeight="1">
      <c r="B538" s="1"/>
      <c r="C538" s="3"/>
    </row>
    <row r="539" spans="2:3" ht="15.75" customHeight="1">
      <c r="B539" s="1"/>
      <c r="C539" s="3"/>
    </row>
    <row r="540" spans="2:3" ht="15.75" customHeight="1">
      <c r="B540" s="1"/>
      <c r="C540" s="3"/>
    </row>
    <row r="541" spans="2:3" ht="15.75" customHeight="1">
      <c r="B541" s="1"/>
      <c r="C541" s="3"/>
    </row>
    <row r="542" spans="2:3" ht="15.75" customHeight="1">
      <c r="B542" s="1"/>
      <c r="C542" s="3"/>
    </row>
    <row r="543" spans="2:3" ht="15.75" customHeight="1">
      <c r="B543" s="1"/>
      <c r="C543" s="3"/>
    </row>
    <row r="544" spans="2:3" ht="15.75" customHeight="1">
      <c r="B544" s="1"/>
      <c r="C544" s="3"/>
    </row>
    <row r="545" spans="2:3" ht="15.75" customHeight="1">
      <c r="B545" s="1"/>
      <c r="C545" s="3"/>
    </row>
    <row r="546" spans="2:3" ht="15.75" customHeight="1">
      <c r="B546" s="1"/>
      <c r="C546" s="3"/>
    </row>
    <row r="547" spans="2:3" ht="15.75" customHeight="1">
      <c r="B547" s="1"/>
      <c r="C547" s="3"/>
    </row>
    <row r="548" spans="2:3" ht="15.75" customHeight="1">
      <c r="B548" s="1"/>
      <c r="C548" s="3"/>
    </row>
    <row r="549" spans="2:3" ht="15.75" customHeight="1">
      <c r="B549" s="1"/>
      <c r="C549" s="3"/>
    </row>
    <row r="550" spans="2:3" ht="15.75" customHeight="1">
      <c r="B550" s="1"/>
      <c r="C550" s="3"/>
    </row>
    <row r="551" spans="2:3" ht="15.75" customHeight="1">
      <c r="B551" s="1"/>
      <c r="C551" s="3"/>
    </row>
    <row r="552" spans="2:3" ht="15.75" customHeight="1">
      <c r="B552" s="1"/>
      <c r="C552" s="3"/>
    </row>
    <row r="553" spans="2:3" ht="15.75" customHeight="1">
      <c r="B553" s="1"/>
      <c r="C553" s="3"/>
    </row>
    <row r="554" spans="2:3" ht="15.75" customHeight="1">
      <c r="B554" s="1"/>
      <c r="C554" s="3"/>
    </row>
    <row r="555" spans="2:3" ht="15.75" customHeight="1">
      <c r="B555" s="1"/>
      <c r="C555" s="3"/>
    </row>
    <row r="556" spans="2:3" ht="15.75" customHeight="1">
      <c r="B556" s="1"/>
      <c r="C556" s="3"/>
    </row>
    <row r="557" spans="2:3" ht="15.75" customHeight="1">
      <c r="B557" s="1"/>
      <c r="C557" s="3"/>
    </row>
    <row r="558" spans="2:3" ht="15.75" customHeight="1">
      <c r="B558" s="1"/>
      <c r="C558" s="3"/>
    </row>
    <row r="559" spans="2:3" ht="15.75" customHeight="1">
      <c r="B559" s="1"/>
      <c r="C559" s="3"/>
    </row>
    <row r="560" spans="2:3" ht="15.75" customHeight="1">
      <c r="B560" s="1"/>
      <c r="C560" s="3"/>
    </row>
    <row r="561" spans="2:3" ht="15.75" customHeight="1">
      <c r="B561" s="1"/>
      <c r="C561" s="3"/>
    </row>
    <row r="562" spans="2:3" ht="15.75" customHeight="1">
      <c r="B562" s="1"/>
      <c r="C562" s="3"/>
    </row>
    <row r="563" spans="2:3" ht="15.75" customHeight="1">
      <c r="B563" s="1"/>
      <c r="C563" s="3"/>
    </row>
    <row r="564" spans="2:3" ht="15.75" customHeight="1">
      <c r="B564" s="1"/>
      <c r="C564" s="3"/>
    </row>
    <row r="565" spans="2:3" ht="15.75" customHeight="1">
      <c r="B565" s="1"/>
      <c r="C565" s="3"/>
    </row>
    <row r="566" spans="2:3" ht="15.75" customHeight="1">
      <c r="B566" s="1"/>
      <c r="C566" s="3"/>
    </row>
    <row r="567" spans="2:3" ht="15.75" customHeight="1">
      <c r="B567" s="1"/>
      <c r="C567" s="3"/>
    </row>
    <row r="568" spans="2:3" ht="15.75" customHeight="1">
      <c r="B568" s="1"/>
      <c r="C568" s="3"/>
    </row>
    <row r="569" spans="2:3" ht="15.75" customHeight="1">
      <c r="B569" s="1"/>
      <c r="C569" s="3"/>
    </row>
    <row r="570" spans="2:3" ht="15.75" customHeight="1">
      <c r="B570" s="1"/>
      <c r="C570" s="3"/>
    </row>
    <row r="571" spans="2:3" ht="15.75" customHeight="1">
      <c r="B571" s="1"/>
      <c r="C571" s="3"/>
    </row>
    <row r="572" spans="2:3" ht="15.75" customHeight="1">
      <c r="B572" s="1"/>
      <c r="C572" s="3"/>
    </row>
    <row r="573" spans="2:3" ht="15.75" customHeight="1">
      <c r="B573" s="1"/>
      <c r="C573" s="3"/>
    </row>
    <row r="574" spans="2:3" ht="15.75" customHeight="1">
      <c r="B574" s="1"/>
      <c r="C574" s="3"/>
    </row>
    <row r="575" spans="2:3" ht="15.75" customHeight="1">
      <c r="B575" s="1"/>
      <c r="C575" s="3"/>
    </row>
    <row r="576" spans="2:3" ht="15.75" customHeight="1">
      <c r="B576" s="1"/>
      <c r="C576" s="3"/>
    </row>
    <row r="577" spans="2:3" ht="15.75" customHeight="1">
      <c r="B577" s="1"/>
      <c r="C577" s="3"/>
    </row>
    <row r="578" spans="2:3" ht="15.75" customHeight="1">
      <c r="B578" s="1"/>
      <c r="C578" s="3"/>
    </row>
    <row r="579" spans="2:3" ht="15.75" customHeight="1">
      <c r="B579" s="1"/>
      <c r="C579" s="3"/>
    </row>
    <row r="580" spans="2:3" ht="15.75" customHeight="1">
      <c r="B580" s="1"/>
      <c r="C580" s="3"/>
    </row>
    <row r="581" spans="2:3" ht="15.75" customHeight="1">
      <c r="B581" s="1"/>
      <c r="C581" s="3"/>
    </row>
    <row r="582" spans="2:3" ht="15.75" customHeight="1">
      <c r="B582" s="1"/>
      <c r="C582" s="3"/>
    </row>
    <row r="583" spans="2:3" ht="15.75" customHeight="1">
      <c r="B583" s="1"/>
      <c r="C583" s="3"/>
    </row>
    <row r="584" spans="2:3" ht="15.75" customHeight="1">
      <c r="B584" s="1"/>
      <c r="C584" s="3"/>
    </row>
    <row r="585" spans="2:3" ht="15.75" customHeight="1">
      <c r="B585" s="1"/>
      <c r="C585" s="3"/>
    </row>
    <row r="586" spans="2:3" ht="15.75" customHeight="1">
      <c r="B586" s="1"/>
      <c r="C586" s="3"/>
    </row>
    <row r="587" spans="2:3" ht="15.75" customHeight="1">
      <c r="B587" s="1"/>
      <c r="C587" s="3"/>
    </row>
    <row r="588" spans="2:3" ht="15.75" customHeight="1">
      <c r="B588" s="1"/>
      <c r="C588" s="3"/>
    </row>
    <row r="589" spans="2:3" ht="15.75" customHeight="1">
      <c r="B589" s="1"/>
      <c r="C589" s="3"/>
    </row>
    <row r="590" spans="2:3" ht="15.75" customHeight="1">
      <c r="B590" s="1"/>
      <c r="C590" s="3"/>
    </row>
    <row r="591" spans="2:3" ht="15.75" customHeight="1">
      <c r="B591" s="1"/>
      <c r="C591" s="3"/>
    </row>
    <row r="592" spans="2:3" ht="15.75" customHeight="1">
      <c r="B592" s="1"/>
      <c r="C592" s="3"/>
    </row>
    <row r="593" spans="2:3" ht="15.75" customHeight="1">
      <c r="B593" s="1"/>
      <c r="C593" s="3"/>
    </row>
    <row r="594" spans="2:3" ht="15.75" customHeight="1">
      <c r="B594" s="1"/>
      <c r="C594" s="3"/>
    </row>
    <row r="595" spans="2:3" ht="15.75" customHeight="1">
      <c r="B595" s="1"/>
      <c r="C595" s="3"/>
    </row>
    <row r="596" spans="2:3" ht="15.75" customHeight="1">
      <c r="B596" s="1"/>
      <c r="C596" s="3"/>
    </row>
    <row r="597" spans="2:3" ht="15.75" customHeight="1">
      <c r="B597" s="1"/>
      <c r="C597" s="3"/>
    </row>
    <row r="598" spans="2:3" ht="15.75" customHeight="1"/>
    <row r="599" spans="2:3" ht="15.75" customHeight="1"/>
    <row r="600" spans="2:3" ht="15.75" customHeight="1"/>
    <row r="601" spans="2:3" ht="15.75" customHeight="1"/>
    <row r="602" spans="2:3" ht="15.75" customHeight="1"/>
    <row r="603" spans="2:3" ht="15.75" customHeight="1"/>
    <row r="604" spans="2:3" ht="15.75" customHeight="1"/>
    <row r="605" spans="2:3" ht="15.75" customHeight="1"/>
    <row r="606" spans="2:3" ht="15.75" customHeight="1"/>
    <row r="607" spans="2:3" ht="15.75" customHeight="1"/>
    <row r="608" spans="2:3"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sheetData>
  <autoFilter ref="F5:K48" xr:uid="{55924CE6-4E9D-4AEA-98FD-357A304C8D0A}"/>
  <mergeCells count="19">
    <mergeCell ref="B6:B47"/>
    <mergeCell ref="Z3:AB3"/>
    <mergeCell ref="AC3:AE3"/>
    <mergeCell ref="AF3:AH3"/>
    <mergeCell ref="AI3:AK3"/>
    <mergeCell ref="B2:B5"/>
    <mergeCell ref="C2:C5"/>
    <mergeCell ref="D2:D5"/>
    <mergeCell ref="E2:E5"/>
    <mergeCell ref="F2:AT2"/>
    <mergeCell ref="F3:M3"/>
    <mergeCell ref="N3:P3"/>
    <mergeCell ref="Q3:S3"/>
    <mergeCell ref="T3:V3"/>
    <mergeCell ref="W3:Y3"/>
    <mergeCell ref="AT3:AT5"/>
    <mergeCell ref="F4:K4"/>
    <mergeCell ref="AL3:AN3"/>
    <mergeCell ref="AO3:AS3"/>
  </mergeCells>
  <hyperlinks>
    <hyperlink ref="F31" r:id="rId1" display="COTIZACIONES\FRA 5646.pdf" xr:uid="{5C7BC302-F944-4241-8F6B-4D92A8623DC9}"/>
    <hyperlink ref="F35" r:id="rId2" display="COTIZACIONES\FRA 5646.pdf" xr:uid="{90F72435-0FF9-4B54-AD94-946A82AAF7D6}"/>
    <hyperlink ref="F19" r:id="rId3" display="COTIZACIONES\FEV1187.pdf" xr:uid="{383F60A3-41A0-4B01-8CAE-E9FAA0B737C5}"/>
    <hyperlink ref="F17" r:id="rId4" display="COTIZACIONES\FE2405.pdf" xr:uid="{3ED9E211-85EA-46F6-8B65-34A1AD012E11}"/>
    <hyperlink ref="F7" r:id="rId5" display="../../../../../../../:b:/g/personal/42828314_medellin_gov_co/EUm91MMbW19Nn7xvgv_6Q24BwDs0mWTh1VNY6lR5agPHYw?e=FkW25a" xr:uid="{4051AE61-273A-4369-8889-CA629A43A84D}"/>
    <hyperlink ref="F28" r:id="rId6" display="COTIZACIONES\FE2423.pdf" xr:uid="{9C3E48A1-C712-4C46-9808-A2DAE1A90144}"/>
    <hyperlink ref="F22" r:id="rId7" display="COTIZACIONES\FE2423.pdf" xr:uid="{70CB94A8-4F60-4E45-8CAB-6776B02A15E7}"/>
    <hyperlink ref="F25" r:id="rId8" display="COTIZACIONES\FE2423.pdf" xr:uid="{929E8501-08E8-4202-B284-A03279E71991}"/>
    <hyperlink ref="H35" r:id="rId9" display="COTIZACIONES\FE2421.pdf" xr:uid="{BCF4AA60-3956-4C7F-94E1-084F97FE9BE0}"/>
    <hyperlink ref="F10" r:id="rId10" display="../../../../../../../:b:/g/personal/42828314_medellin_gov_co/EamKsq5mggpHhUqTNYbS9H8BJP_-8H6mcf5KcrRXbaTysg?e=Rw3v1Q" xr:uid="{45303466-A3F1-443B-8AEB-31F779A86ABA}"/>
    <hyperlink ref="F40" r:id="rId11" display="COTIZACIONES\FE2421.pdf" xr:uid="{ABEF4BB3-BF18-40FC-AFF4-E38B6CD7132C}"/>
    <hyperlink ref="F41" r:id="rId12" display="COTIZACIONES\FE2421.pdf" xr:uid="{8E352549-C1E3-4B05-9C57-E4636852E76C}"/>
    <hyperlink ref="F42" r:id="rId13" display="COTIZACIONES\FE2421.pdf" xr:uid="{9D0A597D-B4B6-4BF4-8F52-E44987C8E727}"/>
    <hyperlink ref="F43" r:id="rId14" display="COTIZACIONES\FE2421.pdf" xr:uid="{2B8DF40A-AC81-4CE0-9473-A09B2541F065}"/>
    <hyperlink ref="F13" r:id="rId15" display="COTIZACIONES\FE2421.pdf" xr:uid="{5F47AD92-4A1E-4B3A-8F9D-52A0B7874883}"/>
    <hyperlink ref="F24" r:id="rId16" display="COTIZACIONES\FE2421.pdf" xr:uid="{DA73833E-EED5-4469-99C2-F8407808E74D}"/>
    <hyperlink ref="F30" r:id="rId17" display="COTIZACIONES\FE2403.pdf" xr:uid="{486A53AD-ECDC-420B-AC1D-804E62DE465E}"/>
    <hyperlink ref="F36" r:id="rId18" display="COTIZACIONES\FE2413.pdf" xr:uid="{33AFC2FC-90A6-4264-BC47-6CA4DD81E020}"/>
    <hyperlink ref="F37" r:id="rId19" display="COTIZACIONES\FE2413.pdf" xr:uid="{DD29D8E7-7A04-4452-86B6-3BE53E37730B}"/>
    <hyperlink ref="F20" r:id="rId20" display="COTIZACIONES\FE2412.pdf" xr:uid="{69C27107-4011-4F6D-B1D2-517CF9EA5885}"/>
    <hyperlink ref="F14" r:id="rId21" display="COTIZACIONES\FE2415.pdf" xr:uid="{396FDBCE-586A-4C2B-B652-C19073CE1C76}"/>
    <hyperlink ref="F47" r:id="rId22" display="COTIZACIONES\FE2415.pdf" xr:uid="{75AF3D3F-6535-4263-83AB-23DAA9D56DAA}"/>
    <hyperlink ref="F29" r:id="rId23" display="COTIZACIONES\FE2415.pdf" xr:uid="{70874B49-372B-45A7-B29F-5927E3F0A350}"/>
    <hyperlink ref="F23" r:id="rId24" display="COTIZACIONES\FE2419.pdf" xr:uid="{735D9ED0-793E-4181-B4ED-C46C36A90771}"/>
    <hyperlink ref="F38" r:id="rId25" display="COTIZACIONES\FE2414.pdf" xr:uid="{10BC899C-7BF1-4D99-A6FE-9E56AF772172}"/>
    <hyperlink ref="F32" r:id="rId26" display="COTIZACIONES\FE2414.pdf" xr:uid="{FC587B7F-A400-4EAC-B307-4BC207FB3C11}"/>
    <hyperlink ref="F34" r:id="rId27" display="../../../../../../../:b:/g/personal/42828314_medellin_gov_co/EVh4y5eyufhLkP_HCSD5JsIBY9GuPdTlvMSKWYw2O9g8rg?e=Q6KVOR" xr:uid="{0511132C-6EED-42CC-8F33-1EDD21F250AE}"/>
    <hyperlink ref="F39" r:id="rId28" display="COTIZACIONES\FE2407.pdf" xr:uid="{B94EB787-72ED-4DEA-8607-9581AB196B3D}"/>
    <hyperlink ref="H30" r:id="rId29" display="COTIZACIONES\FEM110347.pdf" xr:uid="{226DD32E-253D-455E-8F87-5FDA5DFF7E0F}"/>
    <hyperlink ref="H41" r:id="rId30" display="COTIZACIONES\FEGB10709.pdf" xr:uid="{DF7F9CD6-E8CE-4FB3-9F44-B299F765DCDA}"/>
    <hyperlink ref="H19" r:id="rId31" display="COTIZACIONES\FEGB10709.pdf" xr:uid="{D974BBF2-2B4D-4B36-92A8-CBC4F22A7278}"/>
    <hyperlink ref="H25" r:id="rId32" display="COTIZACIONES\FEGB10709.pdf" xr:uid="{1064FAD4-47C1-4C72-A593-0247E31ECC3B}"/>
    <hyperlink ref="H22" r:id="rId33" display="COTIZACIONES\FEGB10709.pdf" xr:uid="{B9193C2D-9725-4AB4-B38E-6CAE5275146C}"/>
    <hyperlink ref="H31" r:id="rId34" display="COTIZACIONES\FVE 30357.pdf" xr:uid="{B7E59BC0-C903-49CF-8503-231E1B8D7A5F}"/>
    <hyperlink ref="J35" r:id="rId35" display="COTIZACIONES\FE 23665.pdf" xr:uid="{F10F4801-13F7-4A7E-8932-884A8AAEB98D}"/>
    <hyperlink ref="H39" r:id="rId36" display="COTIZACIONES\FE 23665.pdf" xr:uid="{1D1B0BF1-E18A-42E1-954F-8E1A7B834B21}"/>
    <hyperlink ref="H47" r:id="rId37" display="COTIZACIONES\FE 23665.pdf" xr:uid="{EF5152CB-FE41-4081-9039-67AD4954DDA9}"/>
    <hyperlink ref="J25" r:id="rId38" display="COTIZACIONES\VARIAS_FEBRERO.pdf" xr:uid="{CC092F1A-AE54-49E8-8CE8-6B69541CAF61}"/>
    <hyperlink ref="F46" r:id="rId39" display="COTIZACIONES\VARIAS_FEBRERO.pdf" xr:uid="{AE49D7CA-F074-4A01-9305-A26DB7E1105C}"/>
    <hyperlink ref="J19" r:id="rId40" display="COTIZACIONES\VARIAS_FEBRERO.pdf" xr:uid="{CB2F4C92-D98D-4908-938B-4A8CA980D5EB}"/>
    <hyperlink ref="H28" r:id="rId41" display="COTIZACIONES\VARIAS_FEBRERO.pdf" xr:uid="{3C640312-66A5-41ED-BF0F-944ECAF994A7}"/>
    <hyperlink ref="H42" r:id="rId42" display="COTIZACIONES\VARIAS_FEBRERO.pdf" xr:uid="{95836F85-8283-4EF1-8766-871AC85CEAB3}"/>
    <hyperlink ref="J39" r:id="rId43" display="COTIZACIONES\VARIAS_FEBRERO.pdf" xr:uid="{474FEB16-B665-496C-B333-8EA5E2A9B08A}"/>
    <hyperlink ref="F16" r:id="rId44" display="COTIZACIONES\VARIAS_FEBRERO.pdf" xr:uid="{DB242206-D512-42BF-9C21-5CE4AE5A3539}"/>
    <hyperlink ref="J22" r:id="rId45" display="COTIZACIONES\VARIAS_FEBRERO.pdf" xr:uid="{235B46D4-1E83-413F-BE34-EB3983D4F265}"/>
    <hyperlink ref="H14" r:id="rId46" display="COTIZACIONES\VARIAS_FEBRERO.pdf" xr:uid="{96927082-21FE-4988-B0C7-C03630FEFF39}"/>
    <hyperlink ref="J31" r:id="rId47" display="COTIZACIONES\VARIAS_FEBRERO.pdf" xr:uid="{CB14C85B-8FE8-457C-88B0-D4F8C2FAB29D}"/>
    <hyperlink ref="J41" r:id="rId48" display="COTIZACIONES\VARIAS_FEBRERO.pdf" xr:uid="{F6423F13-1F5B-4DA6-8F73-8C27A4BF92DB}"/>
    <hyperlink ref="F6" r:id="rId49" display="../../../../../../../:b:/g/personal/42828314_medellin_gov_co/EUEZl6iD2WhCtCO8yWj9eDgBgY9UroOXwtN2KTgZQEdNFw?e=4l5E0k" xr:uid="{25377A43-139B-496E-AA15-7760D6DB29A9}"/>
    <hyperlink ref="F18" r:id="rId50" display="COTIZACIONES\VARIAS MARZO.pdf" xr:uid="{7E7D5A39-A84F-4CDC-BC73-D8FDAD48AB2E}"/>
    <hyperlink ref="H46" r:id="rId51" display="COTIZACIONES\VARIAS MARZO.pdf" xr:uid="{41DB56C5-A690-49A6-A019-FCA661E42E3B}"/>
    <hyperlink ref="J28" r:id="rId52" display="COTIZACIONES\VARIAS MARZO.pdf" xr:uid="{DC8E0F4D-A968-4968-B17C-48BE162C3AFD}"/>
    <hyperlink ref="J42" r:id="rId53" display="COTIZACIONES\VARIAS MARZO.pdf" xr:uid="{80D4391F-B2B2-4B7C-BE99-5C8A072FB940}"/>
    <hyperlink ref="H20" r:id="rId54" display="COTIZACIONES\VARIAS MARZO.pdf" xr:uid="{9D87F6AB-85F5-44EF-A2CF-D0DC41EFEF48}"/>
    <hyperlink ref="H43" r:id="rId55" display="COTIZACIONES\VARIAS MARZO.pdf" xr:uid="{A574D868-3943-4C5D-883F-852D94817CBE}"/>
    <hyperlink ref="H34" r:id="rId56" display="COTIZACIONES\VARIAS MARZO.pdf" xr:uid="{01509232-898F-45F2-8917-A4342E974098}"/>
    <hyperlink ref="J47" r:id="rId57" display="COTIZACIONES\VARIAS MARZO.pdf" xr:uid="{1118C2CB-F959-4FE5-83B0-2B4AEFF20DB7}"/>
    <hyperlink ref="H23" r:id="rId58" display="COTIZACIONES\FE4113100326059.pdf" xr:uid="{A2F3E1AC-86CF-4FFB-8F29-00EC84AFDAD9}"/>
    <hyperlink ref="H10" r:id="rId59" display="COTIZACIONES\MDPA42994.pdf" xr:uid="{29DC267A-04F9-4B2D-8FE1-053450EA8414}"/>
    <hyperlink ref="J20" r:id="rId60" display="COTIZACIONES\MDPA42994.pdf" xr:uid="{42BE58A0-06D2-44B7-9295-B9197DC222AE}"/>
    <hyperlink ref="H37" r:id="rId61" display="COTIZACIONES\MDPA42994.pdf" xr:uid="{715CD5B4-47E8-4B23-8B4A-0E29DA64FFE0}"/>
    <hyperlink ref="H24" r:id="rId62" display="COTIZACIONES\FE4113100326061.pdf" xr:uid="{1E0ED801-E47B-43F5-968C-C3A0CB0CBB9B}"/>
    <hyperlink ref="J10" r:id="rId63" display="COTIZACIONES\AB763.pdf" xr:uid="{CC4BE2CD-0AC1-46D6-9C89-A2BBEC8D5A7B}"/>
    <hyperlink ref="H6" r:id="rId64" display="COTIZACIONES\FEV2529.pdf" xr:uid="{1FAFF018-2BEC-4A02-A5B6-F1B065417810}"/>
    <hyperlink ref="F44" r:id="rId65" display="COTIZACIONES\FEV2529.pdf" xr:uid="{537A701A-1A97-4BF3-B55D-2750A945728A}"/>
    <hyperlink ref="J46" r:id="rId66" display="COTIZACIONES\FEV2529.pdf" xr:uid="{084ED8B3-5E59-4E39-A202-FA407FDD0D2A}"/>
    <hyperlink ref="H17" r:id="rId67" display="COTIZACIONES\FEV2529.pdf" xr:uid="{39038661-6071-43C0-92AC-DFAE660DB5CC}"/>
    <hyperlink ref="H40" r:id="rId68" display="COTIZACIONES\FEV2529.pdf" xr:uid="{6E258F07-D40F-423B-9CBE-63365AD57E77}"/>
    <hyperlink ref="H13" r:id="rId69" display="COTIZACIONES\FEV2529.pdf" xr:uid="{23284A05-794C-4043-8ACC-4816A00EE5E4}"/>
    <hyperlink ref="J30" r:id="rId70" display="COTIZACIONES\6. COMERCIALIZADORA CEI_FE2506.pdf" xr:uid="{18743637-020A-4963-AAAF-94BE1E96CED6}"/>
    <hyperlink ref="F33" r:id="rId71" display="COTIZACIONES\6. COMERCIALIZADORA CEI_FE2506.pdf" xr:uid="{B738F169-6947-4D8C-839E-F189E03ADFB8}"/>
    <hyperlink ref="H38" r:id="rId72" display="COTIZACIONES\6. COMERCIALIZADORA CEI_FE2506.pdf" xr:uid="{7B729AA3-7AFC-409F-ABFD-D695CFA2E20D}"/>
    <hyperlink ref="H18" r:id="rId73" display="COTIZACIONES\6. COMERCIALIZADORA CEI_FE2506.pdf" xr:uid="{E31B9D44-6DF7-41E0-BBA5-F8C4665D1081}"/>
    <hyperlink ref="H29" r:id="rId74" display="../../../../../../../:b:/g/personal/42828314_medellin_gov_co/EYQ5q6jTjJ1EgpW1Y8WSXjoBk91h3n-vnra8Iqff1D5L7Q?e=n16c08" xr:uid="{300CF8F0-C534-4900-991F-B466BED3B05A}"/>
    <hyperlink ref="H45" r:id="rId75" display="COTIZACIONES\7. HOMECENTER_4112100349679.pdf" xr:uid="{5C84D427-3353-4A29-9295-44C009B4F788}"/>
    <hyperlink ref="J17" r:id="rId76" display="COTIZACIONES\8. LA GRAN BODEGA_FEGB11341_.pdf" xr:uid="{A3847646-5AF2-46AC-BAC4-11777E2A6170}"/>
    <hyperlink ref="H11" r:id="rId77" display="COTIZACIONES\Cotizacion toscana Abakai.pdf" xr:uid="{28D5230F-BE7C-40C3-8EDA-C3057E63F02E}"/>
    <hyperlink ref="H36" r:id="rId78" display="COTIZACIONES\Cotizacion toscana Abakai.pdf" xr:uid="{91BB5E88-3F8D-4353-B118-38D074DA076E}"/>
    <hyperlink ref="J37" r:id="rId79" display="COTIZACIONES\Cotizacion toscana Abakai.pdf" xr:uid="{5AA00537-9AA0-4630-8286-FB4492545FF9}"/>
    <hyperlink ref="J38" r:id="rId80" display="COTIZACIONES\Cotizacion toscana Abakai.pdf" xr:uid="{367A1EC1-CDE3-44C8-AC31-141B0C8A96D1}"/>
    <hyperlink ref="J40" r:id="rId81" display="COTIZACIONES\Cotizacion toscana Abakai.pdf" xr:uid="{66CF22E4-6B49-44BE-B893-8DD0F6B1CA88}"/>
    <hyperlink ref="J13" r:id="rId82" display="COTIZACIONES\Cotizacion toscana Abakai.pdf" xr:uid="{DE93B09A-03CB-43D3-8384-9CF26B987E72}"/>
    <hyperlink ref="J14" r:id="rId83" display="COTIZACIONES\Cotizacion toscana Abakai.pdf" xr:uid="{4883EF7F-3218-4BD8-A9D3-BEF22D4B61D0}"/>
    <hyperlink ref="J15" r:id="rId84" display="COTIZACIONES\Cotizacion toscana Abakai.pdf" xr:uid="{81035F63-4450-45E2-B5D3-4A8561EEBB99}"/>
    <hyperlink ref="J16" r:id="rId85" display="COTIZACIONES\Cotizacion toscana Abakai.pdf" xr:uid="{E5B3A50F-DC7A-4752-8B59-305FE73BD9F9}"/>
    <hyperlink ref="J18" r:id="rId86" display="COTIZACIONES\Cotizacion toscana Abakai.pdf" xr:uid="{96105E74-84DA-44D0-A9D7-74C4163FF706}"/>
    <hyperlink ref="J24" r:id="rId87" display="COTIZACIONES\Cotizacion toscana Abakai.pdf" xr:uid="{4028010C-FB2C-4B58-94D8-51AD74F7F61B}"/>
    <hyperlink ref="J43" r:id="rId88" display="COTIZACIONES\cotizacion-COMITE PRIVADO DE ATENCION A LA NIÑEZ.pdf" xr:uid="{260607E7-D0DA-4DE8-9CC6-A53F0D41E14F}"/>
    <hyperlink ref="H15" r:id="rId89" display="COTIZACIONES\cotizacion-COMITE PRIVADO DE ATENCION A LA NIÑEZ.pdf" xr:uid="{C549B2B9-ADFB-410A-9414-A914D8D0FDB8}"/>
    <hyperlink ref="H16" r:id="rId90" display="COTIZACIONES\cotizacion-COMITE PRIVADO DE ATENCION A LA NIÑEZ.pdf" xr:uid="{FB14F6E4-3A84-4B6E-9F6D-5D339BBE99F2}"/>
    <hyperlink ref="F45" r:id="rId91" display="COTIZACIONES\Menaje almacenes la 13.pdf" xr:uid="{3D9F8783-C0CB-4960-8982-9617E4FCA457}"/>
    <hyperlink ref="J29" r:id="rId92" display="COTIZACIONES\Menaje almacenes la 13.pdf" xr:uid="{1CD0E2A1-D940-4702-813F-94BE0BF58CE6}"/>
    <hyperlink ref="J36" r:id="rId93" display="COTIZACIONES\Menaje almacenes la 13.pdf" xr:uid="{1513F11D-684E-4174-921A-18737C22A2E0}"/>
    <hyperlink ref="H44" r:id="rId94" display="COTIZACIONES\Menaje almacenes la 13.pdf" xr:uid="{E282E5A5-E57D-42E8-BA5D-8046580D5341}"/>
    <hyperlink ref="J44" r:id="rId95" display="COTIZACIONES\cotizacion-COMITE PRIVADO DE ATENCION A LA NIÑEZ.pdf" xr:uid="{EA977EEC-3F29-433D-9A09-56A5370F4914}"/>
    <hyperlink ref="J45" r:id="rId96" display="COTIZACIONES\cotizacion-COMITE PRIVADO DE ATENCION A LA NIÑEZ.pdf" xr:uid="{85220DCF-4371-4545-B851-B9FDDE550825}"/>
    <hyperlink ref="H32" r:id="rId97" display="COTIZACIONES\cotizacion-COMITE PRIVADO DE ATENCION A LA NIÑEZ.pdf" xr:uid="{009C205F-EB63-4CC4-90EC-9D0DCF127E84}"/>
    <hyperlink ref="J6" r:id="rId98" display="=359900/1,19" xr:uid="{69A9507D-D4BD-40DA-8AAD-2F2E6CFDEA8D}"/>
    <hyperlink ref="H7" r:id="rId99" display="=682900/1,19" xr:uid="{CFD33689-9097-4A4C-AEAB-139DB4DC0382}"/>
    <hyperlink ref="J7" r:id="rId100" display="=521300/1,19" xr:uid="{AE9C56F5-0500-4243-8666-EEA83E86F0F2}"/>
    <hyperlink ref="F9" r:id="rId101" display="=1650000/1,19" xr:uid="{1F5EBA6F-53F4-494F-B75C-AA0B09BC5CB6}"/>
    <hyperlink ref="H9" r:id="rId102" display="=1750000/1,19" xr:uid="{1DC23545-200E-43E8-AC7E-AD5D5A7B74B0}"/>
    <hyperlink ref="J9" r:id="rId103" display="=1899000/1,19" xr:uid="{5D45CC60-FD66-4C49-87F1-18B0BEB9549A}"/>
    <hyperlink ref="J23" r:id="rId104" display="=7900/1,19" xr:uid="{1653BBC6-C006-4678-BB1E-B2E5D7779E2C}"/>
    <hyperlink ref="F8" r:id="rId105" display="=312900/1,19" xr:uid="{8CB869E1-D967-4F13-AA97-11AF5BF48519}"/>
    <hyperlink ref="H8" r:id="rId106" display="https://mueblesdummi.com/product/olla-caldero-50-30-en-aluminio/" xr:uid="{8FE9BD90-A4C3-4313-9FAA-563E863796A0}"/>
    <hyperlink ref="J8" r:id="rId107" display="../../../../../../../:b:/g/personal/42828314_medellin_gov_co/EeBh-JnJBGFIqeKmmHbj7y4BLO2QkT-TV1TGdJnm8iqthQ?e=PeMJyG" xr:uid="{D17655D5-4DA5-4C3D-BE7A-59B6135E0C4A}"/>
    <hyperlink ref="F12" r:id="rId108" display="=49900/1,19" xr:uid="{B89FE5A3-A2DD-4978-9E70-05EC9899A8B7}"/>
    <hyperlink ref="H12" r:id="rId109" display="=156000/1,19" xr:uid="{D4EE36E8-43FF-4228-8165-D807ED5A3BAE}"/>
    <hyperlink ref="J12" r:id="rId110" display="https://www.almacenesla13.com/products/paila-aluminio-23-lt-profesional-imusa?srsltid=AfmBOoovjPRK4DbJs8_mvU_bCWu15dBMztjTLgBCq8LrLY7dMtERBzC6" xr:uid="{870DAE0B-13CA-40B2-A5D5-9BD4F5E897F7}"/>
    <hyperlink ref="F27" r:id="rId111" display="=134990/1,19" xr:uid="{C59C7E18-6E06-4A58-9A56-19C94CD26F6C}"/>
    <hyperlink ref="H27" r:id="rId112" display="=139900/1,19" xr:uid="{77E4B3A0-B9EB-4178-80E0-1BA75380F6AD}"/>
    <hyperlink ref="J27" r:id="rId113" display="=99900/1,19" xr:uid="{D483831E-E800-453C-88EB-E54A39EE17DD}"/>
    <hyperlink ref="J32" r:id="rId114" display="=19900/1,19" xr:uid="{65809BE0-1154-45CD-824D-835C8BF0BB80}"/>
    <hyperlink ref="J34" r:id="rId115" display="=99900/1,19" xr:uid="{22D3B065-1BCB-4AF5-86AE-1DECE4C3B83B}"/>
    <hyperlink ref="H33" r:id="rId116" display="=11190/1,19" xr:uid="{269D3874-5693-4A60-AAD9-460EEDD4B8A3}"/>
    <hyperlink ref="J33" r:id="rId117" display="=27690/1,19" xr:uid="{7E8322C4-3999-4E30-81FE-69657773ABEB}"/>
    <hyperlink ref="F21" r:id="rId118" display="=358380/1,19" xr:uid="{9C2E2525-24E4-466B-982B-69AEA60AC3E3}"/>
    <hyperlink ref="H21" r:id="rId119" display="=279900/1,19" xr:uid="{890132D6-8A54-4E46-AFAC-466CAA83B72E}"/>
    <hyperlink ref="J21" r:id="rId120" display="../../../../../../../:b:/g/personal/42828314_medellin_gov_co/EcDexQ4GOCtCkhz5aJQxYscBfZBHQkxMIJQP4QJQ5fXkQQ?e=bYSwWx" xr:uid="{C911DCFF-482F-4EDA-A450-2E65920A490C}"/>
    <hyperlink ref="F26" r:id="rId121" display="=(19990+79900+42900+60000)/1,19" xr:uid="{2E7407ED-CD4F-4788-B5D5-083BFA9FDB30}"/>
    <hyperlink ref="F11" r:id="rId122" display="../../../../../../../:b:/g/personal/42828314_medellin_gov_co/ESky61jiB61HrlvlebT010kBjh4_-Jf_EH0eBRh0ugHP1w?e=nyVmGJ" xr:uid="{42C04C30-9680-47C3-A0EF-73DF19788E27}"/>
    <hyperlink ref="J11" r:id="rId123" display="=(219900*2)/1,19" xr:uid="{CC5577D8-3B71-489A-A69F-0F5B50F3F4FB}"/>
    <hyperlink ref="J26" r:id="rId124" display="=(19990+79900+42900+60000)/1,19" xr:uid="{CF39EEDE-E6FA-4776-812D-B1B4D39783C7}"/>
    <hyperlink ref="H26" r:id="rId125" display="=(19990+79900+42900+60000)/1,19" xr:uid="{745120BF-92E4-42BD-903F-6E1090356C47}"/>
    <hyperlink ref="F15" r:id="rId126" display="COTIZACIONES\Cotizacion toscana Abakai.pdf" xr:uid="{790AB396-C921-4F49-BA46-185C2D4365A8}"/>
  </hyperlinks>
  <pageMargins left="0.7" right="0.7" top="0.75" bottom="0.75" header="0" footer="0"/>
  <pageSetup scale="10" orientation="landscape" r:id="rId127"/>
  <drawing r:id="rId12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EB060-0B06-4DDE-B5A4-57CB57EF58DC}">
  <dimension ref="B1:AU640"/>
  <sheetViews>
    <sheetView topLeftCell="AO13" zoomScale="70" zoomScaleNormal="70" workbookViewId="0">
      <selection activeCell="AS14" sqref="AS14"/>
    </sheetView>
  </sheetViews>
  <sheetFormatPr defaultColWidth="14.42578125" defaultRowHeight="15" customHeight="1"/>
  <cols>
    <col min="1" max="1" width="3.28515625" customWidth="1"/>
    <col min="2" max="2" width="17.5703125" customWidth="1"/>
    <col min="3" max="3" width="21.7109375" style="4" customWidth="1"/>
    <col min="4" max="4" width="51.28515625" customWidth="1"/>
    <col min="5" max="5" width="10.7109375" customWidth="1"/>
    <col min="6" max="12" width="17.7109375" style="40" customWidth="1"/>
    <col min="13" max="13" width="18.7109375" style="22" customWidth="1"/>
    <col min="14" max="14" width="14.28515625" style="4" customWidth="1"/>
    <col min="15" max="16" width="18.7109375" style="22" customWidth="1"/>
    <col min="17" max="17" width="14.28515625" style="4" customWidth="1"/>
    <col min="18" max="19" width="18.7109375" style="22" customWidth="1"/>
    <col min="20" max="20" width="14.28515625" style="4" customWidth="1"/>
    <col min="21" max="22" width="18.7109375" style="22" customWidth="1"/>
    <col min="23" max="23" width="14.28515625" style="4" customWidth="1"/>
    <col min="24" max="25" width="18.7109375" style="22" customWidth="1"/>
    <col min="26" max="26" width="14.28515625" style="4" customWidth="1"/>
    <col min="27" max="28" width="18.7109375" style="22" customWidth="1"/>
    <col min="29" max="29" width="14.28515625" style="4" customWidth="1"/>
    <col min="30" max="31" width="18.7109375" style="22" customWidth="1"/>
    <col min="32" max="32" width="14.28515625" style="4" customWidth="1"/>
    <col min="33" max="34" width="18.7109375" style="22" customWidth="1"/>
    <col min="35" max="35" width="14.28515625" style="4" customWidth="1"/>
    <col min="36" max="37" width="18.7109375" style="22" customWidth="1"/>
    <col min="38" max="38" width="14.28515625" style="4" customWidth="1"/>
    <col min="39" max="40" width="18.7109375" style="22" customWidth="1"/>
    <col min="41" max="41" width="14.28515625" style="4" customWidth="1"/>
    <col min="42" max="42" width="17.5703125" style="4" customWidth="1"/>
    <col min="43" max="43" width="21.85546875" style="4" customWidth="1"/>
    <col min="44" max="44" width="18.7109375" style="22" customWidth="1"/>
    <col min="45" max="45" width="23.7109375" style="22" customWidth="1"/>
    <col min="46" max="46" width="29.140625" style="4" customWidth="1"/>
    <col min="47" max="47" width="19.7109375" customWidth="1"/>
  </cols>
  <sheetData>
    <row r="1" spans="2:47" ht="15" customHeight="1" thickBot="1"/>
    <row r="2" spans="2:47" ht="30" customHeight="1" thickBot="1">
      <c r="B2" s="217" t="s">
        <v>0</v>
      </c>
      <c r="C2" s="219" t="s">
        <v>1</v>
      </c>
      <c r="D2" s="221" t="s">
        <v>2</v>
      </c>
      <c r="E2" s="223" t="s">
        <v>3</v>
      </c>
      <c r="F2" s="233" t="s">
        <v>4</v>
      </c>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5"/>
      <c r="AO2" s="225"/>
      <c r="AP2" s="225"/>
      <c r="AQ2" s="225"/>
      <c r="AR2" s="225"/>
      <c r="AS2" s="225"/>
      <c r="AT2" s="226"/>
    </row>
    <row r="3" spans="2:47" ht="30" customHeight="1">
      <c r="B3" s="218"/>
      <c r="C3" s="220"/>
      <c r="D3" s="222"/>
      <c r="E3" s="224"/>
      <c r="F3" s="202" t="s">
        <v>5</v>
      </c>
      <c r="G3" s="203"/>
      <c r="H3" s="203"/>
      <c r="I3" s="203"/>
      <c r="J3" s="203"/>
      <c r="K3" s="203"/>
      <c r="L3" s="203"/>
      <c r="M3" s="204"/>
      <c r="N3" s="202" t="s">
        <v>6</v>
      </c>
      <c r="O3" s="203"/>
      <c r="P3" s="203"/>
      <c r="Q3" s="227" t="s">
        <v>7</v>
      </c>
      <c r="R3" s="228"/>
      <c r="S3" s="229"/>
      <c r="T3" s="228" t="s">
        <v>8</v>
      </c>
      <c r="U3" s="228"/>
      <c r="V3" s="229"/>
      <c r="W3" s="227" t="s">
        <v>9</v>
      </c>
      <c r="X3" s="228"/>
      <c r="Y3" s="229"/>
      <c r="Z3" s="202" t="s">
        <v>10</v>
      </c>
      <c r="AA3" s="203"/>
      <c r="AB3" s="204"/>
      <c r="AC3" s="202" t="s">
        <v>11</v>
      </c>
      <c r="AD3" s="203"/>
      <c r="AE3" s="204"/>
      <c r="AF3" s="202" t="s">
        <v>12</v>
      </c>
      <c r="AG3" s="203"/>
      <c r="AH3" s="204"/>
      <c r="AI3" s="202" t="s">
        <v>13</v>
      </c>
      <c r="AJ3" s="203"/>
      <c r="AK3" s="203"/>
      <c r="AL3" s="211" t="s">
        <v>14</v>
      </c>
      <c r="AM3" s="212"/>
      <c r="AN3" s="213"/>
      <c r="AO3" s="211" t="s">
        <v>15</v>
      </c>
      <c r="AP3" s="212"/>
      <c r="AQ3" s="212"/>
      <c r="AR3" s="212"/>
      <c r="AS3" s="213"/>
      <c r="AT3" s="214" t="s">
        <v>16</v>
      </c>
    </row>
    <row r="4" spans="2:47" ht="30" customHeight="1">
      <c r="B4" s="218"/>
      <c r="C4" s="220"/>
      <c r="D4" s="222"/>
      <c r="E4" s="224"/>
      <c r="F4" s="208" t="s">
        <v>17</v>
      </c>
      <c r="G4" s="209"/>
      <c r="H4" s="209"/>
      <c r="I4" s="209"/>
      <c r="J4" s="209"/>
      <c r="K4" s="210"/>
      <c r="L4" s="80" t="s">
        <v>18</v>
      </c>
      <c r="M4" s="28" t="s">
        <v>18</v>
      </c>
      <c r="N4" s="12" t="s">
        <v>19</v>
      </c>
      <c r="O4" s="23" t="s">
        <v>18</v>
      </c>
      <c r="P4" s="28" t="s">
        <v>20</v>
      </c>
      <c r="Q4" s="12" t="s">
        <v>19</v>
      </c>
      <c r="R4" s="23" t="s">
        <v>18</v>
      </c>
      <c r="S4" s="28" t="s">
        <v>20</v>
      </c>
      <c r="T4" s="50" t="s">
        <v>19</v>
      </c>
      <c r="U4" s="23" t="s">
        <v>18</v>
      </c>
      <c r="V4" s="28" t="s">
        <v>20</v>
      </c>
      <c r="W4" s="12" t="s">
        <v>19</v>
      </c>
      <c r="X4" s="23" t="s">
        <v>18</v>
      </c>
      <c r="Y4" s="28" t="s">
        <v>20</v>
      </c>
      <c r="Z4" s="12" t="s">
        <v>19</v>
      </c>
      <c r="AA4" s="23" t="s">
        <v>18</v>
      </c>
      <c r="AB4" s="28" t="s">
        <v>20</v>
      </c>
      <c r="AC4" s="12" t="s">
        <v>21</v>
      </c>
      <c r="AD4" s="23" t="s">
        <v>18</v>
      </c>
      <c r="AE4" s="28" t="s">
        <v>20</v>
      </c>
      <c r="AF4" s="12" t="s">
        <v>21</v>
      </c>
      <c r="AG4" s="23" t="s">
        <v>18</v>
      </c>
      <c r="AH4" s="28" t="s">
        <v>20</v>
      </c>
      <c r="AI4" s="12" t="s">
        <v>21</v>
      </c>
      <c r="AJ4" s="23" t="s">
        <v>18</v>
      </c>
      <c r="AK4" s="35" t="s">
        <v>20</v>
      </c>
      <c r="AL4" s="12" t="s">
        <v>21</v>
      </c>
      <c r="AM4" s="23" t="s">
        <v>18</v>
      </c>
      <c r="AN4" s="28" t="s">
        <v>20</v>
      </c>
      <c r="AO4" s="12" t="s">
        <v>21</v>
      </c>
      <c r="AP4" s="23" t="s">
        <v>22</v>
      </c>
      <c r="AQ4" s="80" t="s">
        <v>23</v>
      </c>
      <c r="AR4" s="23" t="s">
        <v>18</v>
      </c>
      <c r="AS4" s="28" t="s">
        <v>20</v>
      </c>
      <c r="AT4" s="215"/>
    </row>
    <row r="5" spans="2:47" ht="30" customHeight="1" thickBot="1">
      <c r="B5" s="218"/>
      <c r="C5" s="220"/>
      <c r="D5" s="222"/>
      <c r="E5" s="224"/>
      <c r="F5" s="94" t="s">
        <v>26</v>
      </c>
      <c r="G5" s="93" t="s">
        <v>27</v>
      </c>
      <c r="H5" s="93" t="s">
        <v>28</v>
      </c>
      <c r="I5" s="93" t="s">
        <v>27</v>
      </c>
      <c r="J5" s="93" t="s">
        <v>29</v>
      </c>
      <c r="K5" s="93" t="s">
        <v>27</v>
      </c>
      <c r="L5" s="86" t="s">
        <v>30</v>
      </c>
      <c r="M5" s="29" t="s">
        <v>32</v>
      </c>
      <c r="N5" s="19">
        <v>50</v>
      </c>
      <c r="O5" s="24" t="s">
        <v>32</v>
      </c>
      <c r="P5" s="29"/>
      <c r="Q5" s="19">
        <v>50</v>
      </c>
      <c r="R5" s="24" t="s">
        <v>32</v>
      </c>
      <c r="S5" s="29"/>
      <c r="T5" s="53" t="s">
        <v>33</v>
      </c>
      <c r="U5" s="24" t="s">
        <v>32</v>
      </c>
      <c r="V5" s="29"/>
      <c r="W5" s="20" t="s">
        <v>33</v>
      </c>
      <c r="X5" s="24" t="s">
        <v>32</v>
      </c>
      <c r="Y5" s="29"/>
      <c r="Z5" s="20" t="s">
        <v>33</v>
      </c>
      <c r="AA5" s="24" t="s">
        <v>32</v>
      </c>
      <c r="AB5" s="29"/>
      <c r="AC5" s="20" t="s">
        <v>34</v>
      </c>
      <c r="AD5" s="24" t="s">
        <v>32</v>
      </c>
      <c r="AE5" s="29"/>
      <c r="AF5" s="20" t="s">
        <v>34</v>
      </c>
      <c r="AG5" s="24" t="s">
        <v>32</v>
      </c>
      <c r="AH5" s="29"/>
      <c r="AI5" s="20" t="s">
        <v>34</v>
      </c>
      <c r="AJ5" s="24" t="s">
        <v>32</v>
      </c>
      <c r="AK5" s="36"/>
      <c r="AL5" s="20" t="s">
        <v>35</v>
      </c>
      <c r="AM5" s="24" t="s">
        <v>32</v>
      </c>
      <c r="AN5" s="29"/>
      <c r="AO5" s="20"/>
      <c r="AP5" s="67"/>
      <c r="AQ5" s="67"/>
      <c r="AR5" s="24" t="s">
        <v>32</v>
      </c>
      <c r="AS5" s="29"/>
      <c r="AT5" s="215"/>
    </row>
    <row r="6" spans="2:47" ht="123" customHeight="1" thickBot="1">
      <c r="B6" s="243" t="s">
        <v>289</v>
      </c>
      <c r="C6" s="104" t="s">
        <v>290</v>
      </c>
      <c r="D6" s="58" t="s">
        <v>291</v>
      </c>
      <c r="E6" s="98" t="s">
        <v>39</v>
      </c>
      <c r="F6" s="177">
        <v>548318</v>
      </c>
      <c r="G6" s="178">
        <f>F6*1.19</f>
        <v>652498.41999999993</v>
      </c>
      <c r="H6" s="179">
        <f>404000/1.19</f>
        <v>339495.79831932776</v>
      </c>
      <c r="I6" s="180">
        <f>H6*1.19</f>
        <v>404000</v>
      </c>
      <c r="J6" s="181">
        <f>799900/1.19</f>
        <v>672184.87394957989</v>
      </c>
      <c r="K6" s="92">
        <f t="shared" ref="K6:K12" si="0">J6*1.19</f>
        <v>799900</v>
      </c>
      <c r="L6" s="89">
        <f t="shared" ref="L6" si="1">AVERAGE(F6,H6,J6)</f>
        <v>519999.5574229692</v>
      </c>
      <c r="M6" s="90">
        <f t="shared" ref="M6" si="2">AVERAGE(G6,I6,K6)</f>
        <v>618799.47333333327</v>
      </c>
      <c r="N6" s="34">
        <v>1</v>
      </c>
      <c r="O6" s="25">
        <f t="shared" ref="O6:O13" si="3">$M6</f>
        <v>618799.47333333327</v>
      </c>
      <c r="P6" s="30">
        <f t="shared" ref="P6:P10" si="4">N6*O6</f>
        <v>618799.47333333327</v>
      </c>
      <c r="Q6" s="34">
        <v>0</v>
      </c>
      <c r="R6" s="25">
        <f t="shared" ref="R6:R13" si="5">$M6</f>
        <v>618799.47333333327</v>
      </c>
      <c r="S6" s="30">
        <f t="shared" ref="S6:S12" si="6">Q6*R6</f>
        <v>0</v>
      </c>
      <c r="T6" s="34">
        <v>0</v>
      </c>
      <c r="U6" s="25">
        <f t="shared" ref="U6:U13" si="7">$M6</f>
        <v>618799.47333333327</v>
      </c>
      <c r="V6" s="30">
        <f t="shared" ref="V6:V12" si="8">T6*U6</f>
        <v>0</v>
      </c>
      <c r="W6" s="34">
        <v>0</v>
      </c>
      <c r="X6" s="25">
        <f t="shared" ref="X6:X13" si="9">$M6</f>
        <v>618799.47333333327</v>
      </c>
      <c r="Y6" s="30">
        <f t="shared" ref="Y6:Y12" si="10">W6*X6</f>
        <v>0</v>
      </c>
      <c r="Z6" s="34">
        <v>1</v>
      </c>
      <c r="AA6" s="25">
        <f t="shared" ref="AA6:AA13" si="11">$M6</f>
        <v>618799.47333333327</v>
      </c>
      <c r="AB6" s="30">
        <f t="shared" ref="AB6:AB12" si="12">Z6*AA6</f>
        <v>618799.47333333327</v>
      </c>
      <c r="AC6" s="34">
        <v>1</v>
      </c>
      <c r="AD6" s="25">
        <f t="shared" ref="AD6:AD13" si="13">$M6</f>
        <v>618799.47333333327</v>
      </c>
      <c r="AE6" s="30">
        <f t="shared" ref="AE6:AE12" si="14">AC6*AD6</f>
        <v>618799.47333333327</v>
      </c>
      <c r="AF6" s="34">
        <v>1</v>
      </c>
      <c r="AG6" s="25">
        <f t="shared" ref="AG6:AG13" si="15">$M6</f>
        <v>618799.47333333327</v>
      </c>
      <c r="AH6" s="30">
        <f t="shared" ref="AH6:AH12" si="16">AF6*AG6</f>
        <v>618799.47333333327</v>
      </c>
      <c r="AI6" s="34">
        <v>1</v>
      </c>
      <c r="AJ6" s="25">
        <f t="shared" ref="AJ6:AJ13" si="17">$M6</f>
        <v>618799.47333333327</v>
      </c>
      <c r="AK6" s="30">
        <f t="shared" ref="AK6:AK12" si="18">AI6*AJ6</f>
        <v>618799.47333333327</v>
      </c>
      <c r="AL6" s="34">
        <v>5</v>
      </c>
      <c r="AM6" s="25">
        <f t="shared" ref="AM6:AM13" si="19">$M6</f>
        <v>618799.47333333327</v>
      </c>
      <c r="AN6" s="30">
        <f t="shared" ref="AN6:AN12" si="20">AL6*AM6</f>
        <v>3093997.3666666662</v>
      </c>
      <c r="AO6" s="17">
        <f>$N6+$Q6+$T6+$W6+$Z6+$AC6+$AF6+$AI6+$AL6</f>
        <v>10</v>
      </c>
      <c r="AP6" s="95">
        <f>$L6</f>
        <v>519999.5574229692</v>
      </c>
      <c r="AQ6" s="95">
        <f>AO6*AP6</f>
        <v>5199995.5742296921</v>
      </c>
      <c r="AR6" s="25">
        <f t="shared" ref="AR6:AR13" si="21">$M6</f>
        <v>618799.47333333327</v>
      </c>
      <c r="AS6" s="30">
        <f>AO6*AR6</f>
        <v>6187994.7333333325</v>
      </c>
      <c r="AT6" s="48" t="e" vm="120">
        <v>#VALUE!</v>
      </c>
      <c r="AU6" s="83"/>
    </row>
    <row r="7" spans="2:47" ht="121.5" customHeight="1" thickBot="1">
      <c r="B7" s="244"/>
      <c r="C7" s="105" t="s">
        <v>292</v>
      </c>
      <c r="D7" s="58" t="s">
        <v>293</v>
      </c>
      <c r="E7" s="99" t="s">
        <v>39</v>
      </c>
      <c r="F7" s="182">
        <f>743900/1.19</f>
        <v>625126.05042016809</v>
      </c>
      <c r="G7" s="183">
        <f t="shared" ref="G7:G12" si="22">F7*1.19</f>
        <v>743900</v>
      </c>
      <c r="H7" s="184">
        <v>695330</v>
      </c>
      <c r="I7" s="185">
        <f t="shared" ref="I7:I12" si="23">H7*1.19</f>
        <v>827442.7</v>
      </c>
      <c r="J7" s="184">
        <v>799629</v>
      </c>
      <c r="K7" s="41">
        <f t="shared" si="0"/>
        <v>951558.51</v>
      </c>
      <c r="L7" s="89">
        <f t="shared" ref="L7:L13" si="24">AVERAGE(F7,H7,J7)</f>
        <v>706695.01680672262</v>
      </c>
      <c r="M7" s="90">
        <f t="shared" ref="M7:M13" si="25">AVERAGE(G7,I7,K7)</f>
        <v>840967.07</v>
      </c>
      <c r="N7" s="14">
        <v>1</v>
      </c>
      <c r="O7" s="26">
        <f t="shared" si="3"/>
        <v>840967.07</v>
      </c>
      <c r="P7" s="37">
        <f t="shared" si="4"/>
        <v>840967.07</v>
      </c>
      <c r="Q7" s="14">
        <v>0</v>
      </c>
      <c r="R7" s="26">
        <f t="shared" si="5"/>
        <v>840967.07</v>
      </c>
      <c r="S7" s="37">
        <f t="shared" si="6"/>
        <v>0</v>
      </c>
      <c r="T7" s="14">
        <v>0</v>
      </c>
      <c r="U7" s="26">
        <f t="shared" si="7"/>
        <v>840967.07</v>
      </c>
      <c r="V7" s="37">
        <f t="shared" si="8"/>
        <v>0</v>
      </c>
      <c r="W7" s="14">
        <v>0</v>
      </c>
      <c r="X7" s="26">
        <f t="shared" si="9"/>
        <v>840967.07</v>
      </c>
      <c r="Y7" s="37">
        <f t="shared" si="10"/>
        <v>0</v>
      </c>
      <c r="Z7" s="14">
        <v>1</v>
      </c>
      <c r="AA7" s="26">
        <f t="shared" si="11"/>
        <v>840967.07</v>
      </c>
      <c r="AB7" s="37">
        <f t="shared" si="12"/>
        <v>840967.07</v>
      </c>
      <c r="AC7" s="14">
        <v>1</v>
      </c>
      <c r="AD7" s="26">
        <f t="shared" si="13"/>
        <v>840967.07</v>
      </c>
      <c r="AE7" s="37">
        <f t="shared" si="14"/>
        <v>840967.07</v>
      </c>
      <c r="AF7" s="14">
        <v>1</v>
      </c>
      <c r="AG7" s="26">
        <f t="shared" si="15"/>
        <v>840967.07</v>
      </c>
      <c r="AH7" s="37">
        <f t="shared" si="16"/>
        <v>840967.07</v>
      </c>
      <c r="AI7" s="14">
        <v>1</v>
      </c>
      <c r="AJ7" s="26">
        <f t="shared" si="17"/>
        <v>840967.07</v>
      </c>
      <c r="AK7" s="37">
        <f t="shared" si="18"/>
        <v>840967.07</v>
      </c>
      <c r="AL7" s="14">
        <v>5</v>
      </c>
      <c r="AM7" s="26">
        <f t="shared" si="19"/>
        <v>840967.07</v>
      </c>
      <c r="AN7" s="37">
        <f t="shared" si="20"/>
        <v>4204835.3499999996</v>
      </c>
      <c r="AO7" s="13">
        <f t="shared" ref="AO7:AO13" si="26">$N7+$Q7+$T7+$W7+$Z7+$AC7+$AF7+$AI7+$AL7</f>
        <v>10</v>
      </c>
      <c r="AP7" s="77">
        <f t="shared" ref="AP7:AP13" si="27">$L7</f>
        <v>706695.01680672262</v>
      </c>
      <c r="AQ7" s="77">
        <f>AO7*AP7</f>
        <v>7066950.1680672262</v>
      </c>
      <c r="AR7" s="26">
        <f t="shared" si="21"/>
        <v>840967.07</v>
      </c>
      <c r="AS7" s="37">
        <f t="shared" ref="AS7:AS12" si="28">AO7*AR7</f>
        <v>8409670.6999999993</v>
      </c>
      <c r="AT7" s="69" t="e" vm="121">
        <v>#VALUE!</v>
      </c>
      <c r="AU7" s="83"/>
    </row>
    <row r="8" spans="2:47" ht="121.5" customHeight="1" thickBot="1">
      <c r="B8" s="245"/>
      <c r="C8" s="105" t="s">
        <v>294</v>
      </c>
      <c r="D8" s="10" t="s">
        <v>295</v>
      </c>
      <c r="E8" s="99" t="s">
        <v>39</v>
      </c>
      <c r="F8" s="186">
        <v>93796</v>
      </c>
      <c r="G8" s="185">
        <f t="shared" si="22"/>
        <v>111617.23999999999</v>
      </c>
      <c r="H8" s="184">
        <v>104200</v>
      </c>
      <c r="I8" s="185">
        <f t="shared" si="23"/>
        <v>123998</v>
      </c>
      <c r="J8" s="187">
        <f>159900/1.19</f>
        <v>134369.74789915967</v>
      </c>
      <c r="K8" s="125">
        <f t="shared" si="0"/>
        <v>159900</v>
      </c>
      <c r="L8" s="89">
        <f t="shared" si="24"/>
        <v>110788.58263305323</v>
      </c>
      <c r="M8" s="90">
        <f t="shared" si="25"/>
        <v>131838.41333333333</v>
      </c>
      <c r="N8" s="14">
        <v>1</v>
      </c>
      <c r="O8" s="26">
        <f t="shared" si="3"/>
        <v>131838.41333333333</v>
      </c>
      <c r="P8" s="37">
        <f t="shared" si="4"/>
        <v>131838.41333333333</v>
      </c>
      <c r="Q8" s="14">
        <v>0</v>
      </c>
      <c r="R8" s="26">
        <f t="shared" si="5"/>
        <v>131838.41333333333</v>
      </c>
      <c r="S8" s="37">
        <f t="shared" si="6"/>
        <v>0</v>
      </c>
      <c r="T8" s="14">
        <v>0</v>
      </c>
      <c r="U8" s="26">
        <f t="shared" si="7"/>
        <v>131838.41333333333</v>
      </c>
      <c r="V8" s="37">
        <f t="shared" si="8"/>
        <v>0</v>
      </c>
      <c r="W8" s="14">
        <v>0</v>
      </c>
      <c r="X8" s="26">
        <f t="shared" si="9"/>
        <v>131838.41333333333</v>
      </c>
      <c r="Y8" s="37">
        <f t="shared" si="10"/>
        <v>0</v>
      </c>
      <c r="Z8" s="14">
        <v>1</v>
      </c>
      <c r="AA8" s="26">
        <f t="shared" si="11"/>
        <v>131838.41333333333</v>
      </c>
      <c r="AB8" s="37">
        <f t="shared" si="12"/>
        <v>131838.41333333333</v>
      </c>
      <c r="AC8" s="14">
        <v>1</v>
      </c>
      <c r="AD8" s="26">
        <f t="shared" si="13"/>
        <v>131838.41333333333</v>
      </c>
      <c r="AE8" s="37">
        <f t="shared" si="14"/>
        <v>131838.41333333333</v>
      </c>
      <c r="AF8" s="14">
        <v>1</v>
      </c>
      <c r="AG8" s="26">
        <f t="shared" si="15"/>
        <v>131838.41333333333</v>
      </c>
      <c r="AH8" s="37">
        <f t="shared" si="16"/>
        <v>131838.41333333333</v>
      </c>
      <c r="AI8" s="14">
        <v>1</v>
      </c>
      <c r="AJ8" s="26">
        <f t="shared" si="17"/>
        <v>131838.41333333333</v>
      </c>
      <c r="AK8" s="37">
        <f t="shared" si="18"/>
        <v>131838.41333333333</v>
      </c>
      <c r="AL8" s="14">
        <v>0</v>
      </c>
      <c r="AM8" s="26">
        <f t="shared" si="19"/>
        <v>131838.41333333333</v>
      </c>
      <c r="AN8" s="37">
        <f t="shared" si="20"/>
        <v>0</v>
      </c>
      <c r="AO8" s="13">
        <f t="shared" si="26"/>
        <v>5</v>
      </c>
      <c r="AP8" s="77">
        <f t="shared" si="27"/>
        <v>110788.58263305323</v>
      </c>
      <c r="AQ8" s="77">
        <f>AO8*AP8</f>
        <v>553942.91316526616</v>
      </c>
      <c r="AR8" s="26">
        <f t="shared" si="21"/>
        <v>131838.41333333333</v>
      </c>
      <c r="AS8" s="37">
        <f t="shared" si="28"/>
        <v>659192.06666666665</v>
      </c>
      <c r="AT8" s="69" t="e" vm="122">
        <v>#VALUE!</v>
      </c>
      <c r="AU8" s="83"/>
    </row>
    <row r="9" spans="2:47" ht="121.5" customHeight="1" thickBot="1">
      <c r="B9" s="246"/>
      <c r="C9" s="105" t="s">
        <v>296</v>
      </c>
      <c r="D9" s="10" t="s">
        <v>297</v>
      </c>
      <c r="E9" s="99" t="s">
        <v>39</v>
      </c>
      <c r="F9" s="186">
        <f>3940502/1.19</f>
        <v>3311346.218487395</v>
      </c>
      <c r="G9" s="185">
        <f t="shared" si="22"/>
        <v>3940502</v>
      </c>
      <c r="H9" s="189">
        <f>3850101/1.19</f>
        <v>3235378.9915966387</v>
      </c>
      <c r="I9" s="185">
        <f t="shared" si="23"/>
        <v>3850101</v>
      </c>
      <c r="J9" s="189">
        <f>3997800/1.19</f>
        <v>3359495.7983193281</v>
      </c>
      <c r="K9" s="41">
        <f t="shared" si="0"/>
        <v>3997800.0000000005</v>
      </c>
      <c r="L9" s="89">
        <f t="shared" si="24"/>
        <v>3302073.6694677877</v>
      </c>
      <c r="M9" s="90">
        <f t="shared" si="25"/>
        <v>3929467.6666666665</v>
      </c>
      <c r="N9" s="14">
        <v>1</v>
      </c>
      <c r="O9" s="26">
        <f t="shared" si="3"/>
        <v>3929467.6666666665</v>
      </c>
      <c r="P9" s="37">
        <f t="shared" si="4"/>
        <v>3929467.6666666665</v>
      </c>
      <c r="Q9" s="14">
        <v>1</v>
      </c>
      <c r="R9" s="26">
        <f t="shared" si="5"/>
        <v>3929467.6666666665</v>
      </c>
      <c r="S9" s="37">
        <f t="shared" si="6"/>
        <v>3929467.6666666665</v>
      </c>
      <c r="T9" s="14">
        <v>1</v>
      </c>
      <c r="U9" s="26">
        <f t="shared" si="7"/>
        <v>3929467.6666666665</v>
      </c>
      <c r="V9" s="37">
        <f t="shared" si="8"/>
        <v>3929467.6666666665</v>
      </c>
      <c r="W9" s="14">
        <v>1</v>
      </c>
      <c r="X9" s="26">
        <f t="shared" si="9"/>
        <v>3929467.6666666665</v>
      </c>
      <c r="Y9" s="37">
        <f t="shared" si="10"/>
        <v>3929467.6666666665</v>
      </c>
      <c r="Z9" s="14">
        <v>1</v>
      </c>
      <c r="AA9" s="26">
        <f t="shared" si="11"/>
        <v>3929467.6666666665</v>
      </c>
      <c r="AB9" s="37">
        <f t="shared" si="12"/>
        <v>3929467.6666666665</v>
      </c>
      <c r="AC9" s="14">
        <v>1</v>
      </c>
      <c r="AD9" s="26">
        <f t="shared" si="13"/>
        <v>3929467.6666666665</v>
      </c>
      <c r="AE9" s="37">
        <f t="shared" si="14"/>
        <v>3929467.6666666665</v>
      </c>
      <c r="AF9" s="14">
        <v>1</v>
      </c>
      <c r="AG9" s="26">
        <f t="shared" si="15"/>
        <v>3929467.6666666665</v>
      </c>
      <c r="AH9" s="37">
        <f t="shared" si="16"/>
        <v>3929467.6666666665</v>
      </c>
      <c r="AI9" s="14">
        <v>1</v>
      </c>
      <c r="AJ9" s="26">
        <f t="shared" si="17"/>
        <v>3929467.6666666665</v>
      </c>
      <c r="AK9" s="37">
        <f t="shared" si="18"/>
        <v>3929467.6666666665</v>
      </c>
      <c r="AL9" s="14">
        <v>6</v>
      </c>
      <c r="AM9" s="26">
        <f t="shared" si="19"/>
        <v>3929467.6666666665</v>
      </c>
      <c r="AN9" s="37">
        <f t="shared" si="20"/>
        <v>23576806</v>
      </c>
      <c r="AO9" s="13">
        <f t="shared" si="26"/>
        <v>14</v>
      </c>
      <c r="AP9" s="77">
        <f t="shared" si="27"/>
        <v>3302073.6694677877</v>
      </c>
      <c r="AQ9" s="77">
        <f t="shared" ref="AQ9:AQ13" si="29">AO9*AP9</f>
        <v>46229031.372549027</v>
      </c>
      <c r="AR9" s="26">
        <f t="shared" si="21"/>
        <v>3929467.6666666665</v>
      </c>
      <c r="AS9" s="37">
        <f t="shared" si="28"/>
        <v>55012547.333333328</v>
      </c>
      <c r="AT9" s="74" t="e" vm="123">
        <v>#VALUE!</v>
      </c>
      <c r="AU9" s="83"/>
    </row>
    <row r="10" spans="2:47" ht="121.5" customHeight="1" thickBot="1">
      <c r="B10" s="244"/>
      <c r="C10" s="105" t="s">
        <v>298</v>
      </c>
      <c r="D10" s="10" t="s">
        <v>299</v>
      </c>
      <c r="E10" s="99" t="s">
        <v>39</v>
      </c>
      <c r="F10" s="186">
        <v>792983</v>
      </c>
      <c r="G10" s="185">
        <f t="shared" si="22"/>
        <v>943649.7699999999</v>
      </c>
      <c r="H10" s="188">
        <v>579831.93000000005</v>
      </c>
      <c r="I10" s="183">
        <f t="shared" si="23"/>
        <v>689999.99670000002</v>
      </c>
      <c r="J10" s="184">
        <v>835000</v>
      </c>
      <c r="K10" s="41">
        <f t="shared" si="0"/>
        <v>993650</v>
      </c>
      <c r="L10" s="89">
        <f t="shared" si="24"/>
        <v>735938.31</v>
      </c>
      <c r="M10" s="90">
        <f t="shared" si="25"/>
        <v>875766.58889999997</v>
      </c>
      <c r="N10" s="14">
        <v>1</v>
      </c>
      <c r="O10" s="26">
        <f t="shared" si="3"/>
        <v>875766.58889999997</v>
      </c>
      <c r="P10" s="37">
        <f t="shared" si="4"/>
        <v>875766.58889999997</v>
      </c>
      <c r="Q10" s="14">
        <v>0</v>
      </c>
      <c r="R10" s="26">
        <f t="shared" si="5"/>
        <v>875766.58889999997</v>
      </c>
      <c r="S10" s="37">
        <f t="shared" si="6"/>
        <v>0</v>
      </c>
      <c r="T10" s="14">
        <v>0</v>
      </c>
      <c r="U10" s="26">
        <f t="shared" si="7"/>
        <v>875766.58889999997</v>
      </c>
      <c r="V10" s="37">
        <f t="shared" si="8"/>
        <v>0</v>
      </c>
      <c r="W10" s="14">
        <v>0</v>
      </c>
      <c r="X10" s="26">
        <f t="shared" si="9"/>
        <v>875766.58889999997</v>
      </c>
      <c r="Y10" s="37">
        <f t="shared" si="10"/>
        <v>0</v>
      </c>
      <c r="Z10" s="14">
        <v>1</v>
      </c>
      <c r="AA10" s="26">
        <f t="shared" si="11"/>
        <v>875766.58889999997</v>
      </c>
      <c r="AB10" s="37">
        <f t="shared" si="12"/>
        <v>875766.58889999997</v>
      </c>
      <c r="AC10" s="14">
        <v>1</v>
      </c>
      <c r="AD10" s="26">
        <f t="shared" si="13"/>
        <v>875766.58889999997</v>
      </c>
      <c r="AE10" s="37">
        <f t="shared" si="14"/>
        <v>875766.58889999997</v>
      </c>
      <c r="AF10" s="14">
        <v>1</v>
      </c>
      <c r="AG10" s="26">
        <f t="shared" si="15"/>
        <v>875766.58889999997</v>
      </c>
      <c r="AH10" s="37">
        <f t="shared" si="16"/>
        <v>875766.58889999997</v>
      </c>
      <c r="AI10" s="14">
        <v>1</v>
      </c>
      <c r="AJ10" s="26">
        <f t="shared" si="17"/>
        <v>875766.58889999997</v>
      </c>
      <c r="AK10" s="37">
        <f t="shared" si="18"/>
        <v>875766.58889999997</v>
      </c>
      <c r="AL10" s="14">
        <v>9</v>
      </c>
      <c r="AM10" s="26">
        <f t="shared" si="19"/>
        <v>875766.58889999997</v>
      </c>
      <c r="AN10" s="37">
        <f t="shared" si="20"/>
        <v>7881899.3000999996</v>
      </c>
      <c r="AO10" s="13">
        <f t="shared" si="26"/>
        <v>14</v>
      </c>
      <c r="AP10" s="77">
        <f t="shared" si="27"/>
        <v>735938.31</v>
      </c>
      <c r="AQ10" s="77">
        <f t="shared" si="29"/>
        <v>10303136.34</v>
      </c>
      <c r="AR10" s="26">
        <f t="shared" si="21"/>
        <v>875766.58889999997</v>
      </c>
      <c r="AS10" s="37">
        <f t="shared" si="28"/>
        <v>12260732.2446</v>
      </c>
      <c r="AT10" s="74" t="e" vm="124">
        <v>#VALUE!</v>
      </c>
      <c r="AU10" s="83"/>
    </row>
    <row r="11" spans="2:47" ht="114.75" customHeight="1">
      <c r="B11" s="243"/>
      <c r="C11" s="105" t="s">
        <v>300</v>
      </c>
      <c r="D11" s="10" t="s">
        <v>301</v>
      </c>
      <c r="E11" s="99" t="s">
        <v>209</v>
      </c>
      <c r="F11" s="186">
        <v>90000</v>
      </c>
      <c r="G11" s="185">
        <f t="shared" si="22"/>
        <v>107100</v>
      </c>
      <c r="H11" s="187">
        <f>92820/1.19</f>
        <v>78000</v>
      </c>
      <c r="I11" s="183">
        <f>H11*1.19</f>
        <v>92820</v>
      </c>
      <c r="J11" s="189">
        <f>102000/1.19</f>
        <v>85714.285714285725</v>
      </c>
      <c r="K11" s="41">
        <f t="shared" si="0"/>
        <v>102000.00000000001</v>
      </c>
      <c r="L11" s="89">
        <f t="shared" si="24"/>
        <v>84571.42857142858</v>
      </c>
      <c r="M11" s="90">
        <f t="shared" si="25"/>
        <v>100640</v>
      </c>
      <c r="N11" s="14"/>
      <c r="O11" s="26">
        <f t="shared" si="3"/>
        <v>100640</v>
      </c>
      <c r="P11" s="37">
        <f t="shared" ref="P11:P12" si="30">N11*O11</f>
        <v>0</v>
      </c>
      <c r="Q11" s="14"/>
      <c r="R11" s="26">
        <f>$M11</f>
        <v>100640</v>
      </c>
      <c r="S11" s="37">
        <f>Q11*R11</f>
        <v>0</v>
      </c>
      <c r="T11" s="14"/>
      <c r="U11" s="26">
        <f t="shared" si="7"/>
        <v>100640</v>
      </c>
      <c r="V11" s="37">
        <f t="shared" si="8"/>
        <v>0</v>
      </c>
      <c r="W11" s="14"/>
      <c r="X11" s="26">
        <f t="shared" si="9"/>
        <v>100640</v>
      </c>
      <c r="Y11" s="37">
        <f t="shared" si="10"/>
        <v>0</v>
      </c>
      <c r="Z11" s="14"/>
      <c r="AA11" s="26">
        <f t="shared" si="11"/>
        <v>100640</v>
      </c>
      <c r="AB11" s="37">
        <f t="shared" si="12"/>
        <v>0</v>
      </c>
      <c r="AC11" s="14"/>
      <c r="AD11" s="26">
        <f t="shared" si="13"/>
        <v>100640</v>
      </c>
      <c r="AE11" s="37">
        <f t="shared" si="14"/>
        <v>0</v>
      </c>
      <c r="AF11" s="14"/>
      <c r="AG11" s="26">
        <f t="shared" si="15"/>
        <v>100640</v>
      </c>
      <c r="AH11" s="37">
        <f t="shared" si="16"/>
        <v>0</v>
      </c>
      <c r="AI11" s="14"/>
      <c r="AJ11" s="26">
        <f t="shared" si="17"/>
        <v>100640</v>
      </c>
      <c r="AK11" s="37">
        <f t="shared" si="18"/>
        <v>0</v>
      </c>
      <c r="AL11" s="14">
        <v>150</v>
      </c>
      <c r="AM11" s="26">
        <f t="shared" si="19"/>
        <v>100640</v>
      </c>
      <c r="AN11" s="37">
        <f t="shared" si="20"/>
        <v>15096000</v>
      </c>
      <c r="AO11" s="13">
        <f t="shared" si="26"/>
        <v>150</v>
      </c>
      <c r="AP11" s="77">
        <f t="shared" si="27"/>
        <v>84571.42857142858</v>
      </c>
      <c r="AQ11" s="77">
        <f t="shared" si="29"/>
        <v>12685714.285714287</v>
      </c>
      <c r="AR11" s="26">
        <f t="shared" si="21"/>
        <v>100640</v>
      </c>
      <c r="AS11" s="37">
        <f t="shared" si="28"/>
        <v>15096000</v>
      </c>
      <c r="AT11" s="74" t="e" vm="125">
        <v>#VALUE!</v>
      </c>
      <c r="AU11" s="83"/>
    </row>
    <row r="12" spans="2:47" ht="95.25" customHeight="1">
      <c r="B12" s="244"/>
      <c r="C12" s="105" t="s">
        <v>302</v>
      </c>
      <c r="D12" s="10" t="s">
        <v>303</v>
      </c>
      <c r="E12" s="99" t="s">
        <v>39</v>
      </c>
      <c r="F12" s="190">
        <f>55900/1.19</f>
        <v>46974.789915966387</v>
      </c>
      <c r="G12" s="185">
        <f t="shared" si="22"/>
        <v>55900</v>
      </c>
      <c r="H12" s="191">
        <f>69900/1.19</f>
        <v>58739.495798319331</v>
      </c>
      <c r="I12" s="185">
        <f t="shared" si="23"/>
        <v>69900</v>
      </c>
      <c r="J12" s="189">
        <f>39900/1.19</f>
        <v>33529.411764705881</v>
      </c>
      <c r="K12" s="41">
        <f t="shared" si="0"/>
        <v>39900</v>
      </c>
      <c r="L12" s="89">
        <f t="shared" si="24"/>
        <v>46414.56582633053</v>
      </c>
      <c r="M12" s="90">
        <f t="shared" si="25"/>
        <v>55233.333333333336</v>
      </c>
      <c r="N12" s="13"/>
      <c r="O12" s="26">
        <f t="shared" si="3"/>
        <v>55233.333333333336</v>
      </c>
      <c r="P12" s="37">
        <f t="shared" si="30"/>
        <v>0</v>
      </c>
      <c r="Q12" s="13"/>
      <c r="R12" s="26">
        <f t="shared" si="5"/>
        <v>55233.333333333336</v>
      </c>
      <c r="S12" s="37">
        <f t="shared" si="6"/>
        <v>0</v>
      </c>
      <c r="T12" s="13"/>
      <c r="U12" s="26">
        <f t="shared" si="7"/>
        <v>55233.333333333336</v>
      </c>
      <c r="V12" s="37">
        <f t="shared" si="8"/>
        <v>0</v>
      </c>
      <c r="W12" s="13"/>
      <c r="X12" s="26">
        <f t="shared" si="9"/>
        <v>55233.333333333336</v>
      </c>
      <c r="Y12" s="37">
        <f t="shared" si="10"/>
        <v>0</v>
      </c>
      <c r="Z12" s="13"/>
      <c r="AA12" s="26">
        <f t="shared" si="11"/>
        <v>55233.333333333336</v>
      </c>
      <c r="AB12" s="37">
        <f t="shared" si="12"/>
        <v>0</v>
      </c>
      <c r="AC12" s="13"/>
      <c r="AD12" s="26">
        <f t="shared" si="13"/>
        <v>55233.333333333336</v>
      </c>
      <c r="AE12" s="37">
        <f t="shared" si="14"/>
        <v>0</v>
      </c>
      <c r="AF12" s="13"/>
      <c r="AG12" s="26">
        <f t="shared" si="15"/>
        <v>55233.333333333336</v>
      </c>
      <c r="AH12" s="37">
        <f t="shared" si="16"/>
        <v>0</v>
      </c>
      <c r="AI12" s="13"/>
      <c r="AJ12" s="26">
        <f t="shared" si="17"/>
        <v>55233.333333333336</v>
      </c>
      <c r="AK12" s="37">
        <f t="shared" si="18"/>
        <v>0</v>
      </c>
      <c r="AL12" s="13">
        <v>120</v>
      </c>
      <c r="AM12" s="26">
        <f t="shared" si="19"/>
        <v>55233.333333333336</v>
      </c>
      <c r="AN12" s="37">
        <f t="shared" si="20"/>
        <v>6628000</v>
      </c>
      <c r="AO12" s="13">
        <f t="shared" si="26"/>
        <v>120</v>
      </c>
      <c r="AP12" s="77">
        <f t="shared" si="27"/>
        <v>46414.56582633053</v>
      </c>
      <c r="AQ12" s="77">
        <f t="shared" si="29"/>
        <v>5569747.8991596634</v>
      </c>
      <c r="AR12" s="26">
        <f t="shared" si="21"/>
        <v>55233.333333333336</v>
      </c>
      <c r="AS12" s="37">
        <f t="shared" si="28"/>
        <v>6628000</v>
      </c>
      <c r="AT12" s="74" t="e" vm="126">
        <v>#VALUE!</v>
      </c>
      <c r="AU12" s="83"/>
    </row>
    <row r="13" spans="2:47" ht="157.5" thickBot="1">
      <c r="B13" s="246"/>
      <c r="C13" s="106" t="s">
        <v>304</v>
      </c>
      <c r="D13" s="44" t="s">
        <v>305</v>
      </c>
      <c r="E13" s="103" t="s">
        <v>39</v>
      </c>
      <c r="F13" s="192">
        <f>4999990/1.19</f>
        <v>4201672.2689075628</v>
      </c>
      <c r="G13" s="193">
        <f t="shared" ref="G13" si="31">F13*1.19</f>
        <v>4999990</v>
      </c>
      <c r="H13" s="194">
        <f>5300000/1.19</f>
        <v>4453781.5126050422</v>
      </c>
      <c r="I13" s="193">
        <f t="shared" ref="I13" si="32">H13*1.19</f>
        <v>5300000</v>
      </c>
      <c r="J13" s="194">
        <f>5249900/1.19</f>
        <v>4411680.6722689075</v>
      </c>
      <c r="K13" s="91">
        <f t="shared" ref="K13" si="33">J13*1.19</f>
        <v>5249900</v>
      </c>
      <c r="L13" s="89">
        <f t="shared" si="24"/>
        <v>4355711.4845938375</v>
      </c>
      <c r="M13" s="90">
        <f t="shared" si="25"/>
        <v>5183296.666666667</v>
      </c>
      <c r="N13" s="18"/>
      <c r="O13" s="27">
        <f t="shared" si="3"/>
        <v>5183296.666666667</v>
      </c>
      <c r="P13" s="38">
        <f t="shared" ref="P13" si="34">N13*O13</f>
        <v>0</v>
      </c>
      <c r="Q13" s="18"/>
      <c r="R13" s="27">
        <f t="shared" si="5"/>
        <v>5183296.666666667</v>
      </c>
      <c r="S13" s="38">
        <f t="shared" ref="S13" si="35">Q13*R13</f>
        <v>0</v>
      </c>
      <c r="T13" s="18"/>
      <c r="U13" s="27">
        <f t="shared" si="7"/>
        <v>5183296.666666667</v>
      </c>
      <c r="V13" s="38">
        <f t="shared" ref="V13" si="36">T13*U13</f>
        <v>0</v>
      </c>
      <c r="W13" s="18"/>
      <c r="X13" s="27">
        <f t="shared" si="9"/>
        <v>5183296.666666667</v>
      </c>
      <c r="Y13" s="38">
        <f t="shared" ref="Y13" si="37">W13*X13</f>
        <v>0</v>
      </c>
      <c r="Z13" s="18"/>
      <c r="AA13" s="27">
        <f t="shared" si="11"/>
        <v>5183296.666666667</v>
      </c>
      <c r="AB13" s="38">
        <f t="shared" ref="AB13" si="38">Z13*AA13</f>
        <v>0</v>
      </c>
      <c r="AC13" s="18"/>
      <c r="AD13" s="27">
        <f t="shared" si="13"/>
        <v>5183296.666666667</v>
      </c>
      <c r="AE13" s="38">
        <f t="shared" ref="AE13" si="39">AC13*AD13</f>
        <v>0</v>
      </c>
      <c r="AF13" s="18"/>
      <c r="AG13" s="27">
        <f t="shared" si="15"/>
        <v>5183296.666666667</v>
      </c>
      <c r="AH13" s="38">
        <f t="shared" ref="AH13" si="40">AF13*AG13</f>
        <v>0</v>
      </c>
      <c r="AI13" s="18"/>
      <c r="AJ13" s="27">
        <f t="shared" si="17"/>
        <v>5183296.666666667</v>
      </c>
      <c r="AK13" s="38">
        <f t="shared" ref="AK13" si="41">AI13*AJ13</f>
        <v>0</v>
      </c>
      <c r="AL13" s="18">
        <v>1</v>
      </c>
      <c r="AM13" s="27">
        <f t="shared" si="19"/>
        <v>5183296.666666667</v>
      </c>
      <c r="AN13" s="38">
        <f t="shared" ref="AN13" si="42">AL13*AM13</f>
        <v>5183296.666666667</v>
      </c>
      <c r="AO13" s="18">
        <f t="shared" si="26"/>
        <v>1</v>
      </c>
      <c r="AP13" s="82">
        <f t="shared" si="27"/>
        <v>4355711.4845938375</v>
      </c>
      <c r="AQ13" s="82">
        <f t="shared" si="29"/>
        <v>4355711.4845938375</v>
      </c>
      <c r="AR13" s="27">
        <f t="shared" si="21"/>
        <v>5183296.666666667</v>
      </c>
      <c r="AS13" s="38">
        <f t="shared" ref="AS13" si="43">AO13*AR13</f>
        <v>5183296.666666667</v>
      </c>
      <c r="AT13" s="47" t="e" vm="127">
        <v>#VALUE!</v>
      </c>
      <c r="AU13" s="83"/>
    </row>
    <row r="14" spans="2:47" ht="114" customHeight="1">
      <c r="B14" s="1"/>
      <c r="C14" s="3"/>
      <c r="F14" s="195"/>
      <c r="G14" s="195"/>
      <c r="H14" s="195"/>
      <c r="I14" s="195"/>
      <c r="J14" s="195"/>
      <c r="AQ14" s="81">
        <f>SUM(AQ6:AQ13)</f>
        <v>91964230.037478998</v>
      </c>
      <c r="AS14" s="22">
        <f>SUBTOTAL(9,AS6:AS13)</f>
        <v>109437433.7446</v>
      </c>
      <c r="AU14" s="83"/>
    </row>
    <row r="15" spans="2:47" s="2" customFormat="1" ht="113.25" customHeight="1">
      <c r="B15" s="1"/>
      <c r="C15" s="3"/>
      <c r="D15"/>
      <c r="E15"/>
      <c r="F15" s="40"/>
      <c r="G15" s="40"/>
      <c r="H15" s="40"/>
      <c r="I15" s="40"/>
      <c r="J15" s="40"/>
      <c r="K15" s="40"/>
      <c r="L15" s="40"/>
      <c r="M15" s="22"/>
      <c r="N15" s="4"/>
      <c r="O15" s="22"/>
      <c r="P15" s="22"/>
      <c r="Q15" s="4"/>
      <c r="R15" s="22"/>
      <c r="S15" s="22"/>
      <c r="T15" s="4"/>
      <c r="U15" s="22"/>
      <c r="V15" s="22"/>
      <c r="W15" s="4"/>
      <c r="X15" s="22"/>
      <c r="Y15" s="22"/>
      <c r="Z15" s="4"/>
      <c r="AA15" s="22"/>
      <c r="AB15" s="22"/>
      <c r="AC15" s="4"/>
      <c r="AD15" s="22"/>
      <c r="AE15" s="22"/>
      <c r="AF15" s="4"/>
      <c r="AG15" s="22"/>
      <c r="AH15" s="22"/>
      <c r="AI15" s="4"/>
      <c r="AJ15" s="22"/>
      <c r="AK15" s="22"/>
      <c r="AL15" s="4"/>
      <c r="AM15" s="22"/>
      <c r="AN15" s="22"/>
      <c r="AO15" s="4"/>
      <c r="AP15" s="4"/>
      <c r="AQ15" s="4"/>
      <c r="AR15" s="22"/>
      <c r="AS15" s="22"/>
      <c r="AT15" s="4"/>
    </row>
    <row r="16" spans="2:47" s="2" customFormat="1" ht="108.75" customHeight="1">
      <c r="B16" s="1"/>
      <c r="C16" s="3"/>
      <c r="D16"/>
      <c r="E16"/>
      <c r="F16" s="40"/>
      <c r="G16" s="40"/>
      <c r="H16" s="40"/>
      <c r="I16" s="40"/>
      <c r="J16" s="40"/>
      <c r="K16" s="40"/>
      <c r="L16" s="40"/>
      <c r="M16" s="22"/>
      <c r="N16" s="4"/>
      <c r="O16" s="22"/>
      <c r="P16" s="22"/>
      <c r="Q16" s="4"/>
      <c r="R16" s="22"/>
      <c r="S16" s="22"/>
      <c r="T16" s="4"/>
      <c r="U16" s="22"/>
      <c r="V16" s="22"/>
      <c r="W16" s="4"/>
      <c r="X16" s="22"/>
      <c r="Y16" s="22"/>
      <c r="Z16" s="4"/>
      <c r="AA16" s="22"/>
      <c r="AB16" s="22"/>
      <c r="AC16" s="4"/>
      <c r="AD16" s="22"/>
      <c r="AE16" s="22"/>
      <c r="AF16" s="4"/>
      <c r="AG16" s="22"/>
      <c r="AH16" s="22"/>
      <c r="AI16" s="4"/>
      <c r="AJ16" s="22"/>
      <c r="AK16" s="22"/>
      <c r="AL16" s="4"/>
      <c r="AM16" s="22"/>
      <c r="AN16" s="22"/>
      <c r="AO16" s="4"/>
      <c r="AP16" s="4"/>
      <c r="AQ16" s="4"/>
      <c r="AR16" s="22"/>
      <c r="AS16" s="22"/>
      <c r="AT16" s="4"/>
    </row>
    <row r="17" spans="2:46" s="2" customFormat="1" ht="108.75" customHeight="1">
      <c r="B17" s="1"/>
      <c r="C17" s="3"/>
      <c r="D17"/>
      <c r="E17"/>
      <c r="F17" s="40"/>
      <c r="G17" s="40"/>
      <c r="H17" s="40"/>
      <c r="I17" s="40"/>
      <c r="J17" s="40"/>
      <c r="K17" s="40"/>
      <c r="L17" s="40"/>
      <c r="M17" s="22"/>
      <c r="N17" s="4"/>
      <c r="O17" s="22"/>
      <c r="P17" s="22"/>
      <c r="Q17" s="4"/>
      <c r="R17" s="22"/>
      <c r="S17" s="22"/>
      <c r="T17" s="4"/>
      <c r="U17" s="22"/>
      <c r="V17" s="22"/>
      <c r="W17" s="4"/>
      <c r="X17" s="22"/>
      <c r="Y17" s="22"/>
      <c r="Z17" s="4"/>
      <c r="AA17" s="22"/>
      <c r="AB17" s="22"/>
      <c r="AC17" s="4"/>
      <c r="AD17" s="22"/>
      <c r="AE17" s="22"/>
      <c r="AF17" s="4"/>
      <c r="AG17" s="22"/>
      <c r="AH17" s="22"/>
      <c r="AI17" s="4"/>
      <c r="AJ17" s="22"/>
      <c r="AK17" s="22"/>
      <c r="AL17" s="4"/>
      <c r="AM17" s="22"/>
      <c r="AN17" s="22"/>
      <c r="AO17" s="4"/>
      <c r="AP17" s="4"/>
      <c r="AQ17" s="4"/>
      <c r="AR17" s="22"/>
      <c r="AS17" s="22"/>
      <c r="AT17" s="4"/>
    </row>
    <row r="18" spans="2:46" s="2" customFormat="1" ht="108.75" customHeight="1">
      <c r="B18" s="1"/>
      <c r="C18" s="3"/>
      <c r="D18"/>
      <c r="E18"/>
      <c r="F18" s="40"/>
      <c r="G18" s="40"/>
      <c r="H18" s="40"/>
      <c r="I18" s="40"/>
      <c r="J18" s="40"/>
      <c r="K18" s="40"/>
      <c r="L18" s="40"/>
      <c r="M18" s="22"/>
      <c r="N18" s="4"/>
      <c r="O18" s="22"/>
      <c r="P18" s="22"/>
      <c r="Q18" s="4"/>
      <c r="R18" s="22"/>
      <c r="S18" s="22"/>
      <c r="T18" s="4"/>
      <c r="U18" s="22"/>
      <c r="V18" s="22"/>
      <c r="W18" s="4"/>
      <c r="X18" s="22"/>
      <c r="Y18" s="22"/>
      <c r="Z18" s="4"/>
      <c r="AA18" s="22"/>
      <c r="AB18" s="22"/>
      <c r="AC18" s="4"/>
      <c r="AD18" s="22"/>
      <c r="AE18" s="22"/>
      <c r="AF18" s="4"/>
      <c r="AG18" s="22"/>
      <c r="AH18" s="22"/>
      <c r="AI18" s="4"/>
      <c r="AJ18" s="22"/>
      <c r="AK18" s="22"/>
      <c r="AL18" s="4"/>
      <c r="AM18" s="22"/>
      <c r="AN18" s="22"/>
      <c r="AO18" s="4"/>
      <c r="AP18" s="4"/>
      <c r="AQ18" s="4"/>
      <c r="AR18" s="22"/>
      <c r="AS18" s="22"/>
      <c r="AT18" s="4"/>
    </row>
    <row r="19" spans="2:46" s="2" customFormat="1" ht="108.75" customHeight="1">
      <c r="B19" s="1"/>
      <c r="C19" s="3"/>
      <c r="D19"/>
      <c r="E19"/>
      <c r="F19" s="40"/>
      <c r="G19" s="40"/>
      <c r="H19" s="40"/>
      <c r="I19" s="40"/>
      <c r="J19" s="40"/>
      <c r="K19" s="40"/>
      <c r="L19" s="40"/>
      <c r="M19" s="22"/>
      <c r="N19" s="4"/>
      <c r="O19" s="22"/>
      <c r="P19" s="22"/>
      <c r="Q19" s="4"/>
      <c r="R19" s="22"/>
      <c r="S19" s="22"/>
      <c r="T19" s="4"/>
      <c r="U19" s="22"/>
      <c r="V19" s="22"/>
      <c r="W19" s="4"/>
      <c r="X19" s="22"/>
      <c r="Y19" s="22"/>
      <c r="Z19" s="4"/>
      <c r="AA19" s="22"/>
      <c r="AB19" s="22"/>
      <c r="AC19" s="4"/>
      <c r="AD19" s="22"/>
      <c r="AE19" s="22"/>
      <c r="AF19" s="4"/>
      <c r="AG19" s="22"/>
      <c r="AH19" s="22"/>
      <c r="AI19" s="4"/>
      <c r="AJ19" s="22"/>
      <c r="AK19" s="22"/>
      <c r="AL19" s="4"/>
      <c r="AM19" s="22"/>
      <c r="AN19" s="22"/>
      <c r="AO19" s="4"/>
      <c r="AP19" s="4"/>
      <c r="AQ19" s="4"/>
      <c r="AR19" s="22"/>
      <c r="AS19" s="22"/>
      <c r="AT19" s="4"/>
    </row>
    <row r="20" spans="2:46" s="2" customFormat="1" ht="96" customHeight="1">
      <c r="B20" s="1"/>
      <c r="C20" s="3"/>
      <c r="D20"/>
      <c r="E20"/>
      <c r="F20" s="40"/>
      <c r="G20" s="40"/>
      <c r="H20" s="40"/>
      <c r="I20" s="40"/>
      <c r="J20" s="40"/>
      <c r="K20" s="40"/>
      <c r="L20" s="40"/>
      <c r="M20" s="22"/>
      <c r="N20" s="4"/>
      <c r="O20" s="22"/>
      <c r="P20" s="22"/>
      <c r="Q20" s="4"/>
      <c r="R20" s="22"/>
      <c r="S20" s="22"/>
      <c r="T20" s="4"/>
      <c r="U20" s="22"/>
      <c r="V20" s="22"/>
      <c r="W20" s="4"/>
      <c r="X20" s="22"/>
      <c r="Y20" s="22"/>
      <c r="Z20" s="4"/>
      <c r="AA20" s="22"/>
      <c r="AB20" s="22"/>
      <c r="AC20" s="4"/>
      <c r="AD20" s="22"/>
      <c r="AE20" s="22"/>
      <c r="AF20" s="4"/>
      <c r="AG20" s="22"/>
      <c r="AH20" s="22"/>
      <c r="AI20" s="4"/>
      <c r="AJ20" s="22"/>
      <c r="AK20" s="22"/>
      <c r="AL20" s="4"/>
      <c r="AM20" s="22"/>
      <c r="AN20" s="22"/>
      <c r="AO20" s="4"/>
      <c r="AP20" s="4"/>
      <c r="AQ20" s="4"/>
      <c r="AR20" s="22"/>
      <c r="AS20" s="22"/>
      <c r="AT20" s="4"/>
    </row>
    <row r="21" spans="2:46" s="2" customFormat="1" ht="120.75" customHeight="1">
      <c r="B21" s="1"/>
      <c r="C21" s="3"/>
      <c r="D21"/>
      <c r="E21"/>
      <c r="F21" s="40"/>
      <c r="G21" s="40"/>
      <c r="H21" s="40"/>
      <c r="I21" s="40"/>
      <c r="J21" s="40"/>
      <c r="K21" s="40"/>
      <c r="L21" s="40"/>
      <c r="M21" s="22"/>
      <c r="N21" s="4"/>
      <c r="O21" s="22"/>
      <c r="P21" s="22"/>
      <c r="Q21" s="4"/>
      <c r="R21" s="22"/>
      <c r="S21" s="22"/>
      <c r="T21" s="4"/>
      <c r="U21" s="22"/>
      <c r="V21" s="22"/>
      <c r="W21" s="4"/>
      <c r="X21" s="22"/>
      <c r="Y21" s="22"/>
      <c r="Z21" s="4"/>
      <c r="AA21" s="22"/>
      <c r="AB21" s="22"/>
      <c r="AC21" s="4"/>
      <c r="AD21" s="22"/>
      <c r="AE21" s="22"/>
      <c r="AF21" s="4"/>
      <c r="AG21" s="22"/>
      <c r="AH21" s="22"/>
      <c r="AI21" s="4"/>
      <c r="AJ21" s="22"/>
      <c r="AK21" s="22"/>
      <c r="AL21" s="4"/>
      <c r="AM21" s="22"/>
      <c r="AN21" s="22"/>
      <c r="AO21" s="4"/>
      <c r="AP21" s="4"/>
      <c r="AQ21" s="4"/>
      <c r="AR21" s="22"/>
      <c r="AS21" s="22"/>
      <c r="AT21" s="4"/>
    </row>
    <row r="22" spans="2:46" s="2" customFormat="1" ht="291" customHeight="1">
      <c r="B22" s="1"/>
      <c r="C22" s="3"/>
      <c r="D22"/>
      <c r="E22"/>
      <c r="F22" s="40"/>
      <c r="G22" s="40"/>
      <c r="H22" s="40"/>
      <c r="I22" s="40"/>
      <c r="J22" s="40"/>
      <c r="K22" s="40"/>
      <c r="L22" s="40"/>
      <c r="M22" s="22"/>
      <c r="N22" s="4"/>
      <c r="O22" s="22"/>
      <c r="P22" s="22"/>
      <c r="Q22" s="4"/>
      <c r="R22" s="22"/>
      <c r="S22" s="22"/>
      <c r="T22" s="4"/>
      <c r="U22" s="22"/>
      <c r="V22" s="22"/>
      <c r="W22" s="4"/>
      <c r="X22" s="22"/>
      <c r="Y22" s="22"/>
      <c r="Z22" s="4"/>
      <c r="AA22" s="22"/>
      <c r="AB22" s="22"/>
      <c r="AC22" s="4"/>
      <c r="AD22" s="22"/>
      <c r="AE22" s="22"/>
      <c r="AF22" s="4"/>
      <c r="AG22" s="22"/>
      <c r="AH22" s="22"/>
      <c r="AI22" s="4"/>
      <c r="AJ22" s="22"/>
      <c r="AK22" s="22"/>
      <c r="AL22" s="4"/>
      <c r="AM22" s="22"/>
      <c r="AN22" s="22"/>
      <c r="AO22" s="4"/>
      <c r="AP22" s="4"/>
      <c r="AQ22" s="4"/>
      <c r="AR22" s="22"/>
      <c r="AS22" s="22"/>
      <c r="AT22" s="4"/>
    </row>
    <row r="23" spans="2:46" s="2" customFormat="1" ht="226.15" customHeight="1">
      <c r="B23" s="1"/>
      <c r="C23" s="3"/>
      <c r="D23"/>
      <c r="E23"/>
      <c r="F23" s="40"/>
      <c r="G23" s="40"/>
      <c r="H23" s="40"/>
      <c r="I23" s="40"/>
      <c r="J23" s="40"/>
      <c r="K23" s="40"/>
      <c r="L23" s="40"/>
      <c r="M23" s="22"/>
      <c r="N23" s="4"/>
      <c r="O23" s="22"/>
      <c r="P23" s="22"/>
      <c r="Q23" s="4"/>
      <c r="R23" s="22"/>
      <c r="S23" s="22"/>
      <c r="T23" s="4"/>
      <c r="U23" s="22"/>
      <c r="V23" s="22"/>
      <c r="W23" s="4"/>
      <c r="X23" s="22"/>
      <c r="Y23" s="22"/>
      <c r="Z23" s="4"/>
      <c r="AA23" s="22"/>
      <c r="AB23" s="22"/>
      <c r="AC23" s="4"/>
      <c r="AD23" s="22"/>
      <c r="AE23" s="22"/>
      <c r="AF23" s="4"/>
      <c r="AG23" s="22"/>
      <c r="AH23" s="22"/>
      <c r="AI23" s="4"/>
      <c r="AJ23" s="22"/>
      <c r="AK23" s="22"/>
      <c r="AL23" s="4"/>
      <c r="AM23" s="22"/>
      <c r="AN23" s="22"/>
      <c r="AO23" s="4"/>
      <c r="AP23" s="4"/>
      <c r="AQ23" s="4"/>
      <c r="AR23" s="22"/>
      <c r="AS23" s="22"/>
      <c r="AT23" s="4"/>
    </row>
    <row r="24" spans="2:46" s="2" customFormat="1" ht="148.5" customHeight="1">
      <c r="B24" s="1"/>
      <c r="C24" s="3"/>
      <c r="D24"/>
      <c r="E24"/>
      <c r="F24" s="40"/>
      <c r="G24" s="40"/>
      <c r="H24" s="40"/>
      <c r="I24" s="40"/>
      <c r="J24" s="40"/>
      <c r="K24" s="40"/>
      <c r="L24" s="40"/>
      <c r="M24" s="22"/>
      <c r="N24" s="4"/>
      <c r="O24" s="22"/>
      <c r="P24" s="22"/>
      <c r="Q24" s="4"/>
      <c r="R24" s="22"/>
      <c r="S24" s="22"/>
      <c r="T24" s="4"/>
      <c r="U24" s="22"/>
      <c r="V24" s="22"/>
      <c r="W24" s="4"/>
      <c r="X24" s="22"/>
      <c r="Y24" s="22"/>
      <c r="Z24" s="4"/>
      <c r="AA24" s="22"/>
      <c r="AB24" s="22"/>
      <c r="AC24" s="4"/>
      <c r="AD24" s="22"/>
      <c r="AE24" s="22"/>
      <c r="AF24" s="4"/>
      <c r="AG24" s="22"/>
      <c r="AH24" s="22"/>
      <c r="AI24" s="4"/>
      <c r="AJ24" s="22"/>
      <c r="AK24" s="22"/>
      <c r="AL24" s="4"/>
      <c r="AM24" s="22"/>
      <c r="AN24" s="22"/>
      <c r="AO24" s="4"/>
      <c r="AP24" s="4"/>
      <c r="AQ24" s="4"/>
      <c r="AR24" s="22"/>
      <c r="AS24" s="22"/>
      <c r="AT24" s="4"/>
    </row>
    <row r="25" spans="2:46" s="2" customFormat="1" ht="124.5" customHeight="1">
      <c r="B25" s="1"/>
      <c r="C25" s="3"/>
      <c r="D25"/>
      <c r="E25"/>
      <c r="F25" s="40"/>
      <c r="G25" s="40"/>
      <c r="H25" s="40"/>
      <c r="I25" s="40"/>
      <c r="J25" s="40"/>
      <c r="K25" s="40"/>
      <c r="L25" s="40"/>
      <c r="M25" s="22"/>
      <c r="N25" s="4"/>
      <c r="O25" s="22"/>
      <c r="P25" s="22"/>
      <c r="Q25" s="4"/>
      <c r="R25" s="22"/>
      <c r="S25" s="22"/>
      <c r="T25" s="4"/>
      <c r="U25" s="22"/>
      <c r="V25" s="22"/>
      <c r="W25" s="4"/>
      <c r="X25" s="22"/>
      <c r="Y25" s="22"/>
      <c r="Z25" s="4"/>
      <c r="AA25" s="22"/>
      <c r="AB25" s="22"/>
      <c r="AC25" s="4"/>
      <c r="AD25" s="22"/>
      <c r="AE25" s="22"/>
      <c r="AF25" s="4"/>
      <c r="AG25" s="22"/>
      <c r="AH25" s="22"/>
      <c r="AI25" s="4"/>
      <c r="AJ25" s="22"/>
      <c r="AK25" s="22"/>
      <c r="AL25" s="4"/>
      <c r="AM25" s="22"/>
      <c r="AN25" s="22"/>
      <c r="AO25" s="4"/>
      <c r="AP25" s="4"/>
      <c r="AQ25" s="4"/>
      <c r="AR25" s="22"/>
      <c r="AS25" s="22"/>
      <c r="AT25" s="4"/>
    </row>
    <row r="26" spans="2:46" s="2" customFormat="1" ht="96.75" customHeight="1">
      <c r="B26" s="1"/>
      <c r="C26" s="3"/>
      <c r="D26"/>
      <c r="E26"/>
      <c r="F26" s="40"/>
      <c r="G26" s="40"/>
      <c r="H26" s="40"/>
      <c r="I26" s="40"/>
      <c r="J26" s="40"/>
      <c r="K26" s="40"/>
      <c r="L26" s="40"/>
      <c r="M26" s="22"/>
      <c r="N26" s="4"/>
      <c r="O26" s="22"/>
      <c r="P26" s="22"/>
      <c r="Q26" s="4"/>
      <c r="R26" s="22"/>
      <c r="S26" s="22"/>
      <c r="T26" s="4"/>
      <c r="U26" s="22"/>
      <c r="V26" s="22"/>
      <c r="W26" s="4"/>
      <c r="X26" s="22"/>
      <c r="Y26" s="22"/>
      <c r="Z26" s="4"/>
      <c r="AA26" s="22"/>
      <c r="AB26" s="22"/>
      <c r="AC26" s="4"/>
      <c r="AD26" s="22"/>
      <c r="AE26" s="22"/>
      <c r="AF26" s="4"/>
      <c r="AG26" s="22"/>
      <c r="AH26" s="22"/>
      <c r="AI26" s="4"/>
      <c r="AJ26" s="22"/>
      <c r="AK26" s="22"/>
      <c r="AL26" s="4"/>
      <c r="AM26" s="22"/>
      <c r="AN26" s="22"/>
      <c r="AO26" s="4"/>
      <c r="AP26" s="4"/>
      <c r="AQ26" s="4"/>
      <c r="AR26" s="22"/>
      <c r="AS26" s="22"/>
      <c r="AT26" s="4"/>
    </row>
    <row r="27" spans="2:46" s="2" customFormat="1" ht="137.25" customHeight="1">
      <c r="B27" s="1"/>
      <c r="C27" s="3"/>
      <c r="D27"/>
      <c r="E27"/>
      <c r="F27" s="40"/>
      <c r="G27" s="40"/>
      <c r="H27" s="40"/>
      <c r="I27" s="40"/>
      <c r="J27" s="40"/>
      <c r="K27" s="40"/>
      <c r="L27" s="40"/>
      <c r="M27" s="22"/>
      <c r="N27" s="4"/>
      <c r="O27" s="22"/>
      <c r="P27" s="22"/>
      <c r="Q27" s="4"/>
      <c r="R27" s="22"/>
      <c r="S27" s="22"/>
      <c r="T27" s="4"/>
      <c r="U27" s="22"/>
      <c r="V27" s="22"/>
      <c r="W27" s="4"/>
      <c r="X27" s="32"/>
      <c r="Y27" s="22"/>
      <c r="Z27" s="4"/>
      <c r="AA27" s="32"/>
      <c r="AB27" s="22"/>
      <c r="AC27" s="4"/>
      <c r="AD27" s="22"/>
      <c r="AE27" s="22"/>
      <c r="AF27" s="4"/>
      <c r="AG27" s="22"/>
      <c r="AH27" s="22"/>
      <c r="AI27" s="4"/>
      <c r="AJ27" s="22"/>
      <c r="AK27" s="22"/>
      <c r="AL27" s="4"/>
      <c r="AM27" s="22"/>
      <c r="AN27" s="22"/>
      <c r="AO27" s="4"/>
      <c r="AP27" s="4"/>
      <c r="AQ27" s="4"/>
      <c r="AR27" s="22"/>
      <c r="AS27" s="22"/>
      <c r="AT27" s="4"/>
    </row>
    <row r="28" spans="2:46" s="2" customFormat="1" ht="143.25" customHeight="1">
      <c r="B28" s="1"/>
      <c r="C28" s="3"/>
      <c r="D28"/>
      <c r="E28"/>
      <c r="F28" s="40"/>
      <c r="G28" s="40"/>
      <c r="H28" s="40"/>
      <c r="I28" s="40"/>
      <c r="J28" s="40"/>
      <c r="K28" s="40"/>
      <c r="L28" s="40"/>
      <c r="M28" s="22"/>
      <c r="N28" s="4"/>
      <c r="O28" s="22"/>
      <c r="P28" s="22"/>
      <c r="Q28" s="4"/>
      <c r="R28" s="22"/>
      <c r="S28" s="22"/>
      <c r="T28" s="4"/>
      <c r="U28" s="22"/>
      <c r="V28" s="22"/>
      <c r="W28" s="4"/>
      <c r="X28" s="22"/>
      <c r="Y28" s="22"/>
      <c r="Z28" s="4"/>
      <c r="AA28" s="22"/>
      <c r="AB28" s="22"/>
      <c r="AC28" s="4"/>
      <c r="AD28" s="22"/>
      <c r="AE28" s="22"/>
      <c r="AF28" s="4"/>
      <c r="AG28" s="22"/>
      <c r="AH28" s="22"/>
      <c r="AI28" s="4"/>
      <c r="AJ28" s="22"/>
      <c r="AK28" s="22"/>
      <c r="AL28" s="4"/>
      <c r="AM28" s="22"/>
      <c r="AN28" s="22"/>
      <c r="AO28" s="4"/>
      <c r="AP28" s="4"/>
      <c r="AQ28" s="4"/>
      <c r="AR28" s="22"/>
      <c r="AS28" s="22"/>
      <c r="AT28" s="4"/>
    </row>
    <row r="29" spans="2:46" s="2" customFormat="1" ht="147" customHeight="1">
      <c r="B29" s="1"/>
      <c r="C29" s="3"/>
      <c r="D29"/>
      <c r="E29"/>
      <c r="F29" s="40"/>
      <c r="G29" s="40"/>
      <c r="H29" s="40"/>
      <c r="I29" s="40"/>
      <c r="J29" s="40"/>
      <c r="K29" s="40"/>
      <c r="L29" s="40"/>
      <c r="M29" s="22"/>
      <c r="N29" s="4"/>
      <c r="O29" s="22"/>
      <c r="P29" s="22"/>
      <c r="Q29" s="4"/>
      <c r="R29" s="22"/>
      <c r="S29" s="22"/>
      <c r="T29" s="4"/>
      <c r="U29" s="22"/>
      <c r="V29" s="22"/>
      <c r="W29" s="4"/>
      <c r="X29" s="22"/>
      <c r="Y29" s="22"/>
      <c r="Z29" s="4"/>
      <c r="AA29" s="22"/>
      <c r="AB29" s="22"/>
      <c r="AC29" s="4"/>
      <c r="AD29" s="22"/>
      <c r="AE29" s="22"/>
      <c r="AF29" s="4"/>
      <c r="AG29" s="22"/>
      <c r="AH29" s="22"/>
      <c r="AI29" s="4"/>
      <c r="AJ29" s="22"/>
      <c r="AK29" s="22"/>
      <c r="AL29" s="4"/>
      <c r="AM29" s="22"/>
      <c r="AN29" s="22"/>
      <c r="AO29" s="4"/>
      <c r="AP29" s="4"/>
      <c r="AQ29" s="4"/>
      <c r="AR29" s="22"/>
      <c r="AS29" s="22"/>
      <c r="AT29" s="4"/>
    </row>
    <row r="30" spans="2:46" s="2" customFormat="1" ht="148.5" customHeight="1">
      <c r="B30" s="1"/>
      <c r="C30" s="3"/>
      <c r="D30"/>
      <c r="E30"/>
      <c r="F30" s="40"/>
      <c r="G30" s="40"/>
      <c r="H30" s="40"/>
      <c r="I30" s="40"/>
      <c r="J30" s="40"/>
      <c r="K30" s="40"/>
      <c r="L30" s="40"/>
      <c r="M30" s="22"/>
      <c r="N30" s="4"/>
      <c r="O30" s="22"/>
      <c r="P30" s="22"/>
      <c r="Q30" s="4"/>
      <c r="R30" s="22"/>
      <c r="S30" s="22"/>
      <c r="T30" s="4"/>
      <c r="U30" s="22"/>
      <c r="V30" s="22"/>
      <c r="W30" s="4"/>
      <c r="X30" s="22"/>
      <c r="Y30" s="22"/>
      <c r="Z30" s="4"/>
      <c r="AA30" s="22"/>
      <c r="AB30" s="22"/>
      <c r="AC30" s="4"/>
      <c r="AD30" s="22"/>
      <c r="AE30" s="22"/>
      <c r="AF30" s="4"/>
      <c r="AG30" s="22"/>
      <c r="AH30" s="22"/>
      <c r="AI30" s="4"/>
      <c r="AJ30" s="22"/>
      <c r="AK30" s="22"/>
      <c r="AL30" s="4"/>
      <c r="AM30" s="22"/>
      <c r="AN30" s="22"/>
      <c r="AO30" s="4"/>
      <c r="AP30" s="4"/>
      <c r="AQ30" s="4"/>
      <c r="AR30" s="22"/>
      <c r="AS30" s="22"/>
      <c r="AT30" s="4"/>
    </row>
    <row r="31" spans="2:46" s="2" customFormat="1" ht="150" customHeight="1">
      <c r="B31" s="1"/>
      <c r="C31" s="3"/>
      <c r="D31"/>
      <c r="E31"/>
      <c r="F31" s="40"/>
      <c r="G31" s="40"/>
      <c r="H31" s="40"/>
      <c r="I31" s="40"/>
      <c r="J31" s="40"/>
      <c r="K31" s="40"/>
      <c r="L31" s="40"/>
      <c r="M31" s="22"/>
      <c r="N31" s="4"/>
      <c r="O31" s="22"/>
      <c r="P31" s="22"/>
      <c r="Q31" s="4"/>
      <c r="R31" s="22"/>
      <c r="S31" s="22"/>
      <c r="T31" s="4"/>
      <c r="U31" s="22"/>
      <c r="V31" s="22"/>
      <c r="W31" s="4"/>
      <c r="X31" s="22"/>
      <c r="Y31" s="22"/>
      <c r="Z31" s="4"/>
      <c r="AA31" s="22"/>
      <c r="AB31" s="22"/>
      <c r="AC31" s="4"/>
      <c r="AD31" s="22"/>
      <c r="AE31" s="22"/>
      <c r="AF31" s="4"/>
      <c r="AG31" s="22"/>
      <c r="AH31" s="22"/>
      <c r="AI31" s="4"/>
      <c r="AJ31" s="22"/>
      <c r="AK31" s="22"/>
      <c r="AL31" s="4"/>
      <c r="AM31" s="22"/>
      <c r="AN31" s="22"/>
      <c r="AO31" s="4"/>
      <c r="AP31" s="4"/>
      <c r="AQ31" s="4"/>
      <c r="AR31" s="22"/>
      <c r="AS31" s="22"/>
      <c r="AT31" s="4"/>
    </row>
    <row r="32" spans="2:46" s="2" customFormat="1" ht="220.5" customHeight="1">
      <c r="B32" s="1"/>
      <c r="C32" s="3"/>
      <c r="D32"/>
      <c r="E32"/>
      <c r="F32" s="40"/>
      <c r="G32" s="40"/>
      <c r="H32" s="40"/>
      <c r="I32" s="40"/>
      <c r="J32" s="40"/>
      <c r="K32" s="40"/>
      <c r="L32" s="40"/>
      <c r="M32" s="22"/>
      <c r="N32" s="4"/>
      <c r="O32" s="22"/>
      <c r="P32" s="22"/>
      <c r="Q32" s="4"/>
      <c r="R32" s="22"/>
      <c r="S32" s="22"/>
      <c r="T32" s="4"/>
      <c r="U32" s="22"/>
      <c r="V32" s="22"/>
      <c r="W32" s="4"/>
      <c r="X32" s="22"/>
      <c r="Y32" s="22"/>
      <c r="Z32" s="4"/>
      <c r="AA32" s="22"/>
      <c r="AB32" s="22"/>
      <c r="AC32" s="4"/>
      <c r="AD32" s="22"/>
      <c r="AE32" s="22"/>
      <c r="AF32" s="4"/>
      <c r="AG32" s="22"/>
      <c r="AH32" s="22"/>
      <c r="AI32" s="4"/>
      <c r="AJ32" s="22"/>
      <c r="AK32" s="22"/>
      <c r="AL32" s="4"/>
      <c r="AM32" s="22"/>
      <c r="AN32" s="22"/>
      <c r="AO32" s="4"/>
      <c r="AP32" s="4"/>
      <c r="AQ32" s="4"/>
      <c r="AR32" s="22"/>
      <c r="AS32" s="22"/>
      <c r="AT32" s="4"/>
    </row>
    <row r="33" spans="2:46" s="2" customFormat="1" ht="113.25" customHeight="1">
      <c r="B33" s="1"/>
      <c r="C33" s="3"/>
      <c r="D33"/>
      <c r="E33"/>
      <c r="F33" s="40"/>
      <c r="G33" s="40"/>
      <c r="H33" s="40"/>
      <c r="I33" s="40"/>
      <c r="J33" s="40"/>
      <c r="K33" s="40"/>
      <c r="L33" s="40"/>
      <c r="M33" s="22"/>
      <c r="N33" s="4"/>
      <c r="O33" s="22"/>
      <c r="P33" s="22"/>
      <c r="Q33" s="4"/>
      <c r="R33" s="22"/>
      <c r="S33" s="22"/>
      <c r="T33" s="4"/>
      <c r="U33" s="22"/>
      <c r="V33" s="22"/>
      <c r="W33" s="4"/>
      <c r="X33" s="22"/>
      <c r="Y33" s="22"/>
      <c r="Z33" s="4"/>
      <c r="AA33" s="22"/>
      <c r="AB33" s="22"/>
      <c r="AC33" s="4"/>
      <c r="AD33" s="22"/>
      <c r="AE33" s="22"/>
      <c r="AF33" s="4"/>
      <c r="AG33" s="22"/>
      <c r="AH33" s="22"/>
      <c r="AI33" s="4"/>
      <c r="AJ33" s="22"/>
      <c r="AK33" s="22"/>
      <c r="AL33" s="4"/>
      <c r="AM33" s="22"/>
      <c r="AN33" s="22"/>
      <c r="AO33" s="4"/>
      <c r="AP33" s="4"/>
      <c r="AQ33" s="4"/>
      <c r="AR33" s="22"/>
      <c r="AS33" s="22"/>
      <c r="AT33" s="4"/>
    </row>
    <row r="34" spans="2:46" s="2" customFormat="1" ht="97.5" customHeight="1">
      <c r="B34" s="1"/>
      <c r="C34" s="3"/>
      <c r="D34"/>
      <c r="E34"/>
      <c r="F34" s="40"/>
      <c r="G34" s="40"/>
      <c r="H34" s="40"/>
      <c r="I34" s="40"/>
      <c r="J34" s="40"/>
      <c r="K34" s="40"/>
      <c r="L34" s="40"/>
      <c r="M34" s="22"/>
      <c r="N34" s="4"/>
      <c r="O34" s="22"/>
      <c r="P34" s="22"/>
      <c r="Q34" s="4"/>
      <c r="R34" s="22"/>
      <c r="S34" s="22"/>
      <c r="T34" s="4"/>
      <c r="U34" s="22"/>
      <c r="V34" s="22"/>
      <c r="W34" s="4"/>
      <c r="X34" s="22"/>
      <c r="Y34" s="22"/>
      <c r="Z34" s="4"/>
      <c r="AA34" s="22"/>
      <c r="AB34" s="22"/>
      <c r="AC34" s="4"/>
      <c r="AD34" s="22"/>
      <c r="AE34" s="22"/>
      <c r="AF34" s="4"/>
      <c r="AG34" s="22"/>
      <c r="AH34" s="22"/>
      <c r="AI34" s="4"/>
      <c r="AJ34" s="22"/>
      <c r="AK34" s="22"/>
      <c r="AL34" s="4"/>
      <c r="AM34" s="22"/>
      <c r="AN34" s="22"/>
      <c r="AO34" s="4"/>
      <c r="AP34" s="4"/>
      <c r="AQ34" s="4"/>
      <c r="AR34" s="22"/>
      <c r="AS34" s="22"/>
      <c r="AT34" s="4"/>
    </row>
    <row r="35" spans="2:46" s="2" customFormat="1" ht="201" customHeight="1">
      <c r="B35" s="1"/>
      <c r="C35" s="3"/>
      <c r="D35"/>
      <c r="E35"/>
      <c r="F35" s="40"/>
      <c r="G35" s="40"/>
      <c r="H35" s="40"/>
      <c r="I35" s="40"/>
      <c r="J35" s="40"/>
      <c r="K35" s="40"/>
      <c r="L35" s="40"/>
      <c r="M35" s="22"/>
      <c r="N35" s="4"/>
      <c r="O35" s="22"/>
      <c r="P35" s="22"/>
      <c r="Q35" s="4"/>
      <c r="R35" s="22"/>
      <c r="S35" s="22"/>
      <c r="T35" s="4"/>
      <c r="U35" s="22"/>
      <c r="V35" s="22"/>
      <c r="W35" s="4"/>
      <c r="X35" s="22"/>
      <c r="Y35" s="22"/>
      <c r="Z35" s="4"/>
      <c r="AA35" s="22"/>
      <c r="AB35" s="22"/>
      <c r="AC35" s="4"/>
      <c r="AD35" s="22"/>
      <c r="AE35" s="22"/>
      <c r="AF35" s="4"/>
      <c r="AG35" s="22"/>
      <c r="AH35" s="22"/>
      <c r="AI35" s="4"/>
      <c r="AJ35" s="22"/>
      <c r="AK35" s="22"/>
      <c r="AL35" s="4"/>
      <c r="AM35" s="22"/>
      <c r="AN35" s="22"/>
      <c r="AO35" s="4"/>
      <c r="AP35" s="4"/>
      <c r="AQ35" s="4"/>
      <c r="AR35" s="22"/>
      <c r="AS35" s="22"/>
      <c r="AT35" s="4"/>
    </row>
    <row r="36" spans="2:46" s="2" customFormat="1" ht="125.25" customHeight="1">
      <c r="B36" s="1"/>
      <c r="C36" s="3"/>
      <c r="D36"/>
      <c r="E36"/>
      <c r="F36" s="40"/>
      <c r="G36" s="40"/>
      <c r="H36" s="40"/>
      <c r="I36" s="40"/>
      <c r="J36" s="40"/>
      <c r="K36" s="40"/>
      <c r="L36" s="40"/>
      <c r="M36" s="22"/>
      <c r="N36" s="4"/>
      <c r="O36" s="22"/>
      <c r="P36" s="22"/>
      <c r="Q36" s="4"/>
      <c r="R36" s="22"/>
      <c r="S36" s="22"/>
      <c r="T36" s="4"/>
      <c r="U36" s="22"/>
      <c r="V36" s="22"/>
      <c r="W36" s="4"/>
      <c r="X36" s="22"/>
      <c r="Y36" s="22"/>
      <c r="Z36" s="4"/>
      <c r="AA36" s="22"/>
      <c r="AB36" s="22"/>
      <c r="AC36" s="4"/>
      <c r="AD36" s="22"/>
      <c r="AE36" s="22"/>
      <c r="AF36" s="4"/>
      <c r="AG36" s="22"/>
      <c r="AH36" s="22"/>
      <c r="AI36" s="4"/>
      <c r="AJ36" s="22"/>
      <c r="AK36" s="22"/>
      <c r="AL36" s="4"/>
      <c r="AM36" s="22"/>
      <c r="AN36" s="22"/>
      <c r="AO36" s="4"/>
      <c r="AP36" s="4"/>
      <c r="AQ36" s="4"/>
      <c r="AR36" s="22"/>
      <c r="AS36" s="22"/>
      <c r="AT36" s="4"/>
    </row>
    <row r="37" spans="2:46" s="2" customFormat="1" ht="138.75" customHeight="1">
      <c r="B37" s="1"/>
      <c r="C37" s="3"/>
      <c r="D37"/>
      <c r="E37"/>
      <c r="F37" s="40"/>
      <c r="G37" s="40"/>
      <c r="H37" s="40"/>
      <c r="I37" s="40"/>
      <c r="J37" s="40"/>
      <c r="K37" s="40"/>
      <c r="L37" s="40"/>
      <c r="M37" s="22"/>
      <c r="N37" s="4"/>
      <c r="O37" s="22"/>
      <c r="P37" s="22"/>
      <c r="Q37" s="4"/>
      <c r="R37" s="22"/>
      <c r="S37" s="22"/>
      <c r="T37" s="4"/>
      <c r="U37" s="22"/>
      <c r="V37" s="22"/>
      <c r="W37" s="4"/>
      <c r="X37" s="22"/>
      <c r="Y37" s="22"/>
      <c r="Z37" s="4"/>
      <c r="AA37" s="22"/>
      <c r="AB37" s="22"/>
      <c r="AC37" s="4"/>
      <c r="AD37" s="22"/>
      <c r="AE37" s="22"/>
      <c r="AF37" s="4"/>
      <c r="AG37" s="22"/>
      <c r="AH37" s="22"/>
      <c r="AI37" s="4"/>
      <c r="AJ37" s="22"/>
      <c r="AK37" s="22"/>
      <c r="AL37" s="4"/>
      <c r="AM37" s="22"/>
      <c r="AN37" s="22"/>
      <c r="AO37" s="4"/>
      <c r="AP37" s="4"/>
      <c r="AQ37" s="4"/>
      <c r="AR37" s="22"/>
      <c r="AS37" s="22"/>
      <c r="AT37" s="4"/>
    </row>
    <row r="38" spans="2:46" s="2" customFormat="1" ht="114.75" customHeight="1">
      <c r="B38" s="1"/>
      <c r="C38" s="3"/>
      <c r="D38"/>
      <c r="E38"/>
      <c r="F38" s="40"/>
      <c r="G38" s="40"/>
      <c r="H38" s="40"/>
      <c r="I38" s="40"/>
      <c r="J38" s="40"/>
      <c r="K38" s="40"/>
      <c r="L38" s="40"/>
      <c r="M38" s="22"/>
      <c r="N38" s="4"/>
      <c r="O38" s="22"/>
      <c r="P38" s="22"/>
      <c r="Q38" s="4"/>
      <c r="R38" s="22"/>
      <c r="S38" s="22"/>
      <c r="T38" s="4"/>
      <c r="U38" s="22"/>
      <c r="V38" s="22"/>
      <c r="W38" s="4"/>
      <c r="X38" s="22"/>
      <c r="Y38" s="22"/>
      <c r="Z38" s="4"/>
      <c r="AA38" s="22"/>
      <c r="AB38" s="22"/>
      <c r="AC38" s="4"/>
      <c r="AD38" s="22"/>
      <c r="AE38" s="22"/>
      <c r="AF38" s="4"/>
      <c r="AG38" s="22"/>
      <c r="AH38" s="22"/>
      <c r="AI38" s="4"/>
      <c r="AJ38" s="22"/>
      <c r="AK38" s="22"/>
      <c r="AL38" s="4"/>
      <c r="AM38" s="22"/>
      <c r="AN38" s="22"/>
      <c r="AO38" s="4"/>
      <c r="AP38" s="4"/>
      <c r="AQ38" s="4"/>
      <c r="AR38" s="22"/>
      <c r="AS38" s="22"/>
      <c r="AT38" s="4"/>
    </row>
    <row r="39" spans="2:46" s="2" customFormat="1" ht="137.25" customHeight="1">
      <c r="B39" s="1"/>
      <c r="C39" s="3"/>
      <c r="D39"/>
      <c r="E39"/>
      <c r="F39" s="40"/>
      <c r="G39" s="40"/>
      <c r="H39" s="40"/>
      <c r="I39" s="40"/>
      <c r="J39" s="40"/>
      <c r="K39" s="40"/>
      <c r="L39" s="40"/>
      <c r="M39" s="22"/>
      <c r="N39" s="4"/>
      <c r="O39" s="22"/>
      <c r="P39" s="22"/>
      <c r="Q39" s="4"/>
      <c r="R39" s="22"/>
      <c r="S39" s="22"/>
      <c r="T39" s="4"/>
      <c r="U39" s="22"/>
      <c r="V39" s="22"/>
      <c r="W39" s="4"/>
      <c r="X39" s="22"/>
      <c r="Y39" s="22"/>
      <c r="Z39" s="4"/>
      <c r="AA39" s="22"/>
      <c r="AB39" s="22"/>
      <c r="AC39" s="4"/>
      <c r="AD39" s="22"/>
      <c r="AE39" s="22"/>
      <c r="AF39" s="4"/>
      <c r="AG39" s="22"/>
      <c r="AH39" s="22"/>
      <c r="AI39" s="4"/>
      <c r="AJ39" s="22"/>
      <c r="AK39" s="22"/>
      <c r="AL39" s="4"/>
      <c r="AM39" s="22"/>
      <c r="AN39" s="22"/>
      <c r="AO39" s="4"/>
      <c r="AP39" s="4"/>
      <c r="AQ39" s="4"/>
      <c r="AR39" s="22"/>
      <c r="AS39" s="22"/>
      <c r="AT39" s="4"/>
    </row>
    <row r="40" spans="2:46" s="2" customFormat="1" ht="123.75" customHeight="1">
      <c r="B40" s="1"/>
      <c r="C40" s="3"/>
      <c r="D40"/>
      <c r="E40"/>
      <c r="F40" s="40"/>
      <c r="G40" s="40"/>
      <c r="H40" s="40"/>
      <c r="I40" s="40"/>
      <c r="J40" s="40"/>
      <c r="K40" s="40"/>
      <c r="L40" s="40"/>
      <c r="M40" s="22"/>
      <c r="N40" s="4"/>
      <c r="O40" s="22"/>
      <c r="P40" s="22"/>
      <c r="Q40" s="4"/>
      <c r="R40" s="22"/>
      <c r="S40" s="22"/>
      <c r="T40" s="4"/>
      <c r="U40" s="22"/>
      <c r="V40" s="22"/>
      <c r="W40" s="4"/>
      <c r="X40" s="22"/>
      <c r="Y40" s="22"/>
      <c r="Z40" s="4"/>
      <c r="AA40" s="22"/>
      <c r="AB40" s="22"/>
      <c r="AC40" s="4"/>
      <c r="AD40" s="22"/>
      <c r="AE40" s="22"/>
      <c r="AF40" s="4"/>
      <c r="AG40" s="22"/>
      <c r="AH40" s="22"/>
      <c r="AI40" s="4"/>
      <c r="AJ40" s="22"/>
      <c r="AK40" s="22"/>
      <c r="AL40" s="4"/>
      <c r="AM40" s="22"/>
      <c r="AN40" s="22"/>
      <c r="AO40" s="4"/>
      <c r="AP40" s="4"/>
      <c r="AQ40" s="4"/>
      <c r="AR40" s="22"/>
      <c r="AS40" s="22"/>
      <c r="AT40" s="4"/>
    </row>
    <row r="41" spans="2:46" s="2" customFormat="1" ht="100.5" customHeight="1">
      <c r="B41" s="1"/>
      <c r="C41" s="3"/>
      <c r="D41"/>
      <c r="E41"/>
      <c r="F41" s="40"/>
      <c r="G41" s="40"/>
      <c r="H41" s="40"/>
      <c r="I41" s="40"/>
      <c r="J41" s="40"/>
      <c r="K41" s="40"/>
      <c r="L41" s="40"/>
      <c r="M41" s="22"/>
      <c r="N41" s="4"/>
      <c r="O41" s="22"/>
      <c r="P41" s="22"/>
      <c r="Q41" s="4"/>
      <c r="R41" s="22"/>
      <c r="S41" s="22"/>
      <c r="T41" s="4"/>
      <c r="U41" s="22"/>
      <c r="V41" s="22"/>
      <c r="W41" s="4"/>
      <c r="X41" s="22"/>
      <c r="Y41" s="22"/>
      <c r="Z41" s="4"/>
      <c r="AA41" s="22"/>
      <c r="AB41" s="22"/>
      <c r="AC41" s="4"/>
      <c r="AD41" s="22"/>
      <c r="AE41" s="22"/>
      <c r="AF41" s="4"/>
      <c r="AG41" s="22"/>
      <c r="AH41" s="22"/>
      <c r="AI41" s="4"/>
      <c r="AJ41" s="22"/>
      <c r="AK41" s="22"/>
      <c r="AL41" s="4"/>
      <c r="AM41" s="22"/>
      <c r="AN41" s="22"/>
      <c r="AO41" s="4"/>
      <c r="AP41" s="4"/>
      <c r="AQ41" s="4"/>
      <c r="AR41" s="22"/>
      <c r="AS41" s="22"/>
      <c r="AT41" s="4"/>
    </row>
    <row r="42" spans="2:46" s="2" customFormat="1" ht="108.75" customHeight="1">
      <c r="B42" s="1"/>
      <c r="C42" s="3"/>
      <c r="D42"/>
      <c r="E42"/>
      <c r="F42" s="40"/>
      <c r="G42" s="40"/>
      <c r="H42" s="40"/>
      <c r="I42" s="40"/>
      <c r="J42" s="40"/>
      <c r="K42" s="40"/>
      <c r="L42" s="40"/>
      <c r="M42" s="22"/>
      <c r="N42" s="4"/>
      <c r="O42" s="22"/>
      <c r="P42" s="22"/>
      <c r="Q42" s="4"/>
      <c r="R42" s="22"/>
      <c r="S42" s="22"/>
      <c r="T42" s="4"/>
      <c r="U42" s="22"/>
      <c r="V42" s="22"/>
      <c r="W42" s="4"/>
      <c r="X42" s="22"/>
      <c r="Y42" s="22"/>
      <c r="Z42" s="4"/>
      <c r="AA42" s="22"/>
      <c r="AB42" s="22"/>
      <c r="AC42" s="4"/>
      <c r="AD42" s="22"/>
      <c r="AE42" s="22"/>
      <c r="AF42" s="4"/>
      <c r="AG42" s="22"/>
      <c r="AH42" s="22"/>
      <c r="AI42" s="4"/>
      <c r="AJ42" s="22"/>
      <c r="AK42" s="22"/>
      <c r="AL42" s="4"/>
      <c r="AM42" s="22"/>
      <c r="AN42" s="22"/>
      <c r="AO42" s="4"/>
      <c r="AP42" s="4"/>
      <c r="AQ42" s="4"/>
      <c r="AR42" s="22"/>
      <c r="AS42" s="22"/>
      <c r="AT42" s="4"/>
    </row>
    <row r="43" spans="2:46" ht="126.75" customHeight="1">
      <c r="B43" s="1"/>
      <c r="C43" s="3"/>
    </row>
    <row r="44" spans="2:46" ht="123.75" customHeight="1">
      <c r="B44" s="1"/>
      <c r="C44" s="3"/>
    </row>
    <row r="45" spans="2:46" ht="131.25" customHeight="1">
      <c r="B45" s="1"/>
      <c r="C45" s="3"/>
    </row>
    <row r="46" spans="2:46" ht="112.5" customHeight="1">
      <c r="B46" s="1"/>
      <c r="C46" s="3"/>
    </row>
    <row r="47" spans="2:46" ht="143.25" customHeight="1">
      <c r="B47" s="1"/>
      <c r="C47" s="3"/>
    </row>
    <row r="48" spans="2:46" ht="121.5" customHeight="1">
      <c r="B48" s="1"/>
      <c r="C48" s="3"/>
    </row>
    <row r="49" spans="2:46" ht="102" customHeight="1">
      <c r="B49" s="1"/>
      <c r="C49" s="3"/>
    </row>
    <row r="50" spans="2:46" ht="120" customHeight="1">
      <c r="B50" s="1"/>
      <c r="C50" s="3"/>
    </row>
    <row r="51" spans="2:46" s="2" customFormat="1" ht="123.75" customHeight="1">
      <c r="B51" s="1"/>
      <c r="C51" s="3"/>
      <c r="D51"/>
      <c r="E51"/>
      <c r="F51" s="40"/>
      <c r="G51" s="40"/>
      <c r="H51" s="40"/>
      <c r="I51" s="40"/>
      <c r="J51" s="40"/>
      <c r="K51" s="40"/>
      <c r="L51" s="40"/>
      <c r="M51" s="22"/>
      <c r="N51" s="4"/>
      <c r="O51" s="22"/>
      <c r="P51" s="22"/>
      <c r="Q51" s="4"/>
      <c r="R51" s="22"/>
      <c r="S51" s="22"/>
      <c r="T51" s="4"/>
      <c r="U51" s="22"/>
      <c r="V51" s="22"/>
      <c r="W51" s="4"/>
      <c r="X51" s="22"/>
      <c r="Y51" s="22"/>
      <c r="Z51" s="4"/>
      <c r="AA51" s="22"/>
      <c r="AB51" s="22"/>
      <c r="AC51" s="4"/>
      <c r="AD51" s="22"/>
      <c r="AE51" s="22"/>
      <c r="AF51" s="4"/>
      <c r="AG51" s="22"/>
      <c r="AH51" s="22"/>
      <c r="AI51" s="4"/>
      <c r="AJ51" s="22"/>
      <c r="AK51" s="22"/>
      <c r="AL51" s="4"/>
      <c r="AM51" s="22"/>
      <c r="AN51" s="22"/>
      <c r="AO51" s="4"/>
      <c r="AP51" s="4"/>
      <c r="AQ51" s="4"/>
      <c r="AR51" s="22"/>
      <c r="AS51" s="22"/>
      <c r="AT51" s="4"/>
    </row>
    <row r="52" spans="2:46" s="2" customFormat="1" ht="116.25" customHeight="1">
      <c r="B52" s="1"/>
      <c r="C52" s="3"/>
      <c r="D52"/>
      <c r="E52"/>
      <c r="F52" s="40"/>
      <c r="G52" s="40"/>
      <c r="H52" s="40"/>
      <c r="I52" s="40"/>
      <c r="J52" s="40"/>
      <c r="K52" s="40"/>
      <c r="L52" s="40"/>
      <c r="M52" s="22"/>
      <c r="N52" s="4"/>
      <c r="O52" s="22"/>
      <c r="P52" s="22"/>
      <c r="Q52" s="4"/>
      <c r="R52" s="22"/>
      <c r="S52" s="22"/>
      <c r="T52" s="4"/>
      <c r="U52" s="22"/>
      <c r="V52" s="22"/>
      <c r="W52" s="4"/>
      <c r="X52" s="22"/>
      <c r="Y52" s="22"/>
      <c r="Z52" s="4"/>
      <c r="AA52" s="22"/>
      <c r="AB52" s="22"/>
      <c r="AC52" s="4"/>
      <c r="AD52" s="22"/>
      <c r="AE52" s="22"/>
      <c r="AF52" s="4"/>
      <c r="AG52" s="22"/>
      <c r="AH52" s="22"/>
      <c r="AI52" s="4"/>
      <c r="AJ52" s="22"/>
      <c r="AK52" s="22"/>
      <c r="AL52" s="4"/>
      <c r="AM52" s="22"/>
      <c r="AN52" s="22"/>
      <c r="AO52" s="4"/>
      <c r="AP52" s="4"/>
      <c r="AQ52" s="4"/>
      <c r="AR52" s="22"/>
      <c r="AS52" s="22"/>
      <c r="AT52" s="4"/>
    </row>
    <row r="53" spans="2:46" s="2" customFormat="1" ht="150.75" customHeight="1">
      <c r="B53" s="1"/>
      <c r="C53" s="3"/>
      <c r="D53"/>
      <c r="E53"/>
      <c r="F53" s="40"/>
      <c r="G53" s="40"/>
      <c r="H53" s="40"/>
      <c r="I53" s="40"/>
      <c r="J53" s="40"/>
      <c r="K53" s="40"/>
      <c r="L53" s="40"/>
      <c r="M53" s="22"/>
      <c r="N53" s="4"/>
      <c r="O53" s="22"/>
      <c r="P53" s="22"/>
      <c r="Q53" s="4"/>
      <c r="R53" s="22"/>
      <c r="S53" s="22"/>
      <c r="T53" s="4"/>
      <c r="U53" s="22"/>
      <c r="V53" s="22"/>
      <c r="W53" s="4"/>
      <c r="X53" s="22"/>
      <c r="Y53" s="22"/>
      <c r="Z53" s="4"/>
      <c r="AA53" s="22"/>
      <c r="AB53" s="22"/>
      <c r="AC53" s="4"/>
      <c r="AD53" s="22"/>
      <c r="AE53" s="22"/>
      <c r="AF53" s="4"/>
      <c r="AG53" s="22"/>
      <c r="AH53" s="22"/>
      <c r="AI53" s="4"/>
      <c r="AJ53" s="22"/>
      <c r="AK53" s="22"/>
      <c r="AL53" s="4"/>
      <c r="AM53" s="22"/>
      <c r="AN53" s="22"/>
      <c r="AO53" s="4"/>
      <c r="AP53" s="4"/>
      <c r="AQ53" s="4"/>
      <c r="AR53" s="22"/>
      <c r="AS53" s="22"/>
      <c r="AT53" s="4"/>
    </row>
    <row r="54" spans="2:46" s="2" customFormat="1" ht="123" customHeight="1">
      <c r="B54" s="1"/>
      <c r="C54" s="3"/>
      <c r="D54"/>
      <c r="E54"/>
      <c r="F54" s="40"/>
      <c r="G54" s="40"/>
      <c r="H54" s="40"/>
      <c r="I54" s="40"/>
      <c r="J54" s="40"/>
      <c r="K54" s="40"/>
      <c r="L54" s="40"/>
      <c r="M54" s="22"/>
      <c r="N54" s="4"/>
      <c r="O54" s="22"/>
      <c r="P54" s="22"/>
      <c r="Q54" s="4"/>
      <c r="R54" s="22"/>
      <c r="S54" s="22"/>
      <c r="T54" s="4"/>
      <c r="U54" s="22"/>
      <c r="V54" s="22"/>
      <c r="W54" s="4"/>
      <c r="X54" s="22"/>
      <c r="Y54" s="22"/>
      <c r="Z54" s="4"/>
      <c r="AA54" s="22"/>
      <c r="AB54" s="22"/>
      <c r="AC54" s="4"/>
      <c r="AD54" s="22"/>
      <c r="AE54" s="22"/>
      <c r="AF54" s="4"/>
      <c r="AG54" s="22"/>
      <c r="AH54" s="22"/>
      <c r="AI54" s="4"/>
      <c r="AJ54" s="22"/>
      <c r="AK54" s="22"/>
      <c r="AL54" s="4"/>
      <c r="AM54" s="22"/>
      <c r="AN54" s="22"/>
      <c r="AO54" s="4"/>
      <c r="AP54" s="4"/>
      <c r="AQ54" s="4"/>
      <c r="AR54" s="22"/>
      <c r="AS54" s="22"/>
      <c r="AT54" s="4"/>
    </row>
    <row r="55" spans="2:46" s="2" customFormat="1" ht="166.5" customHeight="1">
      <c r="B55" s="1"/>
      <c r="C55" s="3"/>
      <c r="D55"/>
      <c r="E55"/>
      <c r="F55" s="40"/>
      <c r="G55" s="40"/>
      <c r="H55" s="40"/>
      <c r="I55" s="40"/>
      <c r="J55" s="40"/>
      <c r="K55" s="40"/>
      <c r="L55" s="40"/>
      <c r="M55" s="22"/>
      <c r="N55" s="4"/>
      <c r="O55" s="22"/>
      <c r="P55" s="22"/>
      <c r="Q55" s="4"/>
      <c r="R55" s="22"/>
      <c r="S55" s="22"/>
      <c r="T55" s="4"/>
      <c r="U55" s="22"/>
      <c r="V55" s="22"/>
      <c r="W55" s="4"/>
      <c r="X55" s="22"/>
      <c r="Y55" s="22"/>
      <c r="Z55" s="4"/>
      <c r="AA55" s="22"/>
      <c r="AB55" s="22"/>
      <c r="AC55" s="4"/>
      <c r="AD55" s="22"/>
      <c r="AE55" s="22"/>
      <c r="AF55" s="4"/>
      <c r="AG55" s="22"/>
      <c r="AH55" s="22"/>
      <c r="AI55" s="4"/>
      <c r="AJ55" s="22"/>
      <c r="AK55" s="22"/>
      <c r="AL55" s="4"/>
      <c r="AM55" s="22"/>
      <c r="AN55" s="22"/>
      <c r="AO55" s="4"/>
      <c r="AP55" s="4"/>
      <c r="AQ55" s="4"/>
      <c r="AR55" s="22"/>
      <c r="AS55" s="22"/>
      <c r="AT55" s="4"/>
    </row>
    <row r="56" spans="2:46" s="2" customFormat="1" ht="144" customHeight="1">
      <c r="B56" s="1"/>
      <c r="C56" s="3"/>
      <c r="D56"/>
      <c r="E56"/>
      <c r="F56" s="40"/>
      <c r="G56" s="40"/>
      <c r="H56" s="40"/>
      <c r="I56" s="40"/>
      <c r="J56" s="40"/>
      <c r="K56" s="40"/>
      <c r="L56" s="40"/>
      <c r="M56" s="22"/>
      <c r="N56" s="4"/>
      <c r="O56" s="22"/>
      <c r="P56" s="22"/>
      <c r="Q56" s="4"/>
      <c r="R56" s="22"/>
      <c r="S56" s="22"/>
      <c r="T56" s="4"/>
      <c r="U56" s="22"/>
      <c r="V56" s="22"/>
      <c r="W56" s="4"/>
      <c r="X56" s="22"/>
      <c r="Y56" s="22"/>
      <c r="Z56" s="4"/>
      <c r="AA56" s="22"/>
      <c r="AB56" s="22"/>
      <c r="AC56" s="4"/>
      <c r="AD56" s="22"/>
      <c r="AE56" s="22"/>
      <c r="AF56" s="4"/>
      <c r="AG56" s="22"/>
      <c r="AH56" s="22"/>
      <c r="AI56" s="4"/>
      <c r="AJ56" s="22"/>
      <c r="AK56" s="22"/>
      <c r="AL56" s="4"/>
      <c r="AM56" s="22"/>
      <c r="AN56" s="22"/>
      <c r="AO56" s="4"/>
      <c r="AP56" s="4"/>
      <c r="AQ56" s="4"/>
      <c r="AR56" s="22"/>
      <c r="AS56" s="22"/>
      <c r="AT56" s="4"/>
    </row>
    <row r="57" spans="2:46" ht="129" customHeight="1">
      <c r="B57" s="1"/>
      <c r="C57" s="3"/>
    </row>
    <row r="58" spans="2:46" ht="122.25" customHeight="1">
      <c r="B58" s="1"/>
      <c r="C58" s="3"/>
    </row>
    <row r="59" spans="2:46" ht="115.5" customHeight="1">
      <c r="B59" s="1"/>
      <c r="C59" s="3"/>
    </row>
    <row r="60" spans="2:46" ht="102" customHeight="1">
      <c r="B60" s="1"/>
      <c r="C60" s="3"/>
    </row>
    <row r="61" spans="2:46" ht="222.6" customHeight="1">
      <c r="B61" s="1"/>
      <c r="C61" s="3"/>
    </row>
    <row r="62" spans="2:46" ht="117.75" customHeight="1">
      <c r="B62" s="1"/>
      <c r="C62" s="3"/>
    </row>
    <row r="63" spans="2:46" ht="117.75" customHeight="1">
      <c r="B63" s="1"/>
      <c r="C63" s="3"/>
    </row>
    <row r="64" spans="2:46" ht="117.75" customHeight="1">
      <c r="B64" s="1"/>
      <c r="C64" s="3"/>
    </row>
    <row r="65" spans="2:46" ht="117.75" customHeight="1">
      <c r="B65" s="1"/>
      <c r="C65" s="3"/>
    </row>
    <row r="66" spans="2:46" s="2" customFormat="1" ht="143.25" customHeight="1">
      <c r="B66" s="1"/>
      <c r="C66" s="3"/>
      <c r="D66"/>
      <c r="E66"/>
      <c r="F66" s="40"/>
      <c r="G66" s="40"/>
      <c r="H66" s="40"/>
      <c r="I66" s="40"/>
      <c r="J66" s="40"/>
      <c r="K66" s="40"/>
      <c r="L66" s="40"/>
      <c r="M66" s="22"/>
      <c r="N66" s="4"/>
      <c r="O66" s="22"/>
      <c r="P66" s="22"/>
      <c r="Q66" s="4"/>
      <c r="R66" s="22"/>
      <c r="S66" s="22"/>
      <c r="T66" s="4"/>
      <c r="U66" s="22"/>
      <c r="V66" s="22"/>
      <c r="W66" s="4"/>
      <c r="X66" s="22"/>
      <c r="Y66" s="22"/>
      <c r="Z66" s="4"/>
      <c r="AA66" s="22"/>
      <c r="AB66" s="22"/>
      <c r="AC66" s="4"/>
      <c r="AD66" s="22"/>
      <c r="AE66" s="22"/>
      <c r="AF66" s="4"/>
      <c r="AG66" s="22"/>
      <c r="AH66" s="22"/>
      <c r="AI66" s="4"/>
      <c r="AJ66" s="22"/>
      <c r="AK66" s="22"/>
      <c r="AL66" s="4"/>
      <c r="AM66" s="22"/>
      <c r="AN66" s="22"/>
      <c r="AO66" s="4"/>
      <c r="AP66" s="4"/>
      <c r="AQ66" s="4"/>
      <c r="AR66" s="22"/>
      <c r="AS66" s="22"/>
      <c r="AT66" s="4"/>
    </row>
    <row r="67" spans="2:46" s="2" customFormat="1">
      <c r="B67" s="1"/>
      <c r="C67" s="3"/>
      <c r="D67"/>
      <c r="E67"/>
      <c r="F67" s="40"/>
      <c r="G67" s="40"/>
      <c r="H67" s="40"/>
      <c r="I67" s="40"/>
      <c r="J67" s="40"/>
      <c r="K67" s="40"/>
      <c r="L67" s="40"/>
      <c r="M67" s="22"/>
      <c r="N67" s="4"/>
      <c r="O67" s="22"/>
      <c r="P67" s="22"/>
      <c r="Q67" s="4"/>
      <c r="R67" s="22"/>
      <c r="S67" s="22"/>
      <c r="T67" s="4"/>
      <c r="U67" s="22"/>
      <c r="V67" s="22"/>
      <c r="W67" s="4"/>
      <c r="X67" s="22"/>
      <c r="Y67" s="22"/>
      <c r="Z67" s="4"/>
      <c r="AA67" s="22"/>
      <c r="AB67" s="22"/>
      <c r="AC67" s="4"/>
      <c r="AD67" s="22"/>
      <c r="AE67" s="22"/>
      <c r="AF67" s="4"/>
      <c r="AG67" s="22"/>
      <c r="AH67" s="22"/>
      <c r="AI67" s="4"/>
      <c r="AJ67" s="22"/>
      <c r="AK67" s="22"/>
      <c r="AL67" s="4"/>
      <c r="AM67" s="22"/>
      <c r="AN67" s="22"/>
      <c r="AO67" s="4"/>
      <c r="AP67" s="4"/>
      <c r="AQ67" s="4"/>
      <c r="AR67" s="22"/>
      <c r="AS67" s="22"/>
      <c r="AT67" s="4"/>
    </row>
    <row r="68" spans="2:46" s="2" customFormat="1" ht="144" customHeight="1">
      <c r="B68" s="1"/>
      <c r="C68" s="3"/>
      <c r="D68"/>
      <c r="E68"/>
      <c r="F68" s="40"/>
      <c r="G68" s="40"/>
      <c r="H68" s="40"/>
      <c r="I68" s="40"/>
      <c r="J68" s="40"/>
      <c r="K68" s="40"/>
      <c r="L68" s="40"/>
      <c r="M68" s="22"/>
      <c r="N68" s="4"/>
      <c r="O68" s="22"/>
      <c r="P68" s="22"/>
      <c r="Q68" s="4"/>
      <c r="R68" s="22"/>
      <c r="S68" s="22"/>
      <c r="T68" s="4"/>
      <c r="U68" s="22"/>
      <c r="V68" s="22"/>
      <c r="W68" s="4"/>
      <c r="X68" s="22"/>
      <c r="Y68" s="22"/>
      <c r="Z68" s="4"/>
      <c r="AA68" s="22"/>
      <c r="AB68" s="22"/>
      <c r="AC68" s="4"/>
      <c r="AD68" s="22"/>
      <c r="AE68" s="22"/>
      <c r="AF68" s="4"/>
      <c r="AG68" s="22"/>
      <c r="AH68" s="22"/>
      <c r="AI68" s="4"/>
      <c r="AJ68" s="22"/>
      <c r="AK68" s="22"/>
      <c r="AL68" s="4"/>
      <c r="AM68" s="22"/>
      <c r="AN68" s="22"/>
      <c r="AO68" s="4"/>
      <c r="AP68" s="4"/>
      <c r="AQ68" s="4"/>
      <c r="AR68" s="22"/>
      <c r="AS68" s="22"/>
      <c r="AT68" s="4"/>
    </row>
    <row r="69" spans="2:46" s="2" customFormat="1" ht="109.5" customHeight="1">
      <c r="B69" s="1"/>
      <c r="C69" s="3"/>
      <c r="D69"/>
      <c r="E69"/>
      <c r="F69" s="40"/>
      <c r="G69" s="40"/>
      <c r="H69" s="40"/>
      <c r="I69" s="40"/>
      <c r="J69" s="40"/>
      <c r="K69" s="40"/>
      <c r="L69" s="40"/>
      <c r="M69" s="22"/>
      <c r="N69" s="4"/>
      <c r="O69" s="22"/>
      <c r="P69" s="22"/>
      <c r="Q69" s="4"/>
      <c r="R69" s="22"/>
      <c r="S69" s="22"/>
      <c r="T69" s="4"/>
      <c r="U69" s="22"/>
      <c r="V69" s="22"/>
      <c r="W69" s="4"/>
      <c r="X69" s="22"/>
      <c r="Y69" s="22"/>
      <c r="Z69" s="4"/>
      <c r="AA69" s="22"/>
      <c r="AB69" s="22"/>
      <c r="AC69" s="4"/>
      <c r="AD69" s="22"/>
      <c r="AE69" s="22"/>
      <c r="AF69" s="4"/>
      <c r="AG69" s="22"/>
      <c r="AH69" s="22"/>
      <c r="AI69" s="4"/>
      <c r="AJ69" s="22"/>
      <c r="AK69" s="22"/>
      <c r="AL69" s="4"/>
      <c r="AM69" s="22"/>
      <c r="AN69" s="22"/>
      <c r="AO69" s="4"/>
      <c r="AP69" s="4"/>
      <c r="AQ69" s="4"/>
      <c r="AR69" s="22"/>
      <c r="AS69" s="22"/>
      <c r="AT69" s="4"/>
    </row>
    <row r="70" spans="2:46" s="2" customFormat="1" ht="109.5" customHeight="1">
      <c r="B70" s="1"/>
      <c r="C70" s="3"/>
      <c r="D70"/>
      <c r="E70"/>
      <c r="F70" s="40"/>
      <c r="G70" s="40"/>
      <c r="H70" s="40"/>
      <c r="I70" s="40"/>
      <c r="J70" s="40"/>
      <c r="K70" s="40"/>
      <c r="L70" s="40"/>
      <c r="M70" s="22"/>
      <c r="N70" s="4"/>
      <c r="O70" s="22"/>
      <c r="P70" s="22"/>
      <c r="Q70" s="4"/>
      <c r="R70" s="22"/>
      <c r="S70" s="22"/>
      <c r="T70" s="4"/>
      <c r="U70" s="22"/>
      <c r="V70" s="22"/>
      <c r="W70" s="4"/>
      <c r="X70" s="22"/>
      <c r="Y70" s="22"/>
      <c r="Z70" s="4"/>
      <c r="AA70" s="22"/>
      <c r="AB70" s="22"/>
      <c r="AC70" s="4"/>
      <c r="AD70" s="22"/>
      <c r="AE70" s="22"/>
      <c r="AF70" s="4"/>
      <c r="AG70" s="22"/>
      <c r="AH70" s="22"/>
      <c r="AI70" s="4"/>
      <c r="AJ70" s="22"/>
      <c r="AK70" s="22"/>
      <c r="AL70" s="4"/>
      <c r="AM70" s="22"/>
      <c r="AN70" s="22"/>
      <c r="AO70" s="4"/>
      <c r="AP70" s="4"/>
      <c r="AQ70" s="4"/>
      <c r="AR70" s="22"/>
      <c r="AS70" s="22"/>
      <c r="AT70" s="4"/>
    </row>
    <row r="71" spans="2:46" s="2" customFormat="1" ht="291.60000000000002" customHeight="1">
      <c r="B71" s="1"/>
      <c r="C71" s="3"/>
      <c r="D71"/>
      <c r="E71"/>
      <c r="F71" s="40"/>
      <c r="G71" s="40"/>
      <c r="H71" s="40"/>
      <c r="I71" s="40"/>
      <c r="J71" s="40"/>
      <c r="K71" s="40"/>
      <c r="L71" s="40"/>
      <c r="M71" s="22"/>
      <c r="N71" s="4"/>
      <c r="O71" s="22"/>
      <c r="P71" s="22"/>
      <c r="Q71" s="4"/>
      <c r="R71" s="22"/>
      <c r="S71" s="22"/>
      <c r="T71" s="4"/>
      <c r="U71" s="22"/>
      <c r="V71" s="22"/>
      <c r="W71" s="4"/>
      <c r="X71" s="22"/>
      <c r="Y71" s="22"/>
      <c r="Z71" s="4"/>
      <c r="AA71" s="22"/>
      <c r="AB71" s="22"/>
      <c r="AC71" s="4"/>
      <c r="AD71" s="22"/>
      <c r="AE71" s="22"/>
      <c r="AF71" s="4"/>
      <c r="AG71" s="22"/>
      <c r="AH71" s="22"/>
      <c r="AI71" s="4"/>
      <c r="AJ71" s="22"/>
      <c r="AK71" s="22"/>
      <c r="AL71" s="4"/>
      <c r="AM71" s="22"/>
      <c r="AN71" s="22"/>
      <c r="AO71" s="4"/>
      <c r="AP71" s="4"/>
      <c r="AQ71" s="4"/>
      <c r="AR71" s="22"/>
      <c r="AS71" s="22"/>
      <c r="AT71" s="4"/>
    </row>
    <row r="72" spans="2:46" s="2" customFormat="1" ht="110.25" customHeight="1">
      <c r="B72" s="1"/>
      <c r="C72" s="3"/>
      <c r="D72"/>
      <c r="E72"/>
      <c r="F72" s="40"/>
      <c r="G72" s="40"/>
      <c r="H72" s="40"/>
      <c r="I72" s="40"/>
      <c r="J72" s="40"/>
      <c r="K72" s="40"/>
      <c r="L72" s="40"/>
      <c r="M72" s="22"/>
      <c r="N72" s="4"/>
      <c r="O72" s="22"/>
      <c r="P72" s="22"/>
      <c r="Q72" s="4"/>
      <c r="R72" s="22"/>
      <c r="S72" s="22"/>
      <c r="T72" s="4"/>
      <c r="U72" s="22"/>
      <c r="V72" s="22"/>
      <c r="W72" s="4"/>
      <c r="X72" s="22"/>
      <c r="Y72" s="22"/>
      <c r="Z72" s="4"/>
      <c r="AA72" s="22"/>
      <c r="AB72" s="22"/>
      <c r="AC72" s="4"/>
      <c r="AD72" s="22"/>
      <c r="AE72" s="22"/>
      <c r="AF72" s="4"/>
      <c r="AG72" s="22"/>
      <c r="AH72" s="22"/>
      <c r="AI72" s="4"/>
      <c r="AJ72" s="22"/>
      <c r="AK72" s="22"/>
      <c r="AL72" s="4"/>
      <c r="AM72" s="22"/>
      <c r="AN72" s="22"/>
      <c r="AO72" s="4"/>
      <c r="AP72" s="4"/>
      <c r="AQ72" s="4"/>
      <c r="AR72" s="22"/>
      <c r="AS72" s="22"/>
      <c r="AT72" s="4"/>
    </row>
    <row r="73" spans="2:46" s="2" customFormat="1" ht="119.25" customHeight="1">
      <c r="B73" s="1"/>
      <c r="C73" s="3"/>
      <c r="D73"/>
      <c r="E73"/>
      <c r="F73" s="40"/>
      <c r="G73" s="40"/>
      <c r="H73" s="40"/>
      <c r="I73" s="40"/>
      <c r="J73" s="40"/>
      <c r="K73" s="40"/>
      <c r="L73" s="40"/>
      <c r="M73" s="22"/>
      <c r="N73" s="4"/>
      <c r="O73" s="22"/>
      <c r="P73" s="22"/>
      <c r="Q73" s="4"/>
      <c r="R73" s="22"/>
      <c r="S73" s="22"/>
      <c r="T73" s="4"/>
      <c r="U73" s="22"/>
      <c r="V73" s="22"/>
      <c r="W73" s="4"/>
      <c r="X73" s="22"/>
      <c r="Y73" s="22"/>
      <c r="Z73" s="4"/>
      <c r="AA73" s="22"/>
      <c r="AB73" s="22"/>
      <c r="AC73" s="4"/>
      <c r="AD73" s="22"/>
      <c r="AE73" s="22"/>
      <c r="AF73" s="4"/>
      <c r="AG73" s="22"/>
      <c r="AH73" s="22"/>
      <c r="AI73" s="4"/>
      <c r="AJ73" s="22"/>
      <c r="AK73" s="22"/>
      <c r="AL73" s="4"/>
      <c r="AM73" s="22"/>
      <c r="AN73" s="22"/>
      <c r="AO73" s="4"/>
      <c r="AP73" s="4"/>
      <c r="AQ73" s="4"/>
      <c r="AR73" s="22"/>
      <c r="AS73" s="22"/>
      <c r="AT73" s="4"/>
    </row>
    <row r="74" spans="2:46" s="2" customFormat="1" ht="112.5" customHeight="1">
      <c r="B74" s="1"/>
      <c r="C74" s="3"/>
      <c r="D74"/>
      <c r="E74"/>
      <c r="F74" s="40"/>
      <c r="G74" s="40"/>
      <c r="H74" s="40"/>
      <c r="I74" s="40"/>
      <c r="J74" s="40"/>
      <c r="K74" s="40"/>
      <c r="L74" s="40"/>
      <c r="M74" s="22"/>
      <c r="N74" s="4"/>
      <c r="O74" s="22"/>
      <c r="P74" s="22"/>
      <c r="Q74" s="4"/>
      <c r="R74" s="22"/>
      <c r="S74" s="22"/>
      <c r="T74" s="4"/>
      <c r="U74" s="22"/>
      <c r="V74" s="22"/>
      <c r="W74" s="4"/>
      <c r="X74" s="22"/>
      <c r="Y74" s="22"/>
      <c r="Z74" s="4"/>
      <c r="AA74" s="22"/>
      <c r="AB74" s="22"/>
      <c r="AC74" s="4"/>
      <c r="AD74" s="22"/>
      <c r="AE74" s="22"/>
      <c r="AF74" s="4"/>
      <c r="AG74" s="22"/>
      <c r="AH74" s="22"/>
      <c r="AI74" s="4"/>
      <c r="AJ74" s="22"/>
      <c r="AK74" s="22"/>
      <c r="AL74" s="4"/>
      <c r="AM74" s="22"/>
      <c r="AN74" s="22"/>
      <c r="AO74" s="4"/>
      <c r="AP74" s="4"/>
      <c r="AQ74" s="4"/>
      <c r="AR74" s="22"/>
      <c r="AS74" s="22"/>
      <c r="AT74" s="4"/>
    </row>
    <row r="75" spans="2:46" s="2" customFormat="1" ht="111" customHeight="1">
      <c r="B75" s="1"/>
      <c r="C75" s="3"/>
      <c r="D75"/>
      <c r="E75"/>
      <c r="F75" s="40"/>
      <c r="G75" s="40"/>
      <c r="H75" s="40"/>
      <c r="I75" s="40"/>
      <c r="J75" s="40"/>
      <c r="K75" s="40"/>
      <c r="L75" s="40"/>
      <c r="M75" s="22"/>
      <c r="N75" s="4"/>
      <c r="O75" s="22"/>
      <c r="P75" s="22"/>
      <c r="Q75" s="4"/>
      <c r="R75" s="22"/>
      <c r="S75" s="22"/>
      <c r="T75" s="4"/>
      <c r="U75" s="22"/>
      <c r="V75" s="22"/>
      <c r="W75" s="4"/>
      <c r="X75" s="22"/>
      <c r="Y75" s="22"/>
      <c r="Z75" s="4"/>
      <c r="AA75" s="22"/>
      <c r="AB75" s="22"/>
      <c r="AC75" s="4"/>
      <c r="AD75" s="22"/>
      <c r="AE75" s="22"/>
      <c r="AF75" s="4"/>
      <c r="AG75" s="22"/>
      <c r="AH75" s="22"/>
      <c r="AI75" s="4"/>
      <c r="AJ75" s="22"/>
      <c r="AK75" s="22"/>
      <c r="AL75" s="4"/>
      <c r="AM75" s="22"/>
      <c r="AN75" s="22"/>
      <c r="AO75" s="4"/>
      <c r="AP75" s="4"/>
      <c r="AQ75" s="4"/>
      <c r="AR75" s="22"/>
      <c r="AS75" s="22"/>
      <c r="AT75" s="4"/>
    </row>
    <row r="76" spans="2:46" s="2" customFormat="1" ht="107.25" customHeight="1">
      <c r="B76" s="1"/>
      <c r="C76" s="3"/>
      <c r="D76"/>
      <c r="E76"/>
      <c r="F76" s="40"/>
      <c r="G76" s="40"/>
      <c r="H76" s="40"/>
      <c r="I76" s="40"/>
      <c r="J76" s="40"/>
      <c r="K76" s="40"/>
      <c r="L76" s="40"/>
      <c r="M76" s="22"/>
      <c r="N76" s="4"/>
      <c r="O76" s="22"/>
      <c r="P76" s="22"/>
      <c r="Q76" s="4"/>
      <c r="R76" s="22"/>
      <c r="S76" s="22"/>
      <c r="T76" s="4"/>
      <c r="U76" s="22"/>
      <c r="V76" s="22"/>
      <c r="W76" s="4"/>
      <c r="X76" s="22"/>
      <c r="Y76" s="22"/>
      <c r="Z76" s="4"/>
      <c r="AA76" s="22"/>
      <c r="AB76" s="22"/>
      <c r="AC76" s="4"/>
      <c r="AD76" s="22"/>
      <c r="AE76" s="22"/>
      <c r="AF76" s="4"/>
      <c r="AG76" s="22"/>
      <c r="AH76" s="22"/>
      <c r="AI76" s="4"/>
      <c r="AJ76" s="22"/>
      <c r="AK76" s="22"/>
      <c r="AL76" s="4"/>
      <c r="AM76" s="22"/>
      <c r="AN76" s="22"/>
      <c r="AO76" s="4"/>
      <c r="AP76" s="4"/>
      <c r="AQ76" s="4"/>
      <c r="AR76" s="22"/>
      <c r="AS76" s="22"/>
      <c r="AT76" s="4"/>
    </row>
    <row r="77" spans="2:46" s="2" customFormat="1" ht="97.5" customHeight="1">
      <c r="B77" s="1"/>
      <c r="C77" s="3"/>
      <c r="D77"/>
      <c r="E77"/>
      <c r="F77" s="40"/>
      <c r="G77" s="40"/>
      <c r="H77" s="40"/>
      <c r="I77" s="40"/>
      <c r="J77" s="40"/>
      <c r="K77" s="40"/>
      <c r="L77" s="40"/>
      <c r="M77" s="22"/>
      <c r="N77" s="4"/>
      <c r="O77" s="22"/>
      <c r="P77" s="22"/>
      <c r="Q77" s="4"/>
      <c r="R77" s="22"/>
      <c r="S77" s="22"/>
      <c r="T77" s="4"/>
      <c r="U77" s="22"/>
      <c r="V77" s="22"/>
      <c r="W77" s="4"/>
      <c r="X77" s="22"/>
      <c r="Y77" s="22"/>
      <c r="Z77" s="4"/>
      <c r="AA77" s="22"/>
      <c r="AB77" s="22"/>
      <c r="AC77" s="4"/>
      <c r="AD77" s="22"/>
      <c r="AE77" s="22"/>
      <c r="AF77" s="4"/>
      <c r="AG77" s="22"/>
      <c r="AH77" s="22"/>
      <c r="AI77" s="4"/>
      <c r="AJ77" s="22"/>
      <c r="AK77" s="22"/>
      <c r="AL77" s="4"/>
      <c r="AM77" s="22"/>
      <c r="AN77" s="22"/>
      <c r="AO77" s="4"/>
      <c r="AP77" s="4"/>
      <c r="AQ77" s="4"/>
      <c r="AR77" s="22"/>
      <c r="AS77" s="22"/>
      <c r="AT77" s="4"/>
    </row>
    <row r="78" spans="2:46" s="2" customFormat="1" ht="84.75" customHeight="1">
      <c r="B78" s="1"/>
      <c r="C78" s="3"/>
      <c r="D78"/>
      <c r="E78"/>
      <c r="F78" s="40"/>
      <c r="G78" s="40"/>
      <c r="H78" s="40"/>
      <c r="I78" s="40"/>
      <c r="J78" s="40"/>
      <c r="K78" s="40"/>
      <c r="L78" s="40"/>
      <c r="M78" s="22"/>
      <c r="N78" s="4"/>
      <c r="O78" s="22"/>
      <c r="P78" s="22"/>
      <c r="Q78" s="4"/>
      <c r="R78" s="22"/>
      <c r="S78" s="22"/>
      <c r="T78" s="4"/>
      <c r="U78" s="22"/>
      <c r="V78" s="22"/>
      <c r="W78" s="4"/>
      <c r="X78" s="22"/>
      <c r="Y78" s="22"/>
      <c r="Z78" s="4"/>
      <c r="AA78" s="22"/>
      <c r="AB78" s="22"/>
      <c r="AC78" s="4"/>
      <c r="AD78" s="22"/>
      <c r="AE78" s="22"/>
      <c r="AF78" s="4"/>
      <c r="AG78" s="22"/>
      <c r="AH78" s="22"/>
      <c r="AI78" s="4"/>
      <c r="AJ78" s="22"/>
      <c r="AK78" s="22"/>
      <c r="AL78" s="4"/>
      <c r="AM78" s="22"/>
      <c r="AN78" s="22"/>
      <c r="AO78" s="4"/>
      <c r="AP78" s="4"/>
      <c r="AQ78" s="4"/>
      <c r="AR78" s="22"/>
      <c r="AS78" s="22"/>
      <c r="AT78" s="4"/>
    </row>
    <row r="79" spans="2:46" s="2" customFormat="1" ht="116.25" customHeight="1">
      <c r="B79" s="1"/>
      <c r="C79" s="3"/>
      <c r="D79"/>
      <c r="E79"/>
      <c r="F79" s="40"/>
      <c r="G79" s="40"/>
      <c r="H79" s="40"/>
      <c r="I79" s="40"/>
      <c r="J79" s="40"/>
      <c r="K79" s="40"/>
      <c r="L79" s="40"/>
      <c r="M79" s="22"/>
      <c r="N79" s="4"/>
      <c r="O79" s="22"/>
      <c r="P79" s="22"/>
      <c r="Q79" s="4"/>
      <c r="R79" s="22"/>
      <c r="S79" s="22"/>
      <c r="T79" s="4"/>
      <c r="U79" s="22"/>
      <c r="V79" s="22"/>
      <c r="W79" s="4"/>
      <c r="X79" s="22"/>
      <c r="Y79" s="22"/>
      <c r="Z79" s="4"/>
      <c r="AA79" s="22"/>
      <c r="AB79" s="22"/>
      <c r="AC79" s="4"/>
      <c r="AD79" s="22"/>
      <c r="AE79" s="22"/>
      <c r="AF79" s="4"/>
      <c r="AG79" s="22"/>
      <c r="AH79" s="22"/>
      <c r="AI79" s="4"/>
      <c r="AJ79" s="22"/>
      <c r="AK79" s="22"/>
      <c r="AL79" s="4"/>
      <c r="AM79" s="22"/>
      <c r="AN79" s="22"/>
      <c r="AO79" s="4"/>
      <c r="AP79" s="4"/>
      <c r="AQ79" s="4"/>
      <c r="AR79" s="22"/>
      <c r="AS79" s="22"/>
      <c r="AT79" s="4"/>
    </row>
    <row r="80" spans="2:46" s="2" customFormat="1" ht="117.75" customHeight="1">
      <c r="B80" s="1"/>
      <c r="C80" s="3"/>
      <c r="D80"/>
      <c r="E80"/>
      <c r="F80" s="40"/>
      <c r="G80" s="40"/>
      <c r="H80" s="40"/>
      <c r="I80" s="40"/>
      <c r="J80" s="40"/>
      <c r="K80" s="40"/>
      <c r="L80" s="40"/>
      <c r="M80" s="22"/>
      <c r="N80" s="4"/>
      <c r="O80" s="22"/>
      <c r="P80" s="22"/>
      <c r="Q80" s="4"/>
      <c r="R80" s="22"/>
      <c r="S80" s="22"/>
      <c r="T80" s="4"/>
      <c r="U80" s="22"/>
      <c r="V80" s="22"/>
      <c r="W80" s="4"/>
      <c r="X80" s="22"/>
      <c r="Y80" s="22"/>
      <c r="Z80" s="4"/>
      <c r="AA80" s="22"/>
      <c r="AB80" s="22"/>
      <c r="AC80" s="4"/>
      <c r="AD80" s="22"/>
      <c r="AE80" s="22"/>
      <c r="AF80" s="4"/>
      <c r="AG80" s="22"/>
      <c r="AH80" s="22"/>
      <c r="AI80" s="4"/>
      <c r="AJ80" s="22"/>
      <c r="AK80" s="22"/>
      <c r="AL80" s="4"/>
      <c r="AM80" s="22"/>
      <c r="AN80" s="22"/>
      <c r="AO80" s="4"/>
      <c r="AP80" s="4"/>
      <c r="AQ80" s="4"/>
      <c r="AR80" s="22"/>
      <c r="AS80" s="22"/>
      <c r="AT80" s="4"/>
    </row>
    <row r="81" spans="2:46" s="2" customFormat="1" ht="124.5" customHeight="1">
      <c r="B81" s="1"/>
      <c r="C81" s="3"/>
      <c r="D81"/>
      <c r="E81"/>
      <c r="F81" s="40"/>
      <c r="G81" s="40"/>
      <c r="H81" s="40"/>
      <c r="I81" s="40"/>
      <c r="J81" s="40"/>
      <c r="K81" s="40"/>
      <c r="L81" s="40"/>
      <c r="M81" s="22"/>
      <c r="N81" s="4"/>
      <c r="O81" s="22"/>
      <c r="P81" s="22"/>
      <c r="Q81" s="4"/>
      <c r="R81" s="22"/>
      <c r="S81" s="22"/>
      <c r="T81" s="4"/>
      <c r="U81" s="22"/>
      <c r="V81" s="22"/>
      <c r="W81" s="4"/>
      <c r="X81" s="22"/>
      <c r="Y81" s="22"/>
      <c r="Z81" s="4"/>
      <c r="AA81" s="22"/>
      <c r="AB81" s="22"/>
      <c r="AC81" s="4"/>
      <c r="AD81" s="22"/>
      <c r="AE81" s="22"/>
      <c r="AF81" s="4"/>
      <c r="AG81" s="22"/>
      <c r="AH81" s="22"/>
      <c r="AI81" s="4"/>
      <c r="AJ81" s="22"/>
      <c r="AK81" s="22"/>
      <c r="AL81" s="4"/>
      <c r="AM81" s="22"/>
      <c r="AN81" s="22"/>
      <c r="AO81" s="4"/>
      <c r="AP81" s="4"/>
      <c r="AQ81" s="4"/>
      <c r="AR81" s="22"/>
      <c r="AS81" s="22"/>
      <c r="AT81" s="4"/>
    </row>
    <row r="82" spans="2:46" s="2" customFormat="1" ht="135.75" customHeight="1">
      <c r="B82" s="1"/>
      <c r="C82" s="3"/>
      <c r="D82"/>
      <c r="E82"/>
      <c r="F82" s="40"/>
      <c r="G82" s="40"/>
      <c r="H82" s="40"/>
      <c r="I82" s="40"/>
      <c r="J82" s="40"/>
      <c r="K82" s="40"/>
      <c r="L82" s="40"/>
      <c r="M82" s="22"/>
      <c r="N82" s="4"/>
      <c r="O82" s="22"/>
      <c r="P82" s="22"/>
      <c r="Q82" s="4"/>
      <c r="R82" s="22"/>
      <c r="S82" s="22"/>
      <c r="T82" s="4"/>
      <c r="U82" s="22"/>
      <c r="V82" s="22"/>
      <c r="W82" s="4"/>
      <c r="X82" s="22"/>
      <c r="Y82" s="22"/>
      <c r="Z82" s="4"/>
      <c r="AA82" s="22"/>
      <c r="AB82" s="22"/>
      <c r="AC82" s="4"/>
      <c r="AD82" s="22"/>
      <c r="AE82" s="22"/>
      <c r="AF82" s="4"/>
      <c r="AG82" s="22"/>
      <c r="AH82" s="22"/>
      <c r="AI82" s="4"/>
      <c r="AJ82" s="22"/>
      <c r="AK82" s="22"/>
      <c r="AL82" s="4"/>
      <c r="AM82" s="22"/>
      <c r="AN82" s="22"/>
      <c r="AO82" s="4"/>
      <c r="AP82" s="4"/>
      <c r="AQ82" s="4"/>
      <c r="AR82" s="22"/>
      <c r="AS82" s="22"/>
      <c r="AT82" s="4"/>
    </row>
    <row r="83" spans="2:46" s="2" customFormat="1" ht="105.75" customHeight="1">
      <c r="B83" s="1"/>
      <c r="C83" s="3"/>
      <c r="D83"/>
      <c r="E83"/>
      <c r="F83" s="40"/>
      <c r="G83" s="40"/>
      <c r="H83" s="40"/>
      <c r="I83" s="40"/>
      <c r="J83" s="40"/>
      <c r="K83" s="40"/>
      <c r="L83" s="40"/>
      <c r="M83" s="22"/>
      <c r="N83" s="4"/>
      <c r="O83" s="22"/>
      <c r="P83" s="22"/>
      <c r="Q83" s="4"/>
      <c r="R83" s="22"/>
      <c r="S83" s="22"/>
      <c r="T83" s="4"/>
      <c r="U83" s="22"/>
      <c r="V83" s="22"/>
      <c r="W83" s="4"/>
      <c r="X83" s="22"/>
      <c r="Y83" s="22"/>
      <c r="Z83" s="4"/>
      <c r="AA83" s="22"/>
      <c r="AB83" s="22"/>
      <c r="AC83" s="4"/>
      <c r="AD83" s="22"/>
      <c r="AE83" s="22"/>
      <c r="AF83" s="4"/>
      <c r="AG83" s="22"/>
      <c r="AH83" s="22"/>
      <c r="AI83" s="4"/>
      <c r="AJ83" s="22"/>
      <c r="AK83" s="22"/>
      <c r="AL83" s="4"/>
      <c r="AM83" s="22"/>
      <c r="AN83" s="22"/>
      <c r="AO83" s="4"/>
      <c r="AP83" s="4"/>
      <c r="AQ83" s="4"/>
      <c r="AR83" s="22"/>
      <c r="AS83" s="22"/>
      <c r="AT83" s="4"/>
    </row>
    <row r="84" spans="2:46" s="2" customFormat="1" ht="409.5" customHeight="1">
      <c r="B84" s="1"/>
      <c r="C84" s="3"/>
      <c r="D84"/>
      <c r="E84"/>
      <c r="F84" s="40"/>
      <c r="G84" s="40"/>
      <c r="H84" s="40"/>
      <c r="I84" s="40"/>
      <c r="J84" s="40"/>
      <c r="K84" s="40"/>
      <c r="L84" s="40"/>
      <c r="M84" s="22"/>
      <c r="N84" s="4"/>
      <c r="O84" s="22"/>
      <c r="P84" s="22"/>
      <c r="Q84" s="4"/>
      <c r="R84" s="22"/>
      <c r="S84" s="22"/>
      <c r="T84" s="4"/>
      <c r="U84" s="22"/>
      <c r="V84" s="22"/>
      <c r="W84" s="4"/>
      <c r="X84" s="22"/>
      <c r="Y84" s="22"/>
      <c r="Z84" s="4"/>
      <c r="AA84" s="22"/>
      <c r="AB84" s="22"/>
      <c r="AC84" s="4"/>
      <c r="AD84" s="22"/>
      <c r="AE84" s="22"/>
      <c r="AF84" s="4"/>
      <c r="AG84" s="22"/>
      <c r="AH84" s="22"/>
      <c r="AI84" s="4"/>
      <c r="AJ84" s="22"/>
      <c r="AK84" s="22"/>
      <c r="AL84" s="4"/>
      <c r="AM84" s="22"/>
      <c r="AN84" s="22"/>
      <c r="AO84" s="4"/>
      <c r="AP84" s="4"/>
      <c r="AQ84" s="4"/>
      <c r="AR84" s="22"/>
      <c r="AS84" s="22"/>
      <c r="AT84" s="4"/>
    </row>
    <row r="85" spans="2:46" s="2" customFormat="1" ht="120" customHeight="1">
      <c r="B85" s="1"/>
      <c r="C85" s="3"/>
      <c r="D85"/>
      <c r="E85"/>
      <c r="F85" s="40"/>
      <c r="G85" s="40"/>
      <c r="H85" s="40"/>
      <c r="I85" s="40"/>
      <c r="J85" s="40"/>
      <c r="K85" s="40"/>
      <c r="L85" s="40"/>
      <c r="M85" s="22"/>
      <c r="N85" s="4"/>
      <c r="O85" s="22"/>
      <c r="P85" s="22"/>
      <c r="Q85" s="4"/>
      <c r="R85" s="22"/>
      <c r="S85" s="22"/>
      <c r="T85" s="4"/>
      <c r="U85" s="22"/>
      <c r="V85" s="22"/>
      <c r="W85" s="4"/>
      <c r="X85" s="22"/>
      <c r="Y85" s="22"/>
      <c r="Z85" s="4"/>
      <c r="AA85" s="22"/>
      <c r="AB85" s="22"/>
      <c r="AC85" s="4"/>
      <c r="AD85" s="22"/>
      <c r="AE85" s="22"/>
      <c r="AF85" s="4"/>
      <c r="AG85" s="22"/>
      <c r="AH85" s="22"/>
      <c r="AI85" s="4"/>
      <c r="AJ85" s="22"/>
      <c r="AK85" s="22"/>
      <c r="AL85" s="4"/>
      <c r="AM85" s="22"/>
      <c r="AN85" s="22"/>
      <c r="AO85" s="4"/>
      <c r="AP85" s="4"/>
      <c r="AQ85" s="4"/>
      <c r="AR85" s="22"/>
      <c r="AS85" s="22"/>
      <c r="AT85" s="4"/>
    </row>
    <row r="86" spans="2:46" s="2" customFormat="1" ht="174" customHeight="1">
      <c r="B86" s="1"/>
      <c r="C86" s="3"/>
      <c r="D86"/>
      <c r="E86"/>
      <c r="F86" s="40"/>
      <c r="G86" s="40"/>
      <c r="H86" s="40"/>
      <c r="I86" s="40"/>
      <c r="J86" s="40"/>
      <c r="K86" s="40"/>
      <c r="L86" s="40"/>
      <c r="M86" s="22"/>
      <c r="N86" s="4"/>
      <c r="O86" s="22"/>
      <c r="P86" s="22"/>
      <c r="Q86" s="4"/>
      <c r="R86" s="22"/>
      <c r="S86" s="22"/>
      <c r="T86" s="4"/>
      <c r="U86" s="22"/>
      <c r="V86" s="22"/>
      <c r="W86" s="4"/>
      <c r="X86" s="22"/>
      <c r="Y86" s="22"/>
      <c r="Z86" s="4"/>
      <c r="AA86" s="22"/>
      <c r="AB86" s="22"/>
      <c r="AC86" s="4"/>
      <c r="AD86" s="22"/>
      <c r="AE86" s="22"/>
      <c r="AF86" s="4"/>
      <c r="AG86" s="22"/>
      <c r="AH86" s="22"/>
      <c r="AI86" s="4"/>
      <c r="AJ86" s="22"/>
      <c r="AK86" s="22"/>
      <c r="AL86" s="4"/>
      <c r="AM86" s="22"/>
      <c r="AN86" s="22"/>
      <c r="AO86" s="4"/>
      <c r="AP86" s="4"/>
      <c r="AQ86" s="4"/>
      <c r="AR86" s="22"/>
      <c r="AS86" s="22"/>
      <c r="AT86" s="4"/>
    </row>
    <row r="87" spans="2:46" s="2" customFormat="1" ht="102" customHeight="1">
      <c r="B87" s="1"/>
      <c r="C87" s="3"/>
      <c r="D87"/>
      <c r="E87"/>
      <c r="F87" s="40"/>
      <c r="G87" s="40"/>
      <c r="H87" s="40"/>
      <c r="I87" s="40"/>
      <c r="J87" s="40"/>
      <c r="K87" s="40"/>
      <c r="L87" s="40"/>
      <c r="M87" s="22"/>
      <c r="N87" s="4"/>
      <c r="O87" s="22"/>
      <c r="P87" s="22"/>
      <c r="Q87" s="4"/>
      <c r="R87" s="22"/>
      <c r="S87" s="22"/>
      <c r="T87" s="4"/>
      <c r="U87" s="22"/>
      <c r="V87" s="22"/>
      <c r="W87" s="4"/>
      <c r="X87" s="22"/>
      <c r="Y87" s="22"/>
      <c r="Z87" s="4"/>
      <c r="AA87" s="22"/>
      <c r="AB87" s="22"/>
      <c r="AC87" s="4"/>
      <c r="AD87" s="22"/>
      <c r="AE87" s="22"/>
      <c r="AF87" s="4"/>
      <c r="AG87" s="22"/>
      <c r="AH87" s="22"/>
      <c r="AI87" s="4"/>
      <c r="AJ87" s="22"/>
      <c r="AK87" s="22"/>
      <c r="AL87" s="4"/>
      <c r="AM87" s="22"/>
      <c r="AN87" s="22"/>
      <c r="AO87" s="4"/>
      <c r="AP87" s="4"/>
      <c r="AQ87" s="4"/>
      <c r="AR87" s="22"/>
      <c r="AS87" s="22"/>
      <c r="AT87" s="4"/>
    </row>
    <row r="88" spans="2:46" s="2" customFormat="1" ht="102" customHeight="1">
      <c r="B88" s="1"/>
      <c r="C88" s="3"/>
      <c r="D88"/>
      <c r="E88"/>
      <c r="F88" s="40"/>
      <c r="G88" s="40"/>
      <c r="H88" s="40"/>
      <c r="I88" s="40"/>
      <c r="J88" s="40"/>
      <c r="K88" s="40"/>
      <c r="L88" s="40"/>
      <c r="M88" s="22"/>
      <c r="N88" s="4"/>
      <c r="O88" s="22"/>
      <c r="P88" s="22"/>
      <c r="Q88" s="4"/>
      <c r="R88" s="22"/>
      <c r="S88" s="22"/>
      <c r="T88" s="4"/>
      <c r="U88" s="22"/>
      <c r="V88" s="22"/>
      <c r="W88" s="4"/>
      <c r="X88" s="22"/>
      <c r="Y88" s="22"/>
      <c r="Z88" s="4"/>
      <c r="AA88" s="22"/>
      <c r="AB88" s="22"/>
      <c r="AC88" s="4"/>
      <c r="AD88" s="22"/>
      <c r="AE88" s="22"/>
      <c r="AF88" s="4"/>
      <c r="AG88" s="22"/>
      <c r="AH88" s="22"/>
      <c r="AI88" s="4"/>
      <c r="AJ88" s="22"/>
      <c r="AK88" s="22"/>
      <c r="AL88" s="4"/>
      <c r="AM88" s="22"/>
      <c r="AN88" s="22"/>
      <c r="AO88" s="4"/>
      <c r="AP88" s="4"/>
      <c r="AQ88" s="4"/>
      <c r="AR88" s="22"/>
      <c r="AS88" s="22"/>
      <c r="AT88" s="4"/>
    </row>
    <row r="89" spans="2:46" ht="64.150000000000006" customHeight="1">
      <c r="B89" s="1"/>
      <c r="C89" s="3"/>
    </row>
    <row r="90" spans="2:46" ht="64.150000000000006" customHeight="1">
      <c r="B90" s="1"/>
      <c r="C90" s="3"/>
    </row>
    <row r="91" spans="2:46" ht="36" customHeight="1">
      <c r="B91" s="1"/>
      <c r="C91" s="3"/>
    </row>
    <row r="92" spans="2:46" ht="36" customHeight="1">
      <c r="B92" s="1"/>
      <c r="C92" s="3"/>
    </row>
    <row r="93" spans="2:46" ht="36" customHeight="1">
      <c r="B93" s="1"/>
      <c r="C93" s="3"/>
    </row>
    <row r="94" spans="2:46" ht="36" customHeight="1">
      <c r="B94" s="1"/>
      <c r="C94" s="3"/>
    </row>
    <row r="95" spans="2:46" ht="36" customHeight="1">
      <c r="B95" s="1"/>
      <c r="C95" s="3"/>
    </row>
    <row r="96" spans="2:46" ht="15.75" customHeight="1">
      <c r="B96" s="1"/>
      <c r="C96" s="3"/>
    </row>
    <row r="97" spans="2:46" ht="15.75" customHeight="1">
      <c r="B97" s="1"/>
      <c r="C97" s="3"/>
    </row>
    <row r="98" spans="2:46" ht="15.75" customHeight="1">
      <c r="B98" s="1"/>
      <c r="C98" s="3"/>
    </row>
    <row r="99" spans="2:46" ht="15.75" customHeight="1">
      <c r="B99" s="1"/>
      <c r="C99" s="3"/>
    </row>
    <row r="100" spans="2:46" ht="15.75" customHeight="1">
      <c r="B100" s="1"/>
      <c r="C100" s="3"/>
    </row>
    <row r="101" spans="2:46" ht="15.75" customHeight="1">
      <c r="B101" s="1"/>
      <c r="C101" s="3"/>
    </row>
    <row r="102" spans="2:46" s="22" customFormat="1" ht="15.75" customHeight="1">
      <c r="B102" s="1"/>
      <c r="C102" s="3"/>
      <c r="D102"/>
      <c r="E102"/>
      <c r="F102" s="40"/>
      <c r="G102" s="40"/>
      <c r="H102" s="40"/>
      <c r="I102" s="40"/>
      <c r="J102" s="40"/>
      <c r="K102" s="40"/>
      <c r="L102" s="40"/>
      <c r="N102" s="4"/>
      <c r="Q102" s="4"/>
      <c r="T102" s="4"/>
      <c r="W102" s="4"/>
      <c r="Z102" s="4"/>
      <c r="AC102" s="4"/>
      <c r="AF102" s="4"/>
      <c r="AI102" s="4"/>
      <c r="AL102" s="4"/>
      <c r="AO102" s="4"/>
      <c r="AP102" s="4"/>
      <c r="AQ102" s="4"/>
      <c r="AT102" s="4"/>
    </row>
    <row r="103" spans="2:46" s="22" customFormat="1" ht="15.75" customHeight="1">
      <c r="B103" s="1"/>
      <c r="C103" s="3"/>
      <c r="D103"/>
      <c r="E103"/>
      <c r="F103" s="40"/>
      <c r="G103" s="40"/>
      <c r="H103" s="40"/>
      <c r="I103" s="40"/>
      <c r="J103" s="40"/>
      <c r="K103" s="40"/>
      <c r="L103" s="40"/>
      <c r="N103" s="4"/>
      <c r="Q103" s="4"/>
      <c r="T103" s="4"/>
      <c r="W103" s="4"/>
      <c r="Z103" s="4"/>
      <c r="AC103" s="4"/>
      <c r="AF103" s="4"/>
      <c r="AI103" s="4"/>
      <c r="AL103" s="4"/>
      <c r="AO103" s="4"/>
      <c r="AP103" s="4"/>
      <c r="AQ103" s="4"/>
      <c r="AT103" s="4"/>
    </row>
    <row r="104" spans="2:46" s="22" customFormat="1" ht="15.75" customHeight="1">
      <c r="B104" s="1"/>
      <c r="C104" s="3"/>
      <c r="D104"/>
      <c r="E104"/>
      <c r="F104" s="40"/>
      <c r="G104" s="40"/>
      <c r="H104" s="40"/>
      <c r="I104" s="40"/>
      <c r="J104" s="40"/>
      <c r="K104" s="40"/>
      <c r="L104" s="40"/>
      <c r="N104" s="4"/>
      <c r="Q104" s="4"/>
      <c r="T104" s="4"/>
      <c r="W104" s="4"/>
      <c r="Z104" s="4"/>
      <c r="AC104" s="4"/>
      <c r="AF104" s="4"/>
      <c r="AI104" s="4"/>
      <c r="AL104" s="4"/>
      <c r="AO104" s="4"/>
      <c r="AP104" s="4"/>
      <c r="AQ104" s="4"/>
      <c r="AT104" s="4"/>
    </row>
    <row r="105" spans="2:46" s="22" customFormat="1" ht="15.75" customHeight="1">
      <c r="B105" s="1"/>
      <c r="C105" s="3"/>
      <c r="D105"/>
      <c r="E105"/>
      <c r="F105" s="40"/>
      <c r="G105" s="40"/>
      <c r="H105" s="40"/>
      <c r="I105" s="40"/>
      <c r="J105" s="40"/>
      <c r="K105" s="40"/>
      <c r="L105" s="40"/>
      <c r="N105" s="4"/>
      <c r="Q105" s="4"/>
      <c r="T105" s="4"/>
      <c r="W105" s="4"/>
      <c r="Z105" s="4"/>
      <c r="AC105" s="4"/>
      <c r="AF105" s="4"/>
      <c r="AI105" s="4"/>
      <c r="AL105" s="4"/>
      <c r="AO105" s="4"/>
      <c r="AP105" s="4"/>
      <c r="AQ105" s="4"/>
      <c r="AT105" s="4"/>
    </row>
    <row r="106" spans="2:46" s="22" customFormat="1" ht="15.75" customHeight="1">
      <c r="B106" s="1"/>
      <c r="C106" s="3"/>
      <c r="D106"/>
      <c r="E106"/>
      <c r="F106" s="40"/>
      <c r="G106" s="40"/>
      <c r="H106" s="40"/>
      <c r="I106" s="40"/>
      <c r="J106" s="40"/>
      <c r="K106" s="40"/>
      <c r="L106" s="40"/>
      <c r="N106" s="4"/>
      <c r="Q106" s="4"/>
      <c r="T106" s="4"/>
      <c r="W106" s="4"/>
      <c r="Z106" s="4"/>
      <c r="AC106" s="4"/>
      <c r="AF106" s="4"/>
      <c r="AI106" s="4"/>
      <c r="AL106" s="4"/>
      <c r="AO106" s="4"/>
      <c r="AP106" s="4"/>
      <c r="AQ106" s="4"/>
      <c r="AT106" s="4"/>
    </row>
    <row r="107" spans="2:46" s="22" customFormat="1" ht="15.75" customHeight="1">
      <c r="B107" s="1"/>
      <c r="C107" s="3"/>
      <c r="D107"/>
      <c r="E107"/>
      <c r="F107" s="40"/>
      <c r="G107" s="40"/>
      <c r="H107" s="40"/>
      <c r="I107" s="40"/>
      <c r="J107" s="40"/>
      <c r="K107" s="40"/>
      <c r="L107" s="40"/>
      <c r="N107" s="4"/>
      <c r="Q107" s="4"/>
      <c r="T107" s="4"/>
      <c r="W107" s="4"/>
      <c r="Z107" s="4"/>
      <c r="AC107" s="4"/>
      <c r="AF107" s="4"/>
      <c r="AI107" s="4"/>
      <c r="AL107" s="4"/>
      <c r="AO107" s="4"/>
      <c r="AP107" s="4"/>
      <c r="AQ107" s="4"/>
      <c r="AT107" s="4"/>
    </row>
    <row r="108" spans="2:46" s="22" customFormat="1" ht="15.75" customHeight="1">
      <c r="B108" s="1"/>
      <c r="C108" s="3"/>
      <c r="D108"/>
      <c r="E108"/>
      <c r="F108" s="40"/>
      <c r="G108" s="40"/>
      <c r="H108" s="40"/>
      <c r="I108" s="40"/>
      <c r="J108" s="40"/>
      <c r="K108" s="40"/>
      <c r="L108" s="40"/>
      <c r="N108" s="4"/>
      <c r="Q108" s="4"/>
      <c r="T108" s="4"/>
      <c r="W108" s="4"/>
      <c r="Z108" s="4"/>
      <c r="AC108" s="4"/>
      <c r="AF108" s="4"/>
      <c r="AI108" s="4"/>
      <c r="AL108" s="4"/>
      <c r="AO108" s="4"/>
      <c r="AP108" s="4"/>
      <c r="AQ108" s="4"/>
      <c r="AT108" s="4"/>
    </row>
    <row r="109" spans="2:46" s="22" customFormat="1" ht="15.75" customHeight="1">
      <c r="B109" s="1"/>
      <c r="C109" s="3"/>
      <c r="D109"/>
      <c r="E109"/>
      <c r="F109" s="40"/>
      <c r="G109" s="40"/>
      <c r="H109" s="40"/>
      <c r="I109" s="40"/>
      <c r="J109" s="40"/>
      <c r="K109" s="40"/>
      <c r="L109" s="40"/>
      <c r="N109" s="4"/>
      <c r="Q109" s="4"/>
      <c r="T109" s="4"/>
      <c r="W109" s="4"/>
      <c r="Z109" s="4"/>
      <c r="AC109" s="4"/>
      <c r="AF109" s="4"/>
      <c r="AI109" s="4"/>
      <c r="AL109" s="4"/>
      <c r="AO109" s="4"/>
      <c r="AP109" s="4"/>
      <c r="AQ109" s="4"/>
      <c r="AT109" s="4"/>
    </row>
    <row r="110" spans="2:46" s="22" customFormat="1" ht="15.75" customHeight="1">
      <c r="B110" s="1"/>
      <c r="C110" s="3"/>
      <c r="D110"/>
      <c r="E110"/>
      <c r="F110" s="40"/>
      <c r="G110" s="40"/>
      <c r="H110" s="40"/>
      <c r="I110" s="40"/>
      <c r="J110" s="40"/>
      <c r="K110" s="40"/>
      <c r="L110" s="40"/>
      <c r="N110" s="4"/>
      <c r="Q110" s="4"/>
      <c r="T110" s="4"/>
      <c r="W110" s="4"/>
      <c r="Z110" s="4"/>
      <c r="AC110" s="4"/>
      <c r="AF110" s="4"/>
      <c r="AI110" s="4"/>
      <c r="AL110" s="4"/>
      <c r="AO110" s="4"/>
      <c r="AP110" s="4"/>
      <c r="AQ110" s="4"/>
      <c r="AT110" s="4"/>
    </row>
    <row r="111" spans="2:46" s="22" customFormat="1" ht="15.75" customHeight="1">
      <c r="B111" s="1"/>
      <c r="C111" s="3"/>
      <c r="D111"/>
      <c r="E111"/>
      <c r="F111" s="40"/>
      <c r="G111" s="40"/>
      <c r="H111" s="40"/>
      <c r="I111" s="40"/>
      <c r="J111" s="40"/>
      <c r="K111" s="40"/>
      <c r="L111" s="40"/>
      <c r="N111" s="4"/>
      <c r="Q111" s="4"/>
      <c r="T111" s="4"/>
      <c r="W111" s="4"/>
      <c r="Z111" s="4"/>
      <c r="AC111" s="4"/>
      <c r="AF111" s="4"/>
      <c r="AI111" s="4"/>
      <c r="AL111" s="4"/>
      <c r="AO111" s="4"/>
      <c r="AP111" s="4"/>
      <c r="AQ111" s="4"/>
      <c r="AT111" s="4"/>
    </row>
    <row r="112" spans="2:46" s="22" customFormat="1" ht="15.75" customHeight="1">
      <c r="B112" s="1"/>
      <c r="C112" s="3"/>
      <c r="D112"/>
      <c r="E112"/>
      <c r="F112" s="40"/>
      <c r="G112" s="40"/>
      <c r="H112" s="40"/>
      <c r="I112" s="40"/>
      <c r="J112" s="40"/>
      <c r="K112" s="40"/>
      <c r="L112" s="40"/>
      <c r="N112" s="4"/>
      <c r="Q112" s="4"/>
      <c r="T112" s="4"/>
      <c r="W112" s="4"/>
      <c r="Z112" s="4"/>
      <c r="AC112" s="4"/>
      <c r="AF112" s="4"/>
      <c r="AI112" s="4"/>
      <c r="AL112" s="4"/>
      <c r="AO112" s="4"/>
      <c r="AP112" s="4"/>
      <c r="AQ112" s="4"/>
      <c r="AT112" s="4"/>
    </row>
    <row r="113" spans="2:46" s="22" customFormat="1" ht="15.75" customHeight="1">
      <c r="B113" s="1"/>
      <c r="C113" s="3"/>
      <c r="D113"/>
      <c r="E113"/>
      <c r="F113" s="40"/>
      <c r="G113" s="40"/>
      <c r="H113" s="40"/>
      <c r="I113" s="40"/>
      <c r="J113" s="40"/>
      <c r="K113" s="40"/>
      <c r="L113" s="40"/>
      <c r="N113" s="4"/>
      <c r="Q113" s="4"/>
      <c r="T113" s="4"/>
      <c r="W113" s="4"/>
      <c r="Z113" s="4"/>
      <c r="AC113" s="4"/>
      <c r="AF113" s="4"/>
      <c r="AI113" s="4"/>
      <c r="AL113" s="4"/>
      <c r="AO113" s="4"/>
      <c r="AP113" s="4"/>
      <c r="AQ113" s="4"/>
      <c r="AT113" s="4"/>
    </row>
    <row r="114" spans="2:46" s="22" customFormat="1" ht="15.75" customHeight="1">
      <c r="B114" s="1"/>
      <c r="C114" s="3"/>
      <c r="D114"/>
      <c r="E114"/>
      <c r="F114" s="40"/>
      <c r="G114" s="40"/>
      <c r="H114" s="40"/>
      <c r="I114" s="40"/>
      <c r="J114" s="40"/>
      <c r="K114" s="40"/>
      <c r="L114" s="40"/>
      <c r="N114" s="4"/>
      <c r="Q114" s="4"/>
      <c r="T114" s="4"/>
      <c r="W114" s="4"/>
      <c r="Z114" s="4"/>
      <c r="AC114" s="4"/>
      <c r="AF114" s="4"/>
      <c r="AI114" s="4"/>
      <c r="AL114" s="4"/>
      <c r="AO114" s="4"/>
      <c r="AP114" s="4"/>
      <c r="AQ114" s="4"/>
      <c r="AT114" s="4"/>
    </row>
    <row r="115" spans="2:46" s="22" customFormat="1" ht="15.75" customHeight="1">
      <c r="B115" s="1"/>
      <c r="C115" s="3"/>
      <c r="D115"/>
      <c r="E115"/>
      <c r="F115" s="40"/>
      <c r="G115" s="40"/>
      <c r="H115" s="40"/>
      <c r="I115" s="40"/>
      <c r="J115" s="40"/>
      <c r="K115" s="40"/>
      <c r="L115" s="40"/>
      <c r="N115" s="4"/>
      <c r="Q115" s="4"/>
      <c r="T115" s="4"/>
      <c r="W115" s="4"/>
      <c r="Z115" s="4"/>
      <c r="AC115" s="4"/>
      <c r="AF115" s="4"/>
      <c r="AI115" s="4"/>
      <c r="AL115" s="4"/>
      <c r="AO115" s="4"/>
      <c r="AP115" s="4"/>
      <c r="AQ115" s="4"/>
      <c r="AT115" s="4"/>
    </row>
    <row r="116" spans="2:46" s="22" customFormat="1" ht="15.75" customHeight="1">
      <c r="B116" s="1"/>
      <c r="C116" s="3"/>
      <c r="D116"/>
      <c r="E116"/>
      <c r="F116" s="40"/>
      <c r="G116" s="40"/>
      <c r="H116" s="40"/>
      <c r="I116" s="40"/>
      <c r="J116" s="40"/>
      <c r="K116" s="40"/>
      <c r="L116" s="40"/>
      <c r="N116" s="4"/>
      <c r="Q116" s="4"/>
      <c r="T116" s="4"/>
      <c r="W116" s="4"/>
      <c r="Z116" s="4"/>
      <c r="AC116" s="4"/>
      <c r="AF116" s="4"/>
      <c r="AI116" s="4"/>
      <c r="AL116" s="4"/>
      <c r="AO116" s="4"/>
      <c r="AP116" s="4"/>
      <c r="AQ116" s="4"/>
      <c r="AT116" s="4"/>
    </row>
    <row r="117" spans="2:46" s="22" customFormat="1" ht="15.75" customHeight="1">
      <c r="B117" s="1"/>
      <c r="C117" s="3"/>
      <c r="D117"/>
      <c r="E117"/>
      <c r="F117" s="40"/>
      <c r="G117" s="40"/>
      <c r="H117" s="40"/>
      <c r="I117" s="40"/>
      <c r="J117" s="40"/>
      <c r="K117" s="40"/>
      <c r="L117" s="40"/>
      <c r="N117" s="4"/>
      <c r="Q117" s="4"/>
      <c r="T117" s="4"/>
      <c r="W117" s="4"/>
      <c r="Z117" s="4"/>
      <c r="AC117" s="4"/>
      <c r="AF117" s="4"/>
      <c r="AI117" s="4"/>
      <c r="AL117" s="4"/>
      <c r="AO117" s="4"/>
      <c r="AP117" s="4"/>
      <c r="AQ117" s="4"/>
      <c r="AT117" s="4"/>
    </row>
    <row r="118" spans="2:46" ht="15.75" customHeight="1">
      <c r="B118" s="1"/>
      <c r="C118" s="3"/>
    </row>
    <row r="119" spans="2:46" ht="15.75" customHeight="1">
      <c r="B119" s="1"/>
      <c r="C119" s="3"/>
    </row>
    <row r="120" spans="2:46" ht="15.75" customHeight="1">
      <c r="B120" s="1"/>
      <c r="C120" s="3"/>
    </row>
    <row r="121" spans="2:46" ht="15.75" customHeight="1">
      <c r="B121" s="1"/>
      <c r="C121" s="3"/>
    </row>
    <row r="122" spans="2:46" ht="15.75" customHeight="1">
      <c r="B122" s="1"/>
      <c r="C122" s="3"/>
    </row>
    <row r="123" spans="2:46" ht="15.75" customHeight="1">
      <c r="B123" s="1"/>
      <c r="C123" s="3"/>
    </row>
    <row r="124" spans="2:46" ht="15.75" customHeight="1">
      <c r="B124" s="1"/>
      <c r="C124" s="3"/>
    </row>
    <row r="125" spans="2:46" ht="15.75" customHeight="1">
      <c r="B125" s="1"/>
      <c r="C125" s="3"/>
    </row>
    <row r="126" spans="2:46" ht="15.75" customHeight="1">
      <c r="B126" s="1"/>
      <c r="C126" s="3"/>
    </row>
    <row r="127" spans="2:46" ht="15.75" customHeight="1">
      <c r="B127" s="1"/>
      <c r="C127" s="3"/>
    </row>
    <row r="128" spans="2:46" ht="15.75" customHeight="1">
      <c r="B128" s="1"/>
      <c r="C128" s="3"/>
    </row>
    <row r="129" spans="2:3" ht="15.75" customHeight="1">
      <c r="B129" s="1"/>
      <c r="C129" s="3"/>
    </row>
    <row r="130" spans="2:3" ht="15.75" customHeight="1">
      <c r="B130" s="1"/>
      <c r="C130" s="3"/>
    </row>
    <row r="131" spans="2:3" ht="15.75" customHeight="1">
      <c r="B131" s="1"/>
      <c r="C131" s="3"/>
    </row>
    <row r="132" spans="2:3" ht="15.75" customHeight="1">
      <c r="B132" s="1"/>
      <c r="C132" s="3"/>
    </row>
    <row r="133" spans="2:3" ht="15.75" customHeight="1">
      <c r="B133" s="1"/>
      <c r="C133" s="3"/>
    </row>
    <row r="134" spans="2:3" ht="15.75" customHeight="1">
      <c r="B134" s="1"/>
      <c r="C134" s="3"/>
    </row>
    <row r="135" spans="2:3" ht="15.75" customHeight="1">
      <c r="B135" s="1"/>
      <c r="C135" s="3"/>
    </row>
    <row r="136" spans="2:3" ht="15.75" customHeight="1">
      <c r="B136" s="1"/>
      <c r="C136" s="3"/>
    </row>
    <row r="137" spans="2:3" ht="15.75" customHeight="1">
      <c r="B137" s="1"/>
      <c r="C137" s="3"/>
    </row>
    <row r="138" spans="2:3" ht="15.75" customHeight="1">
      <c r="B138" s="1"/>
      <c r="C138" s="3"/>
    </row>
    <row r="139" spans="2:3" ht="15.75" customHeight="1">
      <c r="B139" s="1"/>
      <c r="C139" s="3"/>
    </row>
    <row r="140" spans="2:3" ht="15.75" customHeight="1">
      <c r="B140" s="1"/>
      <c r="C140" s="3"/>
    </row>
    <row r="141" spans="2:3" ht="15.75" customHeight="1">
      <c r="B141" s="1"/>
      <c r="C141" s="3"/>
    </row>
    <row r="142" spans="2:3" ht="15.75" customHeight="1">
      <c r="B142" s="1"/>
      <c r="C142" s="3"/>
    </row>
    <row r="143" spans="2:3" ht="15.75" customHeight="1">
      <c r="B143" s="1"/>
      <c r="C143" s="3"/>
    </row>
    <row r="144" spans="2:3" ht="15.75" customHeight="1">
      <c r="B144" s="1"/>
      <c r="C144" s="3"/>
    </row>
    <row r="145" spans="2:3" ht="15.75" customHeight="1">
      <c r="B145" s="1"/>
      <c r="C145" s="3"/>
    </row>
    <row r="146" spans="2:3" ht="15.75" customHeight="1">
      <c r="B146" s="1"/>
      <c r="C146" s="3"/>
    </row>
    <row r="147" spans="2:3" ht="15.75" customHeight="1">
      <c r="B147" s="1"/>
      <c r="C147" s="3"/>
    </row>
    <row r="148" spans="2:3" ht="15.75" customHeight="1">
      <c r="B148" s="1"/>
      <c r="C148" s="3"/>
    </row>
    <row r="149" spans="2:3" ht="15.75" customHeight="1">
      <c r="B149" s="1"/>
      <c r="C149" s="3"/>
    </row>
    <row r="150" spans="2:3" ht="15.75" customHeight="1">
      <c r="B150" s="1"/>
      <c r="C150" s="3"/>
    </row>
    <row r="151" spans="2:3" ht="15.75" customHeight="1">
      <c r="B151" s="1"/>
      <c r="C151" s="3"/>
    </row>
    <row r="152" spans="2:3" ht="15.75" customHeight="1">
      <c r="B152" s="1"/>
      <c r="C152" s="3"/>
    </row>
    <row r="153" spans="2:3" ht="15.75" customHeight="1">
      <c r="B153" s="1"/>
      <c r="C153" s="3"/>
    </row>
    <row r="154" spans="2:3" ht="15.75" customHeight="1">
      <c r="B154" s="1"/>
      <c r="C154" s="3"/>
    </row>
    <row r="155" spans="2:3" ht="15.75" customHeight="1">
      <c r="B155" s="1"/>
      <c r="C155" s="3"/>
    </row>
    <row r="156" spans="2:3" ht="15.75" customHeight="1">
      <c r="B156" s="1"/>
      <c r="C156" s="3"/>
    </row>
    <row r="157" spans="2:3" ht="15.75" customHeight="1">
      <c r="B157" s="1"/>
      <c r="C157" s="3"/>
    </row>
    <row r="158" spans="2:3" ht="15.75" customHeight="1">
      <c r="B158" s="1"/>
      <c r="C158" s="3"/>
    </row>
    <row r="159" spans="2:3" ht="15.75" customHeight="1">
      <c r="B159" s="1"/>
      <c r="C159" s="3"/>
    </row>
    <row r="160" spans="2:3" ht="15.75" customHeight="1">
      <c r="B160" s="1"/>
      <c r="C160" s="3"/>
    </row>
    <row r="161" spans="2:3" ht="15.75" customHeight="1">
      <c r="B161" s="1"/>
      <c r="C161" s="3"/>
    </row>
    <row r="162" spans="2:3" ht="15.75" customHeight="1">
      <c r="B162" s="1"/>
      <c r="C162" s="3"/>
    </row>
    <row r="163" spans="2:3" ht="15.75" customHeight="1">
      <c r="B163" s="1"/>
      <c r="C163" s="3"/>
    </row>
    <row r="164" spans="2:3" ht="15.75" customHeight="1">
      <c r="B164" s="1"/>
      <c r="C164" s="3"/>
    </row>
    <row r="165" spans="2:3" ht="15.75" customHeight="1">
      <c r="B165" s="1"/>
      <c r="C165" s="3"/>
    </row>
    <row r="166" spans="2:3" ht="15.75" customHeight="1">
      <c r="B166" s="1"/>
      <c r="C166" s="3"/>
    </row>
    <row r="167" spans="2:3" ht="15.75" customHeight="1">
      <c r="B167" s="1"/>
      <c r="C167" s="3"/>
    </row>
    <row r="168" spans="2:3" ht="15.75" customHeight="1">
      <c r="B168" s="1"/>
      <c r="C168" s="3"/>
    </row>
    <row r="169" spans="2:3" ht="15.75" customHeight="1">
      <c r="B169" s="1"/>
      <c r="C169" s="3"/>
    </row>
    <row r="170" spans="2:3" ht="15.75" customHeight="1">
      <c r="B170" s="1"/>
      <c r="C170" s="3"/>
    </row>
    <row r="171" spans="2:3" ht="15.75" customHeight="1">
      <c r="B171" s="1"/>
      <c r="C171" s="3"/>
    </row>
    <row r="172" spans="2:3" ht="15.75" customHeight="1">
      <c r="B172" s="1"/>
      <c r="C172" s="3"/>
    </row>
    <row r="173" spans="2:3" ht="15.75" customHeight="1">
      <c r="B173" s="1"/>
      <c r="C173" s="3"/>
    </row>
    <row r="174" spans="2:3" ht="15.75" customHeight="1">
      <c r="B174" s="1"/>
      <c r="C174" s="3"/>
    </row>
    <row r="175" spans="2:3" ht="15.75" customHeight="1">
      <c r="B175" s="1"/>
      <c r="C175" s="3"/>
    </row>
    <row r="176" spans="2:3" ht="15.75" customHeight="1">
      <c r="B176" s="1"/>
      <c r="C176" s="3"/>
    </row>
    <row r="177" spans="2:3" ht="15.75" customHeight="1">
      <c r="B177" s="1"/>
      <c r="C177" s="3"/>
    </row>
    <row r="178" spans="2:3" ht="15.75" customHeight="1">
      <c r="B178" s="1"/>
      <c r="C178" s="3"/>
    </row>
    <row r="179" spans="2:3" ht="15.75" customHeight="1">
      <c r="B179" s="1"/>
      <c r="C179" s="3"/>
    </row>
    <row r="180" spans="2:3" ht="15.75" customHeight="1">
      <c r="B180" s="1"/>
      <c r="C180" s="3"/>
    </row>
    <row r="181" spans="2:3" ht="15.75" customHeight="1">
      <c r="B181" s="1"/>
      <c r="C181" s="3"/>
    </row>
    <row r="182" spans="2:3" ht="15.75" customHeight="1">
      <c r="B182" s="1"/>
      <c r="C182" s="3"/>
    </row>
    <row r="183" spans="2:3" ht="15.75" customHeight="1">
      <c r="B183" s="1"/>
      <c r="C183" s="3"/>
    </row>
    <row r="184" spans="2:3" ht="15.75" customHeight="1">
      <c r="B184" s="1"/>
      <c r="C184" s="3"/>
    </row>
    <row r="185" spans="2:3" ht="15.75" customHeight="1">
      <c r="B185" s="1"/>
      <c r="C185" s="3"/>
    </row>
    <row r="186" spans="2:3" ht="15.75" customHeight="1">
      <c r="B186" s="1"/>
      <c r="C186" s="3"/>
    </row>
    <row r="187" spans="2:3" ht="15.75" customHeight="1">
      <c r="B187" s="1"/>
      <c r="C187" s="3"/>
    </row>
    <row r="188" spans="2:3" ht="15.75" customHeight="1">
      <c r="B188" s="1"/>
      <c r="C188" s="3"/>
    </row>
    <row r="189" spans="2:3" ht="15.75" customHeight="1">
      <c r="B189" s="1"/>
      <c r="C189" s="3"/>
    </row>
    <row r="190" spans="2:3" ht="15.75" customHeight="1">
      <c r="B190" s="1"/>
      <c r="C190" s="3"/>
    </row>
    <row r="191" spans="2:3" ht="15.75" customHeight="1">
      <c r="B191" s="1"/>
      <c r="C191" s="3"/>
    </row>
    <row r="192" spans="2:3" ht="15.75" customHeight="1">
      <c r="B192" s="1"/>
      <c r="C192" s="3"/>
    </row>
    <row r="193" spans="2:3" ht="15.75" customHeight="1">
      <c r="B193" s="1"/>
      <c r="C193" s="3"/>
    </row>
    <row r="194" spans="2:3" ht="15.75" customHeight="1">
      <c r="B194" s="1"/>
      <c r="C194" s="3"/>
    </row>
    <row r="195" spans="2:3" ht="15.75" customHeight="1">
      <c r="B195" s="1"/>
      <c r="C195" s="3"/>
    </row>
    <row r="196" spans="2:3" ht="15.75" customHeight="1">
      <c r="B196" s="1"/>
      <c r="C196" s="3"/>
    </row>
    <row r="197" spans="2:3" ht="15.75" customHeight="1">
      <c r="B197" s="1"/>
      <c r="C197" s="3"/>
    </row>
    <row r="198" spans="2:3" ht="15.75" customHeight="1">
      <c r="B198" s="1"/>
      <c r="C198" s="3"/>
    </row>
    <row r="199" spans="2:3" ht="15.75" customHeight="1">
      <c r="B199" s="1"/>
      <c r="C199" s="3"/>
    </row>
    <row r="200" spans="2:3" ht="15.75" customHeight="1">
      <c r="B200" s="1"/>
      <c r="C200" s="3"/>
    </row>
    <row r="201" spans="2:3" ht="15.75" customHeight="1">
      <c r="B201" s="1"/>
      <c r="C201" s="3"/>
    </row>
    <row r="202" spans="2:3" ht="15.75" customHeight="1">
      <c r="B202" s="1"/>
      <c r="C202" s="3"/>
    </row>
    <row r="203" spans="2:3" ht="15.75" customHeight="1">
      <c r="B203" s="1"/>
      <c r="C203" s="3"/>
    </row>
    <row r="204" spans="2:3" ht="15.75" customHeight="1">
      <c r="B204" s="1"/>
      <c r="C204" s="3"/>
    </row>
    <row r="205" spans="2:3" ht="15.75" customHeight="1">
      <c r="B205" s="1"/>
      <c r="C205" s="3"/>
    </row>
    <row r="206" spans="2:3" ht="15.75" customHeight="1">
      <c r="B206" s="1"/>
      <c r="C206" s="3"/>
    </row>
    <row r="207" spans="2:3" ht="15.75" customHeight="1">
      <c r="B207" s="1"/>
      <c r="C207" s="3"/>
    </row>
    <row r="208" spans="2:3" ht="15.75" customHeight="1">
      <c r="B208" s="1"/>
      <c r="C208" s="3"/>
    </row>
    <row r="209" spans="2:3" ht="15.75" customHeight="1">
      <c r="B209" s="1"/>
      <c r="C209" s="3"/>
    </row>
    <row r="210" spans="2:3" ht="15.75" customHeight="1">
      <c r="B210" s="1"/>
      <c r="C210" s="3"/>
    </row>
    <row r="211" spans="2:3" ht="15.75" customHeight="1">
      <c r="B211" s="1"/>
      <c r="C211" s="3"/>
    </row>
    <row r="212" spans="2:3" ht="15.75" customHeight="1">
      <c r="B212" s="1"/>
      <c r="C212" s="3"/>
    </row>
    <row r="213" spans="2:3" ht="15.75" customHeight="1">
      <c r="B213" s="1"/>
      <c r="C213" s="3"/>
    </row>
    <row r="214" spans="2:3" ht="15.75" customHeight="1">
      <c r="B214" s="1"/>
      <c r="C214" s="3"/>
    </row>
    <row r="215" spans="2:3" ht="15.75" customHeight="1">
      <c r="B215" s="1"/>
      <c r="C215" s="3"/>
    </row>
    <row r="216" spans="2:3" ht="15.75" customHeight="1">
      <c r="B216" s="1"/>
      <c r="C216" s="3"/>
    </row>
    <row r="217" spans="2:3" ht="15.75" customHeight="1">
      <c r="B217" s="1"/>
      <c r="C217" s="3"/>
    </row>
    <row r="218" spans="2:3" ht="15.75" customHeight="1">
      <c r="B218" s="1"/>
      <c r="C218" s="3"/>
    </row>
    <row r="219" spans="2:3" ht="15.75" customHeight="1">
      <c r="B219" s="1"/>
      <c r="C219" s="3"/>
    </row>
    <row r="220" spans="2:3" ht="15.75" customHeight="1">
      <c r="B220" s="1"/>
      <c r="C220" s="3"/>
    </row>
    <row r="221" spans="2:3" ht="15.75" customHeight="1">
      <c r="B221" s="1"/>
      <c r="C221" s="3"/>
    </row>
    <row r="222" spans="2:3" ht="15.75" customHeight="1">
      <c r="B222" s="1"/>
      <c r="C222" s="3"/>
    </row>
    <row r="223" spans="2:3" ht="15.75" customHeight="1">
      <c r="B223" s="1"/>
      <c r="C223" s="3"/>
    </row>
    <row r="224" spans="2:3" ht="15.75" customHeight="1">
      <c r="B224" s="1"/>
      <c r="C224" s="3"/>
    </row>
    <row r="225" spans="2:3" ht="15.75" customHeight="1">
      <c r="B225" s="1"/>
      <c r="C225" s="3"/>
    </row>
    <row r="226" spans="2:3" ht="15.75" customHeight="1">
      <c r="B226" s="1"/>
      <c r="C226" s="3"/>
    </row>
    <row r="227" spans="2:3" ht="15.75" customHeight="1">
      <c r="B227" s="1"/>
      <c r="C227" s="3"/>
    </row>
    <row r="228" spans="2:3" ht="15.75" customHeight="1">
      <c r="B228" s="1"/>
      <c r="C228" s="3"/>
    </row>
    <row r="229" spans="2:3" ht="15.75" customHeight="1">
      <c r="B229" s="1"/>
      <c r="C229" s="3"/>
    </row>
    <row r="230" spans="2:3" ht="15.75" customHeight="1">
      <c r="B230" s="1"/>
      <c r="C230" s="3"/>
    </row>
    <row r="231" spans="2:3" ht="15.75" customHeight="1">
      <c r="B231" s="1"/>
      <c r="C231" s="3"/>
    </row>
    <row r="232" spans="2:3" ht="15.75" customHeight="1">
      <c r="B232" s="1"/>
      <c r="C232" s="3"/>
    </row>
    <row r="233" spans="2:3" ht="15.75" customHeight="1">
      <c r="B233" s="1"/>
      <c r="C233" s="3"/>
    </row>
    <row r="234" spans="2:3" ht="15.75" customHeight="1">
      <c r="B234" s="1"/>
      <c r="C234" s="3"/>
    </row>
    <row r="235" spans="2:3" ht="15.75" customHeight="1">
      <c r="B235" s="1"/>
      <c r="C235" s="3"/>
    </row>
    <row r="236" spans="2:3" ht="15.75" customHeight="1">
      <c r="B236" s="1"/>
      <c r="C236" s="3"/>
    </row>
    <row r="237" spans="2:3" ht="15.75" customHeight="1">
      <c r="B237" s="1"/>
      <c r="C237" s="3"/>
    </row>
    <row r="238" spans="2:3" ht="15.75" customHeight="1">
      <c r="B238" s="1"/>
      <c r="C238" s="3"/>
    </row>
    <row r="239" spans="2:3" ht="15.75" customHeight="1">
      <c r="B239" s="1"/>
      <c r="C239" s="3"/>
    </row>
    <row r="240" spans="2:3" ht="15.75" customHeight="1">
      <c r="B240" s="1"/>
      <c r="C240" s="3"/>
    </row>
    <row r="241" spans="2:3" ht="15.75" customHeight="1">
      <c r="B241" s="1"/>
      <c r="C241" s="3"/>
    </row>
    <row r="242" spans="2:3" ht="15.75" customHeight="1">
      <c r="B242" s="1"/>
      <c r="C242" s="3"/>
    </row>
    <row r="243" spans="2:3" ht="15.75" customHeight="1">
      <c r="B243" s="1"/>
      <c r="C243" s="3"/>
    </row>
    <row r="244" spans="2:3" ht="15.75" customHeight="1">
      <c r="B244" s="1"/>
      <c r="C244" s="3"/>
    </row>
    <row r="245" spans="2:3" ht="15.75" customHeight="1">
      <c r="B245" s="1"/>
      <c r="C245" s="3"/>
    </row>
    <row r="246" spans="2:3" ht="15.75" customHeight="1">
      <c r="B246" s="1"/>
      <c r="C246" s="3"/>
    </row>
    <row r="247" spans="2:3" ht="15.75" customHeight="1">
      <c r="B247" s="1"/>
      <c r="C247" s="3"/>
    </row>
    <row r="248" spans="2:3" ht="15.75" customHeight="1">
      <c r="B248" s="1"/>
      <c r="C248" s="3"/>
    </row>
    <row r="249" spans="2:3" ht="15.75" customHeight="1">
      <c r="B249" s="1"/>
      <c r="C249" s="3"/>
    </row>
    <row r="250" spans="2:3" ht="15.75" customHeight="1">
      <c r="B250" s="1"/>
      <c r="C250" s="3"/>
    </row>
    <row r="251" spans="2:3" ht="15.75" customHeight="1">
      <c r="B251" s="1"/>
      <c r="C251" s="3"/>
    </row>
    <row r="252" spans="2:3" ht="15.75" customHeight="1">
      <c r="B252" s="1"/>
      <c r="C252" s="3"/>
    </row>
    <row r="253" spans="2:3" ht="15.75" customHeight="1">
      <c r="B253" s="1"/>
      <c r="C253" s="3"/>
    </row>
    <row r="254" spans="2:3" ht="15.75" customHeight="1">
      <c r="B254" s="1"/>
      <c r="C254" s="3"/>
    </row>
    <row r="255" spans="2:3" ht="15.75" customHeight="1">
      <c r="B255" s="1"/>
      <c r="C255" s="3"/>
    </row>
    <row r="256" spans="2:3" ht="15.75" customHeight="1">
      <c r="B256" s="1"/>
      <c r="C256" s="3"/>
    </row>
    <row r="257" spans="2:3" ht="15.75" customHeight="1">
      <c r="B257" s="1"/>
      <c r="C257" s="3"/>
    </row>
    <row r="258" spans="2:3" ht="15.75" customHeight="1">
      <c r="B258" s="1"/>
      <c r="C258" s="3"/>
    </row>
    <row r="259" spans="2:3" ht="15.75" customHeight="1">
      <c r="B259" s="1"/>
      <c r="C259" s="3"/>
    </row>
    <row r="260" spans="2:3" ht="15.75" customHeight="1">
      <c r="B260" s="1"/>
      <c r="C260" s="3"/>
    </row>
    <row r="261" spans="2:3" ht="15.75" customHeight="1">
      <c r="B261" s="1"/>
      <c r="C261" s="3"/>
    </row>
    <row r="262" spans="2:3" ht="15.75" customHeight="1">
      <c r="B262" s="1"/>
      <c r="C262" s="3"/>
    </row>
    <row r="263" spans="2:3" ht="15.75" customHeight="1">
      <c r="B263" s="1"/>
      <c r="C263" s="3"/>
    </row>
    <row r="264" spans="2:3" ht="15.75" customHeight="1">
      <c r="B264" s="1"/>
      <c r="C264" s="3"/>
    </row>
    <row r="265" spans="2:3" ht="15.75" customHeight="1">
      <c r="B265" s="1"/>
      <c r="C265" s="3"/>
    </row>
    <row r="266" spans="2:3" ht="15.75" customHeight="1">
      <c r="B266" s="1"/>
      <c r="C266" s="3"/>
    </row>
    <row r="267" spans="2:3" ht="15.75" customHeight="1">
      <c r="B267" s="1"/>
      <c r="C267" s="3"/>
    </row>
    <row r="268" spans="2:3" ht="15.75" customHeight="1">
      <c r="B268" s="1"/>
      <c r="C268" s="3"/>
    </row>
    <row r="269" spans="2:3" ht="15.75" customHeight="1">
      <c r="B269" s="1"/>
      <c r="C269" s="3"/>
    </row>
    <row r="270" spans="2:3" ht="15.75" customHeight="1">
      <c r="B270" s="1"/>
      <c r="C270" s="3"/>
    </row>
    <row r="271" spans="2:3" ht="15.75" customHeight="1">
      <c r="B271" s="1"/>
      <c r="C271" s="3"/>
    </row>
    <row r="272" spans="2:3" ht="15.75" customHeight="1">
      <c r="B272" s="1"/>
      <c r="C272" s="3"/>
    </row>
    <row r="273" spans="2:3" ht="15.75" customHeight="1">
      <c r="B273" s="1"/>
      <c r="C273" s="3"/>
    </row>
    <row r="274" spans="2:3" ht="15.75" customHeight="1">
      <c r="B274" s="1"/>
      <c r="C274" s="3"/>
    </row>
    <row r="275" spans="2:3" ht="15.75" customHeight="1">
      <c r="B275" s="1"/>
      <c r="C275" s="3"/>
    </row>
    <row r="276" spans="2:3" ht="15.75" customHeight="1">
      <c r="B276" s="1"/>
      <c r="C276" s="3"/>
    </row>
    <row r="277" spans="2:3" ht="15.75" customHeight="1">
      <c r="B277" s="1"/>
      <c r="C277" s="3"/>
    </row>
    <row r="278" spans="2:3" ht="15.75" customHeight="1">
      <c r="B278" s="1"/>
      <c r="C278" s="3"/>
    </row>
    <row r="279" spans="2:3" ht="15.75" customHeight="1">
      <c r="B279" s="1"/>
      <c r="C279" s="3"/>
    </row>
    <row r="280" spans="2:3" ht="15.75" customHeight="1">
      <c r="B280" s="1"/>
      <c r="C280" s="3"/>
    </row>
    <row r="281" spans="2:3" ht="15.75" customHeight="1">
      <c r="B281" s="1"/>
      <c r="C281" s="3"/>
    </row>
    <row r="282" spans="2:3" ht="15.75" customHeight="1">
      <c r="B282" s="1"/>
      <c r="C282" s="3"/>
    </row>
    <row r="283" spans="2:3" ht="15.75" customHeight="1">
      <c r="B283" s="1"/>
      <c r="C283" s="3"/>
    </row>
    <row r="284" spans="2:3" ht="15.75" customHeight="1">
      <c r="B284" s="1"/>
      <c r="C284" s="3"/>
    </row>
    <row r="285" spans="2:3" ht="15.75" customHeight="1">
      <c r="B285" s="1"/>
      <c r="C285" s="3"/>
    </row>
    <row r="286" spans="2:3" ht="15.75" customHeight="1">
      <c r="B286" s="1"/>
      <c r="C286" s="3"/>
    </row>
    <row r="287" spans="2:3" ht="15.75" customHeight="1">
      <c r="B287" s="1"/>
      <c r="C287" s="3"/>
    </row>
    <row r="288" spans="2:3" ht="15.75" customHeight="1">
      <c r="B288" s="1"/>
      <c r="C288" s="3"/>
    </row>
    <row r="289" spans="2:3" ht="15.75" customHeight="1">
      <c r="B289" s="1"/>
      <c r="C289" s="3"/>
    </row>
    <row r="290" spans="2:3" ht="15.75" customHeight="1">
      <c r="B290" s="1"/>
      <c r="C290" s="3"/>
    </row>
    <row r="291" spans="2:3" ht="15.75" customHeight="1">
      <c r="B291" s="1"/>
      <c r="C291" s="3"/>
    </row>
    <row r="292" spans="2:3" ht="15.75" customHeight="1">
      <c r="B292" s="1"/>
      <c r="C292" s="3"/>
    </row>
    <row r="293" spans="2:3" ht="15.75" customHeight="1">
      <c r="B293" s="1"/>
      <c r="C293" s="3"/>
    </row>
    <row r="294" spans="2:3" ht="15.75" customHeight="1">
      <c r="B294" s="1"/>
      <c r="C294" s="3"/>
    </row>
    <row r="295" spans="2:3" ht="15.75" customHeight="1">
      <c r="B295" s="1"/>
      <c r="C295" s="3"/>
    </row>
    <row r="296" spans="2:3" ht="15.75" customHeight="1">
      <c r="B296" s="1"/>
      <c r="C296" s="3"/>
    </row>
    <row r="297" spans="2:3" ht="15.75" customHeight="1">
      <c r="B297" s="1"/>
      <c r="C297" s="3"/>
    </row>
    <row r="298" spans="2:3" ht="15.75" customHeight="1">
      <c r="B298" s="1"/>
      <c r="C298" s="3"/>
    </row>
    <row r="299" spans="2:3" ht="15.75" customHeight="1">
      <c r="B299" s="1"/>
      <c r="C299" s="3"/>
    </row>
    <row r="300" spans="2:3" ht="15.75" customHeight="1">
      <c r="B300" s="1"/>
      <c r="C300" s="3"/>
    </row>
    <row r="301" spans="2:3" ht="15.75" customHeight="1">
      <c r="B301" s="1"/>
      <c r="C301" s="3"/>
    </row>
    <row r="302" spans="2:3" ht="15.75" customHeight="1">
      <c r="B302" s="1"/>
      <c r="C302" s="3"/>
    </row>
    <row r="303" spans="2:3" ht="15.75" customHeight="1">
      <c r="B303" s="1"/>
      <c r="C303" s="3"/>
    </row>
    <row r="304" spans="2:3" ht="15.75" customHeight="1">
      <c r="B304" s="1"/>
      <c r="C304" s="3"/>
    </row>
    <row r="305" spans="2:3" ht="15.75" customHeight="1">
      <c r="B305" s="1"/>
      <c r="C305" s="3"/>
    </row>
    <row r="306" spans="2:3" ht="15.75" customHeight="1">
      <c r="B306" s="1"/>
      <c r="C306" s="3"/>
    </row>
    <row r="307" spans="2:3" ht="15.75" customHeight="1">
      <c r="B307" s="1"/>
      <c r="C307" s="3"/>
    </row>
    <row r="308" spans="2:3" ht="15.75" customHeight="1">
      <c r="B308" s="1"/>
      <c r="C308" s="3"/>
    </row>
    <row r="309" spans="2:3" ht="15.75" customHeight="1">
      <c r="B309" s="1"/>
      <c r="C309" s="3"/>
    </row>
    <row r="310" spans="2:3" ht="15.75" customHeight="1">
      <c r="B310" s="1"/>
      <c r="C310" s="3"/>
    </row>
    <row r="311" spans="2:3" ht="15.75" customHeight="1">
      <c r="B311" s="1"/>
      <c r="C311" s="3"/>
    </row>
    <row r="312" spans="2:3" ht="15.75" customHeight="1">
      <c r="B312" s="1"/>
      <c r="C312" s="3"/>
    </row>
    <row r="313" spans="2:3" ht="15.75" customHeight="1">
      <c r="B313" s="1"/>
      <c r="C313" s="3"/>
    </row>
    <row r="314" spans="2:3" ht="15.75" customHeight="1">
      <c r="B314" s="1"/>
      <c r="C314" s="3"/>
    </row>
    <row r="315" spans="2:3" ht="15.75" customHeight="1">
      <c r="B315" s="1"/>
      <c r="C315" s="3"/>
    </row>
    <row r="316" spans="2:3" ht="15.75" customHeight="1">
      <c r="B316" s="1"/>
      <c r="C316" s="3"/>
    </row>
    <row r="317" spans="2:3" ht="15.75" customHeight="1">
      <c r="B317" s="1"/>
      <c r="C317" s="3"/>
    </row>
    <row r="318" spans="2:3" ht="15.75" customHeight="1">
      <c r="B318" s="1"/>
      <c r="C318" s="3"/>
    </row>
    <row r="319" spans="2:3" ht="15.75" customHeight="1">
      <c r="B319" s="1"/>
      <c r="C319" s="3"/>
    </row>
    <row r="320" spans="2:3" ht="15.75" customHeight="1">
      <c r="B320" s="1"/>
      <c r="C320" s="3"/>
    </row>
    <row r="321" spans="2:3" ht="15.75" customHeight="1">
      <c r="B321" s="1"/>
      <c r="C321" s="3"/>
    </row>
    <row r="322" spans="2:3" ht="15.75" customHeight="1">
      <c r="B322" s="1"/>
      <c r="C322" s="3"/>
    </row>
    <row r="323" spans="2:3" ht="15.75" customHeight="1">
      <c r="B323" s="1"/>
      <c r="C323" s="3"/>
    </row>
    <row r="324" spans="2:3" ht="15.75" customHeight="1">
      <c r="B324" s="1"/>
      <c r="C324" s="3"/>
    </row>
    <row r="325" spans="2:3" ht="15.75" customHeight="1">
      <c r="B325" s="1"/>
      <c r="C325" s="3"/>
    </row>
    <row r="326" spans="2:3" ht="15.75" customHeight="1">
      <c r="B326" s="1"/>
      <c r="C326" s="3"/>
    </row>
    <row r="327" spans="2:3" ht="15.75" customHeight="1">
      <c r="B327" s="1"/>
      <c r="C327" s="3"/>
    </row>
    <row r="328" spans="2:3" ht="15.75" customHeight="1">
      <c r="B328" s="1"/>
      <c r="C328" s="3"/>
    </row>
    <row r="329" spans="2:3" ht="15.75" customHeight="1">
      <c r="B329" s="1"/>
      <c r="C329" s="3"/>
    </row>
    <row r="330" spans="2:3" ht="15.75" customHeight="1">
      <c r="B330" s="1"/>
      <c r="C330" s="3"/>
    </row>
    <row r="331" spans="2:3" ht="15.75" customHeight="1">
      <c r="B331" s="1"/>
      <c r="C331" s="3"/>
    </row>
    <row r="332" spans="2:3" ht="15.75" customHeight="1">
      <c r="B332" s="1"/>
      <c r="C332" s="3"/>
    </row>
    <row r="333" spans="2:3" ht="15.75" customHeight="1">
      <c r="B333" s="1"/>
      <c r="C333" s="3"/>
    </row>
    <row r="334" spans="2:3" ht="15.75" customHeight="1">
      <c r="B334" s="1"/>
      <c r="C334" s="3"/>
    </row>
    <row r="335" spans="2:3" ht="15.75" customHeight="1">
      <c r="B335" s="1"/>
      <c r="C335" s="3"/>
    </row>
    <row r="336" spans="2:3" ht="15.75" customHeight="1">
      <c r="B336" s="1"/>
      <c r="C336" s="3"/>
    </row>
    <row r="337" spans="2:3" ht="15.75" customHeight="1">
      <c r="B337" s="1"/>
      <c r="C337" s="3"/>
    </row>
    <row r="338" spans="2:3" ht="15.75" customHeight="1">
      <c r="B338" s="1"/>
      <c r="C338" s="3"/>
    </row>
    <row r="339" spans="2:3" ht="15.75" customHeight="1">
      <c r="B339" s="1"/>
      <c r="C339" s="3"/>
    </row>
    <row r="340" spans="2:3" ht="15.75" customHeight="1">
      <c r="B340" s="1"/>
      <c r="C340" s="3"/>
    </row>
    <row r="341" spans="2:3" ht="15.75" customHeight="1">
      <c r="B341" s="1"/>
      <c r="C341" s="3"/>
    </row>
    <row r="342" spans="2:3" ht="15.75" customHeight="1">
      <c r="B342" s="1"/>
      <c r="C342" s="3"/>
    </row>
    <row r="343" spans="2:3" ht="15.75" customHeight="1">
      <c r="B343" s="1"/>
      <c r="C343" s="3"/>
    </row>
    <row r="344" spans="2:3" ht="15.75" customHeight="1">
      <c r="B344" s="1"/>
      <c r="C344" s="3"/>
    </row>
    <row r="345" spans="2:3" ht="15.75" customHeight="1">
      <c r="B345" s="1"/>
      <c r="C345" s="3"/>
    </row>
    <row r="346" spans="2:3" ht="15.75" customHeight="1">
      <c r="B346" s="1"/>
      <c r="C346" s="3"/>
    </row>
    <row r="347" spans="2:3" ht="15.75" customHeight="1">
      <c r="B347" s="1"/>
      <c r="C347" s="3"/>
    </row>
    <row r="348" spans="2:3" ht="15.75" customHeight="1">
      <c r="B348" s="1"/>
      <c r="C348" s="3"/>
    </row>
    <row r="349" spans="2:3" ht="15.75" customHeight="1">
      <c r="B349" s="1"/>
      <c r="C349" s="3"/>
    </row>
    <row r="350" spans="2:3" ht="15.75" customHeight="1">
      <c r="B350" s="1"/>
      <c r="C350" s="3"/>
    </row>
    <row r="351" spans="2:3" ht="15.75" customHeight="1">
      <c r="B351" s="1"/>
      <c r="C351" s="3"/>
    </row>
    <row r="352" spans="2:3" ht="15.75" customHeight="1">
      <c r="B352" s="1"/>
      <c r="C352" s="3"/>
    </row>
    <row r="353" spans="2:3" ht="15.75" customHeight="1">
      <c r="B353" s="1"/>
      <c r="C353" s="3"/>
    </row>
    <row r="354" spans="2:3" ht="15.75" customHeight="1">
      <c r="B354" s="1"/>
      <c r="C354" s="3"/>
    </row>
    <row r="355" spans="2:3" ht="15.75" customHeight="1">
      <c r="B355" s="1"/>
      <c r="C355" s="3"/>
    </row>
    <row r="356" spans="2:3" ht="15.75" customHeight="1">
      <c r="B356" s="1"/>
      <c r="C356" s="3"/>
    </row>
    <row r="357" spans="2:3" ht="15.75" customHeight="1">
      <c r="B357" s="1"/>
      <c r="C357" s="3"/>
    </row>
    <row r="358" spans="2:3" ht="15.75" customHeight="1">
      <c r="B358" s="1"/>
      <c r="C358" s="3"/>
    </row>
    <row r="359" spans="2:3" ht="15.75" customHeight="1">
      <c r="B359" s="1"/>
      <c r="C359" s="3"/>
    </row>
    <row r="360" spans="2:3" ht="15.75" customHeight="1">
      <c r="B360" s="1"/>
      <c r="C360" s="3"/>
    </row>
    <row r="361" spans="2:3" ht="15.75" customHeight="1">
      <c r="B361" s="1"/>
      <c r="C361" s="3"/>
    </row>
    <row r="362" spans="2:3" ht="15.75" customHeight="1">
      <c r="B362" s="1"/>
      <c r="C362" s="3"/>
    </row>
    <row r="363" spans="2:3" ht="15.75" customHeight="1">
      <c r="B363" s="1"/>
      <c r="C363" s="3"/>
    </row>
    <row r="364" spans="2:3" ht="15.75" customHeight="1">
      <c r="B364" s="1"/>
      <c r="C364" s="3"/>
    </row>
    <row r="365" spans="2:3" ht="15.75" customHeight="1">
      <c r="B365" s="1"/>
      <c r="C365" s="3"/>
    </row>
    <row r="366" spans="2:3" ht="15.75" customHeight="1">
      <c r="B366" s="1"/>
      <c r="C366" s="3"/>
    </row>
    <row r="367" spans="2:3" ht="15.75" customHeight="1">
      <c r="B367" s="1"/>
      <c r="C367" s="3"/>
    </row>
    <row r="368" spans="2:3" ht="15.75" customHeight="1">
      <c r="B368" s="1"/>
      <c r="C368" s="3"/>
    </row>
    <row r="369" spans="2:3" ht="15.75" customHeight="1">
      <c r="B369" s="1"/>
      <c r="C369" s="3"/>
    </row>
    <row r="370" spans="2:3" ht="15.75" customHeight="1">
      <c r="B370" s="1"/>
      <c r="C370" s="3"/>
    </row>
    <row r="371" spans="2:3" ht="15.75" customHeight="1">
      <c r="B371" s="1"/>
      <c r="C371" s="3"/>
    </row>
    <row r="372" spans="2:3" ht="15.75" customHeight="1">
      <c r="B372" s="1"/>
      <c r="C372" s="3"/>
    </row>
    <row r="373" spans="2:3" ht="15.75" customHeight="1">
      <c r="B373" s="1"/>
      <c r="C373" s="3"/>
    </row>
    <row r="374" spans="2:3" ht="15.75" customHeight="1">
      <c r="B374" s="1"/>
      <c r="C374" s="3"/>
    </row>
    <row r="375" spans="2:3" ht="15.75" customHeight="1">
      <c r="B375" s="1"/>
      <c r="C375" s="3"/>
    </row>
    <row r="376" spans="2:3" ht="15.75" customHeight="1">
      <c r="B376" s="1"/>
      <c r="C376" s="3"/>
    </row>
    <row r="377" spans="2:3" ht="15.75" customHeight="1">
      <c r="B377" s="1"/>
      <c r="C377" s="3"/>
    </row>
    <row r="378" spans="2:3" ht="15.75" customHeight="1">
      <c r="B378" s="1"/>
      <c r="C378" s="3"/>
    </row>
    <row r="379" spans="2:3" ht="15.75" customHeight="1">
      <c r="B379" s="1"/>
      <c r="C379" s="3"/>
    </row>
    <row r="380" spans="2:3" ht="15.75" customHeight="1">
      <c r="B380" s="1"/>
      <c r="C380" s="3"/>
    </row>
    <row r="381" spans="2:3" ht="15.75" customHeight="1">
      <c r="B381" s="1"/>
      <c r="C381" s="3"/>
    </row>
    <row r="382" spans="2:3" ht="15.75" customHeight="1">
      <c r="B382" s="1"/>
      <c r="C382" s="3"/>
    </row>
    <row r="383" spans="2:3" ht="15.75" customHeight="1">
      <c r="B383" s="1"/>
      <c r="C383" s="3"/>
    </row>
    <row r="384" spans="2:3" ht="15.75" customHeight="1">
      <c r="B384" s="1"/>
      <c r="C384" s="3"/>
    </row>
    <row r="385" spans="2:3" ht="15.75" customHeight="1">
      <c r="B385" s="1"/>
      <c r="C385" s="3"/>
    </row>
    <row r="386" spans="2:3" ht="15.75" customHeight="1">
      <c r="B386" s="1"/>
      <c r="C386" s="3"/>
    </row>
    <row r="387" spans="2:3" ht="15.75" customHeight="1">
      <c r="B387" s="1"/>
      <c r="C387" s="3"/>
    </row>
    <row r="388" spans="2:3" ht="15.75" customHeight="1">
      <c r="B388" s="1"/>
      <c r="C388" s="3"/>
    </row>
    <row r="389" spans="2:3" ht="15.75" customHeight="1">
      <c r="B389" s="1"/>
      <c r="C389" s="3"/>
    </row>
    <row r="390" spans="2:3" ht="15.75" customHeight="1">
      <c r="B390" s="1"/>
      <c r="C390" s="3"/>
    </row>
    <row r="391" spans="2:3" ht="15.75" customHeight="1">
      <c r="B391" s="1"/>
      <c r="C391" s="3"/>
    </row>
    <row r="392" spans="2:3" ht="15.75" customHeight="1">
      <c r="B392" s="1"/>
      <c r="C392" s="3"/>
    </row>
    <row r="393" spans="2:3" ht="15.75" customHeight="1">
      <c r="B393" s="1"/>
      <c r="C393" s="3"/>
    </row>
    <row r="394" spans="2:3" ht="15.75" customHeight="1">
      <c r="B394" s="1"/>
      <c r="C394" s="3"/>
    </row>
    <row r="395" spans="2:3" ht="15.75" customHeight="1">
      <c r="B395" s="1"/>
      <c r="C395" s="3"/>
    </row>
    <row r="396" spans="2:3" ht="15.75" customHeight="1">
      <c r="B396" s="1"/>
      <c r="C396" s="3"/>
    </row>
    <row r="397" spans="2:3" ht="15.75" customHeight="1">
      <c r="B397" s="1"/>
      <c r="C397" s="3"/>
    </row>
    <row r="398" spans="2:3" ht="15.75" customHeight="1">
      <c r="B398" s="1"/>
      <c r="C398" s="3"/>
    </row>
    <row r="399" spans="2:3" ht="15.75" customHeight="1">
      <c r="B399" s="1"/>
      <c r="C399" s="3"/>
    </row>
    <row r="400" spans="2:3" ht="15.75" customHeight="1">
      <c r="B400" s="1"/>
      <c r="C400" s="3"/>
    </row>
    <row r="401" spans="2:3" ht="15.75" customHeight="1">
      <c r="B401" s="1"/>
      <c r="C401" s="3"/>
    </row>
    <row r="402" spans="2:3" ht="15.75" customHeight="1">
      <c r="B402" s="1"/>
      <c r="C402" s="3"/>
    </row>
    <row r="403" spans="2:3" ht="15.75" customHeight="1">
      <c r="B403" s="1"/>
      <c r="C403" s="3"/>
    </row>
    <row r="404" spans="2:3" ht="15.75" customHeight="1">
      <c r="B404" s="1"/>
      <c r="C404" s="3"/>
    </row>
    <row r="405" spans="2:3" ht="15.75" customHeight="1">
      <c r="B405" s="1"/>
      <c r="C405" s="3"/>
    </row>
    <row r="406" spans="2:3" ht="15.75" customHeight="1">
      <c r="B406" s="1"/>
      <c r="C406" s="3"/>
    </row>
    <row r="407" spans="2:3" ht="15.75" customHeight="1">
      <c r="B407" s="1"/>
      <c r="C407" s="3"/>
    </row>
    <row r="408" spans="2:3" ht="15.75" customHeight="1">
      <c r="B408" s="1"/>
      <c r="C408" s="3"/>
    </row>
    <row r="409" spans="2:3" ht="15.75" customHeight="1">
      <c r="B409" s="1"/>
      <c r="C409" s="3"/>
    </row>
    <row r="410" spans="2:3" ht="15.75" customHeight="1">
      <c r="B410" s="1"/>
      <c r="C410" s="3"/>
    </row>
    <row r="411" spans="2:3" ht="15.75" customHeight="1">
      <c r="B411" s="1"/>
      <c r="C411" s="3"/>
    </row>
    <row r="412" spans="2:3" ht="15.75" customHeight="1">
      <c r="B412" s="1"/>
      <c r="C412" s="3"/>
    </row>
    <row r="413" spans="2:3" ht="15.75" customHeight="1">
      <c r="B413" s="1"/>
      <c r="C413" s="3"/>
    </row>
    <row r="414" spans="2:3" ht="15.75" customHeight="1">
      <c r="B414" s="1"/>
      <c r="C414" s="3"/>
    </row>
    <row r="415" spans="2:3" ht="15.75" customHeight="1">
      <c r="B415" s="1"/>
      <c r="C415" s="3"/>
    </row>
    <row r="416" spans="2:3" ht="15.75" customHeight="1">
      <c r="B416" s="1"/>
      <c r="C416" s="3"/>
    </row>
    <row r="417" spans="2:3" ht="15.75" customHeight="1">
      <c r="B417" s="1"/>
      <c r="C417" s="3"/>
    </row>
    <row r="418" spans="2:3" ht="15.75" customHeight="1">
      <c r="B418" s="1"/>
      <c r="C418" s="3"/>
    </row>
    <row r="419" spans="2:3" ht="15.75" customHeight="1">
      <c r="B419" s="1"/>
      <c r="C419" s="3"/>
    </row>
    <row r="420" spans="2:3" ht="15.75" customHeight="1">
      <c r="B420" s="1"/>
      <c r="C420" s="3"/>
    </row>
    <row r="421" spans="2:3" ht="15.75" customHeight="1">
      <c r="B421" s="1"/>
      <c r="C421" s="3"/>
    </row>
    <row r="422" spans="2:3" ht="15.75" customHeight="1">
      <c r="B422" s="1"/>
      <c r="C422" s="3"/>
    </row>
    <row r="423" spans="2:3" ht="15.75" customHeight="1">
      <c r="B423" s="1"/>
      <c r="C423" s="3"/>
    </row>
    <row r="424" spans="2:3" ht="15.75" customHeight="1">
      <c r="B424" s="1"/>
      <c r="C424" s="3"/>
    </row>
    <row r="425" spans="2:3" ht="15.75" customHeight="1">
      <c r="B425" s="1"/>
      <c r="C425" s="3"/>
    </row>
    <row r="426" spans="2:3" ht="15.75" customHeight="1">
      <c r="B426" s="1"/>
      <c r="C426" s="3"/>
    </row>
    <row r="427" spans="2:3" ht="15.75" customHeight="1">
      <c r="B427" s="1"/>
      <c r="C427" s="3"/>
    </row>
    <row r="428" spans="2:3" ht="15.75" customHeight="1">
      <c r="B428" s="1"/>
      <c r="C428" s="3"/>
    </row>
    <row r="429" spans="2:3" ht="15.75" customHeight="1">
      <c r="B429" s="1"/>
      <c r="C429" s="3"/>
    </row>
    <row r="430" spans="2:3" ht="15.75" customHeight="1">
      <c r="B430" s="1"/>
      <c r="C430" s="3"/>
    </row>
    <row r="431" spans="2:3" ht="15.75" customHeight="1">
      <c r="B431" s="1"/>
      <c r="C431" s="3"/>
    </row>
    <row r="432" spans="2:3" ht="15.75" customHeight="1">
      <c r="B432" s="1"/>
      <c r="C432" s="3"/>
    </row>
    <row r="433" spans="2:3" ht="15.75" customHeight="1">
      <c r="B433" s="1"/>
      <c r="C433" s="3"/>
    </row>
    <row r="434" spans="2:3" ht="15.75" customHeight="1">
      <c r="B434" s="1"/>
      <c r="C434" s="3"/>
    </row>
    <row r="435" spans="2:3" ht="15.75" customHeight="1">
      <c r="B435" s="1"/>
      <c r="C435" s="3"/>
    </row>
    <row r="436" spans="2:3" ht="15.75" customHeight="1">
      <c r="B436" s="1"/>
      <c r="C436" s="3"/>
    </row>
    <row r="437" spans="2:3" ht="15.75" customHeight="1">
      <c r="B437" s="1"/>
      <c r="C437" s="3"/>
    </row>
    <row r="438" spans="2:3" ht="15.75" customHeight="1">
      <c r="B438" s="1"/>
      <c r="C438" s="3"/>
    </row>
    <row r="439" spans="2:3" ht="15.75" customHeight="1">
      <c r="B439" s="1"/>
      <c r="C439" s="3"/>
    </row>
    <row r="440" spans="2:3" ht="15.75" customHeight="1">
      <c r="B440" s="1"/>
      <c r="C440" s="3"/>
    </row>
    <row r="441" spans="2:3" ht="15.75" customHeight="1">
      <c r="B441" s="1"/>
      <c r="C441" s="3"/>
    </row>
    <row r="442" spans="2:3" ht="15.75" customHeight="1">
      <c r="B442" s="1"/>
      <c r="C442" s="3"/>
    </row>
    <row r="443" spans="2:3" ht="15.75" customHeight="1">
      <c r="B443" s="1"/>
      <c r="C443" s="3"/>
    </row>
    <row r="444" spans="2:3" ht="15.75" customHeight="1">
      <c r="B444" s="1"/>
      <c r="C444" s="3"/>
    </row>
    <row r="445" spans="2:3" ht="15.75" customHeight="1">
      <c r="B445" s="1"/>
      <c r="C445" s="3"/>
    </row>
    <row r="446" spans="2:3" ht="15.75" customHeight="1">
      <c r="B446" s="1"/>
      <c r="C446" s="3"/>
    </row>
    <row r="447" spans="2:3" ht="15.75" customHeight="1">
      <c r="B447" s="1"/>
      <c r="C447" s="3"/>
    </row>
    <row r="448" spans="2:3" ht="15.75" customHeight="1">
      <c r="B448" s="1"/>
      <c r="C448" s="3"/>
    </row>
    <row r="449" spans="2:3" ht="15.75" customHeight="1">
      <c r="B449" s="1"/>
      <c r="C449" s="3"/>
    </row>
    <row r="450" spans="2:3" ht="15.75" customHeight="1">
      <c r="B450" s="1"/>
      <c r="C450" s="3"/>
    </row>
    <row r="451" spans="2:3" ht="15.75" customHeight="1">
      <c r="B451" s="1"/>
      <c r="C451" s="3"/>
    </row>
    <row r="452" spans="2:3" ht="15.75" customHeight="1">
      <c r="B452" s="1"/>
      <c r="C452" s="3"/>
    </row>
    <row r="453" spans="2:3" ht="15.75" customHeight="1">
      <c r="B453" s="1"/>
      <c r="C453" s="3"/>
    </row>
    <row r="454" spans="2:3" ht="15.75" customHeight="1">
      <c r="B454" s="1"/>
      <c r="C454" s="3"/>
    </row>
    <row r="455" spans="2:3" ht="15.75" customHeight="1">
      <c r="B455" s="1"/>
      <c r="C455" s="3"/>
    </row>
    <row r="456" spans="2:3" ht="15.75" customHeight="1">
      <c r="B456" s="1"/>
      <c r="C456" s="3"/>
    </row>
    <row r="457" spans="2:3" ht="15.75" customHeight="1">
      <c r="B457" s="1"/>
      <c r="C457" s="3"/>
    </row>
    <row r="458" spans="2:3" ht="15.75" customHeight="1">
      <c r="B458" s="1"/>
      <c r="C458" s="3"/>
    </row>
    <row r="459" spans="2:3" ht="15.75" customHeight="1">
      <c r="B459" s="1"/>
      <c r="C459" s="3"/>
    </row>
    <row r="460" spans="2:3" ht="15.75" customHeight="1">
      <c r="B460" s="1"/>
      <c r="C460" s="3"/>
    </row>
    <row r="461" spans="2:3" ht="15.75" customHeight="1">
      <c r="B461" s="1"/>
      <c r="C461" s="3"/>
    </row>
    <row r="462" spans="2:3" ht="15.75" customHeight="1">
      <c r="B462" s="1"/>
      <c r="C462" s="3"/>
    </row>
    <row r="463" spans="2:3" ht="15.75" customHeight="1">
      <c r="B463" s="1"/>
      <c r="C463" s="3"/>
    </row>
    <row r="464" spans="2:3" ht="15.75" customHeight="1">
      <c r="B464" s="1"/>
      <c r="C464" s="3"/>
    </row>
    <row r="465" spans="2:3" ht="15.75" customHeight="1">
      <c r="B465" s="1"/>
      <c r="C465" s="3"/>
    </row>
    <row r="466" spans="2:3" ht="15.75" customHeight="1">
      <c r="B466" s="1"/>
      <c r="C466" s="3"/>
    </row>
    <row r="467" spans="2:3" ht="15.75" customHeight="1">
      <c r="B467" s="1"/>
      <c r="C467" s="3"/>
    </row>
    <row r="468" spans="2:3" ht="15.75" customHeight="1">
      <c r="B468" s="1"/>
      <c r="C468" s="3"/>
    </row>
    <row r="469" spans="2:3" ht="15.75" customHeight="1">
      <c r="B469" s="1"/>
      <c r="C469" s="3"/>
    </row>
    <row r="470" spans="2:3" ht="15.75" customHeight="1">
      <c r="B470" s="1"/>
      <c r="C470" s="3"/>
    </row>
    <row r="471" spans="2:3" ht="15.75" customHeight="1">
      <c r="B471" s="1"/>
      <c r="C471" s="3"/>
    </row>
    <row r="472" spans="2:3" ht="15.75" customHeight="1">
      <c r="B472" s="1"/>
      <c r="C472" s="3"/>
    </row>
    <row r="473" spans="2:3" ht="15.75" customHeight="1">
      <c r="B473" s="1"/>
      <c r="C473" s="3"/>
    </row>
    <row r="474" spans="2:3" ht="15.75" customHeight="1">
      <c r="B474" s="1"/>
      <c r="C474" s="3"/>
    </row>
    <row r="475" spans="2:3" ht="15.75" customHeight="1">
      <c r="B475" s="1"/>
      <c r="C475" s="3"/>
    </row>
    <row r="476" spans="2:3" ht="15.75" customHeight="1">
      <c r="B476" s="1"/>
      <c r="C476" s="3"/>
    </row>
    <row r="477" spans="2:3" ht="15.75" customHeight="1">
      <c r="B477" s="1"/>
      <c r="C477" s="3"/>
    </row>
    <row r="478" spans="2:3" ht="15.75" customHeight="1">
      <c r="B478" s="1"/>
      <c r="C478" s="3"/>
    </row>
    <row r="479" spans="2:3" ht="15.75" customHeight="1">
      <c r="B479" s="1"/>
      <c r="C479" s="3"/>
    </row>
    <row r="480" spans="2:3" ht="15.75" customHeight="1">
      <c r="B480" s="1"/>
      <c r="C480" s="3"/>
    </row>
    <row r="481" spans="2:3" ht="15.75" customHeight="1">
      <c r="B481" s="1"/>
      <c r="C481" s="3"/>
    </row>
    <row r="482" spans="2:3" ht="15.75" customHeight="1">
      <c r="B482" s="1"/>
      <c r="C482" s="3"/>
    </row>
    <row r="483" spans="2:3" ht="15.75" customHeight="1">
      <c r="B483" s="1"/>
      <c r="C483" s="3"/>
    </row>
    <row r="484" spans="2:3" ht="15.75" customHeight="1">
      <c r="B484" s="1"/>
      <c r="C484" s="3"/>
    </row>
    <row r="485" spans="2:3" ht="15.75" customHeight="1">
      <c r="B485" s="1"/>
      <c r="C485" s="3"/>
    </row>
    <row r="486" spans="2:3" ht="15.75" customHeight="1">
      <c r="B486" s="1"/>
      <c r="C486" s="3"/>
    </row>
    <row r="487" spans="2:3" ht="15.75" customHeight="1">
      <c r="B487" s="1"/>
      <c r="C487" s="3"/>
    </row>
    <row r="488" spans="2:3" ht="15.75" customHeight="1">
      <c r="B488" s="1"/>
      <c r="C488" s="3"/>
    </row>
    <row r="489" spans="2:3" ht="15.75" customHeight="1">
      <c r="B489" s="1"/>
      <c r="C489" s="3"/>
    </row>
    <row r="490" spans="2:3" ht="15.75" customHeight="1">
      <c r="B490" s="1"/>
      <c r="C490" s="3"/>
    </row>
    <row r="491" spans="2:3" ht="15.75" customHeight="1">
      <c r="B491" s="1"/>
      <c r="C491" s="3"/>
    </row>
    <row r="492" spans="2:3" ht="15.75" customHeight="1">
      <c r="B492" s="1"/>
      <c r="C492" s="3"/>
    </row>
    <row r="493" spans="2:3" ht="15.75" customHeight="1">
      <c r="B493" s="1"/>
      <c r="C493" s="3"/>
    </row>
    <row r="494" spans="2:3" ht="15.75" customHeight="1">
      <c r="B494" s="1"/>
      <c r="C494" s="3"/>
    </row>
    <row r="495" spans="2:3" ht="15.75" customHeight="1">
      <c r="B495" s="1"/>
      <c r="C495" s="3"/>
    </row>
    <row r="496" spans="2:3" ht="15.75" customHeight="1">
      <c r="B496" s="1"/>
      <c r="C496" s="3"/>
    </row>
    <row r="497" spans="2:3" ht="15.75" customHeight="1">
      <c r="B497" s="1"/>
      <c r="C497" s="3"/>
    </row>
    <row r="498" spans="2:3" ht="15.75" customHeight="1">
      <c r="B498" s="1"/>
      <c r="C498" s="3"/>
    </row>
    <row r="499" spans="2:3" ht="15.75" customHeight="1">
      <c r="B499" s="1"/>
      <c r="C499" s="3"/>
    </row>
    <row r="500" spans="2:3" ht="15.75" customHeight="1">
      <c r="B500" s="1"/>
      <c r="C500" s="3"/>
    </row>
    <row r="501" spans="2:3" ht="15.75" customHeight="1">
      <c r="B501" s="1"/>
      <c r="C501" s="3"/>
    </row>
    <row r="502" spans="2:3" ht="15.75" customHeight="1">
      <c r="B502" s="1"/>
      <c r="C502" s="3"/>
    </row>
    <row r="503" spans="2:3" ht="15.75" customHeight="1">
      <c r="B503" s="1"/>
      <c r="C503" s="3"/>
    </row>
    <row r="504" spans="2:3" ht="15.75" customHeight="1">
      <c r="B504" s="1"/>
      <c r="C504" s="3"/>
    </row>
    <row r="505" spans="2:3" ht="15.75" customHeight="1">
      <c r="B505" s="1"/>
      <c r="C505" s="3"/>
    </row>
    <row r="506" spans="2:3" ht="15.75" customHeight="1">
      <c r="B506" s="1"/>
      <c r="C506" s="3"/>
    </row>
    <row r="507" spans="2:3" ht="15.75" customHeight="1">
      <c r="B507" s="1"/>
      <c r="C507" s="3"/>
    </row>
    <row r="508" spans="2:3" ht="15.75" customHeight="1">
      <c r="B508" s="1"/>
      <c r="C508" s="3"/>
    </row>
    <row r="509" spans="2:3" ht="15.75" customHeight="1">
      <c r="B509" s="1"/>
      <c r="C509" s="3"/>
    </row>
    <row r="510" spans="2:3" ht="15.75" customHeight="1">
      <c r="B510" s="1"/>
      <c r="C510" s="3"/>
    </row>
    <row r="511" spans="2:3" ht="15.75" customHeight="1">
      <c r="B511" s="1"/>
      <c r="C511" s="3"/>
    </row>
    <row r="512" spans="2:3" ht="15.75" customHeight="1">
      <c r="B512" s="1"/>
      <c r="C512" s="3"/>
    </row>
    <row r="513" spans="2:3" ht="15.75" customHeight="1">
      <c r="B513" s="1"/>
      <c r="C513" s="3"/>
    </row>
    <row r="514" spans="2:3" ht="15.75" customHeight="1">
      <c r="B514" s="1"/>
      <c r="C514" s="3"/>
    </row>
    <row r="515" spans="2:3" ht="15.75" customHeight="1">
      <c r="B515" s="1"/>
      <c r="C515" s="3"/>
    </row>
    <row r="516" spans="2:3" ht="15.75" customHeight="1">
      <c r="B516" s="1"/>
      <c r="C516" s="3"/>
    </row>
    <row r="517" spans="2:3" ht="15.75" customHeight="1">
      <c r="B517" s="1"/>
      <c r="C517" s="3"/>
    </row>
    <row r="518" spans="2:3" ht="15.75" customHeight="1">
      <c r="B518" s="1"/>
      <c r="C518" s="3"/>
    </row>
    <row r="519" spans="2:3" ht="15.75" customHeight="1">
      <c r="B519" s="1"/>
      <c r="C519" s="3"/>
    </row>
    <row r="520" spans="2:3" ht="15.75" customHeight="1">
      <c r="B520" s="1"/>
      <c r="C520" s="3"/>
    </row>
    <row r="521" spans="2:3" ht="15.75" customHeight="1">
      <c r="B521" s="1"/>
      <c r="C521" s="3"/>
    </row>
    <row r="522" spans="2:3" ht="15.75" customHeight="1">
      <c r="B522" s="1"/>
      <c r="C522" s="3"/>
    </row>
    <row r="523" spans="2:3" ht="15.75" customHeight="1">
      <c r="B523" s="1"/>
      <c r="C523" s="3"/>
    </row>
    <row r="524" spans="2:3" ht="15.75" customHeight="1">
      <c r="B524" s="1"/>
      <c r="C524" s="3"/>
    </row>
    <row r="525" spans="2:3" ht="15.75" customHeight="1">
      <c r="B525" s="1"/>
      <c r="C525" s="3"/>
    </row>
    <row r="526" spans="2:3" ht="15.75" customHeight="1">
      <c r="B526" s="1"/>
      <c r="C526" s="3"/>
    </row>
    <row r="527" spans="2:3" ht="15.75" customHeight="1">
      <c r="B527" s="1"/>
      <c r="C527" s="3"/>
    </row>
    <row r="528" spans="2:3" ht="15.75" customHeight="1">
      <c r="B528" s="1"/>
      <c r="C528" s="3"/>
    </row>
    <row r="529" spans="2:3" ht="15.75" customHeight="1">
      <c r="B529" s="1"/>
      <c r="C529" s="3"/>
    </row>
    <row r="530" spans="2:3" ht="15.75" customHeight="1">
      <c r="B530" s="1"/>
      <c r="C530" s="3"/>
    </row>
    <row r="531" spans="2:3" ht="15.75" customHeight="1">
      <c r="B531" s="1"/>
      <c r="C531" s="3"/>
    </row>
    <row r="532" spans="2:3" ht="15.75" customHeight="1">
      <c r="B532" s="1"/>
      <c r="C532" s="3"/>
    </row>
    <row r="533" spans="2:3" ht="15.75" customHeight="1">
      <c r="B533" s="1"/>
      <c r="C533" s="3"/>
    </row>
    <row r="534" spans="2:3" ht="15.75" customHeight="1">
      <c r="B534" s="1"/>
      <c r="C534" s="3"/>
    </row>
    <row r="535" spans="2:3" ht="15.75" customHeight="1">
      <c r="B535" s="1"/>
      <c r="C535" s="3"/>
    </row>
    <row r="536" spans="2:3" ht="15.75" customHeight="1">
      <c r="B536" s="1"/>
      <c r="C536" s="3"/>
    </row>
    <row r="537" spans="2:3" ht="15.75" customHeight="1">
      <c r="B537" s="1"/>
      <c r="C537" s="3"/>
    </row>
    <row r="538" spans="2:3" ht="15.75" customHeight="1">
      <c r="B538" s="1"/>
      <c r="C538" s="3"/>
    </row>
    <row r="539" spans="2:3" ht="15.75" customHeight="1">
      <c r="B539" s="1"/>
      <c r="C539" s="3"/>
    </row>
    <row r="540" spans="2:3" ht="15.75" customHeight="1">
      <c r="B540" s="1"/>
      <c r="C540" s="3"/>
    </row>
    <row r="541" spans="2:3" ht="15.75" customHeight="1">
      <c r="B541" s="1"/>
      <c r="C541" s="3"/>
    </row>
    <row r="542" spans="2:3" ht="15.75" customHeight="1">
      <c r="B542" s="1"/>
      <c r="C542" s="3"/>
    </row>
    <row r="543" spans="2:3" ht="15.75" customHeight="1">
      <c r="B543" s="1"/>
      <c r="C543" s="3"/>
    </row>
    <row r="544" spans="2:3" ht="15.75" customHeight="1">
      <c r="B544" s="1"/>
      <c r="C544" s="3"/>
    </row>
    <row r="545" spans="2:3" ht="15.75" customHeight="1">
      <c r="B545" s="1"/>
      <c r="C545" s="3"/>
    </row>
    <row r="546" spans="2:3" ht="15.75" customHeight="1">
      <c r="B546" s="1"/>
      <c r="C546" s="3"/>
    </row>
    <row r="547" spans="2:3" ht="15.75" customHeight="1">
      <c r="B547" s="1"/>
      <c r="C547" s="3"/>
    </row>
    <row r="548" spans="2:3" ht="15.75" customHeight="1">
      <c r="B548" s="1"/>
      <c r="C548" s="3"/>
    </row>
    <row r="549" spans="2:3" ht="15.75" customHeight="1">
      <c r="B549" s="1"/>
      <c r="C549" s="3"/>
    </row>
    <row r="550" spans="2:3" ht="15.75" customHeight="1">
      <c r="B550" s="1"/>
      <c r="C550" s="3"/>
    </row>
    <row r="551" spans="2:3" ht="15.75" customHeight="1">
      <c r="B551" s="1"/>
      <c r="C551" s="3"/>
    </row>
    <row r="552" spans="2:3" ht="15.75" customHeight="1">
      <c r="B552" s="1"/>
      <c r="C552" s="3"/>
    </row>
    <row r="553" spans="2:3" ht="15.75" customHeight="1">
      <c r="B553" s="1"/>
      <c r="C553" s="3"/>
    </row>
    <row r="554" spans="2:3" ht="15.75" customHeight="1">
      <c r="B554" s="1"/>
      <c r="C554" s="3"/>
    </row>
    <row r="555" spans="2:3" ht="15.75" customHeight="1">
      <c r="B555" s="1"/>
      <c r="C555" s="3"/>
    </row>
    <row r="556" spans="2:3" ht="15.75" customHeight="1">
      <c r="B556" s="1"/>
      <c r="C556" s="3"/>
    </row>
    <row r="557" spans="2:3" ht="15.75" customHeight="1">
      <c r="B557" s="1"/>
      <c r="C557" s="3"/>
    </row>
    <row r="558" spans="2:3" ht="15.75" customHeight="1">
      <c r="B558" s="1"/>
      <c r="C558" s="3"/>
    </row>
    <row r="559" spans="2:3" ht="15.75" customHeight="1">
      <c r="B559" s="1"/>
      <c r="C559" s="3"/>
    </row>
    <row r="560" spans="2:3" ht="15.75" customHeight="1">
      <c r="B560" s="1"/>
      <c r="C560" s="3"/>
    </row>
    <row r="561" spans="2:3" ht="15.75" customHeight="1">
      <c r="B561" s="1"/>
      <c r="C561" s="3"/>
    </row>
    <row r="562" spans="2:3" ht="15.75" customHeight="1"/>
    <row r="563" spans="2:3" ht="15.75" customHeight="1"/>
    <row r="564" spans="2:3" ht="15.75" customHeight="1"/>
    <row r="565" spans="2:3" ht="15.75" customHeight="1"/>
    <row r="566" spans="2:3" ht="15.75" customHeight="1"/>
    <row r="567" spans="2:3" ht="15.75" customHeight="1"/>
    <row r="568" spans="2:3" ht="15.75" customHeight="1"/>
    <row r="569" spans="2:3" ht="15.75" customHeight="1"/>
    <row r="570" spans="2:3" ht="15.75" customHeight="1"/>
    <row r="571" spans="2:3" ht="15.75" customHeight="1"/>
    <row r="572" spans="2:3" ht="15.75" customHeight="1"/>
    <row r="573" spans="2:3" ht="15.75" customHeight="1"/>
    <row r="574" spans="2:3" ht="15.75" customHeight="1"/>
    <row r="575" spans="2:3" ht="15.75" customHeight="1"/>
    <row r="576" spans="2:3"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sheetData>
  <autoFilter ref="F5:K14" xr:uid="{042EB060-0B06-4DDE-B5A4-57CB57EF58DC}"/>
  <mergeCells count="19">
    <mergeCell ref="AI3:AK3"/>
    <mergeCell ref="N3:P3"/>
    <mergeCell ref="F4:K4"/>
    <mergeCell ref="B6:B13"/>
    <mergeCell ref="AL3:AN3"/>
    <mergeCell ref="AO3:AS3"/>
    <mergeCell ref="AT3:AT5"/>
    <mergeCell ref="B2:B5"/>
    <mergeCell ref="C2:C5"/>
    <mergeCell ref="D2:D5"/>
    <mergeCell ref="E2:E5"/>
    <mergeCell ref="F2:AT2"/>
    <mergeCell ref="F3:M3"/>
    <mergeCell ref="Q3:S3"/>
    <mergeCell ref="T3:V3"/>
    <mergeCell ref="W3:Y3"/>
    <mergeCell ref="Z3:AB3"/>
    <mergeCell ref="AC3:AE3"/>
    <mergeCell ref="AF3:AH3"/>
  </mergeCells>
  <hyperlinks>
    <hyperlink ref="F10" r:id="rId1" display="COTIZACIONES\FE2397.pdf" xr:uid="{0209E112-A464-44A4-82EF-FE7261375D05}"/>
    <hyperlink ref="F7" r:id="rId2" display="../../../../../../../:b:/g/personal/42828314_medellin_gov_co/ETQ7gJ7jbg9HifriCejsdZABgrxnpkHh3lscDdgAJB__8Q?e=4FdRky" xr:uid="{FD9AD2EB-BF9A-4948-AD0B-E125A979C1E4}"/>
    <hyperlink ref="F8" r:id="rId3" display="COTIZACIONES\FE2414.pdf" xr:uid="{AB993425-ADFC-4BDC-A256-E2D0CFDD5917}"/>
    <hyperlink ref="F6" r:id="rId4" display="COTIZACIONES\FE2460.pdf" xr:uid="{A554961C-01A6-4081-8F4E-33D26343BCEA}"/>
    <hyperlink ref="H6" r:id="rId5" display="COTIZACIONES\FE35723.pdf" xr:uid="{A2B429B1-8F13-49C5-8A35-C16988573A9C}"/>
    <hyperlink ref="J6" r:id="rId6" display="../../../../../../../:b:/g/personal/42828314_medellin_gov_co/EY_fMkb6mmpJujGSwkBekDQBarjUU01CI7znPvMFJAbYKA?e=bU5Eno" xr:uid="{6E86C583-7C52-41B9-8382-D82D7004AA56}"/>
    <hyperlink ref="F11" r:id="rId7" display="COTIZACIONES\FE68250247.pdf" xr:uid="{93C497FD-FE27-4922-9B34-D926612C1E5C}"/>
    <hyperlink ref="F9" r:id="rId8" display="../../../../../../../:b:/g/personal/42828314_medellin_gov_co/EX9SDoQhPIpFmtVckZJLPWIBRlUey4mOR2rsG0XxCABqWA?e=3mm1WP" xr:uid="{D5CBF858-1BAC-4394-8A68-F388A5DF6A5E}"/>
    <hyperlink ref="H10" r:id="rId9" display="COTIZACIONES\FM 83355.pdf" xr:uid="{95B523CF-807B-4A9E-9151-F31C5902D540}"/>
    <hyperlink ref="J10" r:id="rId10" display="COTIZACIONES\ELEC2376.pdf" xr:uid="{171F161C-9587-49D1-92DD-91318EE609D9}"/>
    <hyperlink ref="H7" r:id="rId11" display="COTIZACIONES\FE2373.pdf" xr:uid="{74C6FC4B-6150-4416-B614-4936FFD47DA1}"/>
    <hyperlink ref="H8" r:id="rId12" display="COTIZACIONES\6. COMERCIALIZADORA CEI_FE2506.pdf" xr:uid="{E1E427FD-F638-4B77-B4D5-B6D80330237D}"/>
    <hyperlink ref="J7" r:id="rId13" display="COTIZACIONES\FE2386.pdf" xr:uid="{B8F0419F-A1B4-4B0A-BD76-36C5BA500AE0}"/>
    <hyperlink ref="J8" r:id="rId14" display="=159900/1,19" xr:uid="{01270404-66C5-4D7C-AF0E-DC5438D557CD}"/>
    <hyperlink ref="H9" r:id="rId15" display="=3850101/1,19" xr:uid="{35537D93-1733-4D64-BAA0-58358879A0C0}"/>
    <hyperlink ref="J9" r:id="rId16" display="=3997800/1,19" xr:uid="{A8CA980B-98E7-449C-A598-9BABFA71EA6F}"/>
    <hyperlink ref="H11" r:id="rId17" display="=90000/1,19" xr:uid="{E5CA6DAD-B8AF-47CF-8D06-7343158331AE}"/>
    <hyperlink ref="J11" r:id="rId18" display="=102000/1,19" xr:uid="{54C69F1D-DBDE-4623-9848-FB63A2FCC8F4}"/>
    <hyperlink ref="F12" r:id="rId19" display="=55900/1,19" xr:uid="{A1A0E334-3794-4CCC-9D26-0B310B28502F}"/>
    <hyperlink ref="H12" r:id="rId20" display="../../../../../../../:b:/g/personal/42828314_medellin_gov_co/Ed2hMQP3SBlJrtKnBxrxfxABD1EL4uDy7BVFbPqFNPf77w?e=AG6eFN" xr:uid="{6FF1095E-BF85-4F23-82E7-03AD1A10B5B3}"/>
    <hyperlink ref="J12" r:id="rId21" display="=39900/1,19" xr:uid="{FF83137E-95B9-4093-8AF7-CEBB1696B61D}"/>
    <hyperlink ref="F13" r:id="rId22" display="=4999990/1,19" xr:uid="{726B074A-BCD1-4CA6-AB6C-6260B31D3FD9}"/>
    <hyperlink ref="H13" r:id="rId23" display="=5300000/1,19" xr:uid="{3150AB6E-AB9D-4367-BC9D-B07333B028FB}"/>
    <hyperlink ref="J13" r:id="rId24" display="=5299900/1,19" xr:uid="{D557E670-BB57-4D36-9AB9-3CDDAE56D69C}"/>
  </hyperlinks>
  <pageMargins left="0.7" right="0.7" top="0.75" bottom="0.75" header="0" footer="0"/>
  <pageSetup scale="10" orientation="landscape" r:id="rId2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A80E4-1A87-4596-BDCB-EFF2246E8D29}">
  <dimension ref="B1:AT649"/>
  <sheetViews>
    <sheetView topLeftCell="AJ17" zoomScale="55" zoomScaleNormal="55" workbookViewId="0">
      <selection activeCell="AO6" sqref="AO6"/>
    </sheetView>
  </sheetViews>
  <sheetFormatPr defaultColWidth="14.42578125" defaultRowHeight="15" customHeight="1"/>
  <cols>
    <col min="1" max="1" width="3.28515625" customWidth="1"/>
    <col min="2" max="2" width="17.5703125" customWidth="1"/>
    <col min="3" max="3" width="21.7109375" style="4" customWidth="1"/>
    <col min="4" max="4" width="51.28515625" customWidth="1"/>
    <col min="5" max="5" width="10.7109375" customWidth="1"/>
    <col min="6" max="12" width="17.7109375" style="40" customWidth="1"/>
    <col min="13" max="13" width="18.7109375" style="22" customWidth="1"/>
    <col min="14" max="14" width="14.28515625" style="4" customWidth="1"/>
    <col min="15" max="16" width="18.7109375" style="22" customWidth="1"/>
    <col min="17" max="17" width="14.28515625" style="4" customWidth="1"/>
    <col min="18" max="19" width="18.7109375" style="22" customWidth="1"/>
    <col min="20" max="20" width="14.28515625" style="4" customWidth="1"/>
    <col min="21" max="22" width="18.7109375" style="22" customWidth="1"/>
    <col min="23" max="23" width="14.28515625" style="4" customWidth="1"/>
    <col min="24" max="25" width="18.7109375" style="22" customWidth="1"/>
    <col min="26" max="26" width="14.28515625" style="4" customWidth="1"/>
    <col min="27" max="28" width="18.7109375" style="22" customWidth="1"/>
    <col min="29" max="29" width="14.28515625" style="4" customWidth="1"/>
    <col min="30" max="31" width="18.7109375" style="22" customWidth="1"/>
    <col min="32" max="32" width="14.28515625" style="4" customWidth="1"/>
    <col min="33" max="34" width="18.7109375" style="22" customWidth="1"/>
    <col min="35" max="35" width="14.28515625" style="4" customWidth="1"/>
    <col min="36" max="37" width="18.7109375" style="22" customWidth="1"/>
    <col min="38" max="38" width="14.28515625" style="4" customWidth="1"/>
    <col min="39" max="40" width="18.7109375" style="22" customWidth="1"/>
    <col min="41" max="41" width="14.28515625" style="4" customWidth="1"/>
    <col min="42" max="42" width="17.5703125" style="4" customWidth="1"/>
    <col min="43" max="43" width="21.85546875" style="4" customWidth="1"/>
    <col min="44" max="44" width="18.7109375" style="22" customWidth="1"/>
    <col min="45" max="45" width="23.7109375" style="22" customWidth="1"/>
    <col min="46" max="46" width="29.140625" style="4" customWidth="1"/>
  </cols>
  <sheetData>
    <row r="1" spans="2:46" ht="15" customHeight="1" thickBot="1"/>
    <row r="2" spans="2:46" ht="30" customHeight="1" thickBot="1">
      <c r="B2" s="217" t="s">
        <v>0</v>
      </c>
      <c r="C2" s="219" t="s">
        <v>1</v>
      </c>
      <c r="D2" s="221" t="s">
        <v>2</v>
      </c>
      <c r="E2" s="223" t="s">
        <v>3</v>
      </c>
      <c r="F2" s="233" t="s">
        <v>4</v>
      </c>
      <c r="G2" s="225"/>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5"/>
      <c r="AG2" s="225"/>
      <c r="AH2" s="225"/>
      <c r="AI2" s="225"/>
      <c r="AJ2" s="225"/>
      <c r="AK2" s="225"/>
      <c r="AL2" s="225"/>
      <c r="AM2" s="225"/>
      <c r="AN2" s="225"/>
      <c r="AO2" s="225"/>
      <c r="AP2" s="225"/>
      <c r="AQ2" s="225"/>
      <c r="AR2" s="225"/>
      <c r="AS2" s="225"/>
      <c r="AT2" s="226"/>
    </row>
    <row r="3" spans="2:46" ht="30" customHeight="1" thickBot="1">
      <c r="B3" s="218"/>
      <c r="C3" s="220"/>
      <c r="D3" s="222"/>
      <c r="E3" s="224"/>
      <c r="F3" s="250" t="s">
        <v>5</v>
      </c>
      <c r="G3" s="250"/>
      <c r="H3" s="250"/>
      <c r="I3" s="250"/>
      <c r="J3" s="250"/>
      <c r="K3" s="250"/>
      <c r="L3" s="250"/>
      <c r="M3" s="250"/>
      <c r="N3" s="202" t="s">
        <v>6</v>
      </c>
      <c r="O3" s="203"/>
      <c r="P3" s="203"/>
      <c r="Q3" s="227" t="s">
        <v>7</v>
      </c>
      <c r="R3" s="228"/>
      <c r="S3" s="229"/>
      <c r="T3" s="228" t="s">
        <v>8</v>
      </c>
      <c r="U3" s="228"/>
      <c r="V3" s="229"/>
      <c r="W3" s="227" t="s">
        <v>9</v>
      </c>
      <c r="X3" s="228"/>
      <c r="Y3" s="229"/>
      <c r="Z3" s="202" t="s">
        <v>10</v>
      </c>
      <c r="AA3" s="203"/>
      <c r="AB3" s="204"/>
      <c r="AC3" s="202" t="s">
        <v>11</v>
      </c>
      <c r="AD3" s="203"/>
      <c r="AE3" s="204"/>
      <c r="AF3" s="202" t="s">
        <v>12</v>
      </c>
      <c r="AG3" s="203"/>
      <c r="AH3" s="204"/>
      <c r="AI3" s="202" t="s">
        <v>13</v>
      </c>
      <c r="AJ3" s="203"/>
      <c r="AK3" s="203"/>
      <c r="AL3" s="211" t="s">
        <v>14</v>
      </c>
      <c r="AM3" s="212"/>
      <c r="AN3" s="213"/>
      <c r="AO3" s="211" t="s">
        <v>15</v>
      </c>
      <c r="AP3" s="212"/>
      <c r="AQ3" s="212"/>
      <c r="AR3" s="212"/>
      <c r="AS3" s="213"/>
      <c r="AT3" s="214" t="s">
        <v>16</v>
      </c>
    </row>
    <row r="4" spans="2:46" ht="30" customHeight="1">
      <c r="B4" s="218"/>
      <c r="C4" s="220"/>
      <c r="D4" s="222"/>
      <c r="E4" s="224"/>
      <c r="F4" s="247" t="s">
        <v>17</v>
      </c>
      <c r="G4" s="248"/>
      <c r="H4" s="248"/>
      <c r="I4" s="248"/>
      <c r="J4" s="248"/>
      <c r="K4" s="249"/>
      <c r="L4" s="96" t="s">
        <v>18</v>
      </c>
      <c r="M4" s="97" t="s">
        <v>18</v>
      </c>
      <c r="N4" s="12" t="s">
        <v>19</v>
      </c>
      <c r="O4" s="23" t="s">
        <v>18</v>
      </c>
      <c r="P4" s="28" t="s">
        <v>20</v>
      </c>
      <c r="Q4" s="12" t="s">
        <v>19</v>
      </c>
      <c r="R4" s="23" t="s">
        <v>18</v>
      </c>
      <c r="S4" s="28" t="s">
        <v>20</v>
      </c>
      <c r="T4" s="50" t="s">
        <v>19</v>
      </c>
      <c r="U4" s="23" t="s">
        <v>18</v>
      </c>
      <c r="V4" s="28" t="s">
        <v>20</v>
      </c>
      <c r="W4" s="12" t="s">
        <v>19</v>
      </c>
      <c r="X4" s="23" t="s">
        <v>18</v>
      </c>
      <c r="Y4" s="28" t="s">
        <v>20</v>
      </c>
      <c r="Z4" s="12" t="s">
        <v>19</v>
      </c>
      <c r="AA4" s="23" t="s">
        <v>18</v>
      </c>
      <c r="AB4" s="28" t="s">
        <v>20</v>
      </c>
      <c r="AC4" s="12" t="s">
        <v>21</v>
      </c>
      <c r="AD4" s="23" t="s">
        <v>18</v>
      </c>
      <c r="AE4" s="28" t="s">
        <v>20</v>
      </c>
      <c r="AF4" s="12" t="s">
        <v>21</v>
      </c>
      <c r="AG4" s="23" t="s">
        <v>18</v>
      </c>
      <c r="AH4" s="28" t="s">
        <v>20</v>
      </c>
      <c r="AI4" s="12" t="s">
        <v>21</v>
      </c>
      <c r="AJ4" s="23" t="s">
        <v>18</v>
      </c>
      <c r="AK4" s="35" t="s">
        <v>20</v>
      </c>
      <c r="AL4" s="12" t="s">
        <v>21</v>
      </c>
      <c r="AM4" s="23" t="s">
        <v>18</v>
      </c>
      <c r="AN4" s="28" t="s">
        <v>20</v>
      </c>
      <c r="AO4" s="12" t="s">
        <v>21</v>
      </c>
      <c r="AP4" s="23" t="s">
        <v>22</v>
      </c>
      <c r="AQ4" s="80" t="s">
        <v>23</v>
      </c>
      <c r="AR4" s="23" t="s">
        <v>18</v>
      </c>
      <c r="AS4" s="28" t="s">
        <v>20</v>
      </c>
      <c r="AT4" s="215"/>
    </row>
    <row r="5" spans="2:46" ht="30" customHeight="1" thickBot="1">
      <c r="B5" s="218"/>
      <c r="C5" s="220"/>
      <c r="D5" s="222"/>
      <c r="E5" s="224"/>
      <c r="F5" s="94" t="s">
        <v>26</v>
      </c>
      <c r="G5" s="93" t="s">
        <v>27</v>
      </c>
      <c r="H5" s="93" t="s">
        <v>28</v>
      </c>
      <c r="I5" s="93" t="s">
        <v>27</v>
      </c>
      <c r="J5" s="93" t="s">
        <v>29</v>
      </c>
      <c r="K5" s="93" t="s">
        <v>27</v>
      </c>
      <c r="L5" s="86" t="s">
        <v>30</v>
      </c>
      <c r="M5" s="29" t="s">
        <v>32</v>
      </c>
      <c r="N5" s="19">
        <v>50</v>
      </c>
      <c r="O5" s="24" t="s">
        <v>32</v>
      </c>
      <c r="P5" s="29"/>
      <c r="Q5" s="19">
        <v>50</v>
      </c>
      <c r="R5" s="24" t="s">
        <v>32</v>
      </c>
      <c r="S5" s="29"/>
      <c r="T5" s="53" t="s">
        <v>33</v>
      </c>
      <c r="U5" s="24" t="s">
        <v>32</v>
      </c>
      <c r="V5" s="29"/>
      <c r="W5" s="20" t="s">
        <v>33</v>
      </c>
      <c r="X5" s="24" t="s">
        <v>32</v>
      </c>
      <c r="Y5" s="29"/>
      <c r="Z5" s="20" t="s">
        <v>33</v>
      </c>
      <c r="AA5" s="24" t="s">
        <v>32</v>
      </c>
      <c r="AB5" s="29"/>
      <c r="AC5" s="20" t="s">
        <v>34</v>
      </c>
      <c r="AD5" s="24" t="s">
        <v>32</v>
      </c>
      <c r="AE5" s="29"/>
      <c r="AF5" s="20" t="s">
        <v>34</v>
      </c>
      <c r="AG5" s="24" t="s">
        <v>32</v>
      </c>
      <c r="AH5" s="29"/>
      <c r="AI5" s="20" t="s">
        <v>34</v>
      </c>
      <c r="AJ5" s="24" t="s">
        <v>32</v>
      </c>
      <c r="AK5" s="36"/>
      <c r="AL5" s="20" t="s">
        <v>35</v>
      </c>
      <c r="AM5" s="24" t="s">
        <v>32</v>
      </c>
      <c r="AN5" s="29"/>
      <c r="AO5" s="20"/>
      <c r="AP5" s="67"/>
      <c r="AQ5" s="67"/>
      <c r="AR5" s="24" t="s">
        <v>32</v>
      </c>
      <c r="AS5" s="29"/>
      <c r="AT5" s="215"/>
    </row>
    <row r="6" spans="2:46" ht="123" customHeight="1">
      <c r="B6" s="240" t="s">
        <v>306</v>
      </c>
      <c r="C6" s="33" t="s">
        <v>307</v>
      </c>
      <c r="D6" s="58" t="s">
        <v>308</v>
      </c>
      <c r="E6" s="98" t="s">
        <v>39</v>
      </c>
      <c r="F6" s="177">
        <f>862500+150000</f>
        <v>1012500</v>
      </c>
      <c r="G6" s="196">
        <f>F6*1.19</f>
        <v>1204875</v>
      </c>
      <c r="H6" s="197">
        <f>985800+150000</f>
        <v>1135800</v>
      </c>
      <c r="I6" s="196">
        <f t="shared" ref="I6:I20" si="0">H6*1.19</f>
        <v>1351602</v>
      </c>
      <c r="J6" s="197">
        <f>890000+150000</f>
        <v>1040000</v>
      </c>
      <c r="K6" s="196">
        <f t="shared" ref="K6:K20" si="1">J6*1.19</f>
        <v>1237600</v>
      </c>
      <c r="L6" s="89">
        <f t="shared" ref="L6" si="2">AVERAGE(F6,H6,J6)</f>
        <v>1062766.6666666667</v>
      </c>
      <c r="M6" s="90">
        <f t="shared" ref="M6" si="3">AVERAGE(G6,I6,K6)</f>
        <v>1264692.3333333333</v>
      </c>
      <c r="N6" s="34">
        <v>1</v>
      </c>
      <c r="O6" s="25">
        <f t="shared" ref="O6:O20" si="4">$M6</f>
        <v>1264692.3333333333</v>
      </c>
      <c r="P6" s="30">
        <f t="shared" ref="P6:P20" si="5">N6*O6</f>
        <v>1264692.3333333333</v>
      </c>
      <c r="Q6" s="34">
        <v>0</v>
      </c>
      <c r="R6" s="25">
        <f t="shared" ref="R6:R20" si="6">$M6</f>
        <v>1264692.3333333333</v>
      </c>
      <c r="S6" s="30">
        <f t="shared" ref="S6:S20" si="7">Q6*R6</f>
        <v>0</v>
      </c>
      <c r="T6" s="34">
        <v>0</v>
      </c>
      <c r="U6" s="25">
        <f t="shared" ref="U6:U20" si="8">$M6</f>
        <v>1264692.3333333333</v>
      </c>
      <c r="V6" s="30">
        <f t="shared" ref="V6:V20" si="9">T6*U6</f>
        <v>0</v>
      </c>
      <c r="W6" s="34">
        <v>0</v>
      </c>
      <c r="X6" s="25">
        <f t="shared" ref="X6:X20" si="10">$M6</f>
        <v>1264692.3333333333</v>
      </c>
      <c r="Y6" s="30">
        <f t="shared" ref="Y6:Y20" si="11">W6*X6</f>
        <v>0</v>
      </c>
      <c r="Z6" s="34">
        <v>1</v>
      </c>
      <c r="AA6" s="25">
        <f t="shared" ref="AA6:AA20" si="12">$M6</f>
        <v>1264692.3333333333</v>
      </c>
      <c r="AB6" s="30">
        <f t="shared" ref="AB6:AB20" si="13">Z6*AA6</f>
        <v>1264692.3333333333</v>
      </c>
      <c r="AC6" s="34">
        <v>1</v>
      </c>
      <c r="AD6" s="25">
        <f t="shared" ref="AD6:AD20" si="14">$M6</f>
        <v>1264692.3333333333</v>
      </c>
      <c r="AE6" s="30">
        <f t="shared" ref="AE6:AE20" si="15">AC6*AD6</f>
        <v>1264692.3333333333</v>
      </c>
      <c r="AF6" s="34">
        <v>1</v>
      </c>
      <c r="AG6" s="25">
        <f t="shared" ref="AG6:AG20" si="16">$M6</f>
        <v>1264692.3333333333</v>
      </c>
      <c r="AH6" s="30">
        <f t="shared" ref="AH6:AH20" si="17">AF6*AG6</f>
        <v>1264692.3333333333</v>
      </c>
      <c r="AI6" s="34">
        <v>1</v>
      </c>
      <c r="AJ6" s="25">
        <f t="shared" ref="AJ6:AJ20" si="18">$M6</f>
        <v>1264692.3333333333</v>
      </c>
      <c r="AK6" s="30">
        <f t="shared" ref="AK6:AK20" si="19">AI6*AJ6</f>
        <v>1264692.3333333333</v>
      </c>
      <c r="AL6" s="34">
        <v>0</v>
      </c>
      <c r="AM6" s="25">
        <f t="shared" ref="AM6:AM20" si="20">$M6</f>
        <v>1264692.3333333333</v>
      </c>
      <c r="AN6" s="30">
        <f t="shared" ref="AN6:AN20" si="21">AL6*AM6</f>
        <v>0</v>
      </c>
      <c r="AO6" s="17">
        <f>$N6+$Q6+$T6+$W6+$Z6+$AC6+$AF6+$AI6+$AL6</f>
        <v>5</v>
      </c>
      <c r="AP6" s="77">
        <f>$L6</f>
        <v>1062766.6666666667</v>
      </c>
      <c r="AQ6" s="77">
        <f>AO6*AP6</f>
        <v>5313833.333333334</v>
      </c>
      <c r="AR6" s="25">
        <f t="shared" ref="AR6:AR20" si="22">$M6</f>
        <v>1264692.3333333333</v>
      </c>
      <c r="AS6" s="30">
        <f t="shared" ref="AS6:AS20" si="23">AO6*AR6</f>
        <v>6323461.666666666</v>
      </c>
      <c r="AT6" s="48" t="e" vm="128">
        <v>#VALUE!</v>
      </c>
    </row>
    <row r="7" spans="2:46" ht="121.5" customHeight="1">
      <c r="B7" s="241"/>
      <c r="C7" s="9" t="s">
        <v>309</v>
      </c>
      <c r="D7" s="10" t="s">
        <v>310</v>
      </c>
      <c r="E7" s="99" t="s">
        <v>39</v>
      </c>
      <c r="F7" s="186">
        <v>745000</v>
      </c>
      <c r="G7" s="185">
        <f t="shared" ref="G7:G20" si="24">F7*1.19</f>
        <v>886550</v>
      </c>
      <c r="H7" s="188">
        <v>854794.44</v>
      </c>
      <c r="I7" s="183">
        <f t="shared" si="0"/>
        <v>1017205.3835999999</v>
      </c>
      <c r="J7" s="184">
        <v>769315</v>
      </c>
      <c r="K7" s="185">
        <f t="shared" si="1"/>
        <v>915484.85</v>
      </c>
      <c r="L7" s="89">
        <f t="shared" ref="L7:L20" si="25">AVERAGE(F7,H7,J7)</f>
        <v>789703.14666666661</v>
      </c>
      <c r="M7" s="90">
        <f t="shared" ref="M7:M20" si="26">AVERAGE(G7,I7,K7)</f>
        <v>939746.74453333335</v>
      </c>
      <c r="N7" s="14">
        <v>1</v>
      </c>
      <c r="O7" s="26">
        <f t="shared" si="4"/>
        <v>939746.74453333335</v>
      </c>
      <c r="P7" s="37">
        <f t="shared" si="5"/>
        <v>939746.74453333335</v>
      </c>
      <c r="Q7" s="14">
        <v>0</v>
      </c>
      <c r="R7" s="26">
        <f t="shared" si="6"/>
        <v>939746.74453333335</v>
      </c>
      <c r="S7" s="37">
        <f t="shared" si="7"/>
        <v>0</v>
      </c>
      <c r="T7" s="14">
        <v>0</v>
      </c>
      <c r="U7" s="26">
        <f t="shared" si="8"/>
        <v>939746.74453333335</v>
      </c>
      <c r="V7" s="37">
        <f t="shared" si="9"/>
        <v>0</v>
      </c>
      <c r="W7" s="14">
        <v>0</v>
      </c>
      <c r="X7" s="26">
        <f t="shared" si="10"/>
        <v>939746.74453333335</v>
      </c>
      <c r="Y7" s="37">
        <f t="shared" si="11"/>
        <v>0</v>
      </c>
      <c r="Z7" s="14">
        <v>1</v>
      </c>
      <c r="AA7" s="26">
        <f t="shared" si="12"/>
        <v>939746.74453333335</v>
      </c>
      <c r="AB7" s="37">
        <f t="shared" si="13"/>
        <v>939746.74453333335</v>
      </c>
      <c r="AC7" s="14">
        <v>1</v>
      </c>
      <c r="AD7" s="26">
        <f t="shared" si="14"/>
        <v>939746.74453333335</v>
      </c>
      <c r="AE7" s="37">
        <f t="shared" si="15"/>
        <v>939746.74453333335</v>
      </c>
      <c r="AF7" s="14">
        <v>1</v>
      </c>
      <c r="AG7" s="26">
        <f t="shared" si="16"/>
        <v>939746.74453333335</v>
      </c>
      <c r="AH7" s="37">
        <f t="shared" si="17"/>
        <v>939746.74453333335</v>
      </c>
      <c r="AI7" s="14">
        <v>1</v>
      </c>
      <c r="AJ7" s="26">
        <f t="shared" si="18"/>
        <v>939746.74453333335</v>
      </c>
      <c r="AK7" s="37">
        <f t="shared" si="19"/>
        <v>939746.74453333335</v>
      </c>
      <c r="AL7" s="14">
        <v>0</v>
      </c>
      <c r="AM7" s="26">
        <f t="shared" si="20"/>
        <v>939746.74453333335</v>
      </c>
      <c r="AN7" s="37">
        <f t="shared" si="21"/>
        <v>0</v>
      </c>
      <c r="AO7" s="13">
        <f t="shared" ref="AO7:AO20" si="27">$N7+$Q7+$T7+$W7+$Z7+$AC7+$AF7+$AI7+$AL7</f>
        <v>5</v>
      </c>
      <c r="AP7" s="77">
        <f t="shared" ref="AP7:AP20" si="28">$L7</f>
        <v>789703.14666666661</v>
      </c>
      <c r="AQ7" s="77">
        <f>AO7*AP7</f>
        <v>3948515.7333333329</v>
      </c>
      <c r="AR7" s="26">
        <f t="shared" si="22"/>
        <v>939746.74453333335</v>
      </c>
      <c r="AS7" s="37">
        <f t="shared" si="23"/>
        <v>4698733.7226666668</v>
      </c>
      <c r="AT7" s="69" t="e" vm="129">
        <v>#VALUE!</v>
      </c>
    </row>
    <row r="8" spans="2:46" ht="121.5" customHeight="1">
      <c r="B8" s="241"/>
      <c r="C8" s="9" t="s">
        <v>311</v>
      </c>
      <c r="D8" s="10" t="s">
        <v>312</v>
      </c>
      <c r="E8" s="99" t="s">
        <v>39</v>
      </c>
      <c r="F8" s="186">
        <v>755870</v>
      </c>
      <c r="G8" s="185">
        <f t="shared" si="24"/>
        <v>899485.29999999993</v>
      </c>
      <c r="H8" s="184">
        <v>771800</v>
      </c>
      <c r="I8" s="185">
        <f t="shared" si="0"/>
        <v>918442</v>
      </c>
      <c r="J8" s="184">
        <v>730000</v>
      </c>
      <c r="K8" s="185">
        <f t="shared" si="1"/>
        <v>868700</v>
      </c>
      <c r="L8" s="89">
        <f t="shared" si="25"/>
        <v>752556.66666666663</v>
      </c>
      <c r="M8" s="90">
        <f t="shared" si="26"/>
        <v>895542.43333333323</v>
      </c>
      <c r="N8" s="14">
        <v>1</v>
      </c>
      <c r="O8" s="26">
        <f t="shared" si="4"/>
        <v>895542.43333333323</v>
      </c>
      <c r="P8" s="37">
        <f t="shared" si="5"/>
        <v>895542.43333333323</v>
      </c>
      <c r="Q8" s="14">
        <v>0</v>
      </c>
      <c r="R8" s="26">
        <f t="shared" si="6"/>
        <v>895542.43333333323</v>
      </c>
      <c r="S8" s="37">
        <f t="shared" si="7"/>
        <v>0</v>
      </c>
      <c r="T8" s="14">
        <v>0</v>
      </c>
      <c r="U8" s="26">
        <f t="shared" si="8"/>
        <v>895542.43333333323</v>
      </c>
      <c r="V8" s="37">
        <f t="shared" si="9"/>
        <v>0</v>
      </c>
      <c r="W8" s="14">
        <v>0</v>
      </c>
      <c r="X8" s="26">
        <f t="shared" si="10"/>
        <v>895542.43333333323</v>
      </c>
      <c r="Y8" s="37">
        <f t="shared" si="11"/>
        <v>0</v>
      </c>
      <c r="Z8" s="14">
        <v>1</v>
      </c>
      <c r="AA8" s="26">
        <f t="shared" si="12"/>
        <v>895542.43333333323</v>
      </c>
      <c r="AB8" s="37">
        <f t="shared" si="13"/>
        <v>895542.43333333323</v>
      </c>
      <c r="AC8" s="14">
        <v>1</v>
      </c>
      <c r="AD8" s="26">
        <f t="shared" si="14"/>
        <v>895542.43333333323</v>
      </c>
      <c r="AE8" s="37">
        <f t="shared" si="15"/>
        <v>895542.43333333323</v>
      </c>
      <c r="AF8" s="14">
        <v>1</v>
      </c>
      <c r="AG8" s="26">
        <f t="shared" si="16"/>
        <v>895542.43333333323</v>
      </c>
      <c r="AH8" s="37">
        <f t="shared" si="17"/>
        <v>895542.43333333323</v>
      </c>
      <c r="AI8" s="14">
        <v>1</v>
      </c>
      <c r="AJ8" s="26">
        <f t="shared" si="18"/>
        <v>895542.43333333323</v>
      </c>
      <c r="AK8" s="37">
        <f t="shared" si="19"/>
        <v>895542.43333333323</v>
      </c>
      <c r="AL8" s="14">
        <v>0</v>
      </c>
      <c r="AM8" s="26">
        <f t="shared" si="20"/>
        <v>895542.43333333323</v>
      </c>
      <c r="AN8" s="37">
        <f t="shared" si="21"/>
        <v>0</v>
      </c>
      <c r="AO8" s="13">
        <f t="shared" si="27"/>
        <v>5</v>
      </c>
      <c r="AP8" s="77">
        <f t="shared" si="28"/>
        <v>752556.66666666663</v>
      </c>
      <c r="AQ8" s="77">
        <f>AO8*AP8</f>
        <v>3762783.333333333</v>
      </c>
      <c r="AR8" s="26">
        <f t="shared" si="22"/>
        <v>895542.43333333323</v>
      </c>
      <c r="AS8" s="37">
        <f t="shared" si="23"/>
        <v>4477712.166666666</v>
      </c>
      <c r="AT8" s="69" t="e" vm="130">
        <v>#VALUE!</v>
      </c>
    </row>
    <row r="9" spans="2:46" ht="121.5" customHeight="1" thickBot="1">
      <c r="B9" s="241"/>
      <c r="C9" s="9" t="s">
        <v>313</v>
      </c>
      <c r="D9" s="10" t="s">
        <v>314</v>
      </c>
      <c r="E9" s="99" t="s">
        <v>39</v>
      </c>
      <c r="F9" s="186">
        <v>743750</v>
      </c>
      <c r="G9" s="185">
        <f t="shared" si="24"/>
        <v>885062.5</v>
      </c>
      <c r="H9" s="184">
        <v>797073.33</v>
      </c>
      <c r="I9" s="185">
        <f t="shared" si="0"/>
        <v>948517.26269999996</v>
      </c>
      <c r="J9" s="184">
        <v>717366</v>
      </c>
      <c r="K9" s="185">
        <f t="shared" si="1"/>
        <v>853665.53999999992</v>
      </c>
      <c r="L9" s="89">
        <f t="shared" si="25"/>
        <v>752729.77666666673</v>
      </c>
      <c r="M9" s="90">
        <f t="shared" si="26"/>
        <v>895748.43423333333</v>
      </c>
      <c r="N9" s="14">
        <v>1</v>
      </c>
      <c r="O9" s="26">
        <f t="shared" si="4"/>
        <v>895748.43423333333</v>
      </c>
      <c r="P9" s="37">
        <f t="shared" si="5"/>
        <v>895748.43423333333</v>
      </c>
      <c r="Q9" s="14">
        <v>0</v>
      </c>
      <c r="R9" s="26">
        <f t="shared" si="6"/>
        <v>895748.43423333333</v>
      </c>
      <c r="S9" s="37">
        <f t="shared" si="7"/>
        <v>0</v>
      </c>
      <c r="T9" s="14">
        <v>0</v>
      </c>
      <c r="U9" s="26">
        <f t="shared" si="8"/>
        <v>895748.43423333333</v>
      </c>
      <c r="V9" s="37">
        <f t="shared" si="9"/>
        <v>0</v>
      </c>
      <c r="W9" s="14">
        <v>0</v>
      </c>
      <c r="X9" s="26">
        <f t="shared" si="10"/>
        <v>895748.43423333333</v>
      </c>
      <c r="Y9" s="37">
        <f t="shared" si="11"/>
        <v>0</v>
      </c>
      <c r="Z9" s="14">
        <v>1</v>
      </c>
      <c r="AA9" s="26">
        <f t="shared" si="12"/>
        <v>895748.43423333333</v>
      </c>
      <c r="AB9" s="37">
        <f t="shared" si="13"/>
        <v>895748.43423333333</v>
      </c>
      <c r="AC9" s="14">
        <v>1</v>
      </c>
      <c r="AD9" s="26">
        <f t="shared" si="14"/>
        <v>895748.43423333333</v>
      </c>
      <c r="AE9" s="37">
        <f t="shared" si="15"/>
        <v>895748.43423333333</v>
      </c>
      <c r="AF9" s="14">
        <v>1</v>
      </c>
      <c r="AG9" s="26">
        <f t="shared" si="16"/>
        <v>895748.43423333333</v>
      </c>
      <c r="AH9" s="37">
        <f t="shared" si="17"/>
        <v>895748.43423333333</v>
      </c>
      <c r="AI9" s="14">
        <v>1</v>
      </c>
      <c r="AJ9" s="26">
        <f t="shared" si="18"/>
        <v>895748.43423333333</v>
      </c>
      <c r="AK9" s="37">
        <f t="shared" si="19"/>
        <v>895748.43423333333</v>
      </c>
      <c r="AL9" s="14">
        <v>0</v>
      </c>
      <c r="AM9" s="26">
        <f t="shared" si="20"/>
        <v>895748.43423333333</v>
      </c>
      <c r="AN9" s="37">
        <f t="shared" si="21"/>
        <v>0</v>
      </c>
      <c r="AO9" s="13">
        <f t="shared" si="27"/>
        <v>5</v>
      </c>
      <c r="AP9" s="77">
        <f t="shared" si="28"/>
        <v>752729.77666666673</v>
      </c>
      <c r="AQ9" s="77">
        <f>AO9*AP9</f>
        <v>3763648.8833333338</v>
      </c>
      <c r="AR9" s="26">
        <f t="shared" si="22"/>
        <v>895748.43423333333</v>
      </c>
      <c r="AS9" s="37">
        <f t="shared" si="23"/>
        <v>4478742.1711666668</v>
      </c>
      <c r="AT9" s="69" t="e" vm="131">
        <v>#VALUE!</v>
      </c>
    </row>
    <row r="10" spans="2:46" ht="121.5" customHeight="1">
      <c r="B10" s="241"/>
      <c r="C10" s="9" t="s">
        <v>315</v>
      </c>
      <c r="D10" s="10" t="s">
        <v>316</v>
      </c>
      <c r="E10" s="99" t="s">
        <v>39</v>
      </c>
      <c r="F10" s="190">
        <f>413000/1.19</f>
        <v>347058.82352941181</v>
      </c>
      <c r="G10" s="185">
        <f t="shared" si="24"/>
        <v>413000.00000000006</v>
      </c>
      <c r="H10" s="189">
        <f>449000/1.19</f>
        <v>377310.92436974793</v>
      </c>
      <c r="I10" s="185">
        <f t="shared" si="0"/>
        <v>449000</v>
      </c>
      <c r="J10" s="189">
        <f>475000/1.19</f>
        <v>399159.66386554623</v>
      </c>
      <c r="K10" s="185">
        <f t="shared" si="1"/>
        <v>475000</v>
      </c>
      <c r="L10" s="89">
        <f t="shared" si="25"/>
        <v>374509.80392156867</v>
      </c>
      <c r="M10" s="90">
        <f t="shared" si="26"/>
        <v>445666.66666666669</v>
      </c>
      <c r="N10" s="14">
        <v>1</v>
      </c>
      <c r="O10" s="26">
        <f t="shared" si="4"/>
        <v>445666.66666666669</v>
      </c>
      <c r="P10" s="37">
        <f t="shared" si="5"/>
        <v>445666.66666666669</v>
      </c>
      <c r="Q10" s="14">
        <v>0</v>
      </c>
      <c r="R10" s="26">
        <f t="shared" si="6"/>
        <v>445666.66666666669</v>
      </c>
      <c r="S10" s="37">
        <f t="shared" si="7"/>
        <v>0</v>
      </c>
      <c r="T10" s="14">
        <v>0</v>
      </c>
      <c r="U10" s="26">
        <f t="shared" si="8"/>
        <v>445666.66666666669</v>
      </c>
      <c r="V10" s="37">
        <f t="shared" si="9"/>
        <v>0</v>
      </c>
      <c r="W10" s="14">
        <v>0</v>
      </c>
      <c r="X10" s="26">
        <f t="shared" si="10"/>
        <v>445666.66666666669</v>
      </c>
      <c r="Y10" s="37">
        <f t="shared" si="11"/>
        <v>0</v>
      </c>
      <c r="Z10" s="14">
        <v>1</v>
      </c>
      <c r="AA10" s="26">
        <f t="shared" si="12"/>
        <v>445666.66666666669</v>
      </c>
      <c r="AB10" s="37">
        <f t="shared" si="13"/>
        <v>445666.66666666669</v>
      </c>
      <c r="AC10" s="14">
        <v>1</v>
      </c>
      <c r="AD10" s="26">
        <f t="shared" si="14"/>
        <v>445666.66666666669</v>
      </c>
      <c r="AE10" s="37">
        <f t="shared" si="15"/>
        <v>445666.66666666669</v>
      </c>
      <c r="AF10" s="14">
        <v>1</v>
      </c>
      <c r="AG10" s="26">
        <f t="shared" si="16"/>
        <v>445666.66666666669</v>
      </c>
      <c r="AH10" s="37">
        <f t="shared" si="17"/>
        <v>445666.66666666669</v>
      </c>
      <c r="AI10" s="14">
        <v>1</v>
      </c>
      <c r="AJ10" s="26">
        <f t="shared" si="18"/>
        <v>445666.66666666669</v>
      </c>
      <c r="AK10" s="37">
        <f t="shared" si="19"/>
        <v>445666.66666666669</v>
      </c>
      <c r="AL10" s="14">
        <v>0</v>
      </c>
      <c r="AM10" s="26">
        <f t="shared" si="20"/>
        <v>445666.66666666669</v>
      </c>
      <c r="AN10" s="37">
        <f t="shared" si="21"/>
        <v>0</v>
      </c>
      <c r="AO10" s="13">
        <f t="shared" si="27"/>
        <v>5</v>
      </c>
      <c r="AP10" s="77">
        <f t="shared" si="28"/>
        <v>374509.80392156867</v>
      </c>
      <c r="AQ10" s="77">
        <f t="shared" ref="AQ10:AQ20" si="29">AO10*AP10</f>
        <v>1872549.0196078434</v>
      </c>
      <c r="AR10" s="26">
        <f t="shared" si="22"/>
        <v>445666.66666666669</v>
      </c>
      <c r="AS10" s="37">
        <f t="shared" si="23"/>
        <v>2228333.3333333335</v>
      </c>
      <c r="AT10" s="48" t="e" vm="132">
        <v>#VALUE!</v>
      </c>
    </row>
    <row r="11" spans="2:46" ht="121.5" customHeight="1">
      <c r="B11" s="241"/>
      <c r="C11" s="9" t="s">
        <v>317</v>
      </c>
      <c r="D11" s="10" t="s">
        <v>318</v>
      </c>
      <c r="E11" s="99" t="s">
        <v>39</v>
      </c>
      <c r="F11" s="198">
        <f>117000/1.19</f>
        <v>98319.327731092446</v>
      </c>
      <c r="G11" s="183">
        <f t="shared" si="24"/>
        <v>117000</v>
      </c>
      <c r="H11" s="191">
        <f>79900/1.19</f>
        <v>67142.857142857145</v>
      </c>
      <c r="I11" s="185">
        <f t="shared" si="0"/>
        <v>79900</v>
      </c>
      <c r="J11" s="189">
        <f>84990/1.19</f>
        <v>71420.168067226899</v>
      </c>
      <c r="K11" s="185">
        <f t="shared" si="1"/>
        <v>84990</v>
      </c>
      <c r="L11" s="89">
        <f t="shared" si="25"/>
        <v>78960.784313725497</v>
      </c>
      <c r="M11" s="90">
        <f t="shared" si="26"/>
        <v>93963.333333333328</v>
      </c>
      <c r="N11" s="14">
        <v>1</v>
      </c>
      <c r="O11" s="26">
        <f t="shared" si="4"/>
        <v>93963.333333333328</v>
      </c>
      <c r="P11" s="37">
        <f t="shared" si="5"/>
        <v>93963.333333333328</v>
      </c>
      <c r="Q11" s="14">
        <v>0</v>
      </c>
      <c r="R11" s="26">
        <f t="shared" si="6"/>
        <v>93963.333333333328</v>
      </c>
      <c r="S11" s="37">
        <f t="shared" si="7"/>
        <v>0</v>
      </c>
      <c r="T11" s="14">
        <v>0</v>
      </c>
      <c r="U11" s="26">
        <f t="shared" si="8"/>
        <v>93963.333333333328</v>
      </c>
      <c r="V11" s="37">
        <f t="shared" si="9"/>
        <v>0</v>
      </c>
      <c r="W11" s="14">
        <v>0</v>
      </c>
      <c r="X11" s="26">
        <f t="shared" si="10"/>
        <v>93963.333333333328</v>
      </c>
      <c r="Y11" s="37">
        <f t="shared" si="11"/>
        <v>0</v>
      </c>
      <c r="Z11" s="14">
        <v>1</v>
      </c>
      <c r="AA11" s="26">
        <f t="shared" si="12"/>
        <v>93963.333333333328</v>
      </c>
      <c r="AB11" s="37">
        <f t="shared" si="13"/>
        <v>93963.333333333328</v>
      </c>
      <c r="AC11" s="14">
        <v>1</v>
      </c>
      <c r="AD11" s="26">
        <f t="shared" si="14"/>
        <v>93963.333333333328</v>
      </c>
      <c r="AE11" s="37">
        <f t="shared" si="15"/>
        <v>93963.333333333328</v>
      </c>
      <c r="AF11" s="14">
        <v>1</v>
      </c>
      <c r="AG11" s="26">
        <f t="shared" si="16"/>
        <v>93963.333333333328</v>
      </c>
      <c r="AH11" s="37">
        <f t="shared" si="17"/>
        <v>93963.333333333328</v>
      </c>
      <c r="AI11" s="14">
        <v>1</v>
      </c>
      <c r="AJ11" s="26">
        <f t="shared" si="18"/>
        <v>93963.333333333328</v>
      </c>
      <c r="AK11" s="37">
        <f t="shared" si="19"/>
        <v>93963.333333333328</v>
      </c>
      <c r="AL11" s="14">
        <v>0</v>
      </c>
      <c r="AM11" s="26">
        <f t="shared" si="20"/>
        <v>93963.333333333328</v>
      </c>
      <c r="AN11" s="37">
        <f t="shared" si="21"/>
        <v>0</v>
      </c>
      <c r="AO11" s="13">
        <f t="shared" si="27"/>
        <v>5</v>
      </c>
      <c r="AP11" s="77">
        <f t="shared" si="28"/>
        <v>78960.784313725497</v>
      </c>
      <c r="AQ11" s="77">
        <f t="shared" si="29"/>
        <v>394803.92156862747</v>
      </c>
      <c r="AR11" s="26">
        <f t="shared" si="22"/>
        <v>93963.333333333328</v>
      </c>
      <c r="AS11" s="37">
        <f t="shared" si="23"/>
        <v>469816.66666666663</v>
      </c>
      <c r="AT11" s="69" t="e" vm="133">
        <v>#VALUE!</v>
      </c>
    </row>
    <row r="12" spans="2:46" ht="121.5" customHeight="1">
      <c r="B12" s="241"/>
      <c r="C12" s="9" t="s">
        <v>319</v>
      </c>
      <c r="D12" s="10" t="s">
        <v>320</v>
      </c>
      <c r="E12" s="99" t="s">
        <v>39</v>
      </c>
      <c r="F12" s="190">
        <f>257833/1.19</f>
        <v>216666.38655462186</v>
      </c>
      <c r="G12" s="185">
        <f t="shared" si="24"/>
        <v>257833</v>
      </c>
      <c r="H12" s="189">
        <f>257000/1.19</f>
        <v>215966.38655462186</v>
      </c>
      <c r="I12" s="185">
        <f t="shared" si="0"/>
        <v>257000</v>
      </c>
      <c r="J12" s="187">
        <f>330900/1.19</f>
        <v>278067.22689075634</v>
      </c>
      <c r="K12" s="183">
        <f t="shared" si="1"/>
        <v>330900.00000000006</v>
      </c>
      <c r="L12" s="89">
        <f t="shared" si="25"/>
        <v>236900</v>
      </c>
      <c r="M12" s="90">
        <f t="shared" si="26"/>
        <v>281911</v>
      </c>
      <c r="N12" s="14">
        <v>1</v>
      </c>
      <c r="O12" s="26">
        <f t="shared" si="4"/>
        <v>281911</v>
      </c>
      <c r="P12" s="37">
        <f t="shared" si="5"/>
        <v>281911</v>
      </c>
      <c r="Q12" s="14">
        <v>0</v>
      </c>
      <c r="R12" s="26">
        <f t="shared" si="6"/>
        <v>281911</v>
      </c>
      <c r="S12" s="37">
        <f t="shared" si="7"/>
        <v>0</v>
      </c>
      <c r="T12" s="14">
        <v>0</v>
      </c>
      <c r="U12" s="26">
        <f t="shared" si="8"/>
        <v>281911</v>
      </c>
      <c r="V12" s="37">
        <f t="shared" si="9"/>
        <v>0</v>
      </c>
      <c r="W12" s="14">
        <v>0</v>
      </c>
      <c r="X12" s="26">
        <f t="shared" si="10"/>
        <v>281911</v>
      </c>
      <c r="Y12" s="37">
        <f t="shared" si="11"/>
        <v>0</v>
      </c>
      <c r="Z12" s="14">
        <v>1</v>
      </c>
      <c r="AA12" s="26">
        <f t="shared" si="12"/>
        <v>281911</v>
      </c>
      <c r="AB12" s="37">
        <f t="shared" si="13"/>
        <v>281911</v>
      </c>
      <c r="AC12" s="14">
        <v>1</v>
      </c>
      <c r="AD12" s="26">
        <f t="shared" si="14"/>
        <v>281911</v>
      </c>
      <c r="AE12" s="37">
        <f t="shared" si="15"/>
        <v>281911</v>
      </c>
      <c r="AF12" s="14">
        <v>1</v>
      </c>
      <c r="AG12" s="26">
        <f t="shared" si="16"/>
        <v>281911</v>
      </c>
      <c r="AH12" s="37">
        <f t="shared" si="17"/>
        <v>281911</v>
      </c>
      <c r="AI12" s="14">
        <v>1</v>
      </c>
      <c r="AJ12" s="26">
        <f t="shared" si="18"/>
        <v>281911</v>
      </c>
      <c r="AK12" s="37">
        <f t="shared" si="19"/>
        <v>281911</v>
      </c>
      <c r="AL12" s="14">
        <v>0</v>
      </c>
      <c r="AM12" s="26">
        <f t="shared" si="20"/>
        <v>281911</v>
      </c>
      <c r="AN12" s="37">
        <f t="shared" si="21"/>
        <v>0</v>
      </c>
      <c r="AO12" s="13">
        <f t="shared" si="27"/>
        <v>5</v>
      </c>
      <c r="AP12" s="77">
        <f t="shared" si="28"/>
        <v>236900</v>
      </c>
      <c r="AQ12" s="77">
        <f t="shared" si="29"/>
        <v>1184500</v>
      </c>
      <c r="AR12" s="26">
        <f t="shared" si="22"/>
        <v>281911</v>
      </c>
      <c r="AS12" s="37">
        <f t="shared" si="23"/>
        <v>1409555</v>
      </c>
      <c r="AT12" s="69" t="e" vm="134">
        <v>#VALUE!</v>
      </c>
    </row>
    <row r="13" spans="2:46" ht="114.75" customHeight="1">
      <c r="B13" s="241"/>
      <c r="C13" s="9" t="s">
        <v>321</v>
      </c>
      <c r="D13" s="10" t="s">
        <v>322</v>
      </c>
      <c r="E13" s="99" t="s">
        <v>209</v>
      </c>
      <c r="F13" s="190">
        <f>12649/1.19</f>
        <v>10629.411764705883</v>
      </c>
      <c r="G13" s="199">
        <f t="shared" si="24"/>
        <v>12649</v>
      </c>
      <c r="H13" s="200">
        <f>13200/1.19</f>
        <v>11092.436974789916</v>
      </c>
      <c r="I13" s="185">
        <f t="shared" si="0"/>
        <v>13200</v>
      </c>
      <c r="J13" s="189">
        <f>11900/1.19</f>
        <v>10000</v>
      </c>
      <c r="K13" s="185">
        <f t="shared" si="1"/>
        <v>11900</v>
      </c>
      <c r="L13" s="89">
        <f t="shared" si="25"/>
        <v>10573.949579831933</v>
      </c>
      <c r="M13" s="90">
        <f t="shared" si="26"/>
        <v>12583</v>
      </c>
      <c r="N13" s="14">
        <v>1</v>
      </c>
      <c r="O13" s="26">
        <f t="shared" si="4"/>
        <v>12583</v>
      </c>
      <c r="P13" s="37">
        <f t="shared" si="5"/>
        <v>12583</v>
      </c>
      <c r="Q13" s="14">
        <v>0</v>
      </c>
      <c r="R13" s="26">
        <f t="shared" si="6"/>
        <v>12583</v>
      </c>
      <c r="S13" s="37">
        <f t="shared" si="7"/>
        <v>0</v>
      </c>
      <c r="T13" s="14">
        <v>0</v>
      </c>
      <c r="U13" s="26">
        <f t="shared" si="8"/>
        <v>12583</v>
      </c>
      <c r="V13" s="37">
        <f t="shared" si="9"/>
        <v>0</v>
      </c>
      <c r="W13" s="14">
        <v>0</v>
      </c>
      <c r="X13" s="26">
        <f t="shared" si="10"/>
        <v>12583</v>
      </c>
      <c r="Y13" s="37">
        <f t="shared" si="11"/>
        <v>0</v>
      </c>
      <c r="Z13" s="14">
        <v>1</v>
      </c>
      <c r="AA13" s="26">
        <f t="shared" si="12"/>
        <v>12583</v>
      </c>
      <c r="AB13" s="37">
        <f t="shared" si="13"/>
        <v>12583</v>
      </c>
      <c r="AC13" s="14">
        <v>1</v>
      </c>
      <c r="AD13" s="26">
        <f t="shared" si="14"/>
        <v>12583</v>
      </c>
      <c r="AE13" s="37">
        <f t="shared" si="15"/>
        <v>12583</v>
      </c>
      <c r="AF13" s="14">
        <v>1</v>
      </c>
      <c r="AG13" s="26">
        <f t="shared" si="16"/>
        <v>12583</v>
      </c>
      <c r="AH13" s="37">
        <f t="shared" si="17"/>
        <v>12583</v>
      </c>
      <c r="AI13" s="14">
        <v>1</v>
      </c>
      <c r="AJ13" s="26">
        <f t="shared" si="18"/>
        <v>12583</v>
      </c>
      <c r="AK13" s="37">
        <f t="shared" si="19"/>
        <v>12583</v>
      </c>
      <c r="AL13" s="14">
        <v>0</v>
      </c>
      <c r="AM13" s="26">
        <f t="shared" si="20"/>
        <v>12583</v>
      </c>
      <c r="AN13" s="37">
        <f t="shared" si="21"/>
        <v>0</v>
      </c>
      <c r="AO13" s="13">
        <f t="shared" si="27"/>
        <v>5</v>
      </c>
      <c r="AP13" s="77">
        <f t="shared" si="28"/>
        <v>10573.949579831933</v>
      </c>
      <c r="AQ13" s="77">
        <f t="shared" si="29"/>
        <v>52869.747899159665</v>
      </c>
      <c r="AR13" s="26">
        <f t="shared" si="22"/>
        <v>12583</v>
      </c>
      <c r="AS13" s="37">
        <f t="shared" si="23"/>
        <v>62915</v>
      </c>
      <c r="AT13" s="69" t="e" vm="135">
        <v>#VALUE!</v>
      </c>
    </row>
    <row r="14" spans="2:46" ht="127.5" customHeight="1">
      <c r="B14" s="241"/>
      <c r="C14" s="9" t="s">
        <v>323</v>
      </c>
      <c r="D14" s="10" t="s">
        <v>324</v>
      </c>
      <c r="E14" s="99" t="s">
        <v>39</v>
      </c>
      <c r="F14" s="190">
        <f>(31855*3)/1.19</f>
        <v>80306.722689075628</v>
      </c>
      <c r="G14" s="185">
        <f t="shared" si="24"/>
        <v>95565</v>
      </c>
      <c r="H14" s="189">
        <f>(29700*3)/1.19</f>
        <v>74873.94957983194</v>
      </c>
      <c r="I14" s="185">
        <f t="shared" si="0"/>
        <v>89100</v>
      </c>
      <c r="J14" s="187">
        <f>(24900*3)/1.19</f>
        <v>62773.10924369748</v>
      </c>
      <c r="K14" s="183">
        <f t="shared" si="1"/>
        <v>74700</v>
      </c>
      <c r="L14" s="89">
        <f t="shared" si="25"/>
        <v>72651.26050420168</v>
      </c>
      <c r="M14" s="90">
        <f t="shared" si="26"/>
        <v>86455</v>
      </c>
      <c r="N14" s="13">
        <v>1</v>
      </c>
      <c r="O14" s="26">
        <f t="shared" si="4"/>
        <v>86455</v>
      </c>
      <c r="P14" s="37">
        <f t="shared" si="5"/>
        <v>86455</v>
      </c>
      <c r="Q14" s="13">
        <v>0</v>
      </c>
      <c r="R14" s="26">
        <f t="shared" si="6"/>
        <v>86455</v>
      </c>
      <c r="S14" s="37">
        <f t="shared" si="7"/>
        <v>0</v>
      </c>
      <c r="T14" s="13">
        <v>0</v>
      </c>
      <c r="U14" s="26">
        <f t="shared" si="8"/>
        <v>86455</v>
      </c>
      <c r="V14" s="37">
        <f t="shared" si="9"/>
        <v>0</v>
      </c>
      <c r="W14" s="13">
        <v>0</v>
      </c>
      <c r="X14" s="26">
        <f t="shared" si="10"/>
        <v>86455</v>
      </c>
      <c r="Y14" s="37">
        <f t="shared" si="11"/>
        <v>0</v>
      </c>
      <c r="Z14" s="13">
        <v>1</v>
      </c>
      <c r="AA14" s="26">
        <f t="shared" si="12"/>
        <v>86455</v>
      </c>
      <c r="AB14" s="37">
        <f t="shared" si="13"/>
        <v>86455</v>
      </c>
      <c r="AC14" s="13">
        <v>1</v>
      </c>
      <c r="AD14" s="26">
        <f t="shared" si="14"/>
        <v>86455</v>
      </c>
      <c r="AE14" s="37">
        <f t="shared" si="15"/>
        <v>86455</v>
      </c>
      <c r="AF14" s="13">
        <v>1</v>
      </c>
      <c r="AG14" s="26">
        <f t="shared" si="16"/>
        <v>86455</v>
      </c>
      <c r="AH14" s="37">
        <f t="shared" si="17"/>
        <v>86455</v>
      </c>
      <c r="AI14" s="13">
        <v>1</v>
      </c>
      <c r="AJ14" s="26">
        <f t="shared" si="18"/>
        <v>86455</v>
      </c>
      <c r="AK14" s="37">
        <f t="shared" si="19"/>
        <v>86455</v>
      </c>
      <c r="AL14" s="13">
        <v>0</v>
      </c>
      <c r="AM14" s="26">
        <f t="shared" si="20"/>
        <v>86455</v>
      </c>
      <c r="AN14" s="37">
        <f t="shared" si="21"/>
        <v>0</v>
      </c>
      <c r="AO14" s="13">
        <f t="shared" si="27"/>
        <v>5</v>
      </c>
      <c r="AP14" s="77">
        <f t="shared" si="28"/>
        <v>72651.26050420168</v>
      </c>
      <c r="AQ14" s="77">
        <f t="shared" si="29"/>
        <v>363256.30252100842</v>
      </c>
      <c r="AR14" s="26">
        <f t="shared" si="22"/>
        <v>86455</v>
      </c>
      <c r="AS14" s="37">
        <f t="shared" si="23"/>
        <v>432275</v>
      </c>
      <c r="AT14" s="69" t="e" vm="136">
        <v>#VALUE!</v>
      </c>
    </row>
    <row r="15" spans="2:46" ht="95.25" customHeight="1">
      <c r="B15" s="241"/>
      <c r="C15" s="9" t="s">
        <v>325</v>
      </c>
      <c r="D15" s="10" t="s">
        <v>326</v>
      </c>
      <c r="E15" s="99" t="s">
        <v>39</v>
      </c>
      <c r="F15" s="190">
        <f>16000/1.19</f>
        <v>13445.378151260506</v>
      </c>
      <c r="G15" s="185">
        <f t="shared" si="24"/>
        <v>16000</v>
      </c>
      <c r="H15" s="189">
        <f>13400/1.19</f>
        <v>11260.504201680673</v>
      </c>
      <c r="I15" s="185">
        <f t="shared" si="0"/>
        <v>13400</v>
      </c>
      <c r="J15" s="189">
        <f>14900/1.19</f>
        <v>12521.008403361346</v>
      </c>
      <c r="K15" s="185">
        <f t="shared" si="1"/>
        <v>14900</v>
      </c>
      <c r="L15" s="89">
        <f t="shared" si="25"/>
        <v>12408.963585434176</v>
      </c>
      <c r="M15" s="90">
        <f t="shared" si="26"/>
        <v>14766.666666666666</v>
      </c>
      <c r="N15" s="13">
        <v>1</v>
      </c>
      <c r="O15" s="26">
        <f t="shared" si="4"/>
        <v>14766.666666666666</v>
      </c>
      <c r="P15" s="37">
        <f t="shared" si="5"/>
        <v>14766.666666666666</v>
      </c>
      <c r="Q15" s="13">
        <v>0</v>
      </c>
      <c r="R15" s="26">
        <f t="shared" si="6"/>
        <v>14766.666666666666</v>
      </c>
      <c r="S15" s="37">
        <f t="shared" si="7"/>
        <v>0</v>
      </c>
      <c r="T15" s="13">
        <v>0</v>
      </c>
      <c r="U15" s="26">
        <f t="shared" si="8"/>
        <v>14766.666666666666</v>
      </c>
      <c r="V15" s="37">
        <f t="shared" si="9"/>
        <v>0</v>
      </c>
      <c r="W15" s="13">
        <v>0</v>
      </c>
      <c r="X15" s="26">
        <f t="shared" si="10"/>
        <v>14766.666666666666</v>
      </c>
      <c r="Y15" s="37">
        <f t="shared" si="11"/>
        <v>0</v>
      </c>
      <c r="Z15" s="13">
        <v>1</v>
      </c>
      <c r="AA15" s="26">
        <f t="shared" si="12"/>
        <v>14766.666666666666</v>
      </c>
      <c r="AB15" s="37">
        <f t="shared" si="13"/>
        <v>14766.666666666666</v>
      </c>
      <c r="AC15" s="13">
        <v>1</v>
      </c>
      <c r="AD15" s="26">
        <f t="shared" si="14"/>
        <v>14766.666666666666</v>
      </c>
      <c r="AE15" s="37">
        <f t="shared" si="15"/>
        <v>14766.666666666666</v>
      </c>
      <c r="AF15" s="13">
        <v>1</v>
      </c>
      <c r="AG15" s="26">
        <f t="shared" si="16"/>
        <v>14766.666666666666</v>
      </c>
      <c r="AH15" s="37">
        <f t="shared" si="17"/>
        <v>14766.666666666666</v>
      </c>
      <c r="AI15" s="13">
        <v>1</v>
      </c>
      <c r="AJ15" s="26">
        <f t="shared" si="18"/>
        <v>14766.666666666666</v>
      </c>
      <c r="AK15" s="37">
        <f t="shared" si="19"/>
        <v>14766.666666666666</v>
      </c>
      <c r="AL15" s="13">
        <v>0</v>
      </c>
      <c r="AM15" s="26">
        <f t="shared" si="20"/>
        <v>14766.666666666666</v>
      </c>
      <c r="AN15" s="37">
        <f t="shared" si="21"/>
        <v>0</v>
      </c>
      <c r="AO15" s="13">
        <f t="shared" si="27"/>
        <v>5</v>
      </c>
      <c r="AP15" s="77">
        <f t="shared" si="28"/>
        <v>12408.963585434176</v>
      </c>
      <c r="AQ15" s="77">
        <f t="shared" si="29"/>
        <v>62044.81792717088</v>
      </c>
      <c r="AR15" s="26">
        <f t="shared" si="22"/>
        <v>14766.666666666666</v>
      </c>
      <c r="AS15" s="37">
        <f t="shared" si="23"/>
        <v>73833.333333333328</v>
      </c>
      <c r="AT15" s="74" t="e" vm="137">
        <v>#VALUE!</v>
      </c>
    </row>
    <row r="16" spans="2:46" ht="123" customHeight="1">
      <c r="B16" s="241"/>
      <c r="C16" s="9" t="s">
        <v>327</v>
      </c>
      <c r="D16" s="10" t="s">
        <v>328</v>
      </c>
      <c r="E16" s="99" t="s">
        <v>39</v>
      </c>
      <c r="F16" s="186">
        <v>230000</v>
      </c>
      <c r="G16" s="185">
        <f t="shared" si="24"/>
        <v>273700</v>
      </c>
      <c r="H16" s="191">
        <f>229990/1.19</f>
        <v>193268.90756302522</v>
      </c>
      <c r="I16" s="185">
        <f t="shared" si="0"/>
        <v>229990</v>
      </c>
      <c r="J16" s="189">
        <f>255000/1.19</f>
        <v>214285.71428571429</v>
      </c>
      <c r="K16" s="185">
        <f t="shared" si="1"/>
        <v>255000</v>
      </c>
      <c r="L16" s="89">
        <f t="shared" si="25"/>
        <v>212518.20728291318</v>
      </c>
      <c r="M16" s="90">
        <f t="shared" si="26"/>
        <v>252896.66666666666</v>
      </c>
      <c r="N16" s="13">
        <v>1</v>
      </c>
      <c r="O16" s="26">
        <f t="shared" si="4"/>
        <v>252896.66666666666</v>
      </c>
      <c r="P16" s="37">
        <f t="shared" si="5"/>
        <v>252896.66666666666</v>
      </c>
      <c r="Q16" s="13">
        <v>0</v>
      </c>
      <c r="R16" s="26">
        <f t="shared" si="6"/>
        <v>252896.66666666666</v>
      </c>
      <c r="S16" s="37">
        <f t="shared" si="7"/>
        <v>0</v>
      </c>
      <c r="T16" s="13">
        <v>0</v>
      </c>
      <c r="U16" s="26">
        <f t="shared" si="8"/>
        <v>252896.66666666666</v>
      </c>
      <c r="V16" s="37">
        <f t="shared" si="9"/>
        <v>0</v>
      </c>
      <c r="W16" s="13">
        <v>0</v>
      </c>
      <c r="X16" s="26">
        <f t="shared" si="10"/>
        <v>252896.66666666666</v>
      </c>
      <c r="Y16" s="37">
        <f t="shared" si="11"/>
        <v>0</v>
      </c>
      <c r="Z16" s="13">
        <v>1</v>
      </c>
      <c r="AA16" s="26">
        <f t="shared" si="12"/>
        <v>252896.66666666666</v>
      </c>
      <c r="AB16" s="37">
        <f t="shared" si="13"/>
        <v>252896.66666666666</v>
      </c>
      <c r="AC16" s="13">
        <v>1</v>
      </c>
      <c r="AD16" s="26">
        <f t="shared" si="14"/>
        <v>252896.66666666666</v>
      </c>
      <c r="AE16" s="37">
        <f t="shared" si="15"/>
        <v>252896.66666666666</v>
      </c>
      <c r="AF16" s="13">
        <v>1</v>
      </c>
      <c r="AG16" s="26">
        <f t="shared" si="16"/>
        <v>252896.66666666666</v>
      </c>
      <c r="AH16" s="37">
        <f t="shared" si="17"/>
        <v>252896.66666666666</v>
      </c>
      <c r="AI16" s="13">
        <v>1</v>
      </c>
      <c r="AJ16" s="26">
        <f t="shared" si="18"/>
        <v>252896.66666666666</v>
      </c>
      <c r="AK16" s="37">
        <f t="shared" si="19"/>
        <v>252896.66666666666</v>
      </c>
      <c r="AL16" s="13">
        <v>0</v>
      </c>
      <c r="AM16" s="26">
        <f t="shared" si="20"/>
        <v>252896.66666666666</v>
      </c>
      <c r="AN16" s="37">
        <f t="shared" si="21"/>
        <v>0</v>
      </c>
      <c r="AO16" s="13">
        <f t="shared" si="27"/>
        <v>5</v>
      </c>
      <c r="AP16" s="77">
        <f t="shared" si="28"/>
        <v>212518.20728291318</v>
      </c>
      <c r="AQ16" s="77">
        <f t="shared" si="29"/>
        <v>1062591.036414566</v>
      </c>
      <c r="AR16" s="26">
        <f t="shared" si="22"/>
        <v>252896.66666666666</v>
      </c>
      <c r="AS16" s="37">
        <f t="shared" si="23"/>
        <v>1264483.3333333333</v>
      </c>
      <c r="AT16" s="74" t="e" vm="138">
        <v>#VALUE!</v>
      </c>
    </row>
    <row r="17" spans="2:46" ht="135" customHeight="1" thickBot="1">
      <c r="B17" s="241"/>
      <c r="C17" s="9" t="s">
        <v>329</v>
      </c>
      <c r="D17" s="149" t="s">
        <v>330</v>
      </c>
      <c r="E17" s="99" t="s">
        <v>39</v>
      </c>
      <c r="F17" s="190">
        <f>(5269000+700000)/1.19</f>
        <v>5015966.3865546221</v>
      </c>
      <c r="G17" s="185">
        <f t="shared" si="24"/>
        <v>5969000</v>
      </c>
      <c r="H17" s="189">
        <f>(5200000+700000)/1.19</f>
        <v>4957983.1932773115</v>
      </c>
      <c r="I17" s="185">
        <f t="shared" si="0"/>
        <v>5900000</v>
      </c>
      <c r="J17" s="188">
        <f>4750000/1.19</f>
        <v>3991596.6386554623</v>
      </c>
      <c r="K17" s="183">
        <f t="shared" si="1"/>
        <v>4750000</v>
      </c>
      <c r="L17" s="89">
        <f t="shared" si="25"/>
        <v>4655182.072829132</v>
      </c>
      <c r="M17" s="90">
        <f t="shared" si="26"/>
        <v>5539666.666666667</v>
      </c>
      <c r="N17" s="14">
        <v>1</v>
      </c>
      <c r="O17" s="26">
        <f t="shared" si="4"/>
        <v>5539666.666666667</v>
      </c>
      <c r="P17" s="37">
        <f t="shared" si="5"/>
        <v>5539666.666666667</v>
      </c>
      <c r="Q17" s="14">
        <v>0</v>
      </c>
      <c r="R17" s="26">
        <f t="shared" si="6"/>
        <v>5539666.666666667</v>
      </c>
      <c r="S17" s="37">
        <f t="shared" si="7"/>
        <v>0</v>
      </c>
      <c r="T17" s="14">
        <v>0</v>
      </c>
      <c r="U17" s="26">
        <f t="shared" si="8"/>
        <v>5539666.666666667</v>
      </c>
      <c r="V17" s="37">
        <f t="shared" si="9"/>
        <v>0</v>
      </c>
      <c r="W17" s="14">
        <v>0</v>
      </c>
      <c r="X17" s="26">
        <f t="shared" si="10"/>
        <v>5539666.666666667</v>
      </c>
      <c r="Y17" s="37">
        <f t="shared" si="11"/>
        <v>0</v>
      </c>
      <c r="Z17" s="14">
        <v>1</v>
      </c>
      <c r="AA17" s="26">
        <f t="shared" si="12"/>
        <v>5539666.666666667</v>
      </c>
      <c r="AB17" s="37">
        <f t="shared" si="13"/>
        <v>5539666.666666667</v>
      </c>
      <c r="AC17" s="14">
        <v>1</v>
      </c>
      <c r="AD17" s="26">
        <f t="shared" si="14"/>
        <v>5539666.666666667</v>
      </c>
      <c r="AE17" s="37">
        <f t="shared" si="15"/>
        <v>5539666.666666667</v>
      </c>
      <c r="AF17" s="14">
        <v>1</v>
      </c>
      <c r="AG17" s="26">
        <f t="shared" si="16"/>
        <v>5539666.666666667</v>
      </c>
      <c r="AH17" s="37">
        <f t="shared" si="17"/>
        <v>5539666.666666667</v>
      </c>
      <c r="AI17" s="14">
        <v>1</v>
      </c>
      <c r="AJ17" s="26">
        <f t="shared" si="18"/>
        <v>5539666.666666667</v>
      </c>
      <c r="AK17" s="37">
        <f t="shared" si="19"/>
        <v>5539666.666666667</v>
      </c>
      <c r="AL17" s="14">
        <v>10</v>
      </c>
      <c r="AM17" s="26">
        <f t="shared" si="20"/>
        <v>5539666.666666667</v>
      </c>
      <c r="AN17" s="37">
        <f t="shared" si="21"/>
        <v>55396666.666666672</v>
      </c>
      <c r="AO17" s="13">
        <f t="shared" si="27"/>
        <v>15</v>
      </c>
      <c r="AP17" s="77">
        <f t="shared" si="28"/>
        <v>4655182.072829132</v>
      </c>
      <c r="AQ17" s="77">
        <f t="shared" si="29"/>
        <v>69827731.092436984</v>
      </c>
      <c r="AR17" s="26">
        <f t="shared" si="22"/>
        <v>5539666.666666667</v>
      </c>
      <c r="AS17" s="37">
        <f t="shared" si="23"/>
        <v>83095000</v>
      </c>
      <c r="AT17" s="49" t="e" vm="139">
        <v>#VALUE!</v>
      </c>
    </row>
    <row r="18" spans="2:46" ht="211.9" customHeight="1">
      <c r="B18" s="241"/>
      <c r="C18" s="147" t="s">
        <v>331</v>
      </c>
      <c r="D18" s="146" t="s">
        <v>332</v>
      </c>
      <c r="E18" s="148" t="s">
        <v>39</v>
      </c>
      <c r="F18" s="190">
        <f>387900/1.19</f>
        <v>325966.38655462186</v>
      </c>
      <c r="G18" s="185">
        <f t="shared" si="24"/>
        <v>387900</v>
      </c>
      <c r="H18" s="189">
        <f>301850/1.19</f>
        <v>253655.46218487396</v>
      </c>
      <c r="I18" s="185">
        <f t="shared" si="0"/>
        <v>301850</v>
      </c>
      <c r="J18" s="188">
        <f>253500/1.19</f>
        <v>213025.21008403364</v>
      </c>
      <c r="K18" s="183">
        <f t="shared" si="1"/>
        <v>253500</v>
      </c>
      <c r="L18" s="89">
        <f t="shared" si="25"/>
        <v>264215.68627450982</v>
      </c>
      <c r="M18" s="90">
        <f t="shared" si="26"/>
        <v>314416.66666666669</v>
      </c>
      <c r="N18" s="14">
        <v>1</v>
      </c>
      <c r="O18" s="26">
        <f t="shared" si="4"/>
        <v>314416.66666666669</v>
      </c>
      <c r="P18" s="37">
        <f t="shared" si="5"/>
        <v>314416.66666666669</v>
      </c>
      <c r="Q18" s="14">
        <v>0</v>
      </c>
      <c r="R18" s="26">
        <f t="shared" si="6"/>
        <v>314416.66666666669</v>
      </c>
      <c r="S18" s="37">
        <f t="shared" si="7"/>
        <v>0</v>
      </c>
      <c r="T18" s="14">
        <v>0</v>
      </c>
      <c r="U18" s="26">
        <f t="shared" si="8"/>
        <v>314416.66666666669</v>
      </c>
      <c r="V18" s="37">
        <f t="shared" si="9"/>
        <v>0</v>
      </c>
      <c r="W18" s="14">
        <v>0</v>
      </c>
      <c r="X18" s="26">
        <f t="shared" si="10"/>
        <v>314416.66666666669</v>
      </c>
      <c r="Y18" s="37">
        <f t="shared" si="11"/>
        <v>0</v>
      </c>
      <c r="Z18" s="14">
        <v>1</v>
      </c>
      <c r="AA18" s="26">
        <f t="shared" si="12"/>
        <v>314416.66666666669</v>
      </c>
      <c r="AB18" s="37">
        <f t="shared" si="13"/>
        <v>314416.66666666669</v>
      </c>
      <c r="AC18" s="14">
        <v>1</v>
      </c>
      <c r="AD18" s="26">
        <f t="shared" si="14"/>
        <v>314416.66666666669</v>
      </c>
      <c r="AE18" s="37">
        <f t="shared" si="15"/>
        <v>314416.66666666669</v>
      </c>
      <c r="AF18" s="14">
        <v>1</v>
      </c>
      <c r="AG18" s="26">
        <f t="shared" si="16"/>
        <v>314416.66666666669</v>
      </c>
      <c r="AH18" s="37">
        <f t="shared" si="17"/>
        <v>314416.66666666669</v>
      </c>
      <c r="AI18" s="14">
        <v>1</v>
      </c>
      <c r="AJ18" s="26">
        <f t="shared" si="18"/>
        <v>314416.66666666669</v>
      </c>
      <c r="AK18" s="37">
        <f t="shared" si="19"/>
        <v>314416.66666666669</v>
      </c>
      <c r="AL18" s="14">
        <v>0</v>
      </c>
      <c r="AM18" s="26">
        <f t="shared" si="20"/>
        <v>314416.66666666669</v>
      </c>
      <c r="AN18" s="37">
        <f t="shared" si="21"/>
        <v>0</v>
      </c>
      <c r="AO18" s="13">
        <f t="shared" si="27"/>
        <v>5</v>
      </c>
      <c r="AP18" s="77">
        <f t="shared" si="28"/>
        <v>264215.68627450982</v>
      </c>
      <c r="AQ18" s="77">
        <f t="shared" si="29"/>
        <v>1321078.4313725492</v>
      </c>
      <c r="AR18" s="26">
        <f t="shared" si="22"/>
        <v>314416.66666666669</v>
      </c>
      <c r="AS18" s="37">
        <f t="shared" si="23"/>
        <v>1572083.3333333335</v>
      </c>
      <c r="AT18" s="69" t="e" vm="140">
        <v>#VALUE!</v>
      </c>
    </row>
    <row r="19" spans="2:46" ht="228" customHeight="1">
      <c r="B19" s="241"/>
      <c r="C19" s="147" t="s">
        <v>333</v>
      </c>
      <c r="D19" s="146" t="s">
        <v>334</v>
      </c>
      <c r="E19" s="148" t="s">
        <v>39</v>
      </c>
      <c r="F19" s="198">
        <f>529900/1.19</f>
        <v>445294.11764705885</v>
      </c>
      <c r="G19" s="183">
        <f t="shared" si="24"/>
        <v>529900</v>
      </c>
      <c r="H19" s="189">
        <f>748900/1.19</f>
        <v>629327.73109243705</v>
      </c>
      <c r="I19" s="185">
        <f t="shared" si="0"/>
        <v>748900.00000000012</v>
      </c>
      <c r="J19" s="189">
        <f>820000/1.19</f>
        <v>689075.63025210088</v>
      </c>
      <c r="K19" s="185">
        <f t="shared" si="1"/>
        <v>820000</v>
      </c>
      <c r="L19" s="89">
        <f t="shared" si="25"/>
        <v>587899.15966386569</v>
      </c>
      <c r="M19" s="90">
        <f t="shared" si="26"/>
        <v>699600</v>
      </c>
      <c r="N19" s="14">
        <v>1</v>
      </c>
      <c r="O19" s="26">
        <f t="shared" si="4"/>
        <v>699600</v>
      </c>
      <c r="P19" s="37">
        <f t="shared" si="5"/>
        <v>699600</v>
      </c>
      <c r="Q19" s="14">
        <v>0</v>
      </c>
      <c r="R19" s="26">
        <f t="shared" si="6"/>
        <v>699600</v>
      </c>
      <c r="S19" s="37">
        <f t="shared" si="7"/>
        <v>0</v>
      </c>
      <c r="T19" s="14">
        <v>0</v>
      </c>
      <c r="U19" s="26">
        <f t="shared" si="8"/>
        <v>699600</v>
      </c>
      <c r="V19" s="37">
        <f t="shared" si="9"/>
        <v>0</v>
      </c>
      <c r="W19" s="14">
        <v>0</v>
      </c>
      <c r="X19" s="26">
        <f t="shared" si="10"/>
        <v>699600</v>
      </c>
      <c r="Y19" s="37">
        <f t="shared" si="11"/>
        <v>0</v>
      </c>
      <c r="Z19" s="14">
        <v>1</v>
      </c>
      <c r="AA19" s="26">
        <f t="shared" si="12"/>
        <v>699600</v>
      </c>
      <c r="AB19" s="37">
        <f t="shared" si="13"/>
        <v>699600</v>
      </c>
      <c r="AC19" s="14">
        <v>1</v>
      </c>
      <c r="AD19" s="26">
        <f t="shared" si="14"/>
        <v>699600</v>
      </c>
      <c r="AE19" s="37">
        <f t="shared" si="15"/>
        <v>699600</v>
      </c>
      <c r="AF19" s="14">
        <v>1</v>
      </c>
      <c r="AG19" s="26">
        <f t="shared" si="16"/>
        <v>699600</v>
      </c>
      <c r="AH19" s="37">
        <f t="shared" si="17"/>
        <v>699600</v>
      </c>
      <c r="AI19" s="14">
        <v>1</v>
      </c>
      <c r="AJ19" s="26">
        <f t="shared" si="18"/>
        <v>699600</v>
      </c>
      <c r="AK19" s="37">
        <f t="shared" si="19"/>
        <v>699600</v>
      </c>
      <c r="AL19" s="14">
        <v>0</v>
      </c>
      <c r="AM19" s="26">
        <f t="shared" si="20"/>
        <v>699600</v>
      </c>
      <c r="AN19" s="37">
        <f t="shared" si="21"/>
        <v>0</v>
      </c>
      <c r="AO19" s="13">
        <f t="shared" si="27"/>
        <v>5</v>
      </c>
      <c r="AP19" s="77">
        <f t="shared" si="28"/>
        <v>587899.15966386569</v>
      </c>
      <c r="AQ19" s="77">
        <f t="shared" si="29"/>
        <v>2939495.7983193286</v>
      </c>
      <c r="AR19" s="26">
        <f t="shared" si="22"/>
        <v>699600</v>
      </c>
      <c r="AS19" s="37">
        <f t="shared" si="23"/>
        <v>3498000</v>
      </c>
      <c r="AT19" s="69" t="e" vm="141">
        <v>#VALUE!</v>
      </c>
    </row>
    <row r="20" spans="2:46" ht="121.5" customHeight="1" thickBot="1">
      <c r="B20" s="242"/>
      <c r="C20" s="72" t="s">
        <v>335</v>
      </c>
      <c r="D20" s="150" t="s">
        <v>336</v>
      </c>
      <c r="E20" s="103" t="s">
        <v>39</v>
      </c>
      <c r="F20" s="192">
        <f>38800/1.19</f>
        <v>32605.042016806725</v>
      </c>
      <c r="G20" s="193">
        <f t="shared" si="24"/>
        <v>38800</v>
      </c>
      <c r="H20" s="145">
        <f>28800/1.19</f>
        <v>24201.680672268907</v>
      </c>
      <c r="I20" s="201">
        <f t="shared" si="0"/>
        <v>28799.999999999996</v>
      </c>
      <c r="J20" s="194">
        <f>37100/1.19</f>
        <v>31176.470588235297</v>
      </c>
      <c r="K20" s="193">
        <f t="shared" si="1"/>
        <v>37100</v>
      </c>
      <c r="L20" s="89">
        <f t="shared" si="25"/>
        <v>29327.731092436978</v>
      </c>
      <c r="M20" s="90">
        <f t="shared" si="26"/>
        <v>34900</v>
      </c>
      <c r="N20" s="71">
        <v>2</v>
      </c>
      <c r="O20" s="27">
        <f t="shared" si="4"/>
        <v>34900</v>
      </c>
      <c r="P20" s="38">
        <f t="shared" si="5"/>
        <v>69800</v>
      </c>
      <c r="Q20" s="71">
        <v>0</v>
      </c>
      <c r="R20" s="27">
        <f t="shared" si="6"/>
        <v>34900</v>
      </c>
      <c r="S20" s="38">
        <f t="shared" si="7"/>
        <v>0</v>
      </c>
      <c r="T20" s="71">
        <v>0</v>
      </c>
      <c r="U20" s="27">
        <f t="shared" si="8"/>
        <v>34900</v>
      </c>
      <c r="V20" s="38">
        <f t="shared" si="9"/>
        <v>0</v>
      </c>
      <c r="W20" s="71">
        <v>0</v>
      </c>
      <c r="X20" s="27">
        <f t="shared" si="10"/>
        <v>34900</v>
      </c>
      <c r="Y20" s="38">
        <f t="shared" si="11"/>
        <v>0</v>
      </c>
      <c r="Z20" s="71">
        <v>2</v>
      </c>
      <c r="AA20" s="27">
        <f t="shared" si="12"/>
        <v>34900</v>
      </c>
      <c r="AB20" s="38">
        <f t="shared" si="13"/>
        <v>69800</v>
      </c>
      <c r="AC20" s="71">
        <v>2</v>
      </c>
      <c r="AD20" s="27">
        <f t="shared" si="14"/>
        <v>34900</v>
      </c>
      <c r="AE20" s="38">
        <f t="shared" si="15"/>
        <v>69800</v>
      </c>
      <c r="AF20" s="71">
        <v>2</v>
      </c>
      <c r="AG20" s="27">
        <f t="shared" si="16"/>
        <v>34900</v>
      </c>
      <c r="AH20" s="38">
        <f t="shared" si="17"/>
        <v>69800</v>
      </c>
      <c r="AI20" s="71">
        <v>2</v>
      </c>
      <c r="AJ20" s="27">
        <f t="shared" si="18"/>
        <v>34900</v>
      </c>
      <c r="AK20" s="38">
        <f t="shared" si="19"/>
        <v>69800</v>
      </c>
      <c r="AL20" s="71">
        <v>0</v>
      </c>
      <c r="AM20" s="27">
        <f t="shared" si="20"/>
        <v>34900</v>
      </c>
      <c r="AN20" s="38">
        <f t="shared" si="21"/>
        <v>0</v>
      </c>
      <c r="AO20" s="18">
        <f t="shared" si="27"/>
        <v>10</v>
      </c>
      <c r="AP20" s="82">
        <f t="shared" si="28"/>
        <v>29327.731092436978</v>
      </c>
      <c r="AQ20" s="82">
        <f t="shared" si="29"/>
        <v>293277.31092436978</v>
      </c>
      <c r="AR20" s="27">
        <f t="shared" si="22"/>
        <v>34900</v>
      </c>
      <c r="AS20" s="38">
        <f t="shared" si="23"/>
        <v>349000</v>
      </c>
      <c r="AT20" s="49" t="e" vm="142">
        <v>#VALUE!</v>
      </c>
    </row>
    <row r="21" spans="2:46" ht="123" customHeight="1">
      <c r="B21" s="1"/>
      <c r="C21" s="3"/>
      <c r="F21" s="61"/>
      <c r="G21" s="61"/>
      <c r="H21" s="61"/>
      <c r="I21" s="61"/>
      <c r="J21" s="61"/>
      <c r="K21" s="61"/>
      <c r="M21" s="59"/>
      <c r="N21" s="60"/>
      <c r="O21" s="59"/>
      <c r="P21" s="59"/>
      <c r="Q21" s="60"/>
      <c r="R21" s="59"/>
      <c r="S21" s="59"/>
      <c r="T21" s="60"/>
      <c r="U21" s="59"/>
      <c r="V21" s="59"/>
      <c r="W21" s="60"/>
      <c r="X21" s="59"/>
      <c r="Y21" s="59"/>
      <c r="Z21" s="60"/>
      <c r="AA21" s="59"/>
      <c r="AB21" s="59"/>
      <c r="AC21" s="60"/>
      <c r="AD21" s="59"/>
      <c r="AE21" s="59"/>
      <c r="AF21" s="60"/>
      <c r="AG21" s="59"/>
      <c r="AH21" s="59"/>
      <c r="AI21" s="60"/>
      <c r="AJ21" s="59"/>
      <c r="AK21" s="59"/>
      <c r="AL21" s="60"/>
      <c r="AM21" s="59"/>
      <c r="AN21" s="59"/>
      <c r="AO21" s="60"/>
      <c r="AQ21" s="81">
        <f>SUM(AQ6:AQ20)</f>
        <v>96162978.762324929</v>
      </c>
      <c r="AR21" s="59"/>
      <c r="AS21" s="59">
        <f>SUM(AS6:AS20)</f>
        <v>114433944.72716667</v>
      </c>
      <c r="AT21" s="60"/>
    </row>
    <row r="22" spans="2:46" ht="114.75" customHeight="1">
      <c r="B22" s="1"/>
      <c r="C22" s="3"/>
      <c r="AL22" s="22"/>
    </row>
    <row r="23" spans="2:46" ht="114" customHeight="1">
      <c r="B23" s="1"/>
      <c r="C23" s="3"/>
    </row>
    <row r="24" spans="2:46" s="2" customFormat="1" ht="113.25" customHeight="1">
      <c r="B24" s="1"/>
      <c r="C24" s="3"/>
      <c r="D24"/>
      <c r="E24"/>
      <c r="F24" s="40"/>
      <c r="G24" s="40"/>
      <c r="H24" s="40"/>
      <c r="I24" s="40"/>
      <c r="J24" s="40"/>
      <c r="K24" s="40"/>
      <c r="L24" s="40"/>
      <c r="M24" s="22"/>
      <c r="N24" s="4"/>
      <c r="O24" s="22"/>
      <c r="P24" s="22"/>
      <c r="Q24" s="4"/>
      <c r="R24" s="22"/>
      <c r="S24" s="22"/>
      <c r="T24" s="4"/>
      <c r="U24" s="22"/>
      <c r="V24" s="22"/>
      <c r="W24" s="4"/>
      <c r="X24" s="22"/>
      <c r="Y24" s="22"/>
      <c r="Z24" s="4"/>
      <c r="AA24" s="22"/>
      <c r="AB24" s="22"/>
      <c r="AC24" s="4"/>
      <c r="AD24" s="22"/>
      <c r="AE24" s="22"/>
      <c r="AF24" s="4"/>
      <c r="AG24" s="22"/>
      <c r="AH24" s="22"/>
      <c r="AI24" s="4"/>
      <c r="AJ24" s="22"/>
      <c r="AK24" s="22"/>
      <c r="AL24" s="4"/>
      <c r="AM24" s="22"/>
      <c r="AN24" s="22"/>
      <c r="AO24" s="4"/>
      <c r="AP24" s="4"/>
      <c r="AQ24" s="4"/>
      <c r="AR24" s="22"/>
      <c r="AS24" s="22"/>
      <c r="AT24" s="4"/>
    </row>
    <row r="25" spans="2:46" s="2" customFormat="1" ht="108.75" customHeight="1">
      <c r="B25" s="1"/>
      <c r="C25" s="3"/>
      <c r="D25"/>
      <c r="E25"/>
      <c r="F25" s="40"/>
      <c r="G25" s="40"/>
      <c r="H25" s="40"/>
      <c r="I25" s="40"/>
      <c r="J25" s="40"/>
      <c r="K25" s="40"/>
      <c r="L25" s="40"/>
      <c r="M25" s="22"/>
      <c r="N25" s="4"/>
      <c r="O25" s="22"/>
      <c r="P25" s="22"/>
      <c r="Q25" s="4"/>
      <c r="R25" s="22"/>
      <c r="S25" s="22"/>
      <c r="T25" s="4"/>
      <c r="U25" s="22"/>
      <c r="V25" s="22"/>
      <c r="W25" s="4"/>
      <c r="X25" s="22"/>
      <c r="Y25" s="22"/>
      <c r="Z25" s="4"/>
      <c r="AA25" s="22"/>
      <c r="AB25" s="22"/>
      <c r="AC25" s="4"/>
      <c r="AD25" s="22"/>
      <c r="AE25" s="22"/>
      <c r="AF25" s="4"/>
      <c r="AG25" s="22"/>
      <c r="AH25" s="22"/>
      <c r="AI25" s="4"/>
      <c r="AJ25" s="22"/>
      <c r="AK25" s="22"/>
      <c r="AL25" s="4"/>
      <c r="AM25" s="22"/>
      <c r="AN25" s="22"/>
      <c r="AO25" s="4"/>
      <c r="AP25" s="4"/>
      <c r="AQ25" s="4"/>
      <c r="AR25" s="22"/>
      <c r="AS25" s="22"/>
      <c r="AT25" s="4"/>
    </row>
    <row r="26" spans="2:46" s="2" customFormat="1" ht="108.75" customHeight="1">
      <c r="B26" s="1"/>
      <c r="C26" s="3"/>
      <c r="D26"/>
      <c r="E26"/>
      <c r="F26" s="40"/>
      <c r="G26" s="40"/>
      <c r="H26" s="40"/>
      <c r="I26" s="40"/>
      <c r="J26" s="40"/>
      <c r="K26" s="40"/>
      <c r="L26" s="40"/>
      <c r="M26" s="22"/>
      <c r="N26" s="4"/>
      <c r="O26" s="22"/>
      <c r="P26" s="22"/>
      <c r="Q26" s="4"/>
      <c r="R26" s="22"/>
      <c r="S26" s="22"/>
      <c r="T26" s="4"/>
      <c r="U26" s="22"/>
      <c r="V26" s="22"/>
      <c r="W26" s="4"/>
      <c r="X26" s="22"/>
      <c r="Y26" s="22"/>
      <c r="Z26" s="4"/>
      <c r="AA26" s="22"/>
      <c r="AB26" s="22"/>
      <c r="AC26" s="4"/>
      <c r="AD26" s="22"/>
      <c r="AE26" s="22"/>
      <c r="AF26" s="4"/>
      <c r="AG26" s="22"/>
      <c r="AH26" s="22"/>
      <c r="AI26" s="4"/>
      <c r="AJ26" s="22"/>
      <c r="AK26" s="22"/>
      <c r="AL26" s="4"/>
      <c r="AM26" s="22"/>
      <c r="AN26" s="22"/>
      <c r="AO26" s="4"/>
      <c r="AP26" s="4"/>
      <c r="AQ26" s="4"/>
      <c r="AR26" s="22"/>
      <c r="AS26" s="22"/>
      <c r="AT26" s="4"/>
    </row>
    <row r="27" spans="2:46" s="2" customFormat="1" ht="108.75" customHeight="1">
      <c r="B27" s="1"/>
      <c r="C27" s="3"/>
      <c r="D27"/>
      <c r="E27"/>
      <c r="F27" s="40"/>
      <c r="G27" s="40"/>
      <c r="H27" s="40"/>
      <c r="I27" s="40"/>
      <c r="J27" s="40"/>
      <c r="K27" s="40"/>
      <c r="L27" s="40"/>
      <c r="M27" s="22"/>
      <c r="N27" s="4"/>
      <c r="O27" s="22"/>
      <c r="P27" s="22"/>
      <c r="Q27" s="4"/>
      <c r="R27" s="22"/>
      <c r="S27" s="22"/>
      <c r="T27" s="4"/>
      <c r="U27" s="22"/>
      <c r="V27" s="22"/>
      <c r="W27" s="4"/>
      <c r="X27" s="22"/>
      <c r="Y27" s="22"/>
      <c r="Z27" s="4"/>
      <c r="AA27" s="22"/>
      <c r="AB27" s="22"/>
      <c r="AC27" s="4"/>
      <c r="AD27" s="22"/>
      <c r="AE27" s="22"/>
      <c r="AF27" s="4"/>
      <c r="AG27" s="22"/>
      <c r="AH27" s="22"/>
      <c r="AI27" s="4"/>
      <c r="AJ27" s="22"/>
      <c r="AK27" s="22"/>
      <c r="AL27" s="4"/>
      <c r="AM27" s="22"/>
      <c r="AN27" s="22"/>
      <c r="AO27" s="4"/>
      <c r="AP27" s="4"/>
      <c r="AQ27" s="4"/>
      <c r="AR27" s="22"/>
      <c r="AS27" s="22"/>
      <c r="AT27" s="4"/>
    </row>
    <row r="28" spans="2:46" s="2" customFormat="1" ht="108.75" customHeight="1">
      <c r="B28" s="1"/>
      <c r="C28" s="3"/>
      <c r="D28"/>
      <c r="E28"/>
      <c r="F28" s="40"/>
      <c r="G28" s="40"/>
      <c r="H28" s="40"/>
      <c r="I28" s="40"/>
      <c r="J28" s="40"/>
      <c r="K28" s="40"/>
      <c r="L28" s="40"/>
      <c r="M28" s="22"/>
      <c r="N28" s="4"/>
      <c r="O28" s="22"/>
      <c r="P28" s="22"/>
      <c r="Q28" s="4"/>
      <c r="R28" s="22"/>
      <c r="S28" s="22"/>
      <c r="T28" s="4"/>
      <c r="U28" s="22"/>
      <c r="V28" s="22"/>
      <c r="W28" s="4"/>
      <c r="X28" s="22"/>
      <c r="Y28" s="22"/>
      <c r="Z28" s="4"/>
      <c r="AA28" s="22"/>
      <c r="AB28" s="22"/>
      <c r="AC28" s="4"/>
      <c r="AD28" s="22"/>
      <c r="AE28" s="22"/>
      <c r="AF28" s="4"/>
      <c r="AG28" s="22"/>
      <c r="AH28" s="22"/>
      <c r="AI28" s="4"/>
      <c r="AJ28" s="22"/>
      <c r="AK28" s="22"/>
      <c r="AL28" s="4"/>
      <c r="AM28" s="22"/>
      <c r="AN28" s="22"/>
      <c r="AO28" s="4"/>
      <c r="AP28" s="4"/>
      <c r="AQ28" s="4"/>
      <c r="AR28" s="22"/>
      <c r="AS28" s="22"/>
      <c r="AT28" s="4"/>
    </row>
    <row r="29" spans="2:46" s="2" customFormat="1" ht="96" customHeight="1">
      <c r="B29" s="1"/>
      <c r="C29" s="3"/>
      <c r="D29"/>
      <c r="E29"/>
      <c r="F29" s="40"/>
      <c r="G29" s="40"/>
      <c r="H29" s="40"/>
      <c r="I29" s="40"/>
      <c r="J29" s="40"/>
      <c r="K29" s="40"/>
      <c r="L29" s="40"/>
      <c r="M29" s="22"/>
      <c r="N29" s="4"/>
      <c r="O29" s="22"/>
      <c r="P29" s="22"/>
      <c r="Q29" s="4"/>
      <c r="R29" s="22"/>
      <c r="S29" s="22"/>
      <c r="T29" s="4"/>
      <c r="U29" s="22"/>
      <c r="V29" s="22"/>
      <c r="W29" s="4"/>
      <c r="X29" s="22"/>
      <c r="Y29" s="22"/>
      <c r="Z29" s="4"/>
      <c r="AA29" s="22"/>
      <c r="AB29" s="22"/>
      <c r="AC29" s="4"/>
      <c r="AD29" s="22"/>
      <c r="AE29" s="22"/>
      <c r="AF29" s="4"/>
      <c r="AG29" s="22"/>
      <c r="AH29" s="22"/>
      <c r="AI29" s="4"/>
      <c r="AJ29" s="22"/>
      <c r="AK29" s="22"/>
      <c r="AL29" s="4"/>
      <c r="AM29" s="22"/>
      <c r="AN29" s="22"/>
      <c r="AO29" s="4"/>
      <c r="AP29" s="4"/>
      <c r="AQ29" s="4"/>
      <c r="AR29" s="22"/>
      <c r="AS29" s="22"/>
      <c r="AT29" s="4"/>
    </row>
    <row r="30" spans="2:46" s="2" customFormat="1" ht="120.75" customHeight="1">
      <c r="B30" s="1"/>
      <c r="C30" s="3"/>
      <c r="D30"/>
      <c r="E30"/>
      <c r="F30" s="40"/>
      <c r="G30" s="40"/>
      <c r="H30" s="40"/>
      <c r="I30" s="40"/>
      <c r="J30" s="40"/>
      <c r="K30" s="40"/>
      <c r="L30" s="40"/>
      <c r="M30" s="22"/>
      <c r="N30" s="4"/>
      <c r="O30" s="22"/>
      <c r="P30" s="22"/>
      <c r="Q30" s="4"/>
      <c r="R30" s="22"/>
      <c r="S30" s="22"/>
      <c r="T30" s="4"/>
      <c r="U30" s="22"/>
      <c r="V30" s="22"/>
      <c r="W30" s="4"/>
      <c r="X30" s="22"/>
      <c r="Y30" s="22"/>
      <c r="Z30" s="4"/>
      <c r="AA30" s="22"/>
      <c r="AB30" s="22"/>
      <c r="AC30" s="4"/>
      <c r="AD30" s="22"/>
      <c r="AE30" s="22"/>
      <c r="AF30" s="4"/>
      <c r="AG30" s="22"/>
      <c r="AH30" s="22"/>
      <c r="AI30" s="4"/>
      <c r="AJ30" s="22"/>
      <c r="AK30" s="22"/>
      <c r="AL30" s="4"/>
      <c r="AM30" s="22"/>
      <c r="AN30" s="22"/>
      <c r="AO30" s="4"/>
      <c r="AP30" s="4"/>
      <c r="AQ30" s="4"/>
      <c r="AR30" s="22"/>
      <c r="AS30" s="22"/>
      <c r="AT30" s="4"/>
    </row>
    <row r="31" spans="2:46" s="2" customFormat="1" ht="291" customHeight="1">
      <c r="B31" s="1"/>
      <c r="C31" s="3"/>
      <c r="D31"/>
      <c r="E31"/>
      <c r="F31" s="40"/>
      <c r="G31" s="40"/>
      <c r="H31" s="40"/>
      <c r="I31" s="40"/>
      <c r="J31" s="40"/>
      <c r="K31" s="40"/>
      <c r="L31" s="40"/>
      <c r="M31" s="22"/>
      <c r="N31" s="4"/>
      <c r="O31" s="22"/>
      <c r="P31" s="22"/>
      <c r="Q31" s="4"/>
      <c r="R31" s="22"/>
      <c r="S31" s="22"/>
      <c r="T31" s="4"/>
      <c r="U31" s="22"/>
      <c r="V31" s="22"/>
      <c r="W31" s="4"/>
      <c r="X31" s="22"/>
      <c r="Y31" s="22"/>
      <c r="Z31" s="4"/>
      <c r="AA31" s="22"/>
      <c r="AB31" s="22"/>
      <c r="AC31" s="4"/>
      <c r="AD31" s="22"/>
      <c r="AE31" s="22"/>
      <c r="AF31" s="4"/>
      <c r="AG31" s="22"/>
      <c r="AH31" s="22"/>
      <c r="AI31" s="4"/>
      <c r="AJ31" s="22"/>
      <c r="AK31" s="22"/>
      <c r="AL31" s="4"/>
      <c r="AM31" s="22"/>
      <c r="AN31" s="22"/>
      <c r="AO31" s="4"/>
      <c r="AP31" s="4"/>
      <c r="AQ31" s="4"/>
      <c r="AR31" s="22"/>
      <c r="AS31" s="22"/>
      <c r="AT31" s="4"/>
    </row>
    <row r="32" spans="2:46" s="2" customFormat="1" ht="226.15" customHeight="1">
      <c r="B32" s="1"/>
      <c r="C32" s="3"/>
      <c r="D32"/>
      <c r="E32"/>
      <c r="F32" s="40"/>
      <c r="G32" s="40"/>
      <c r="H32" s="40"/>
      <c r="I32" s="40"/>
      <c r="J32" s="40"/>
      <c r="K32" s="40"/>
      <c r="L32" s="40"/>
      <c r="M32" s="22"/>
      <c r="N32" s="4"/>
      <c r="O32" s="22"/>
      <c r="P32" s="22"/>
      <c r="Q32" s="4"/>
      <c r="R32" s="22"/>
      <c r="S32" s="22"/>
      <c r="T32" s="4"/>
      <c r="U32" s="22"/>
      <c r="V32" s="22"/>
      <c r="W32" s="4"/>
      <c r="X32" s="22"/>
      <c r="Y32" s="22"/>
      <c r="Z32" s="4"/>
      <c r="AA32" s="22"/>
      <c r="AB32" s="22"/>
      <c r="AC32" s="4"/>
      <c r="AD32" s="22"/>
      <c r="AE32" s="22"/>
      <c r="AF32" s="4"/>
      <c r="AG32" s="22"/>
      <c r="AH32" s="22"/>
      <c r="AI32" s="4"/>
      <c r="AJ32" s="22"/>
      <c r="AK32" s="22"/>
      <c r="AL32" s="4"/>
      <c r="AM32" s="22"/>
      <c r="AN32" s="22"/>
      <c r="AO32" s="4"/>
      <c r="AP32" s="4"/>
      <c r="AQ32" s="4"/>
      <c r="AR32" s="22"/>
      <c r="AS32" s="22"/>
      <c r="AT32" s="4"/>
    </row>
    <row r="33" spans="2:46" s="2" customFormat="1" ht="148.5" customHeight="1">
      <c r="B33" s="1"/>
      <c r="C33" s="3"/>
      <c r="D33"/>
      <c r="E33"/>
      <c r="F33" s="40"/>
      <c r="G33" s="40"/>
      <c r="H33" s="40"/>
      <c r="I33" s="40"/>
      <c r="J33" s="40"/>
      <c r="K33" s="40"/>
      <c r="L33" s="40"/>
      <c r="M33" s="22"/>
      <c r="N33" s="4"/>
      <c r="O33" s="22"/>
      <c r="P33" s="22"/>
      <c r="Q33" s="4"/>
      <c r="R33" s="22"/>
      <c r="S33" s="22"/>
      <c r="T33" s="4"/>
      <c r="U33" s="22"/>
      <c r="V33" s="22"/>
      <c r="W33" s="4"/>
      <c r="X33" s="22"/>
      <c r="Y33" s="22"/>
      <c r="Z33" s="4"/>
      <c r="AA33" s="22"/>
      <c r="AB33" s="22"/>
      <c r="AC33" s="4"/>
      <c r="AD33" s="22"/>
      <c r="AE33" s="22"/>
      <c r="AF33" s="4"/>
      <c r="AG33" s="22"/>
      <c r="AH33" s="22"/>
      <c r="AI33" s="4"/>
      <c r="AJ33" s="22"/>
      <c r="AK33" s="22"/>
      <c r="AL33" s="4"/>
      <c r="AM33" s="22"/>
      <c r="AN33" s="22"/>
      <c r="AO33" s="4"/>
      <c r="AP33" s="4"/>
      <c r="AQ33" s="4"/>
      <c r="AR33" s="22"/>
      <c r="AS33" s="22"/>
      <c r="AT33" s="4"/>
    </row>
    <row r="34" spans="2:46" s="2" customFormat="1" ht="124.5" customHeight="1">
      <c r="B34" s="1"/>
      <c r="C34" s="3"/>
      <c r="D34"/>
      <c r="E34"/>
      <c r="F34" s="40"/>
      <c r="G34" s="40"/>
      <c r="H34" s="40"/>
      <c r="I34" s="40"/>
      <c r="J34" s="40"/>
      <c r="K34" s="40"/>
      <c r="L34" s="40"/>
      <c r="M34" s="22"/>
      <c r="N34" s="4"/>
      <c r="O34" s="22"/>
      <c r="P34" s="22"/>
      <c r="Q34" s="4"/>
      <c r="R34" s="22"/>
      <c r="S34" s="22"/>
      <c r="T34" s="4"/>
      <c r="U34" s="22"/>
      <c r="V34" s="22"/>
      <c r="W34" s="4"/>
      <c r="X34" s="22"/>
      <c r="Y34" s="22"/>
      <c r="Z34" s="4"/>
      <c r="AA34" s="22"/>
      <c r="AB34" s="22"/>
      <c r="AC34" s="4"/>
      <c r="AD34" s="22"/>
      <c r="AE34" s="22"/>
      <c r="AF34" s="4"/>
      <c r="AG34" s="22"/>
      <c r="AH34" s="22"/>
      <c r="AI34" s="4"/>
      <c r="AJ34" s="22"/>
      <c r="AK34" s="22"/>
      <c r="AL34" s="4"/>
      <c r="AM34" s="22"/>
      <c r="AN34" s="22"/>
      <c r="AO34" s="4"/>
      <c r="AP34" s="4"/>
      <c r="AQ34" s="4"/>
      <c r="AR34" s="22"/>
      <c r="AS34" s="22"/>
      <c r="AT34" s="4"/>
    </row>
    <row r="35" spans="2:46" s="2" customFormat="1" ht="96.75" customHeight="1">
      <c r="B35" s="1"/>
      <c r="C35" s="3"/>
      <c r="D35"/>
      <c r="E35"/>
      <c r="F35" s="40"/>
      <c r="G35" s="40"/>
      <c r="H35" s="40"/>
      <c r="I35" s="40"/>
      <c r="J35" s="40"/>
      <c r="K35" s="40"/>
      <c r="L35" s="40"/>
      <c r="M35" s="22"/>
      <c r="N35" s="4"/>
      <c r="O35" s="22"/>
      <c r="P35" s="22"/>
      <c r="Q35" s="4"/>
      <c r="R35" s="22"/>
      <c r="S35" s="22"/>
      <c r="T35" s="4"/>
      <c r="U35" s="22"/>
      <c r="V35" s="22"/>
      <c r="W35" s="4"/>
      <c r="X35" s="22"/>
      <c r="Y35" s="22"/>
      <c r="Z35" s="4"/>
      <c r="AA35" s="22"/>
      <c r="AB35" s="22"/>
      <c r="AC35" s="4"/>
      <c r="AD35" s="22"/>
      <c r="AE35" s="22"/>
      <c r="AF35" s="4"/>
      <c r="AG35" s="22"/>
      <c r="AH35" s="22"/>
      <c r="AI35" s="4"/>
      <c r="AJ35" s="22"/>
      <c r="AK35" s="22"/>
      <c r="AL35" s="4"/>
      <c r="AM35" s="22"/>
      <c r="AN35" s="22"/>
      <c r="AO35" s="4"/>
      <c r="AP35" s="4"/>
      <c r="AQ35" s="4"/>
      <c r="AR35" s="22"/>
      <c r="AS35" s="22"/>
      <c r="AT35" s="4"/>
    </row>
    <row r="36" spans="2:46" s="2" customFormat="1" ht="137.25" customHeight="1">
      <c r="B36" s="1"/>
      <c r="C36" s="3"/>
      <c r="D36"/>
      <c r="E36"/>
      <c r="F36" s="40"/>
      <c r="G36" s="40"/>
      <c r="H36" s="40"/>
      <c r="I36" s="40"/>
      <c r="J36" s="40"/>
      <c r="K36" s="40"/>
      <c r="L36" s="40"/>
      <c r="M36" s="22"/>
      <c r="N36" s="4"/>
      <c r="O36" s="22"/>
      <c r="P36" s="22"/>
      <c r="Q36" s="4"/>
      <c r="R36" s="22"/>
      <c r="S36" s="22"/>
      <c r="T36" s="4"/>
      <c r="U36" s="22"/>
      <c r="V36" s="22"/>
      <c r="W36" s="4"/>
      <c r="X36" s="32"/>
      <c r="Y36" s="22"/>
      <c r="Z36" s="4"/>
      <c r="AA36" s="32"/>
      <c r="AB36" s="22"/>
      <c r="AC36" s="4"/>
      <c r="AD36" s="22"/>
      <c r="AE36" s="22"/>
      <c r="AF36" s="4"/>
      <c r="AG36" s="22"/>
      <c r="AH36" s="22"/>
      <c r="AI36" s="4"/>
      <c r="AJ36" s="22"/>
      <c r="AK36" s="22"/>
      <c r="AL36" s="4"/>
      <c r="AM36" s="22"/>
      <c r="AN36" s="22"/>
      <c r="AO36" s="4"/>
      <c r="AP36" s="4"/>
      <c r="AQ36" s="4"/>
      <c r="AR36" s="22"/>
      <c r="AS36" s="22"/>
      <c r="AT36" s="4"/>
    </row>
    <row r="37" spans="2:46" s="2" customFormat="1" ht="143.25" customHeight="1">
      <c r="B37" s="1"/>
      <c r="C37" s="3"/>
      <c r="D37"/>
      <c r="E37"/>
      <c r="F37" s="40"/>
      <c r="G37" s="40"/>
      <c r="H37" s="40"/>
      <c r="I37" s="40"/>
      <c r="J37" s="40"/>
      <c r="K37" s="40"/>
      <c r="L37" s="40"/>
      <c r="M37" s="22"/>
      <c r="N37" s="4"/>
      <c r="O37" s="22"/>
      <c r="P37" s="22"/>
      <c r="Q37" s="4"/>
      <c r="R37" s="22"/>
      <c r="S37" s="22"/>
      <c r="T37" s="4"/>
      <c r="U37" s="22"/>
      <c r="V37" s="22"/>
      <c r="W37" s="4"/>
      <c r="X37" s="22"/>
      <c r="Y37" s="22"/>
      <c r="Z37" s="4"/>
      <c r="AA37" s="22"/>
      <c r="AB37" s="22"/>
      <c r="AC37" s="4"/>
      <c r="AD37" s="22"/>
      <c r="AE37" s="22"/>
      <c r="AF37" s="4"/>
      <c r="AG37" s="22"/>
      <c r="AH37" s="22"/>
      <c r="AI37" s="4"/>
      <c r="AJ37" s="22"/>
      <c r="AK37" s="22"/>
      <c r="AL37" s="4"/>
      <c r="AM37" s="22"/>
      <c r="AN37" s="22"/>
      <c r="AO37" s="4"/>
      <c r="AP37" s="4"/>
      <c r="AQ37" s="4"/>
      <c r="AR37" s="22"/>
      <c r="AS37" s="22"/>
      <c r="AT37" s="4"/>
    </row>
    <row r="38" spans="2:46" s="2" customFormat="1" ht="147" customHeight="1">
      <c r="B38" s="1"/>
      <c r="C38" s="3"/>
      <c r="D38"/>
      <c r="E38"/>
      <c r="F38" s="40"/>
      <c r="G38" s="40"/>
      <c r="H38" s="40"/>
      <c r="I38" s="40"/>
      <c r="J38" s="40"/>
      <c r="K38" s="40"/>
      <c r="L38" s="40"/>
      <c r="M38" s="22"/>
      <c r="N38" s="4"/>
      <c r="O38" s="22"/>
      <c r="P38" s="22"/>
      <c r="Q38" s="4"/>
      <c r="R38" s="22"/>
      <c r="S38" s="22"/>
      <c r="T38" s="4"/>
      <c r="U38" s="22"/>
      <c r="V38" s="22"/>
      <c r="W38" s="4"/>
      <c r="X38" s="22"/>
      <c r="Y38" s="22"/>
      <c r="Z38" s="4"/>
      <c r="AA38" s="22"/>
      <c r="AB38" s="22"/>
      <c r="AC38" s="4"/>
      <c r="AD38" s="22"/>
      <c r="AE38" s="22"/>
      <c r="AF38" s="4"/>
      <c r="AG38" s="22"/>
      <c r="AH38" s="22"/>
      <c r="AI38" s="4"/>
      <c r="AJ38" s="22"/>
      <c r="AK38" s="22"/>
      <c r="AL38" s="4"/>
      <c r="AM38" s="22"/>
      <c r="AN38" s="22"/>
      <c r="AO38" s="4"/>
      <c r="AP38" s="4"/>
      <c r="AQ38" s="4"/>
      <c r="AR38" s="22"/>
      <c r="AS38" s="22"/>
      <c r="AT38" s="4"/>
    </row>
    <row r="39" spans="2:46" s="2" customFormat="1" ht="148.5" customHeight="1">
      <c r="B39" s="1"/>
      <c r="C39" s="3"/>
      <c r="D39"/>
      <c r="E39"/>
      <c r="F39" s="40"/>
      <c r="G39" s="40"/>
      <c r="H39" s="40"/>
      <c r="I39" s="40"/>
      <c r="J39" s="40"/>
      <c r="K39" s="40"/>
      <c r="L39" s="40"/>
      <c r="M39" s="22"/>
      <c r="N39" s="4"/>
      <c r="O39" s="22"/>
      <c r="P39" s="22"/>
      <c r="Q39" s="4"/>
      <c r="R39" s="22"/>
      <c r="S39" s="22"/>
      <c r="T39" s="4"/>
      <c r="U39" s="22"/>
      <c r="V39" s="22"/>
      <c r="W39" s="4"/>
      <c r="X39" s="22"/>
      <c r="Y39" s="22"/>
      <c r="Z39" s="4"/>
      <c r="AA39" s="22"/>
      <c r="AB39" s="22"/>
      <c r="AC39" s="4"/>
      <c r="AD39" s="22"/>
      <c r="AE39" s="22"/>
      <c r="AF39" s="4"/>
      <c r="AG39" s="22"/>
      <c r="AH39" s="22"/>
      <c r="AI39" s="4"/>
      <c r="AJ39" s="22"/>
      <c r="AK39" s="22"/>
      <c r="AL39" s="4"/>
      <c r="AM39" s="22"/>
      <c r="AN39" s="22"/>
      <c r="AO39" s="4"/>
      <c r="AP39" s="4"/>
      <c r="AQ39" s="4"/>
      <c r="AR39" s="22"/>
      <c r="AS39" s="22"/>
      <c r="AT39" s="4"/>
    </row>
    <row r="40" spans="2:46" s="2" customFormat="1" ht="150" customHeight="1">
      <c r="B40" s="1"/>
      <c r="C40" s="3"/>
      <c r="D40"/>
      <c r="E40"/>
      <c r="F40" s="40"/>
      <c r="G40" s="40"/>
      <c r="H40" s="40"/>
      <c r="I40" s="40"/>
      <c r="J40" s="40"/>
      <c r="K40" s="40"/>
      <c r="L40" s="40"/>
      <c r="M40" s="22"/>
      <c r="N40" s="4"/>
      <c r="O40" s="22"/>
      <c r="P40" s="22"/>
      <c r="Q40" s="4"/>
      <c r="R40" s="22"/>
      <c r="S40" s="22"/>
      <c r="T40" s="4"/>
      <c r="U40" s="22"/>
      <c r="V40" s="22"/>
      <c r="W40" s="4"/>
      <c r="X40" s="22"/>
      <c r="Y40" s="22"/>
      <c r="Z40" s="4"/>
      <c r="AA40" s="22"/>
      <c r="AB40" s="22"/>
      <c r="AC40" s="4"/>
      <c r="AD40" s="22"/>
      <c r="AE40" s="22"/>
      <c r="AF40" s="4"/>
      <c r="AG40" s="22"/>
      <c r="AH40" s="22"/>
      <c r="AI40" s="4"/>
      <c r="AJ40" s="22"/>
      <c r="AK40" s="22"/>
      <c r="AL40" s="4"/>
      <c r="AM40" s="22"/>
      <c r="AN40" s="22"/>
      <c r="AO40" s="4"/>
      <c r="AP40" s="4"/>
      <c r="AQ40" s="4"/>
      <c r="AR40" s="22"/>
      <c r="AS40" s="22"/>
      <c r="AT40" s="4"/>
    </row>
    <row r="41" spans="2:46" s="2" customFormat="1" ht="220.5" customHeight="1">
      <c r="B41" s="1"/>
      <c r="C41" s="3"/>
      <c r="D41"/>
      <c r="E41"/>
      <c r="F41" s="40"/>
      <c r="G41" s="40"/>
      <c r="H41" s="40"/>
      <c r="I41" s="40"/>
      <c r="J41" s="40"/>
      <c r="K41" s="40"/>
      <c r="L41" s="40"/>
      <c r="M41" s="22"/>
      <c r="N41" s="4"/>
      <c r="O41" s="22"/>
      <c r="P41" s="22"/>
      <c r="Q41" s="4"/>
      <c r="R41" s="22"/>
      <c r="S41" s="22"/>
      <c r="T41" s="4"/>
      <c r="U41" s="22"/>
      <c r="V41" s="22"/>
      <c r="W41" s="4"/>
      <c r="X41" s="22"/>
      <c r="Y41" s="22"/>
      <c r="Z41" s="4"/>
      <c r="AA41" s="22"/>
      <c r="AB41" s="22"/>
      <c r="AC41" s="4"/>
      <c r="AD41" s="22"/>
      <c r="AE41" s="22"/>
      <c r="AF41" s="4"/>
      <c r="AG41" s="22"/>
      <c r="AH41" s="22"/>
      <c r="AI41" s="4"/>
      <c r="AJ41" s="22"/>
      <c r="AK41" s="22"/>
      <c r="AL41" s="4"/>
      <c r="AM41" s="22"/>
      <c r="AN41" s="22"/>
      <c r="AO41" s="4"/>
      <c r="AP41" s="4"/>
      <c r="AQ41" s="4"/>
      <c r="AR41" s="22"/>
      <c r="AS41" s="22"/>
      <c r="AT41" s="4"/>
    </row>
    <row r="42" spans="2:46" s="2" customFormat="1" ht="113.25" customHeight="1">
      <c r="B42" s="1"/>
      <c r="C42" s="3"/>
      <c r="D42"/>
      <c r="E42"/>
      <c r="F42" s="40"/>
      <c r="G42" s="40"/>
      <c r="H42" s="40"/>
      <c r="I42" s="40"/>
      <c r="J42" s="40"/>
      <c r="K42" s="40"/>
      <c r="L42" s="40"/>
      <c r="M42" s="22"/>
      <c r="N42" s="4"/>
      <c r="O42" s="22"/>
      <c r="P42" s="22"/>
      <c r="Q42" s="4"/>
      <c r="R42" s="22"/>
      <c r="S42" s="22"/>
      <c r="T42" s="4"/>
      <c r="U42" s="22"/>
      <c r="V42" s="22"/>
      <c r="W42" s="4"/>
      <c r="X42" s="22"/>
      <c r="Y42" s="22"/>
      <c r="Z42" s="4"/>
      <c r="AA42" s="22"/>
      <c r="AB42" s="22"/>
      <c r="AC42" s="4"/>
      <c r="AD42" s="22"/>
      <c r="AE42" s="22"/>
      <c r="AF42" s="4"/>
      <c r="AG42" s="22"/>
      <c r="AH42" s="22"/>
      <c r="AI42" s="4"/>
      <c r="AJ42" s="22"/>
      <c r="AK42" s="22"/>
      <c r="AL42" s="4"/>
      <c r="AM42" s="22"/>
      <c r="AN42" s="22"/>
      <c r="AO42" s="4"/>
      <c r="AP42" s="4"/>
      <c r="AQ42" s="4"/>
      <c r="AR42" s="22"/>
      <c r="AS42" s="22"/>
      <c r="AT42" s="4"/>
    </row>
    <row r="43" spans="2:46" s="2" customFormat="1" ht="97.5" customHeight="1">
      <c r="B43" s="1"/>
      <c r="C43" s="3"/>
      <c r="D43"/>
      <c r="E43"/>
      <c r="F43" s="40"/>
      <c r="G43" s="40"/>
      <c r="H43" s="40"/>
      <c r="I43" s="40"/>
      <c r="J43" s="40"/>
      <c r="K43" s="40"/>
      <c r="L43" s="40"/>
      <c r="M43" s="22"/>
      <c r="N43" s="4"/>
      <c r="O43" s="22"/>
      <c r="P43" s="22"/>
      <c r="Q43" s="4"/>
      <c r="R43" s="22"/>
      <c r="S43" s="22"/>
      <c r="T43" s="4"/>
      <c r="U43" s="22"/>
      <c r="V43" s="22"/>
      <c r="W43" s="4"/>
      <c r="X43" s="22"/>
      <c r="Y43" s="22"/>
      <c r="Z43" s="4"/>
      <c r="AA43" s="22"/>
      <c r="AB43" s="22"/>
      <c r="AC43" s="4"/>
      <c r="AD43" s="22"/>
      <c r="AE43" s="22"/>
      <c r="AF43" s="4"/>
      <c r="AG43" s="22"/>
      <c r="AH43" s="22"/>
      <c r="AI43" s="4"/>
      <c r="AJ43" s="22"/>
      <c r="AK43" s="22"/>
      <c r="AL43" s="4"/>
      <c r="AM43" s="22"/>
      <c r="AN43" s="22"/>
      <c r="AO43" s="4"/>
      <c r="AP43" s="4"/>
      <c r="AQ43" s="4"/>
      <c r="AR43" s="22"/>
      <c r="AS43" s="22"/>
      <c r="AT43" s="4"/>
    </row>
    <row r="44" spans="2:46" s="2" customFormat="1" ht="201" customHeight="1">
      <c r="B44" s="1"/>
      <c r="C44" s="3"/>
      <c r="D44"/>
      <c r="E44"/>
      <c r="F44" s="40"/>
      <c r="G44" s="40"/>
      <c r="H44" s="40"/>
      <c r="I44" s="40"/>
      <c r="J44" s="40"/>
      <c r="K44" s="40"/>
      <c r="L44" s="40"/>
      <c r="M44" s="22"/>
      <c r="N44" s="4"/>
      <c r="O44" s="22"/>
      <c r="P44" s="22"/>
      <c r="Q44" s="4"/>
      <c r="R44" s="22"/>
      <c r="S44" s="22"/>
      <c r="T44" s="4"/>
      <c r="U44" s="22"/>
      <c r="V44" s="22"/>
      <c r="W44" s="4"/>
      <c r="X44" s="22"/>
      <c r="Y44" s="22"/>
      <c r="Z44" s="4"/>
      <c r="AA44" s="22"/>
      <c r="AB44" s="22"/>
      <c r="AC44" s="4"/>
      <c r="AD44" s="22"/>
      <c r="AE44" s="22"/>
      <c r="AF44" s="4"/>
      <c r="AG44" s="22"/>
      <c r="AH44" s="22"/>
      <c r="AI44" s="4"/>
      <c r="AJ44" s="22"/>
      <c r="AK44" s="22"/>
      <c r="AL44" s="4"/>
      <c r="AM44" s="22"/>
      <c r="AN44" s="22"/>
      <c r="AO44" s="4"/>
      <c r="AP44" s="4"/>
      <c r="AQ44" s="4"/>
      <c r="AR44" s="22"/>
      <c r="AS44" s="22"/>
      <c r="AT44" s="4"/>
    </row>
    <row r="45" spans="2:46" s="2" customFormat="1" ht="125.25" customHeight="1">
      <c r="B45" s="1"/>
      <c r="C45" s="3"/>
      <c r="D45"/>
      <c r="E45"/>
      <c r="F45" s="40"/>
      <c r="G45" s="40"/>
      <c r="H45" s="40"/>
      <c r="I45" s="40"/>
      <c r="J45" s="40"/>
      <c r="K45" s="40"/>
      <c r="L45" s="40"/>
      <c r="M45" s="22"/>
      <c r="N45" s="4"/>
      <c r="O45" s="22"/>
      <c r="P45" s="22"/>
      <c r="Q45" s="4"/>
      <c r="R45" s="22"/>
      <c r="S45" s="22"/>
      <c r="T45" s="4"/>
      <c r="U45" s="22"/>
      <c r="V45" s="22"/>
      <c r="W45" s="4"/>
      <c r="X45" s="22"/>
      <c r="Y45" s="22"/>
      <c r="Z45" s="4"/>
      <c r="AA45" s="22"/>
      <c r="AB45" s="22"/>
      <c r="AC45" s="4"/>
      <c r="AD45" s="22"/>
      <c r="AE45" s="22"/>
      <c r="AF45" s="4"/>
      <c r="AG45" s="22"/>
      <c r="AH45" s="22"/>
      <c r="AI45" s="4"/>
      <c r="AJ45" s="22"/>
      <c r="AK45" s="22"/>
      <c r="AL45" s="4"/>
      <c r="AM45" s="22"/>
      <c r="AN45" s="22"/>
      <c r="AO45" s="4"/>
      <c r="AP45" s="4"/>
      <c r="AQ45" s="4"/>
      <c r="AR45" s="22"/>
      <c r="AS45" s="22"/>
      <c r="AT45" s="4"/>
    </row>
    <row r="46" spans="2:46" s="2" customFormat="1" ht="138.75" customHeight="1">
      <c r="B46" s="1"/>
      <c r="C46" s="3"/>
      <c r="D46"/>
      <c r="E46"/>
      <c r="F46" s="40"/>
      <c r="G46" s="40"/>
      <c r="H46" s="40"/>
      <c r="I46" s="40"/>
      <c r="J46" s="40"/>
      <c r="K46" s="40"/>
      <c r="L46" s="40"/>
      <c r="M46" s="22"/>
      <c r="N46" s="4"/>
      <c r="O46" s="22"/>
      <c r="P46" s="22"/>
      <c r="Q46" s="4"/>
      <c r="R46" s="22"/>
      <c r="S46" s="22"/>
      <c r="T46" s="4"/>
      <c r="U46" s="22"/>
      <c r="V46" s="22"/>
      <c r="W46" s="4"/>
      <c r="X46" s="22"/>
      <c r="Y46" s="22"/>
      <c r="Z46" s="4"/>
      <c r="AA46" s="22"/>
      <c r="AB46" s="22"/>
      <c r="AC46" s="4"/>
      <c r="AD46" s="22"/>
      <c r="AE46" s="22"/>
      <c r="AF46" s="4"/>
      <c r="AG46" s="22"/>
      <c r="AH46" s="22"/>
      <c r="AI46" s="4"/>
      <c r="AJ46" s="22"/>
      <c r="AK46" s="22"/>
      <c r="AL46" s="4"/>
      <c r="AM46" s="22"/>
      <c r="AN46" s="22"/>
      <c r="AO46" s="4"/>
      <c r="AP46" s="4"/>
      <c r="AQ46" s="4"/>
      <c r="AR46" s="22"/>
      <c r="AS46" s="22"/>
      <c r="AT46" s="4"/>
    </row>
    <row r="47" spans="2:46" s="2" customFormat="1" ht="114.75" customHeight="1">
      <c r="B47" s="1"/>
      <c r="C47" s="3"/>
      <c r="D47"/>
      <c r="E47"/>
      <c r="F47" s="40"/>
      <c r="G47" s="40"/>
      <c r="H47" s="40"/>
      <c r="I47" s="40"/>
      <c r="J47" s="40"/>
      <c r="K47" s="40"/>
      <c r="L47" s="40"/>
      <c r="M47" s="22"/>
      <c r="N47" s="4"/>
      <c r="O47" s="22"/>
      <c r="P47" s="22"/>
      <c r="Q47" s="4"/>
      <c r="R47" s="22"/>
      <c r="S47" s="22"/>
      <c r="T47" s="4"/>
      <c r="U47" s="22"/>
      <c r="V47" s="22"/>
      <c r="W47" s="4"/>
      <c r="X47" s="22"/>
      <c r="Y47" s="22"/>
      <c r="Z47" s="4"/>
      <c r="AA47" s="22"/>
      <c r="AB47" s="22"/>
      <c r="AC47" s="4"/>
      <c r="AD47" s="22"/>
      <c r="AE47" s="22"/>
      <c r="AF47" s="4"/>
      <c r="AG47" s="22"/>
      <c r="AH47" s="22"/>
      <c r="AI47" s="4"/>
      <c r="AJ47" s="22"/>
      <c r="AK47" s="22"/>
      <c r="AL47" s="4"/>
      <c r="AM47" s="22"/>
      <c r="AN47" s="22"/>
      <c r="AO47" s="4"/>
      <c r="AP47" s="4"/>
      <c r="AQ47" s="4"/>
      <c r="AR47" s="22"/>
      <c r="AS47" s="22"/>
      <c r="AT47" s="4"/>
    </row>
    <row r="48" spans="2:46" s="2" customFormat="1" ht="137.25" customHeight="1">
      <c r="B48" s="1"/>
      <c r="C48" s="3"/>
      <c r="D48"/>
      <c r="E48"/>
      <c r="F48" s="40"/>
      <c r="G48" s="40"/>
      <c r="H48" s="40"/>
      <c r="I48" s="40"/>
      <c r="J48" s="40"/>
      <c r="K48" s="40"/>
      <c r="L48" s="40"/>
      <c r="M48" s="22"/>
      <c r="N48" s="4"/>
      <c r="O48" s="22"/>
      <c r="P48" s="22"/>
      <c r="Q48" s="4"/>
      <c r="R48" s="22"/>
      <c r="S48" s="22"/>
      <c r="T48" s="4"/>
      <c r="U48" s="22"/>
      <c r="V48" s="22"/>
      <c r="W48" s="4"/>
      <c r="X48" s="22"/>
      <c r="Y48" s="22"/>
      <c r="Z48" s="4"/>
      <c r="AA48" s="22"/>
      <c r="AB48" s="22"/>
      <c r="AC48" s="4"/>
      <c r="AD48" s="22"/>
      <c r="AE48" s="22"/>
      <c r="AF48" s="4"/>
      <c r="AG48" s="22"/>
      <c r="AH48" s="22"/>
      <c r="AI48" s="4"/>
      <c r="AJ48" s="22"/>
      <c r="AK48" s="22"/>
      <c r="AL48" s="4"/>
      <c r="AM48" s="22"/>
      <c r="AN48" s="22"/>
      <c r="AO48" s="4"/>
      <c r="AP48" s="4"/>
      <c r="AQ48" s="4"/>
      <c r="AR48" s="22"/>
      <c r="AS48" s="22"/>
      <c r="AT48" s="4"/>
    </row>
    <row r="49" spans="2:46" s="2" customFormat="1" ht="123.75" customHeight="1">
      <c r="B49" s="1"/>
      <c r="C49" s="3"/>
      <c r="D49"/>
      <c r="E49"/>
      <c r="F49" s="40"/>
      <c r="G49" s="40"/>
      <c r="H49" s="40"/>
      <c r="I49" s="40"/>
      <c r="J49" s="40"/>
      <c r="K49" s="40"/>
      <c r="L49" s="40"/>
      <c r="M49" s="22"/>
      <c r="N49" s="4"/>
      <c r="O49" s="22"/>
      <c r="P49" s="22"/>
      <c r="Q49" s="4"/>
      <c r="R49" s="22"/>
      <c r="S49" s="22"/>
      <c r="T49" s="4"/>
      <c r="U49" s="22"/>
      <c r="V49" s="22"/>
      <c r="W49" s="4"/>
      <c r="X49" s="22"/>
      <c r="Y49" s="22"/>
      <c r="Z49" s="4"/>
      <c r="AA49" s="22"/>
      <c r="AB49" s="22"/>
      <c r="AC49" s="4"/>
      <c r="AD49" s="22"/>
      <c r="AE49" s="22"/>
      <c r="AF49" s="4"/>
      <c r="AG49" s="22"/>
      <c r="AH49" s="22"/>
      <c r="AI49" s="4"/>
      <c r="AJ49" s="22"/>
      <c r="AK49" s="22"/>
      <c r="AL49" s="4"/>
      <c r="AM49" s="22"/>
      <c r="AN49" s="22"/>
      <c r="AO49" s="4"/>
      <c r="AP49" s="4"/>
      <c r="AQ49" s="4"/>
      <c r="AR49" s="22"/>
      <c r="AS49" s="22"/>
      <c r="AT49" s="4"/>
    </row>
    <row r="50" spans="2:46" s="2" customFormat="1" ht="100.5" customHeight="1">
      <c r="B50" s="1"/>
      <c r="C50" s="3"/>
      <c r="D50"/>
      <c r="E50"/>
      <c r="F50" s="40"/>
      <c r="G50" s="40"/>
      <c r="H50" s="40"/>
      <c r="I50" s="40"/>
      <c r="J50" s="40"/>
      <c r="K50" s="40"/>
      <c r="L50" s="40"/>
      <c r="M50" s="22"/>
      <c r="N50" s="4"/>
      <c r="O50" s="22"/>
      <c r="P50" s="22"/>
      <c r="Q50" s="4"/>
      <c r="R50" s="22"/>
      <c r="S50" s="22"/>
      <c r="T50" s="4"/>
      <c r="U50" s="22"/>
      <c r="V50" s="22"/>
      <c r="W50" s="4"/>
      <c r="X50" s="22"/>
      <c r="Y50" s="22"/>
      <c r="Z50" s="4"/>
      <c r="AA50" s="22"/>
      <c r="AB50" s="22"/>
      <c r="AC50" s="4"/>
      <c r="AD50" s="22"/>
      <c r="AE50" s="22"/>
      <c r="AF50" s="4"/>
      <c r="AG50" s="22"/>
      <c r="AH50" s="22"/>
      <c r="AI50" s="4"/>
      <c r="AJ50" s="22"/>
      <c r="AK50" s="22"/>
      <c r="AL50" s="4"/>
      <c r="AM50" s="22"/>
      <c r="AN50" s="22"/>
      <c r="AO50" s="4"/>
      <c r="AP50" s="4"/>
      <c r="AQ50" s="4"/>
      <c r="AR50" s="22"/>
      <c r="AS50" s="22"/>
      <c r="AT50" s="4"/>
    </row>
    <row r="51" spans="2:46" s="2" customFormat="1" ht="108.75" customHeight="1">
      <c r="B51" s="1"/>
      <c r="C51" s="3"/>
      <c r="D51"/>
      <c r="E51"/>
      <c r="F51" s="40"/>
      <c r="G51" s="40"/>
      <c r="H51" s="40"/>
      <c r="I51" s="40"/>
      <c r="J51" s="40"/>
      <c r="K51" s="40"/>
      <c r="L51" s="40"/>
      <c r="M51" s="22"/>
      <c r="N51" s="4"/>
      <c r="O51" s="22"/>
      <c r="P51" s="22"/>
      <c r="Q51" s="4"/>
      <c r="R51" s="22"/>
      <c r="S51" s="22"/>
      <c r="T51" s="4"/>
      <c r="U51" s="22"/>
      <c r="V51" s="22"/>
      <c r="W51" s="4"/>
      <c r="X51" s="22"/>
      <c r="Y51" s="22"/>
      <c r="Z51" s="4"/>
      <c r="AA51" s="22"/>
      <c r="AB51" s="22"/>
      <c r="AC51" s="4"/>
      <c r="AD51" s="22"/>
      <c r="AE51" s="22"/>
      <c r="AF51" s="4"/>
      <c r="AG51" s="22"/>
      <c r="AH51" s="22"/>
      <c r="AI51" s="4"/>
      <c r="AJ51" s="22"/>
      <c r="AK51" s="22"/>
      <c r="AL51" s="4"/>
      <c r="AM51" s="22"/>
      <c r="AN51" s="22"/>
      <c r="AO51" s="4"/>
      <c r="AP51" s="4"/>
      <c r="AQ51" s="4"/>
      <c r="AR51" s="22"/>
      <c r="AS51" s="22"/>
      <c r="AT51" s="4"/>
    </row>
    <row r="52" spans="2:46" ht="126.75" customHeight="1">
      <c r="B52" s="1"/>
      <c r="C52" s="3"/>
    </row>
    <row r="53" spans="2:46" ht="123.75" customHeight="1">
      <c r="B53" s="1"/>
      <c r="C53" s="3"/>
    </row>
    <row r="54" spans="2:46" ht="131.25" customHeight="1">
      <c r="B54" s="1"/>
      <c r="C54" s="3"/>
    </row>
    <row r="55" spans="2:46" ht="112.5" customHeight="1">
      <c r="B55" s="1"/>
      <c r="C55" s="3"/>
    </row>
    <row r="56" spans="2:46" ht="143.25" customHeight="1">
      <c r="B56" s="1"/>
      <c r="C56" s="3"/>
    </row>
    <row r="57" spans="2:46" ht="121.5" customHeight="1">
      <c r="B57" s="1"/>
      <c r="C57" s="3"/>
    </row>
    <row r="58" spans="2:46" ht="102" customHeight="1">
      <c r="B58" s="1"/>
      <c r="C58" s="3"/>
    </row>
    <row r="59" spans="2:46" ht="120" customHeight="1">
      <c r="B59" s="1"/>
      <c r="C59" s="3"/>
    </row>
    <row r="60" spans="2:46" s="2" customFormat="1" ht="123.75" customHeight="1">
      <c r="B60" s="1"/>
      <c r="C60" s="3"/>
      <c r="D60"/>
      <c r="E60"/>
      <c r="F60" s="40"/>
      <c r="G60" s="40"/>
      <c r="H60" s="40"/>
      <c r="I60" s="40"/>
      <c r="J60" s="40"/>
      <c r="K60" s="40"/>
      <c r="L60" s="40"/>
      <c r="M60" s="22"/>
      <c r="N60" s="4"/>
      <c r="O60" s="22"/>
      <c r="P60" s="22"/>
      <c r="Q60" s="4"/>
      <c r="R60" s="22"/>
      <c r="S60" s="22"/>
      <c r="T60" s="4"/>
      <c r="U60" s="22"/>
      <c r="V60" s="22"/>
      <c r="W60" s="4"/>
      <c r="X60" s="22"/>
      <c r="Y60" s="22"/>
      <c r="Z60" s="4"/>
      <c r="AA60" s="22"/>
      <c r="AB60" s="22"/>
      <c r="AC60" s="4"/>
      <c r="AD60" s="22"/>
      <c r="AE60" s="22"/>
      <c r="AF60" s="4"/>
      <c r="AG60" s="22"/>
      <c r="AH60" s="22"/>
      <c r="AI60" s="4"/>
      <c r="AJ60" s="22"/>
      <c r="AK60" s="22"/>
      <c r="AL60" s="4"/>
      <c r="AM60" s="22"/>
      <c r="AN60" s="22"/>
      <c r="AO60" s="4"/>
      <c r="AP60" s="4"/>
      <c r="AQ60" s="4"/>
      <c r="AR60" s="22"/>
      <c r="AS60" s="22"/>
      <c r="AT60" s="4"/>
    </row>
    <row r="61" spans="2:46" s="2" customFormat="1" ht="116.25" customHeight="1">
      <c r="B61" s="1"/>
      <c r="C61" s="3"/>
      <c r="D61"/>
      <c r="E61"/>
      <c r="F61" s="40"/>
      <c r="G61" s="40"/>
      <c r="H61" s="40"/>
      <c r="I61" s="40"/>
      <c r="J61" s="40"/>
      <c r="K61" s="40"/>
      <c r="L61" s="40"/>
      <c r="M61" s="22"/>
      <c r="N61" s="4"/>
      <c r="O61" s="22"/>
      <c r="P61" s="22"/>
      <c r="Q61" s="4"/>
      <c r="R61" s="22"/>
      <c r="S61" s="22"/>
      <c r="T61" s="4"/>
      <c r="U61" s="22"/>
      <c r="V61" s="22"/>
      <c r="W61" s="4"/>
      <c r="X61" s="22"/>
      <c r="Y61" s="22"/>
      <c r="Z61" s="4"/>
      <c r="AA61" s="22"/>
      <c r="AB61" s="22"/>
      <c r="AC61" s="4"/>
      <c r="AD61" s="22"/>
      <c r="AE61" s="22"/>
      <c r="AF61" s="4"/>
      <c r="AG61" s="22"/>
      <c r="AH61" s="22"/>
      <c r="AI61" s="4"/>
      <c r="AJ61" s="22"/>
      <c r="AK61" s="22"/>
      <c r="AL61" s="4"/>
      <c r="AM61" s="22"/>
      <c r="AN61" s="22"/>
      <c r="AO61" s="4"/>
      <c r="AP61" s="4"/>
      <c r="AQ61" s="4"/>
      <c r="AR61" s="22"/>
      <c r="AS61" s="22"/>
      <c r="AT61" s="4"/>
    </row>
    <row r="62" spans="2:46" s="2" customFormat="1" ht="150.75" customHeight="1">
      <c r="B62" s="1"/>
      <c r="C62" s="3"/>
      <c r="D62"/>
      <c r="E62"/>
      <c r="F62" s="40"/>
      <c r="G62" s="40"/>
      <c r="H62" s="40"/>
      <c r="I62" s="40"/>
      <c r="J62" s="40"/>
      <c r="K62" s="40"/>
      <c r="L62" s="40"/>
      <c r="M62" s="22"/>
      <c r="N62" s="4"/>
      <c r="O62" s="22"/>
      <c r="P62" s="22"/>
      <c r="Q62" s="4"/>
      <c r="R62" s="22"/>
      <c r="S62" s="22"/>
      <c r="T62" s="4"/>
      <c r="U62" s="22"/>
      <c r="V62" s="22"/>
      <c r="W62" s="4"/>
      <c r="X62" s="22"/>
      <c r="Y62" s="22"/>
      <c r="Z62" s="4"/>
      <c r="AA62" s="22"/>
      <c r="AB62" s="22"/>
      <c r="AC62" s="4"/>
      <c r="AD62" s="22"/>
      <c r="AE62" s="22"/>
      <c r="AF62" s="4"/>
      <c r="AG62" s="22"/>
      <c r="AH62" s="22"/>
      <c r="AI62" s="4"/>
      <c r="AJ62" s="22"/>
      <c r="AK62" s="22"/>
      <c r="AL62" s="4"/>
      <c r="AM62" s="22"/>
      <c r="AN62" s="22"/>
      <c r="AO62" s="4"/>
      <c r="AP62" s="4"/>
      <c r="AQ62" s="4"/>
      <c r="AR62" s="22"/>
      <c r="AS62" s="22"/>
      <c r="AT62" s="4"/>
    </row>
    <row r="63" spans="2:46" s="2" customFormat="1" ht="123" customHeight="1">
      <c r="B63" s="1"/>
      <c r="C63" s="3"/>
      <c r="D63"/>
      <c r="E63"/>
      <c r="F63" s="40"/>
      <c r="G63" s="40"/>
      <c r="H63" s="40"/>
      <c r="I63" s="40"/>
      <c r="J63" s="40"/>
      <c r="K63" s="40"/>
      <c r="L63" s="40"/>
      <c r="M63" s="22"/>
      <c r="N63" s="4"/>
      <c r="O63" s="22"/>
      <c r="P63" s="22"/>
      <c r="Q63" s="4"/>
      <c r="R63" s="22"/>
      <c r="S63" s="22"/>
      <c r="T63" s="4"/>
      <c r="U63" s="22"/>
      <c r="V63" s="22"/>
      <c r="W63" s="4"/>
      <c r="X63" s="22"/>
      <c r="Y63" s="22"/>
      <c r="Z63" s="4"/>
      <c r="AA63" s="22"/>
      <c r="AB63" s="22"/>
      <c r="AC63" s="4"/>
      <c r="AD63" s="22"/>
      <c r="AE63" s="22"/>
      <c r="AF63" s="4"/>
      <c r="AG63" s="22"/>
      <c r="AH63" s="22"/>
      <c r="AI63" s="4"/>
      <c r="AJ63" s="22"/>
      <c r="AK63" s="22"/>
      <c r="AL63" s="4"/>
      <c r="AM63" s="22"/>
      <c r="AN63" s="22"/>
      <c r="AO63" s="4"/>
      <c r="AP63" s="4"/>
      <c r="AQ63" s="4"/>
      <c r="AR63" s="22"/>
      <c r="AS63" s="22"/>
      <c r="AT63" s="4"/>
    </row>
    <row r="64" spans="2:46" s="2" customFormat="1" ht="166.5" customHeight="1">
      <c r="B64" s="1"/>
      <c r="C64" s="3"/>
      <c r="D64"/>
      <c r="E64"/>
      <c r="F64" s="40"/>
      <c r="G64" s="40"/>
      <c r="H64" s="40"/>
      <c r="I64" s="40"/>
      <c r="J64" s="40"/>
      <c r="K64" s="40"/>
      <c r="L64" s="40"/>
      <c r="M64" s="22"/>
      <c r="N64" s="4"/>
      <c r="O64" s="22"/>
      <c r="P64" s="22"/>
      <c r="Q64" s="4"/>
      <c r="R64" s="22"/>
      <c r="S64" s="22"/>
      <c r="T64" s="4"/>
      <c r="U64" s="22"/>
      <c r="V64" s="22"/>
      <c r="W64" s="4"/>
      <c r="X64" s="22"/>
      <c r="Y64" s="22"/>
      <c r="Z64" s="4"/>
      <c r="AA64" s="22"/>
      <c r="AB64" s="22"/>
      <c r="AC64" s="4"/>
      <c r="AD64" s="22"/>
      <c r="AE64" s="22"/>
      <c r="AF64" s="4"/>
      <c r="AG64" s="22"/>
      <c r="AH64" s="22"/>
      <c r="AI64" s="4"/>
      <c r="AJ64" s="22"/>
      <c r="AK64" s="22"/>
      <c r="AL64" s="4"/>
      <c r="AM64" s="22"/>
      <c r="AN64" s="22"/>
      <c r="AO64" s="4"/>
      <c r="AP64" s="4"/>
      <c r="AQ64" s="4"/>
      <c r="AR64" s="22"/>
      <c r="AS64" s="22"/>
      <c r="AT64" s="4"/>
    </row>
    <row r="65" spans="2:46" s="2" customFormat="1" ht="144" customHeight="1">
      <c r="B65" s="1"/>
      <c r="C65" s="3"/>
      <c r="D65"/>
      <c r="E65"/>
      <c r="F65" s="40"/>
      <c r="G65" s="40"/>
      <c r="H65" s="40"/>
      <c r="I65" s="40"/>
      <c r="J65" s="40"/>
      <c r="K65" s="40"/>
      <c r="L65" s="40"/>
      <c r="M65" s="22"/>
      <c r="N65" s="4"/>
      <c r="O65" s="22"/>
      <c r="P65" s="22"/>
      <c r="Q65" s="4"/>
      <c r="R65" s="22"/>
      <c r="S65" s="22"/>
      <c r="T65" s="4"/>
      <c r="U65" s="22"/>
      <c r="V65" s="22"/>
      <c r="W65" s="4"/>
      <c r="X65" s="22"/>
      <c r="Y65" s="22"/>
      <c r="Z65" s="4"/>
      <c r="AA65" s="22"/>
      <c r="AB65" s="22"/>
      <c r="AC65" s="4"/>
      <c r="AD65" s="22"/>
      <c r="AE65" s="22"/>
      <c r="AF65" s="4"/>
      <c r="AG65" s="22"/>
      <c r="AH65" s="22"/>
      <c r="AI65" s="4"/>
      <c r="AJ65" s="22"/>
      <c r="AK65" s="22"/>
      <c r="AL65" s="4"/>
      <c r="AM65" s="22"/>
      <c r="AN65" s="22"/>
      <c r="AO65" s="4"/>
      <c r="AP65" s="4"/>
      <c r="AQ65" s="4"/>
      <c r="AR65" s="22"/>
      <c r="AS65" s="22"/>
      <c r="AT65" s="4"/>
    </row>
    <row r="66" spans="2:46" ht="129" customHeight="1">
      <c r="B66" s="1"/>
      <c r="C66" s="3"/>
    </row>
    <row r="67" spans="2:46" ht="122.25" customHeight="1">
      <c r="B67" s="1"/>
      <c r="C67" s="3"/>
    </row>
    <row r="68" spans="2:46" ht="115.5" customHeight="1">
      <c r="B68" s="1"/>
      <c r="C68" s="3"/>
    </row>
    <row r="69" spans="2:46" ht="102" customHeight="1">
      <c r="B69" s="1"/>
      <c r="C69" s="3"/>
    </row>
    <row r="70" spans="2:46" ht="222.6" customHeight="1">
      <c r="B70" s="1"/>
      <c r="C70" s="3"/>
    </row>
    <row r="71" spans="2:46" ht="117.75" customHeight="1">
      <c r="B71" s="1"/>
      <c r="C71" s="3"/>
    </row>
    <row r="72" spans="2:46" ht="117.75" customHeight="1">
      <c r="B72" s="1"/>
      <c r="C72" s="3"/>
    </row>
    <row r="73" spans="2:46" ht="117.75" customHeight="1">
      <c r="B73" s="1"/>
      <c r="C73" s="3"/>
    </row>
    <row r="74" spans="2:46" ht="117.75" customHeight="1">
      <c r="B74" s="1"/>
      <c r="C74" s="3"/>
    </row>
    <row r="75" spans="2:46" s="2" customFormat="1" ht="143.25" customHeight="1">
      <c r="B75" s="1"/>
      <c r="C75" s="3"/>
      <c r="D75"/>
      <c r="E75"/>
      <c r="F75" s="40"/>
      <c r="G75" s="40"/>
      <c r="H75" s="40"/>
      <c r="I75" s="40"/>
      <c r="J75" s="40"/>
      <c r="K75" s="40"/>
      <c r="L75" s="40"/>
      <c r="M75" s="22"/>
      <c r="N75" s="4"/>
      <c r="O75" s="22"/>
      <c r="P75" s="22"/>
      <c r="Q75" s="4"/>
      <c r="R75" s="22"/>
      <c r="S75" s="22"/>
      <c r="T75" s="4"/>
      <c r="U75" s="22"/>
      <c r="V75" s="22"/>
      <c r="W75" s="4"/>
      <c r="X75" s="22"/>
      <c r="Y75" s="22"/>
      <c r="Z75" s="4"/>
      <c r="AA75" s="22"/>
      <c r="AB75" s="22"/>
      <c r="AC75" s="4"/>
      <c r="AD75" s="22"/>
      <c r="AE75" s="22"/>
      <c r="AF75" s="4"/>
      <c r="AG75" s="22"/>
      <c r="AH75" s="22"/>
      <c r="AI75" s="4"/>
      <c r="AJ75" s="22"/>
      <c r="AK75" s="22"/>
      <c r="AL75" s="4"/>
      <c r="AM75" s="22"/>
      <c r="AN75" s="22"/>
      <c r="AO75" s="4"/>
      <c r="AP75" s="4"/>
      <c r="AQ75" s="4"/>
      <c r="AR75" s="22"/>
      <c r="AS75" s="22"/>
      <c r="AT75" s="4"/>
    </row>
    <row r="76" spans="2:46" s="2" customFormat="1">
      <c r="B76" s="1"/>
      <c r="C76" s="3"/>
      <c r="D76"/>
      <c r="E76"/>
      <c r="F76" s="40"/>
      <c r="G76" s="40"/>
      <c r="H76" s="40"/>
      <c r="I76" s="40"/>
      <c r="J76" s="40"/>
      <c r="K76" s="40"/>
      <c r="L76" s="40"/>
      <c r="M76" s="22"/>
      <c r="N76" s="4"/>
      <c r="O76" s="22"/>
      <c r="P76" s="22"/>
      <c r="Q76" s="4"/>
      <c r="R76" s="22"/>
      <c r="S76" s="22"/>
      <c r="T76" s="4"/>
      <c r="U76" s="22"/>
      <c r="V76" s="22"/>
      <c r="W76" s="4"/>
      <c r="X76" s="22"/>
      <c r="Y76" s="22"/>
      <c r="Z76" s="4"/>
      <c r="AA76" s="22"/>
      <c r="AB76" s="22"/>
      <c r="AC76" s="4"/>
      <c r="AD76" s="22"/>
      <c r="AE76" s="22"/>
      <c r="AF76" s="4"/>
      <c r="AG76" s="22"/>
      <c r="AH76" s="22"/>
      <c r="AI76" s="4"/>
      <c r="AJ76" s="22"/>
      <c r="AK76" s="22"/>
      <c r="AL76" s="4"/>
      <c r="AM76" s="22"/>
      <c r="AN76" s="22"/>
      <c r="AO76" s="4"/>
      <c r="AP76" s="4"/>
      <c r="AQ76" s="4"/>
      <c r="AR76" s="22"/>
      <c r="AS76" s="22"/>
      <c r="AT76" s="4"/>
    </row>
    <row r="77" spans="2:46" s="2" customFormat="1" ht="144" customHeight="1">
      <c r="B77" s="1"/>
      <c r="C77" s="3"/>
      <c r="D77"/>
      <c r="E77"/>
      <c r="F77" s="40"/>
      <c r="G77" s="40"/>
      <c r="H77" s="40"/>
      <c r="I77" s="40"/>
      <c r="J77" s="40"/>
      <c r="K77" s="40"/>
      <c r="L77" s="40"/>
      <c r="M77" s="22"/>
      <c r="N77" s="4"/>
      <c r="O77" s="22"/>
      <c r="P77" s="22"/>
      <c r="Q77" s="4"/>
      <c r="R77" s="22"/>
      <c r="S77" s="22"/>
      <c r="T77" s="4"/>
      <c r="U77" s="22"/>
      <c r="V77" s="22"/>
      <c r="W77" s="4"/>
      <c r="X77" s="22"/>
      <c r="Y77" s="22"/>
      <c r="Z77" s="4"/>
      <c r="AA77" s="22"/>
      <c r="AB77" s="22"/>
      <c r="AC77" s="4"/>
      <c r="AD77" s="22"/>
      <c r="AE77" s="22"/>
      <c r="AF77" s="4"/>
      <c r="AG77" s="22"/>
      <c r="AH77" s="22"/>
      <c r="AI77" s="4"/>
      <c r="AJ77" s="22"/>
      <c r="AK77" s="22"/>
      <c r="AL77" s="4"/>
      <c r="AM77" s="22"/>
      <c r="AN77" s="22"/>
      <c r="AO77" s="4"/>
      <c r="AP77" s="4"/>
      <c r="AQ77" s="4"/>
      <c r="AR77" s="22"/>
      <c r="AS77" s="22"/>
      <c r="AT77" s="4"/>
    </row>
    <row r="78" spans="2:46" s="2" customFormat="1" ht="109.5" customHeight="1">
      <c r="B78" s="1"/>
      <c r="C78" s="3"/>
      <c r="D78"/>
      <c r="E78"/>
      <c r="F78" s="40"/>
      <c r="G78" s="40"/>
      <c r="H78" s="40"/>
      <c r="I78" s="40"/>
      <c r="J78" s="40"/>
      <c r="K78" s="40"/>
      <c r="L78" s="40"/>
      <c r="M78" s="22"/>
      <c r="N78" s="4"/>
      <c r="O78" s="22"/>
      <c r="P78" s="22"/>
      <c r="Q78" s="4"/>
      <c r="R78" s="22"/>
      <c r="S78" s="22"/>
      <c r="T78" s="4"/>
      <c r="U78" s="22"/>
      <c r="V78" s="22"/>
      <c r="W78" s="4"/>
      <c r="X78" s="22"/>
      <c r="Y78" s="22"/>
      <c r="Z78" s="4"/>
      <c r="AA78" s="22"/>
      <c r="AB78" s="22"/>
      <c r="AC78" s="4"/>
      <c r="AD78" s="22"/>
      <c r="AE78" s="22"/>
      <c r="AF78" s="4"/>
      <c r="AG78" s="22"/>
      <c r="AH78" s="22"/>
      <c r="AI78" s="4"/>
      <c r="AJ78" s="22"/>
      <c r="AK78" s="22"/>
      <c r="AL78" s="4"/>
      <c r="AM78" s="22"/>
      <c r="AN78" s="22"/>
      <c r="AO78" s="4"/>
      <c r="AP78" s="4"/>
      <c r="AQ78" s="4"/>
      <c r="AR78" s="22"/>
      <c r="AS78" s="22"/>
      <c r="AT78" s="4"/>
    </row>
    <row r="79" spans="2:46" s="2" customFormat="1" ht="109.5" customHeight="1">
      <c r="B79" s="1"/>
      <c r="C79" s="3"/>
      <c r="D79"/>
      <c r="E79"/>
      <c r="F79" s="40"/>
      <c r="G79" s="40"/>
      <c r="H79" s="40"/>
      <c r="I79" s="40"/>
      <c r="J79" s="40"/>
      <c r="K79" s="40"/>
      <c r="L79" s="40"/>
      <c r="M79" s="22"/>
      <c r="N79" s="4"/>
      <c r="O79" s="22"/>
      <c r="P79" s="22"/>
      <c r="Q79" s="4"/>
      <c r="R79" s="22"/>
      <c r="S79" s="22"/>
      <c r="T79" s="4"/>
      <c r="U79" s="22"/>
      <c r="V79" s="22"/>
      <c r="W79" s="4"/>
      <c r="X79" s="22"/>
      <c r="Y79" s="22"/>
      <c r="Z79" s="4"/>
      <c r="AA79" s="22"/>
      <c r="AB79" s="22"/>
      <c r="AC79" s="4"/>
      <c r="AD79" s="22"/>
      <c r="AE79" s="22"/>
      <c r="AF79" s="4"/>
      <c r="AG79" s="22"/>
      <c r="AH79" s="22"/>
      <c r="AI79" s="4"/>
      <c r="AJ79" s="22"/>
      <c r="AK79" s="22"/>
      <c r="AL79" s="4"/>
      <c r="AM79" s="22"/>
      <c r="AN79" s="22"/>
      <c r="AO79" s="4"/>
      <c r="AP79" s="4"/>
      <c r="AQ79" s="4"/>
      <c r="AR79" s="22"/>
      <c r="AS79" s="22"/>
      <c r="AT79" s="4"/>
    </row>
    <row r="80" spans="2:46" s="2" customFormat="1" ht="291.60000000000002" customHeight="1">
      <c r="B80" s="1"/>
      <c r="C80" s="3"/>
      <c r="D80"/>
      <c r="E80"/>
      <c r="F80" s="40"/>
      <c r="G80" s="40"/>
      <c r="H80" s="40"/>
      <c r="I80" s="40"/>
      <c r="J80" s="40"/>
      <c r="K80" s="40"/>
      <c r="L80" s="40"/>
      <c r="M80" s="22"/>
      <c r="N80" s="4"/>
      <c r="O80" s="22"/>
      <c r="P80" s="22"/>
      <c r="Q80" s="4"/>
      <c r="R80" s="22"/>
      <c r="S80" s="22"/>
      <c r="T80" s="4"/>
      <c r="U80" s="22"/>
      <c r="V80" s="22"/>
      <c r="W80" s="4"/>
      <c r="X80" s="22"/>
      <c r="Y80" s="22"/>
      <c r="Z80" s="4"/>
      <c r="AA80" s="22"/>
      <c r="AB80" s="22"/>
      <c r="AC80" s="4"/>
      <c r="AD80" s="22"/>
      <c r="AE80" s="22"/>
      <c r="AF80" s="4"/>
      <c r="AG80" s="22"/>
      <c r="AH80" s="22"/>
      <c r="AI80" s="4"/>
      <c r="AJ80" s="22"/>
      <c r="AK80" s="22"/>
      <c r="AL80" s="4"/>
      <c r="AM80" s="22"/>
      <c r="AN80" s="22"/>
      <c r="AO80" s="4"/>
      <c r="AP80" s="4"/>
      <c r="AQ80" s="4"/>
      <c r="AR80" s="22"/>
      <c r="AS80" s="22"/>
      <c r="AT80" s="4"/>
    </row>
    <row r="81" spans="2:46" s="2" customFormat="1" ht="110.25" customHeight="1">
      <c r="B81" s="1"/>
      <c r="C81" s="3"/>
      <c r="D81"/>
      <c r="E81"/>
      <c r="F81" s="40"/>
      <c r="G81" s="40"/>
      <c r="H81" s="40"/>
      <c r="I81" s="40"/>
      <c r="J81" s="40"/>
      <c r="K81" s="40"/>
      <c r="L81" s="40"/>
      <c r="M81" s="22"/>
      <c r="N81" s="4"/>
      <c r="O81" s="22"/>
      <c r="P81" s="22"/>
      <c r="Q81" s="4"/>
      <c r="R81" s="22"/>
      <c r="S81" s="22"/>
      <c r="T81" s="4"/>
      <c r="U81" s="22"/>
      <c r="V81" s="22"/>
      <c r="W81" s="4"/>
      <c r="X81" s="22"/>
      <c r="Y81" s="22"/>
      <c r="Z81" s="4"/>
      <c r="AA81" s="22"/>
      <c r="AB81" s="22"/>
      <c r="AC81" s="4"/>
      <c r="AD81" s="22"/>
      <c r="AE81" s="22"/>
      <c r="AF81" s="4"/>
      <c r="AG81" s="22"/>
      <c r="AH81" s="22"/>
      <c r="AI81" s="4"/>
      <c r="AJ81" s="22"/>
      <c r="AK81" s="22"/>
      <c r="AL81" s="4"/>
      <c r="AM81" s="22"/>
      <c r="AN81" s="22"/>
      <c r="AO81" s="4"/>
      <c r="AP81" s="4"/>
      <c r="AQ81" s="4"/>
      <c r="AR81" s="22"/>
      <c r="AS81" s="22"/>
      <c r="AT81" s="4"/>
    </row>
    <row r="82" spans="2:46" s="2" customFormat="1" ht="119.25" customHeight="1">
      <c r="B82" s="1"/>
      <c r="C82" s="3"/>
      <c r="D82"/>
      <c r="E82"/>
      <c r="F82" s="40"/>
      <c r="G82" s="40"/>
      <c r="H82" s="40"/>
      <c r="I82" s="40"/>
      <c r="J82" s="40"/>
      <c r="K82" s="40"/>
      <c r="L82" s="40"/>
      <c r="M82" s="22"/>
      <c r="N82" s="4"/>
      <c r="O82" s="22"/>
      <c r="P82" s="22"/>
      <c r="Q82" s="4"/>
      <c r="R82" s="22"/>
      <c r="S82" s="22"/>
      <c r="T82" s="4"/>
      <c r="U82" s="22"/>
      <c r="V82" s="22"/>
      <c r="W82" s="4"/>
      <c r="X82" s="22"/>
      <c r="Y82" s="22"/>
      <c r="Z82" s="4"/>
      <c r="AA82" s="22"/>
      <c r="AB82" s="22"/>
      <c r="AC82" s="4"/>
      <c r="AD82" s="22"/>
      <c r="AE82" s="22"/>
      <c r="AF82" s="4"/>
      <c r="AG82" s="22"/>
      <c r="AH82" s="22"/>
      <c r="AI82" s="4"/>
      <c r="AJ82" s="22"/>
      <c r="AK82" s="22"/>
      <c r="AL82" s="4"/>
      <c r="AM82" s="22"/>
      <c r="AN82" s="22"/>
      <c r="AO82" s="4"/>
      <c r="AP82" s="4"/>
      <c r="AQ82" s="4"/>
      <c r="AR82" s="22"/>
      <c r="AS82" s="22"/>
      <c r="AT82" s="4"/>
    </row>
    <row r="83" spans="2:46" s="2" customFormat="1" ht="112.5" customHeight="1">
      <c r="B83" s="1"/>
      <c r="C83" s="3"/>
      <c r="D83"/>
      <c r="E83"/>
      <c r="F83" s="40"/>
      <c r="G83" s="40"/>
      <c r="H83" s="40"/>
      <c r="I83" s="40"/>
      <c r="J83" s="40"/>
      <c r="K83" s="40"/>
      <c r="L83" s="40"/>
      <c r="M83" s="22"/>
      <c r="N83" s="4"/>
      <c r="O83" s="22"/>
      <c r="P83" s="22"/>
      <c r="Q83" s="4"/>
      <c r="R83" s="22"/>
      <c r="S83" s="22"/>
      <c r="T83" s="4"/>
      <c r="U83" s="22"/>
      <c r="V83" s="22"/>
      <c r="W83" s="4"/>
      <c r="X83" s="22"/>
      <c r="Y83" s="22"/>
      <c r="Z83" s="4"/>
      <c r="AA83" s="22"/>
      <c r="AB83" s="22"/>
      <c r="AC83" s="4"/>
      <c r="AD83" s="22"/>
      <c r="AE83" s="22"/>
      <c r="AF83" s="4"/>
      <c r="AG83" s="22"/>
      <c r="AH83" s="22"/>
      <c r="AI83" s="4"/>
      <c r="AJ83" s="22"/>
      <c r="AK83" s="22"/>
      <c r="AL83" s="4"/>
      <c r="AM83" s="22"/>
      <c r="AN83" s="22"/>
      <c r="AO83" s="4"/>
      <c r="AP83" s="4"/>
      <c r="AQ83" s="4"/>
      <c r="AR83" s="22"/>
      <c r="AS83" s="22"/>
      <c r="AT83" s="4"/>
    </row>
    <row r="84" spans="2:46" s="2" customFormat="1" ht="111" customHeight="1">
      <c r="B84" s="1"/>
      <c r="C84" s="3"/>
      <c r="D84"/>
      <c r="E84"/>
      <c r="F84" s="40"/>
      <c r="G84" s="40"/>
      <c r="H84" s="40"/>
      <c r="I84" s="40"/>
      <c r="J84" s="40"/>
      <c r="K84" s="40"/>
      <c r="L84" s="40"/>
      <c r="M84" s="22"/>
      <c r="N84" s="4"/>
      <c r="O84" s="22"/>
      <c r="P84" s="22"/>
      <c r="Q84" s="4"/>
      <c r="R84" s="22"/>
      <c r="S84" s="22"/>
      <c r="T84" s="4"/>
      <c r="U84" s="22"/>
      <c r="V84" s="22"/>
      <c r="W84" s="4"/>
      <c r="X84" s="22"/>
      <c r="Y84" s="22"/>
      <c r="Z84" s="4"/>
      <c r="AA84" s="22"/>
      <c r="AB84" s="22"/>
      <c r="AC84" s="4"/>
      <c r="AD84" s="22"/>
      <c r="AE84" s="22"/>
      <c r="AF84" s="4"/>
      <c r="AG84" s="22"/>
      <c r="AH84" s="22"/>
      <c r="AI84" s="4"/>
      <c r="AJ84" s="22"/>
      <c r="AK84" s="22"/>
      <c r="AL84" s="4"/>
      <c r="AM84" s="22"/>
      <c r="AN84" s="22"/>
      <c r="AO84" s="4"/>
      <c r="AP84" s="4"/>
      <c r="AQ84" s="4"/>
      <c r="AR84" s="22"/>
      <c r="AS84" s="22"/>
      <c r="AT84" s="4"/>
    </row>
    <row r="85" spans="2:46" s="2" customFormat="1" ht="107.25" customHeight="1">
      <c r="B85" s="1"/>
      <c r="C85" s="3"/>
      <c r="D85"/>
      <c r="E85"/>
      <c r="F85" s="40"/>
      <c r="G85" s="40"/>
      <c r="H85" s="40"/>
      <c r="I85" s="40"/>
      <c r="J85" s="40"/>
      <c r="K85" s="40"/>
      <c r="L85" s="40"/>
      <c r="M85" s="22"/>
      <c r="N85" s="4"/>
      <c r="O85" s="22"/>
      <c r="P85" s="22"/>
      <c r="Q85" s="4"/>
      <c r="R85" s="22"/>
      <c r="S85" s="22"/>
      <c r="T85" s="4"/>
      <c r="U85" s="22"/>
      <c r="V85" s="22"/>
      <c r="W85" s="4"/>
      <c r="X85" s="22"/>
      <c r="Y85" s="22"/>
      <c r="Z85" s="4"/>
      <c r="AA85" s="22"/>
      <c r="AB85" s="22"/>
      <c r="AC85" s="4"/>
      <c r="AD85" s="22"/>
      <c r="AE85" s="22"/>
      <c r="AF85" s="4"/>
      <c r="AG85" s="22"/>
      <c r="AH85" s="22"/>
      <c r="AI85" s="4"/>
      <c r="AJ85" s="22"/>
      <c r="AK85" s="22"/>
      <c r="AL85" s="4"/>
      <c r="AM85" s="22"/>
      <c r="AN85" s="22"/>
      <c r="AO85" s="4"/>
      <c r="AP85" s="4"/>
      <c r="AQ85" s="4"/>
      <c r="AR85" s="22"/>
      <c r="AS85" s="22"/>
      <c r="AT85" s="4"/>
    </row>
    <row r="86" spans="2:46" s="2" customFormat="1" ht="97.5" customHeight="1">
      <c r="B86" s="1"/>
      <c r="C86" s="3"/>
      <c r="D86"/>
      <c r="E86"/>
      <c r="F86" s="40"/>
      <c r="G86" s="40"/>
      <c r="H86" s="40"/>
      <c r="I86" s="40"/>
      <c r="J86" s="40"/>
      <c r="K86" s="40"/>
      <c r="L86" s="40"/>
      <c r="M86" s="22"/>
      <c r="N86" s="4"/>
      <c r="O86" s="22"/>
      <c r="P86" s="22"/>
      <c r="Q86" s="4"/>
      <c r="R86" s="22"/>
      <c r="S86" s="22"/>
      <c r="T86" s="4"/>
      <c r="U86" s="22"/>
      <c r="V86" s="22"/>
      <c r="W86" s="4"/>
      <c r="X86" s="22"/>
      <c r="Y86" s="22"/>
      <c r="Z86" s="4"/>
      <c r="AA86" s="22"/>
      <c r="AB86" s="22"/>
      <c r="AC86" s="4"/>
      <c r="AD86" s="22"/>
      <c r="AE86" s="22"/>
      <c r="AF86" s="4"/>
      <c r="AG86" s="22"/>
      <c r="AH86" s="22"/>
      <c r="AI86" s="4"/>
      <c r="AJ86" s="22"/>
      <c r="AK86" s="22"/>
      <c r="AL86" s="4"/>
      <c r="AM86" s="22"/>
      <c r="AN86" s="22"/>
      <c r="AO86" s="4"/>
      <c r="AP86" s="4"/>
      <c r="AQ86" s="4"/>
      <c r="AR86" s="22"/>
      <c r="AS86" s="22"/>
      <c r="AT86" s="4"/>
    </row>
    <row r="87" spans="2:46" s="2" customFormat="1" ht="84.75" customHeight="1">
      <c r="B87" s="1"/>
      <c r="C87" s="3"/>
      <c r="D87"/>
      <c r="E87"/>
      <c r="F87" s="40"/>
      <c r="G87" s="40"/>
      <c r="H87" s="40"/>
      <c r="I87" s="40"/>
      <c r="J87" s="40"/>
      <c r="K87" s="40"/>
      <c r="L87" s="40"/>
      <c r="M87" s="22"/>
      <c r="N87" s="4"/>
      <c r="O87" s="22"/>
      <c r="P87" s="22"/>
      <c r="Q87" s="4"/>
      <c r="R87" s="22"/>
      <c r="S87" s="22"/>
      <c r="T87" s="4"/>
      <c r="U87" s="22"/>
      <c r="V87" s="22"/>
      <c r="W87" s="4"/>
      <c r="X87" s="22"/>
      <c r="Y87" s="22"/>
      <c r="Z87" s="4"/>
      <c r="AA87" s="22"/>
      <c r="AB87" s="22"/>
      <c r="AC87" s="4"/>
      <c r="AD87" s="22"/>
      <c r="AE87" s="22"/>
      <c r="AF87" s="4"/>
      <c r="AG87" s="22"/>
      <c r="AH87" s="22"/>
      <c r="AI87" s="4"/>
      <c r="AJ87" s="22"/>
      <c r="AK87" s="22"/>
      <c r="AL87" s="4"/>
      <c r="AM87" s="22"/>
      <c r="AN87" s="22"/>
      <c r="AO87" s="4"/>
      <c r="AP87" s="4"/>
      <c r="AQ87" s="4"/>
      <c r="AR87" s="22"/>
      <c r="AS87" s="22"/>
      <c r="AT87" s="4"/>
    </row>
    <row r="88" spans="2:46" s="2" customFormat="1" ht="116.25" customHeight="1">
      <c r="B88" s="1"/>
      <c r="C88" s="3"/>
      <c r="D88"/>
      <c r="E88"/>
      <c r="F88" s="40"/>
      <c r="G88" s="40"/>
      <c r="H88" s="40"/>
      <c r="I88" s="40"/>
      <c r="J88" s="40"/>
      <c r="K88" s="40"/>
      <c r="L88" s="40"/>
      <c r="M88" s="22"/>
      <c r="N88" s="4"/>
      <c r="O88" s="22"/>
      <c r="P88" s="22"/>
      <c r="Q88" s="4"/>
      <c r="R88" s="22"/>
      <c r="S88" s="22"/>
      <c r="T88" s="4"/>
      <c r="U88" s="22"/>
      <c r="V88" s="22"/>
      <c r="W88" s="4"/>
      <c r="X88" s="22"/>
      <c r="Y88" s="22"/>
      <c r="Z88" s="4"/>
      <c r="AA88" s="22"/>
      <c r="AB88" s="22"/>
      <c r="AC88" s="4"/>
      <c r="AD88" s="22"/>
      <c r="AE88" s="22"/>
      <c r="AF88" s="4"/>
      <c r="AG88" s="22"/>
      <c r="AH88" s="22"/>
      <c r="AI88" s="4"/>
      <c r="AJ88" s="22"/>
      <c r="AK88" s="22"/>
      <c r="AL88" s="4"/>
      <c r="AM88" s="22"/>
      <c r="AN88" s="22"/>
      <c r="AO88" s="4"/>
      <c r="AP88" s="4"/>
      <c r="AQ88" s="4"/>
      <c r="AR88" s="22"/>
      <c r="AS88" s="22"/>
      <c r="AT88" s="4"/>
    </row>
    <row r="89" spans="2:46" s="2" customFormat="1" ht="117.75" customHeight="1">
      <c r="B89" s="1"/>
      <c r="C89" s="3"/>
      <c r="D89"/>
      <c r="E89"/>
      <c r="F89" s="40"/>
      <c r="G89" s="40"/>
      <c r="H89" s="40"/>
      <c r="I89" s="40"/>
      <c r="J89" s="40"/>
      <c r="K89" s="40"/>
      <c r="L89" s="40"/>
      <c r="M89" s="22"/>
      <c r="N89" s="4"/>
      <c r="O89" s="22"/>
      <c r="P89" s="22"/>
      <c r="Q89" s="4"/>
      <c r="R89" s="22"/>
      <c r="S89" s="22"/>
      <c r="T89" s="4"/>
      <c r="U89" s="22"/>
      <c r="V89" s="22"/>
      <c r="W89" s="4"/>
      <c r="X89" s="22"/>
      <c r="Y89" s="22"/>
      <c r="Z89" s="4"/>
      <c r="AA89" s="22"/>
      <c r="AB89" s="22"/>
      <c r="AC89" s="4"/>
      <c r="AD89" s="22"/>
      <c r="AE89" s="22"/>
      <c r="AF89" s="4"/>
      <c r="AG89" s="22"/>
      <c r="AH89" s="22"/>
      <c r="AI89" s="4"/>
      <c r="AJ89" s="22"/>
      <c r="AK89" s="22"/>
      <c r="AL89" s="4"/>
      <c r="AM89" s="22"/>
      <c r="AN89" s="22"/>
      <c r="AO89" s="4"/>
      <c r="AP89" s="4"/>
      <c r="AQ89" s="4"/>
      <c r="AR89" s="22"/>
      <c r="AS89" s="22"/>
      <c r="AT89" s="4"/>
    </row>
    <row r="90" spans="2:46" s="2" customFormat="1" ht="124.5" customHeight="1">
      <c r="B90" s="1"/>
      <c r="C90" s="3"/>
      <c r="D90"/>
      <c r="E90"/>
      <c r="F90" s="40"/>
      <c r="G90" s="40"/>
      <c r="H90" s="40"/>
      <c r="I90" s="40"/>
      <c r="J90" s="40"/>
      <c r="K90" s="40"/>
      <c r="L90" s="40"/>
      <c r="M90" s="22"/>
      <c r="N90" s="4"/>
      <c r="O90" s="22"/>
      <c r="P90" s="22"/>
      <c r="Q90" s="4"/>
      <c r="R90" s="22"/>
      <c r="S90" s="22"/>
      <c r="T90" s="4"/>
      <c r="U90" s="22"/>
      <c r="V90" s="22"/>
      <c r="W90" s="4"/>
      <c r="X90" s="22"/>
      <c r="Y90" s="22"/>
      <c r="Z90" s="4"/>
      <c r="AA90" s="22"/>
      <c r="AB90" s="22"/>
      <c r="AC90" s="4"/>
      <c r="AD90" s="22"/>
      <c r="AE90" s="22"/>
      <c r="AF90" s="4"/>
      <c r="AG90" s="22"/>
      <c r="AH90" s="22"/>
      <c r="AI90" s="4"/>
      <c r="AJ90" s="22"/>
      <c r="AK90" s="22"/>
      <c r="AL90" s="4"/>
      <c r="AM90" s="22"/>
      <c r="AN90" s="22"/>
      <c r="AO90" s="4"/>
      <c r="AP90" s="4"/>
      <c r="AQ90" s="4"/>
      <c r="AR90" s="22"/>
      <c r="AS90" s="22"/>
      <c r="AT90" s="4"/>
    </row>
    <row r="91" spans="2:46" s="2" customFormat="1" ht="135.75" customHeight="1">
      <c r="B91" s="1"/>
      <c r="C91" s="3"/>
      <c r="D91"/>
      <c r="E91"/>
      <c r="F91" s="40"/>
      <c r="G91" s="40"/>
      <c r="H91" s="40"/>
      <c r="I91" s="40"/>
      <c r="J91" s="40"/>
      <c r="K91" s="40"/>
      <c r="L91" s="40"/>
      <c r="M91" s="22"/>
      <c r="N91" s="4"/>
      <c r="O91" s="22"/>
      <c r="P91" s="22"/>
      <c r="Q91" s="4"/>
      <c r="R91" s="22"/>
      <c r="S91" s="22"/>
      <c r="T91" s="4"/>
      <c r="U91" s="22"/>
      <c r="V91" s="22"/>
      <c r="W91" s="4"/>
      <c r="X91" s="22"/>
      <c r="Y91" s="22"/>
      <c r="Z91" s="4"/>
      <c r="AA91" s="22"/>
      <c r="AB91" s="22"/>
      <c r="AC91" s="4"/>
      <c r="AD91" s="22"/>
      <c r="AE91" s="22"/>
      <c r="AF91" s="4"/>
      <c r="AG91" s="22"/>
      <c r="AH91" s="22"/>
      <c r="AI91" s="4"/>
      <c r="AJ91" s="22"/>
      <c r="AK91" s="22"/>
      <c r="AL91" s="4"/>
      <c r="AM91" s="22"/>
      <c r="AN91" s="22"/>
      <c r="AO91" s="4"/>
      <c r="AP91" s="4"/>
      <c r="AQ91" s="4"/>
      <c r="AR91" s="22"/>
      <c r="AS91" s="22"/>
      <c r="AT91" s="4"/>
    </row>
    <row r="92" spans="2:46" s="2" customFormat="1" ht="105.75" customHeight="1">
      <c r="B92" s="1"/>
      <c r="C92" s="3"/>
      <c r="D92"/>
      <c r="E92"/>
      <c r="F92" s="40"/>
      <c r="G92" s="40"/>
      <c r="H92" s="40"/>
      <c r="I92" s="40"/>
      <c r="J92" s="40"/>
      <c r="K92" s="40"/>
      <c r="L92" s="40"/>
      <c r="M92" s="22"/>
      <c r="N92" s="4"/>
      <c r="O92" s="22"/>
      <c r="P92" s="22"/>
      <c r="Q92" s="4"/>
      <c r="R92" s="22"/>
      <c r="S92" s="22"/>
      <c r="T92" s="4"/>
      <c r="U92" s="22"/>
      <c r="V92" s="22"/>
      <c r="W92" s="4"/>
      <c r="X92" s="22"/>
      <c r="Y92" s="22"/>
      <c r="Z92" s="4"/>
      <c r="AA92" s="22"/>
      <c r="AB92" s="22"/>
      <c r="AC92" s="4"/>
      <c r="AD92" s="22"/>
      <c r="AE92" s="22"/>
      <c r="AF92" s="4"/>
      <c r="AG92" s="22"/>
      <c r="AH92" s="22"/>
      <c r="AI92" s="4"/>
      <c r="AJ92" s="22"/>
      <c r="AK92" s="22"/>
      <c r="AL92" s="4"/>
      <c r="AM92" s="22"/>
      <c r="AN92" s="22"/>
      <c r="AO92" s="4"/>
      <c r="AP92" s="4"/>
      <c r="AQ92" s="4"/>
      <c r="AR92" s="22"/>
      <c r="AS92" s="22"/>
      <c r="AT92" s="4"/>
    </row>
    <row r="93" spans="2:46" s="2" customFormat="1" ht="409.5" customHeight="1">
      <c r="B93" s="1"/>
      <c r="C93" s="3"/>
      <c r="D93"/>
      <c r="E93"/>
      <c r="F93" s="40"/>
      <c r="G93" s="40"/>
      <c r="H93" s="40"/>
      <c r="I93" s="40"/>
      <c r="J93" s="40"/>
      <c r="K93" s="40"/>
      <c r="L93" s="40"/>
      <c r="M93" s="22"/>
      <c r="N93" s="4"/>
      <c r="O93" s="22"/>
      <c r="P93" s="22"/>
      <c r="Q93" s="4"/>
      <c r="R93" s="22"/>
      <c r="S93" s="22"/>
      <c r="T93" s="4"/>
      <c r="U93" s="22"/>
      <c r="V93" s="22"/>
      <c r="W93" s="4"/>
      <c r="X93" s="22"/>
      <c r="Y93" s="22"/>
      <c r="Z93" s="4"/>
      <c r="AA93" s="22"/>
      <c r="AB93" s="22"/>
      <c r="AC93" s="4"/>
      <c r="AD93" s="22"/>
      <c r="AE93" s="22"/>
      <c r="AF93" s="4"/>
      <c r="AG93" s="22"/>
      <c r="AH93" s="22"/>
      <c r="AI93" s="4"/>
      <c r="AJ93" s="22"/>
      <c r="AK93" s="22"/>
      <c r="AL93" s="4"/>
      <c r="AM93" s="22"/>
      <c r="AN93" s="22"/>
      <c r="AO93" s="4"/>
      <c r="AP93" s="4"/>
      <c r="AQ93" s="4"/>
      <c r="AR93" s="22"/>
      <c r="AS93" s="22"/>
      <c r="AT93" s="4"/>
    </row>
    <row r="94" spans="2:46" s="2" customFormat="1" ht="120" customHeight="1">
      <c r="B94" s="1"/>
      <c r="C94" s="3"/>
      <c r="D94"/>
      <c r="E94"/>
      <c r="F94" s="40"/>
      <c r="G94" s="40"/>
      <c r="H94" s="40"/>
      <c r="I94" s="40"/>
      <c r="J94" s="40"/>
      <c r="K94" s="40"/>
      <c r="L94" s="40"/>
      <c r="M94" s="22"/>
      <c r="N94" s="4"/>
      <c r="O94" s="22"/>
      <c r="P94" s="22"/>
      <c r="Q94" s="4"/>
      <c r="R94" s="22"/>
      <c r="S94" s="22"/>
      <c r="T94" s="4"/>
      <c r="U94" s="22"/>
      <c r="V94" s="22"/>
      <c r="W94" s="4"/>
      <c r="X94" s="22"/>
      <c r="Y94" s="22"/>
      <c r="Z94" s="4"/>
      <c r="AA94" s="22"/>
      <c r="AB94" s="22"/>
      <c r="AC94" s="4"/>
      <c r="AD94" s="22"/>
      <c r="AE94" s="22"/>
      <c r="AF94" s="4"/>
      <c r="AG94" s="22"/>
      <c r="AH94" s="22"/>
      <c r="AI94" s="4"/>
      <c r="AJ94" s="22"/>
      <c r="AK94" s="22"/>
      <c r="AL94" s="4"/>
      <c r="AM94" s="22"/>
      <c r="AN94" s="22"/>
      <c r="AO94" s="4"/>
      <c r="AP94" s="4"/>
      <c r="AQ94" s="4"/>
      <c r="AR94" s="22"/>
      <c r="AS94" s="22"/>
      <c r="AT94" s="4"/>
    </row>
    <row r="95" spans="2:46" s="2" customFormat="1" ht="174" customHeight="1">
      <c r="B95" s="1"/>
      <c r="C95" s="3"/>
      <c r="D95"/>
      <c r="E95"/>
      <c r="F95" s="40"/>
      <c r="G95" s="40"/>
      <c r="H95" s="40"/>
      <c r="I95" s="40"/>
      <c r="J95" s="40"/>
      <c r="K95" s="40"/>
      <c r="L95" s="40"/>
      <c r="M95" s="22"/>
      <c r="N95" s="4"/>
      <c r="O95" s="22"/>
      <c r="P95" s="22"/>
      <c r="Q95" s="4"/>
      <c r="R95" s="22"/>
      <c r="S95" s="22"/>
      <c r="T95" s="4"/>
      <c r="U95" s="22"/>
      <c r="V95" s="22"/>
      <c r="W95" s="4"/>
      <c r="X95" s="22"/>
      <c r="Y95" s="22"/>
      <c r="Z95" s="4"/>
      <c r="AA95" s="22"/>
      <c r="AB95" s="22"/>
      <c r="AC95" s="4"/>
      <c r="AD95" s="22"/>
      <c r="AE95" s="22"/>
      <c r="AF95" s="4"/>
      <c r="AG95" s="22"/>
      <c r="AH95" s="22"/>
      <c r="AI95" s="4"/>
      <c r="AJ95" s="22"/>
      <c r="AK95" s="22"/>
      <c r="AL95" s="4"/>
      <c r="AM95" s="22"/>
      <c r="AN95" s="22"/>
      <c r="AO95" s="4"/>
      <c r="AP95" s="4"/>
      <c r="AQ95" s="4"/>
      <c r="AR95" s="22"/>
      <c r="AS95" s="22"/>
      <c r="AT95" s="4"/>
    </row>
    <row r="96" spans="2:46" s="2" customFormat="1" ht="102" customHeight="1">
      <c r="B96" s="1"/>
      <c r="C96" s="3"/>
      <c r="D96"/>
      <c r="E96"/>
      <c r="F96" s="40"/>
      <c r="G96" s="40"/>
      <c r="H96" s="40"/>
      <c r="I96" s="40"/>
      <c r="J96" s="40"/>
      <c r="K96" s="40"/>
      <c r="L96" s="40"/>
      <c r="M96" s="22"/>
      <c r="N96" s="4"/>
      <c r="O96" s="22"/>
      <c r="P96" s="22"/>
      <c r="Q96" s="4"/>
      <c r="R96" s="22"/>
      <c r="S96" s="22"/>
      <c r="T96" s="4"/>
      <c r="U96" s="22"/>
      <c r="V96" s="22"/>
      <c r="W96" s="4"/>
      <c r="X96" s="22"/>
      <c r="Y96" s="22"/>
      <c r="Z96" s="4"/>
      <c r="AA96" s="22"/>
      <c r="AB96" s="22"/>
      <c r="AC96" s="4"/>
      <c r="AD96" s="22"/>
      <c r="AE96" s="22"/>
      <c r="AF96" s="4"/>
      <c r="AG96" s="22"/>
      <c r="AH96" s="22"/>
      <c r="AI96" s="4"/>
      <c r="AJ96" s="22"/>
      <c r="AK96" s="22"/>
      <c r="AL96" s="4"/>
      <c r="AM96" s="22"/>
      <c r="AN96" s="22"/>
      <c r="AO96" s="4"/>
      <c r="AP96" s="4"/>
      <c r="AQ96" s="4"/>
      <c r="AR96" s="22"/>
      <c r="AS96" s="22"/>
      <c r="AT96" s="4"/>
    </row>
    <row r="97" spans="2:46" s="2" customFormat="1" ht="102" customHeight="1">
      <c r="B97" s="1"/>
      <c r="C97" s="3"/>
      <c r="D97"/>
      <c r="E97"/>
      <c r="F97" s="40"/>
      <c r="G97" s="40"/>
      <c r="H97" s="40"/>
      <c r="I97" s="40"/>
      <c r="J97" s="40"/>
      <c r="K97" s="40"/>
      <c r="L97" s="40"/>
      <c r="M97" s="22"/>
      <c r="N97" s="4"/>
      <c r="O97" s="22"/>
      <c r="P97" s="22"/>
      <c r="Q97" s="4"/>
      <c r="R97" s="22"/>
      <c r="S97" s="22"/>
      <c r="T97" s="4"/>
      <c r="U97" s="22"/>
      <c r="V97" s="22"/>
      <c r="W97" s="4"/>
      <c r="X97" s="22"/>
      <c r="Y97" s="22"/>
      <c r="Z97" s="4"/>
      <c r="AA97" s="22"/>
      <c r="AB97" s="22"/>
      <c r="AC97" s="4"/>
      <c r="AD97" s="22"/>
      <c r="AE97" s="22"/>
      <c r="AF97" s="4"/>
      <c r="AG97" s="22"/>
      <c r="AH97" s="22"/>
      <c r="AI97" s="4"/>
      <c r="AJ97" s="22"/>
      <c r="AK97" s="22"/>
      <c r="AL97" s="4"/>
      <c r="AM97" s="22"/>
      <c r="AN97" s="22"/>
      <c r="AO97" s="4"/>
      <c r="AP97" s="4"/>
      <c r="AQ97" s="4"/>
      <c r="AR97" s="22"/>
      <c r="AS97" s="22"/>
      <c r="AT97" s="4"/>
    </row>
    <row r="98" spans="2:46" ht="64.150000000000006" customHeight="1">
      <c r="B98" s="1"/>
      <c r="C98" s="3"/>
    </row>
    <row r="99" spans="2:46" ht="64.150000000000006" customHeight="1">
      <c r="B99" s="1"/>
      <c r="C99" s="3"/>
    </row>
    <row r="100" spans="2:46" ht="36" customHeight="1">
      <c r="B100" s="1"/>
      <c r="C100" s="3"/>
    </row>
    <row r="101" spans="2:46" ht="36" customHeight="1">
      <c r="B101" s="1"/>
      <c r="C101" s="3"/>
    </row>
    <row r="102" spans="2:46" ht="36" customHeight="1">
      <c r="B102" s="1"/>
      <c r="C102" s="3"/>
    </row>
    <row r="103" spans="2:46" ht="36" customHeight="1">
      <c r="B103" s="1"/>
      <c r="C103" s="3"/>
    </row>
    <row r="104" spans="2:46" ht="36" customHeight="1">
      <c r="B104" s="1"/>
      <c r="C104" s="3"/>
    </row>
    <row r="105" spans="2:46" ht="15.75" customHeight="1">
      <c r="B105" s="1"/>
      <c r="C105" s="3"/>
    </row>
    <row r="106" spans="2:46" ht="15.75" customHeight="1">
      <c r="B106" s="1"/>
      <c r="C106" s="3"/>
    </row>
    <row r="107" spans="2:46" ht="15.75" customHeight="1">
      <c r="B107" s="1"/>
      <c r="C107" s="3"/>
    </row>
    <row r="108" spans="2:46" ht="15.75" customHeight="1">
      <c r="B108" s="1"/>
      <c r="C108" s="3"/>
    </row>
    <row r="109" spans="2:46" ht="15.75" customHeight="1">
      <c r="B109" s="1"/>
      <c r="C109" s="3"/>
    </row>
    <row r="110" spans="2:46" ht="15.75" customHeight="1">
      <c r="B110" s="1"/>
      <c r="C110" s="3"/>
    </row>
    <row r="111" spans="2:46" s="22" customFormat="1" ht="15.75" customHeight="1">
      <c r="B111" s="1"/>
      <c r="C111" s="3"/>
      <c r="D111"/>
      <c r="E111"/>
      <c r="F111" s="40"/>
      <c r="G111" s="40"/>
      <c r="H111" s="40"/>
      <c r="I111" s="40"/>
      <c r="J111" s="40"/>
      <c r="K111" s="40"/>
      <c r="L111" s="40"/>
      <c r="N111" s="4"/>
      <c r="Q111" s="4"/>
      <c r="T111" s="4"/>
      <c r="W111" s="4"/>
      <c r="Z111" s="4"/>
      <c r="AC111" s="4"/>
      <c r="AF111" s="4"/>
      <c r="AI111" s="4"/>
      <c r="AL111" s="4"/>
      <c r="AO111" s="4"/>
      <c r="AP111" s="4"/>
      <c r="AQ111" s="4"/>
      <c r="AT111" s="4"/>
    </row>
    <row r="112" spans="2:46" s="22" customFormat="1" ht="15.75" customHeight="1">
      <c r="B112" s="1"/>
      <c r="C112" s="3"/>
      <c r="D112"/>
      <c r="E112"/>
      <c r="F112" s="40"/>
      <c r="G112" s="40"/>
      <c r="H112" s="40"/>
      <c r="I112" s="40"/>
      <c r="J112" s="40"/>
      <c r="K112" s="40"/>
      <c r="L112" s="40"/>
      <c r="N112" s="4"/>
      <c r="Q112" s="4"/>
      <c r="T112" s="4"/>
      <c r="W112" s="4"/>
      <c r="Z112" s="4"/>
      <c r="AC112" s="4"/>
      <c r="AF112" s="4"/>
      <c r="AI112" s="4"/>
      <c r="AL112" s="4"/>
      <c r="AO112" s="4"/>
      <c r="AP112" s="4"/>
      <c r="AQ112" s="4"/>
      <c r="AT112" s="4"/>
    </row>
    <row r="113" spans="2:46" s="22" customFormat="1" ht="15.75" customHeight="1">
      <c r="B113" s="1"/>
      <c r="C113" s="3"/>
      <c r="D113"/>
      <c r="E113"/>
      <c r="F113" s="40"/>
      <c r="G113" s="40"/>
      <c r="H113" s="40"/>
      <c r="I113" s="40"/>
      <c r="J113" s="40"/>
      <c r="K113" s="40"/>
      <c r="L113" s="40"/>
      <c r="N113" s="4"/>
      <c r="Q113" s="4"/>
      <c r="T113" s="4"/>
      <c r="W113" s="4"/>
      <c r="Z113" s="4"/>
      <c r="AC113" s="4"/>
      <c r="AF113" s="4"/>
      <c r="AI113" s="4"/>
      <c r="AL113" s="4"/>
      <c r="AO113" s="4"/>
      <c r="AP113" s="4"/>
      <c r="AQ113" s="4"/>
      <c r="AT113" s="4"/>
    </row>
    <row r="114" spans="2:46" s="22" customFormat="1" ht="15.75" customHeight="1">
      <c r="B114" s="1"/>
      <c r="C114" s="3"/>
      <c r="D114"/>
      <c r="E114"/>
      <c r="F114" s="40"/>
      <c r="G114" s="40"/>
      <c r="H114" s="40"/>
      <c r="I114" s="40"/>
      <c r="J114" s="40"/>
      <c r="K114" s="40"/>
      <c r="L114" s="40"/>
      <c r="N114" s="4"/>
      <c r="Q114" s="4"/>
      <c r="T114" s="4"/>
      <c r="W114" s="4"/>
      <c r="Z114" s="4"/>
      <c r="AC114" s="4"/>
      <c r="AF114" s="4"/>
      <c r="AI114" s="4"/>
      <c r="AL114" s="4"/>
      <c r="AO114" s="4"/>
      <c r="AP114" s="4"/>
      <c r="AQ114" s="4"/>
      <c r="AT114" s="4"/>
    </row>
    <row r="115" spans="2:46" s="22" customFormat="1" ht="15.75" customHeight="1">
      <c r="B115" s="1"/>
      <c r="C115" s="3"/>
      <c r="D115"/>
      <c r="E115"/>
      <c r="F115" s="40"/>
      <c r="G115" s="40"/>
      <c r="H115" s="40"/>
      <c r="I115" s="40"/>
      <c r="J115" s="40"/>
      <c r="K115" s="40"/>
      <c r="L115" s="40"/>
      <c r="N115" s="4"/>
      <c r="Q115" s="4"/>
      <c r="T115" s="4"/>
      <c r="W115" s="4"/>
      <c r="Z115" s="4"/>
      <c r="AC115" s="4"/>
      <c r="AF115" s="4"/>
      <c r="AI115" s="4"/>
      <c r="AL115" s="4"/>
      <c r="AO115" s="4"/>
      <c r="AP115" s="4"/>
      <c r="AQ115" s="4"/>
      <c r="AT115" s="4"/>
    </row>
    <row r="116" spans="2:46" s="22" customFormat="1" ht="15.75" customHeight="1">
      <c r="B116" s="1"/>
      <c r="C116" s="3"/>
      <c r="D116"/>
      <c r="E116"/>
      <c r="F116" s="40"/>
      <c r="G116" s="40"/>
      <c r="H116" s="40"/>
      <c r="I116" s="40"/>
      <c r="J116" s="40"/>
      <c r="K116" s="40"/>
      <c r="L116" s="40"/>
      <c r="N116" s="4"/>
      <c r="Q116" s="4"/>
      <c r="T116" s="4"/>
      <c r="W116" s="4"/>
      <c r="Z116" s="4"/>
      <c r="AC116" s="4"/>
      <c r="AF116" s="4"/>
      <c r="AI116" s="4"/>
      <c r="AL116" s="4"/>
      <c r="AO116" s="4"/>
      <c r="AP116" s="4"/>
      <c r="AQ116" s="4"/>
      <c r="AT116" s="4"/>
    </row>
    <row r="117" spans="2:46" s="22" customFormat="1" ht="15.75" customHeight="1">
      <c r="B117" s="1"/>
      <c r="C117" s="3"/>
      <c r="D117"/>
      <c r="E117"/>
      <c r="F117" s="40"/>
      <c r="G117" s="40"/>
      <c r="H117" s="40"/>
      <c r="I117" s="40"/>
      <c r="J117" s="40"/>
      <c r="K117" s="40"/>
      <c r="L117" s="40"/>
      <c r="N117" s="4"/>
      <c r="Q117" s="4"/>
      <c r="T117" s="4"/>
      <c r="W117" s="4"/>
      <c r="Z117" s="4"/>
      <c r="AC117" s="4"/>
      <c r="AF117" s="4"/>
      <c r="AI117" s="4"/>
      <c r="AL117" s="4"/>
      <c r="AO117" s="4"/>
      <c r="AP117" s="4"/>
      <c r="AQ117" s="4"/>
      <c r="AT117" s="4"/>
    </row>
    <row r="118" spans="2:46" s="22" customFormat="1" ht="15.75" customHeight="1">
      <c r="B118" s="1"/>
      <c r="C118" s="3"/>
      <c r="D118"/>
      <c r="E118"/>
      <c r="F118" s="40"/>
      <c r="G118" s="40"/>
      <c r="H118" s="40"/>
      <c r="I118" s="40"/>
      <c r="J118" s="40"/>
      <c r="K118" s="40"/>
      <c r="L118" s="40"/>
      <c r="N118" s="4"/>
      <c r="Q118" s="4"/>
      <c r="T118" s="4"/>
      <c r="W118" s="4"/>
      <c r="Z118" s="4"/>
      <c r="AC118" s="4"/>
      <c r="AF118" s="4"/>
      <c r="AI118" s="4"/>
      <c r="AL118" s="4"/>
      <c r="AO118" s="4"/>
      <c r="AP118" s="4"/>
      <c r="AQ118" s="4"/>
      <c r="AT118" s="4"/>
    </row>
    <row r="119" spans="2:46" s="22" customFormat="1" ht="15.75" customHeight="1">
      <c r="B119" s="1"/>
      <c r="C119" s="3"/>
      <c r="D119"/>
      <c r="E119"/>
      <c r="F119" s="40"/>
      <c r="G119" s="40"/>
      <c r="H119" s="40"/>
      <c r="I119" s="40"/>
      <c r="J119" s="40"/>
      <c r="K119" s="40"/>
      <c r="L119" s="40"/>
      <c r="N119" s="4"/>
      <c r="Q119" s="4"/>
      <c r="T119" s="4"/>
      <c r="W119" s="4"/>
      <c r="Z119" s="4"/>
      <c r="AC119" s="4"/>
      <c r="AF119" s="4"/>
      <c r="AI119" s="4"/>
      <c r="AL119" s="4"/>
      <c r="AO119" s="4"/>
      <c r="AP119" s="4"/>
      <c r="AQ119" s="4"/>
      <c r="AT119" s="4"/>
    </row>
    <row r="120" spans="2:46" s="22" customFormat="1" ht="15.75" customHeight="1">
      <c r="B120" s="1"/>
      <c r="C120" s="3"/>
      <c r="D120"/>
      <c r="E120"/>
      <c r="F120" s="40"/>
      <c r="G120" s="40"/>
      <c r="H120" s="40"/>
      <c r="I120" s="40"/>
      <c r="J120" s="40"/>
      <c r="K120" s="40"/>
      <c r="L120" s="40"/>
      <c r="N120" s="4"/>
      <c r="Q120" s="4"/>
      <c r="T120" s="4"/>
      <c r="W120" s="4"/>
      <c r="Z120" s="4"/>
      <c r="AC120" s="4"/>
      <c r="AF120" s="4"/>
      <c r="AI120" s="4"/>
      <c r="AL120" s="4"/>
      <c r="AO120" s="4"/>
      <c r="AP120" s="4"/>
      <c r="AQ120" s="4"/>
      <c r="AT120" s="4"/>
    </row>
    <row r="121" spans="2:46" s="22" customFormat="1" ht="15.75" customHeight="1">
      <c r="B121" s="1"/>
      <c r="C121" s="3"/>
      <c r="D121"/>
      <c r="E121"/>
      <c r="F121" s="40"/>
      <c r="G121" s="40"/>
      <c r="H121" s="40"/>
      <c r="I121" s="40"/>
      <c r="J121" s="40"/>
      <c r="K121" s="40"/>
      <c r="L121" s="40"/>
      <c r="N121" s="4"/>
      <c r="Q121" s="4"/>
      <c r="T121" s="4"/>
      <c r="W121" s="4"/>
      <c r="Z121" s="4"/>
      <c r="AC121" s="4"/>
      <c r="AF121" s="4"/>
      <c r="AI121" s="4"/>
      <c r="AL121" s="4"/>
      <c r="AO121" s="4"/>
      <c r="AP121" s="4"/>
      <c r="AQ121" s="4"/>
      <c r="AT121" s="4"/>
    </row>
    <row r="122" spans="2:46" s="22" customFormat="1" ht="15.75" customHeight="1">
      <c r="B122" s="1"/>
      <c r="C122" s="3"/>
      <c r="D122"/>
      <c r="E122"/>
      <c r="F122" s="40"/>
      <c r="G122" s="40"/>
      <c r="H122" s="40"/>
      <c r="I122" s="40"/>
      <c r="J122" s="40"/>
      <c r="K122" s="40"/>
      <c r="L122" s="40"/>
      <c r="N122" s="4"/>
      <c r="Q122" s="4"/>
      <c r="T122" s="4"/>
      <c r="W122" s="4"/>
      <c r="Z122" s="4"/>
      <c r="AC122" s="4"/>
      <c r="AF122" s="4"/>
      <c r="AI122" s="4"/>
      <c r="AL122" s="4"/>
      <c r="AO122" s="4"/>
      <c r="AP122" s="4"/>
      <c r="AQ122" s="4"/>
      <c r="AT122" s="4"/>
    </row>
    <row r="123" spans="2:46" s="22" customFormat="1" ht="15.75" customHeight="1">
      <c r="B123" s="1"/>
      <c r="C123" s="3"/>
      <c r="D123"/>
      <c r="E123"/>
      <c r="F123" s="40"/>
      <c r="G123" s="40"/>
      <c r="H123" s="40"/>
      <c r="I123" s="40"/>
      <c r="J123" s="40"/>
      <c r="K123" s="40"/>
      <c r="L123" s="40"/>
      <c r="N123" s="4"/>
      <c r="Q123" s="4"/>
      <c r="T123" s="4"/>
      <c r="W123" s="4"/>
      <c r="Z123" s="4"/>
      <c r="AC123" s="4"/>
      <c r="AF123" s="4"/>
      <c r="AI123" s="4"/>
      <c r="AL123" s="4"/>
      <c r="AO123" s="4"/>
      <c r="AP123" s="4"/>
      <c r="AQ123" s="4"/>
      <c r="AT123" s="4"/>
    </row>
    <row r="124" spans="2:46" s="22" customFormat="1" ht="15.75" customHeight="1">
      <c r="B124" s="1"/>
      <c r="C124" s="3"/>
      <c r="D124"/>
      <c r="E124"/>
      <c r="F124" s="40"/>
      <c r="G124" s="40"/>
      <c r="H124" s="40"/>
      <c r="I124" s="40"/>
      <c r="J124" s="40"/>
      <c r="K124" s="40"/>
      <c r="L124" s="40"/>
      <c r="N124" s="4"/>
      <c r="Q124" s="4"/>
      <c r="T124" s="4"/>
      <c r="W124" s="4"/>
      <c r="Z124" s="4"/>
      <c r="AC124" s="4"/>
      <c r="AF124" s="4"/>
      <c r="AI124" s="4"/>
      <c r="AL124" s="4"/>
      <c r="AO124" s="4"/>
      <c r="AP124" s="4"/>
      <c r="AQ124" s="4"/>
      <c r="AT124" s="4"/>
    </row>
    <row r="125" spans="2:46" s="22" customFormat="1" ht="15.75" customHeight="1">
      <c r="B125" s="1"/>
      <c r="C125" s="3"/>
      <c r="D125"/>
      <c r="E125"/>
      <c r="F125" s="40"/>
      <c r="G125" s="40"/>
      <c r="H125" s="40"/>
      <c r="I125" s="40"/>
      <c r="J125" s="40"/>
      <c r="K125" s="40"/>
      <c r="L125" s="40"/>
      <c r="N125" s="4"/>
      <c r="Q125" s="4"/>
      <c r="T125" s="4"/>
      <c r="W125" s="4"/>
      <c r="Z125" s="4"/>
      <c r="AC125" s="4"/>
      <c r="AF125" s="4"/>
      <c r="AI125" s="4"/>
      <c r="AL125" s="4"/>
      <c r="AO125" s="4"/>
      <c r="AP125" s="4"/>
      <c r="AQ125" s="4"/>
      <c r="AT125" s="4"/>
    </row>
    <row r="126" spans="2:46" s="22" customFormat="1" ht="15.75" customHeight="1">
      <c r="B126" s="1"/>
      <c r="C126" s="3"/>
      <c r="D126"/>
      <c r="E126"/>
      <c r="F126" s="40"/>
      <c r="G126" s="40"/>
      <c r="H126" s="40"/>
      <c r="I126" s="40"/>
      <c r="J126" s="40"/>
      <c r="K126" s="40"/>
      <c r="L126" s="40"/>
      <c r="N126" s="4"/>
      <c r="Q126" s="4"/>
      <c r="T126" s="4"/>
      <c r="W126" s="4"/>
      <c r="Z126" s="4"/>
      <c r="AC126" s="4"/>
      <c r="AF126" s="4"/>
      <c r="AI126" s="4"/>
      <c r="AL126" s="4"/>
      <c r="AO126" s="4"/>
      <c r="AP126" s="4"/>
      <c r="AQ126" s="4"/>
      <c r="AT126" s="4"/>
    </row>
    <row r="127" spans="2:46" ht="15.75" customHeight="1">
      <c r="B127" s="1"/>
      <c r="C127" s="3"/>
    </row>
    <row r="128" spans="2:46" ht="15.75" customHeight="1">
      <c r="B128" s="1"/>
      <c r="C128" s="3"/>
    </row>
    <row r="129" spans="2:3" ht="15.75" customHeight="1">
      <c r="B129" s="1"/>
      <c r="C129" s="3"/>
    </row>
    <row r="130" spans="2:3" ht="15.75" customHeight="1">
      <c r="B130" s="1"/>
      <c r="C130" s="3"/>
    </row>
    <row r="131" spans="2:3" ht="15.75" customHeight="1">
      <c r="B131" s="1"/>
      <c r="C131" s="3"/>
    </row>
    <row r="132" spans="2:3" ht="15.75" customHeight="1">
      <c r="B132" s="1"/>
      <c r="C132" s="3"/>
    </row>
    <row r="133" spans="2:3" ht="15.75" customHeight="1">
      <c r="B133" s="1"/>
      <c r="C133" s="3"/>
    </row>
    <row r="134" spans="2:3" ht="15.75" customHeight="1">
      <c r="B134" s="1"/>
      <c r="C134" s="3"/>
    </row>
    <row r="135" spans="2:3" ht="15.75" customHeight="1">
      <c r="B135" s="1"/>
      <c r="C135" s="3"/>
    </row>
    <row r="136" spans="2:3" ht="15.75" customHeight="1">
      <c r="B136" s="1"/>
      <c r="C136" s="3"/>
    </row>
    <row r="137" spans="2:3" ht="15.75" customHeight="1">
      <c r="B137" s="1"/>
      <c r="C137" s="3"/>
    </row>
    <row r="138" spans="2:3" ht="15.75" customHeight="1">
      <c r="B138" s="1"/>
      <c r="C138" s="3"/>
    </row>
    <row r="139" spans="2:3" ht="15.75" customHeight="1">
      <c r="B139" s="1"/>
      <c r="C139" s="3"/>
    </row>
    <row r="140" spans="2:3" ht="15.75" customHeight="1">
      <c r="B140" s="1"/>
      <c r="C140" s="3"/>
    </row>
    <row r="141" spans="2:3" ht="15.75" customHeight="1">
      <c r="B141" s="1"/>
      <c r="C141" s="3"/>
    </row>
    <row r="142" spans="2:3" ht="15.75" customHeight="1">
      <c r="B142" s="1"/>
      <c r="C142" s="3"/>
    </row>
    <row r="143" spans="2:3" ht="15.75" customHeight="1">
      <c r="B143" s="1"/>
      <c r="C143" s="3"/>
    </row>
    <row r="144" spans="2:3" ht="15.75" customHeight="1">
      <c r="B144" s="1"/>
      <c r="C144" s="3"/>
    </row>
    <row r="145" spans="2:3" ht="15.75" customHeight="1">
      <c r="B145" s="1"/>
      <c r="C145" s="3"/>
    </row>
    <row r="146" spans="2:3" ht="15.75" customHeight="1">
      <c r="B146" s="1"/>
      <c r="C146" s="3"/>
    </row>
    <row r="147" spans="2:3" ht="15.75" customHeight="1">
      <c r="B147" s="1"/>
      <c r="C147" s="3"/>
    </row>
    <row r="148" spans="2:3" ht="15.75" customHeight="1">
      <c r="B148" s="1"/>
      <c r="C148" s="3"/>
    </row>
    <row r="149" spans="2:3" ht="15.75" customHeight="1">
      <c r="B149" s="1"/>
      <c r="C149" s="3"/>
    </row>
    <row r="150" spans="2:3" ht="15.75" customHeight="1">
      <c r="B150" s="1"/>
      <c r="C150" s="3"/>
    </row>
    <row r="151" spans="2:3" ht="15.75" customHeight="1">
      <c r="B151" s="1"/>
      <c r="C151" s="3"/>
    </row>
    <row r="152" spans="2:3" ht="15.75" customHeight="1">
      <c r="B152" s="1"/>
      <c r="C152" s="3"/>
    </row>
    <row r="153" spans="2:3" ht="15.75" customHeight="1">
      <c r="B153" s="1"/>
      <c r="C153" s="3"/>
    </row>
    <row r="154" spans="2:3" ht="15.75" customHeight="1">
      <c r="B154" s="1"/>
      <c r="C154" s="3"/>
    </row>
    <row r="155" spans="2:3" ht="15.75" customHeight="1">
      <c r="B155" s="1"/>
      <c r="C155" s="3"/>
    </row>
    <row r="156" spans="2:3" ht="15.75" customHeight="1">
      <c r="B156" s="1"/>
      <c r="C156" s="3"/>
    </row>
    <row r="157" spans="2:3" ht="15.75" customHeight="1">
      <c r="B157" s="1"/>
      <c r="C157" s="3"/>
    </row>
    <row r="158" spans="2:3" ht="15.75" customHeight="1">
      <c r="B158" s="1"/>
      <c r="C158" s="3"/>
    </row>
    <row r="159" spans="2:3" ht="15.75" customHeight="1">
      <c r="B159" s="1"/>
      <c r="C159" s="3"/>
    </row>
    <row r="160" spans="2:3" ht="15.75" customHeight="1">
      <c r="B160" s="1"/>
      <c r="C160" s="3"/>
    </row>
    <row r="161" spans="2:3" ht="15.75" customHeight="1">
      <c r="B161" s="1"/>
      <c r="C161" s="3"/>
    </row>
    <row r="162" spans="2:3" ht="15.75" customHeight="1">
      <c r="B162" s="1"/>
      <c r="C162" s="3"/>
    </row>
    <row r="163" spans="2:3" ht="15.75" customHeight="1">
      <c r="B163" s="1"/>
      <c r="C163" s="3"/>
    </row>
    <row r="164" spans="2:3" ht="15.75" customHeight="1">
      <c r="B164" s="1"/>
      <c r="C164" s="3"/>
    </row>
    <row r="165" spans="2:3" ht="15.75" customHeight="1">
      <c r="B165" s="1"/>
      <c r="C165" s="3"/>
    </row>
    <row r="166" spans="2:3" ht="15.75" customHeight="1">
      <c r="B166" s="1"/>
      <c r="C166" s="3"/>
    </row>
    <row r="167" spans="2:3" ht="15.75" customHeight="1">
      <c r="B167" s="1"/>
      <c r="C167" s="3"/>
    </row>
    <row r="168" spans="2:3" ht="15.75" customHeight="1">
      <c r="B168" s="1"/>
      <c r="C168" s="3"/>
    </row>
    <row r="169" spans="2:3" ht="15.75" customHeight="1">
      <c r="B169" s="1"/>
      <c r="C169" s="3"/>
    </row>
    <row r="170" spans="2:3" ht="15.75" customHeight="1">
      <c r="B170" s="1"/>
      <c r="C170" s="3"/>
    </row>
    <row r="171" spans="2:3" ht="15.75" customHeight="1">
      <c r="B171" s="1"/>
      <c r="C171" s="3"/>
    </row>
    <row r="172" spans="2:3" ht="15.75" customHeight="1">
      <c r="B172" s="1"/>
      <c r="C172" s="3"/>
    </row>
    <row r="173" spans="2:3" ht="15.75" customHeight="1">
      <c r="B173" s="1"/>
      <c r="C173" s="3"/>
    </row>
    <row r="174" spans="2:3" ht="15.75" customHeight="1">
      <c r="B174" s="1"/>
      <c r="C174" s="3"/>
    </row>
    <row r="175" spans="2:3" ht="15.75" customHeight="1">
      <c r="B175" s="1"/>
      <c r="C175" s="3"/>
    </row>
    <row r="176" spans="2:3" ht="15.75" customHeight="1">
      <c r="B176" s="1"/>
      <c r="C176" s="3"/>
    </row>
    <row r="177" spans="2:3" ht="15.75" customHeight="1">
      <c r="B177" s="1"/>
      <c r="C177" s="3"/>
    </row>
    <row r="178" spans="2:3" ht="15.75" customHeight="1">
      <c r="B178" s="1"/>
      <c r="C178" s="3"/>
    </row>
    <row r="179" spans="2:3" ht="15.75" customHeight="1">
      <c r="B179" s="1"/>
      <c r="C179" s="3"/>
    </row>
    <row r="180" spans="2:3" ht="15.75" customHeight="1">
      <c r="B180" s="1"/>
      <c r="C180" s="3"/>
    </row>
    <row r="181" spans="2:3" ht="15.75" customHeight="1">
      <c r="B181" s="1"/>
      <c r="C181" s="3"/>
    </row>
    <row r="182" spans="2:3" ht="15.75" customHeight="1">
      <c r="B182" s="1"/>
      <c r="C182" s="3"/>
    </row>
    <row r="183" spans="2:3" ht="15.75" customHeight="1">
      <c r="B183" s="1"/>
      <c r="C183" s="3"/>
    </row>
    <row r="184" spans="2:3" ht="15.75" customHeight="1">
      <c r="B184" s="1"/>
      <c r="C184" s="3"/>
    </row>
    <row r="185" spans="2:3" ht="15.75" customHeight="1">
      <c r="B185" s="1"/>
      <c r="C185" s="3"/>
    </row>
    <row r="186" spans="2:3" ht="15.75" customHeight="1">
      <c r="B186" s="1"/>
      <c r="C186" s="3"/>
    </row>
    <row r="187" spans="2:3" ht="15.75" customHeight="1">
      <c r="B187" s="1"/>
      <c r="C187" s="3"/>
    </row>
    <row r="188" spans="2:3" ht="15.75" customHeight="1">
      <c r="B188" s="1"/>
      <c r="C188" s="3"/>
    </row>
    <row r="189" spans="2:3" ht="15.75" customHeight="1">
      <c r="B189" s="1"/>
      <c r="C189" s="3"/>
    </row>
    <row r="190" spans="2:3" ht="15.75" customHeight="1">
      <c r="B190" s="1"/>
      <c r="C190" s="3"/>
    </row>
    <row r="191" spans="2:3" ht="15.75" customHeight="1">
      <c r="B191" s="1"/>
      <c r="C191" s="3"/>
    </row>
    <row r="192" spans="2:3" ht="15.75" customHeight="1">
      <c r="B192" s="1"/>
      <c r="C192" s="3"/>
    </row>
    <row r="193" spans="2:3" ht="15.75" customHeight="1">
      <c r="B193" s="1"/>
      <c r="C193" s="3"/>
    </row>
    <row r="194" spans="2:3" ht="15.75" customHeight="1">
      <c r="B194" s="1"/>
      <c r="C194" s="3"/>
    </row>
    <row r="195" spans="2:3" ht="15.75" customHeight="1">
      <c r="B195" s="1"/>
      <c r="C195" s="3"/>
    </row>
    <row r="196" spans="2:3" ht="15.75" customHeight="1">
      <c r="B196" s="1"/>
      <c r="C196" s="3"/>
    </row>
    <row r="197" spans="2:3" ht="15.75" customHeight="1">
      <c r="B197" s="1"/>
      <c r="C197" s="3"/>
    </row>
    <row r="198" spans="2:3" ht="15.75" customHeight="1">
      <c r="B198" s="1"/>
      <c r="C198" s="3"/>
    </row>
    <row r="199" spans="2:3" ht="15.75" customHeight="1">
      <c r="B199" s="1"/>
      <c r="C199" s="3"/>
    </row>
    <row r="200" spans="2:3" ht="15.75" customHeight="1">
      <c r="B200" s="1"/>
      <c r="C200" s="3"/>
    </row>
    <row r="201" spans="2:3" ht="15.75" customHeight="1">
      <c r="B201" s="1"/>
      <c r="C201" s="3"/>
    </row>
    <row r="202" spans="2:3" ht="15.75" customHeight="1">
      <c r="B202" s="1"/>
      <c r="C202" s="3"/>
    </row>
    <row r="203" spans="2:3" ht="15.75" customHeight="1">
      <c r="B203" s="1"/>
      <c r="C203" s="3"/>
    </row>
    <row r="204" spans="2:3" ht="15.75" customHeight="1">
      <c r="B204" s="1"/>
      <c r="C204" s="3"/>
    </row>
    <row r="205" spans="2:3" ht="15.75" customHeight="1">
      <c r="B205" s="1"/>
      <c r="C205" s="3"/>
    </row>
    <row r="206" spans="2:3" ht="15.75" customHeight="1">
      <c r="B206" s="1"/>
      <c r="C206" s="3"/>
    </row>
    <row r="207" spans="2:3" ht="15.75" customHeight="1">
      <c r="B207" s="1"/>
      <c r="C207" s="3"/>
    </row>
    <row r="208" spans="2:3" ht="15.75" customHeight="1">
      <c r="B208" s="1"/>
      <c r="C208" s="3"/>
    </row>
    <row r="209" spans="2:3" ht="15.75" customHeight="1">
      <c r="B209" s="1"/>
      <c r="C209" s="3"/>
    </row>
    <row r="210" spans="2:3" ht="15.75" customHeight="1">
      <c r="B210" s="1"/>
      <c r="C210" s="3"/>
    </row>
    <row r="211" spans="2:3" ht="15.75" customHeight="1">
      <c r="B211" s="1"/>
      <c r="C211" s="3"/>
    </row>
    <row r="212" spans="2:3" ht="15.75" customHeight="1">
      <c r="B212" s="1"/>
      <c r="C212" s="3"/>
    </row>
    <row r="213" spans="2:3" ht="15.75" customHeight="1">
      <c r="B213" s="1"/>
      <c r="C213" s="3"/>
    </row>
    <row r="214" spans="2:3" ht="15.75" customHeight="1">
      <c r="B214" s="1"/>
      <c r="C214" s="3"/>
    </row>
    <row r="215" spans="2:3" ht="15.75" customHeight="1">
      <c r="B215" s="1"/>
      <c r="C215" s="3"/>
    </row>
    <row r="216" spans="2:3" ht="15.75" customHeight="1">
      <c r="B216" s="1"/>
      <c r="C216" s="3"/>
    </row>
    <row r="217" spans="2:3" ht="15.75" customHeight="1">
      <c r="B217" s="1"/>
      <c r="C217" s="3"/>
    </row>
    <row r="218" spans="2:3" ht="15.75" customHeight="1">
      <c r="B218" s="1"/>
      <c r="C218" s="3"/>
    </row>
    <row r="219" spans="2:3" ht="15.75" customHeight="1">
      <c r="B219" s="1"/>
      <c r="C219" s="3"/>
    </row>
    <row r="220" spans="2:3" ht="15.75" customHeight="1">
      <c r="B220" s="1"/>
      <c r="C220" s="3"/>
    </row>
    <row r="221" spans="2:3" ht="15.75" customHeight="1">
      <c r="B221" s="1"/>
      <c r="C221" s="3"/>
    </row>
    <row r="222" spans="2:3" ht="15.75" customHeight="1">
      <c r="B222" s="1"/>
      <c r="C222" s="3"/>
    </row>
    <row r="223" spans="2:3" ht="15.75" customHeight="1">
      <c r="B223" s="1"/>
      <c r="C223" s="3"/>
    </row>
    <row r="224" spans="2:3" ht="15.75" customHeight="1">
      <c r="B224" s="1"/>
      <c r="C224" s="3"/>
    </row>
    <row r="225" spans="2:3" ht="15.75" customHeight="1">
      <c r="B225" s="1"/>
      <c r="C225" s="3"/>
    </row>
    <row r="226" spans="2:3" ht="15.75" customHeight="1">
      <c r="B226" s="1"/>
      <c r="C226" s="3"/>
    </row>
    <row r="227" spans="2:3" ht="15.75" customHeight="1">
      <c r="B227" s="1"/>
      <c r="C227" s="3"/>
    </row>
    <row r="228" spans="2:3" ht="15.75" customHeight="1">
      <c r="B228" s="1"/>
      <c r="C228" s="3"/>
    </row>
    <row r="229" spans="2:3" ht="15.75" customHeight="1">
      <c r="B229" s="1"/>
      <c r="C229" s="3"/>
    </row>
    <row r="230" spans="2:3" ht="15.75" customHeight="1">
      <c r="B230" s="1"/>
      <c r="C230" s="3"/>
    </row>
    <row r="231" spans="2:3" ht="15.75" customHeight="1">
      <c r="B231" s="1"/>
      <c r="C231" s="3"/>
    </row>
    <row r="232" spans="2:3" ht="15.75" customHeight="1">
      <c r="B232" s="1"/>
      <c r="C232" s="3"/>
    </row>
    <row r="233" spans="2:3" ht="15.75" customHeight="1">
      <c r="B233" s="1"/>
      <c r="C233" s="3"/>
    </row>
    <row r="234" spans="2:3" ht="15.75" customHeight="1">
      <c r="B234" s="1"/>
      <c r="C234" s="3"/>
    </row>
    <row r="235" spans="2:3" ht="15.75" customHeight="1">
      <c r="B235" s="1"/>
      <c r="C235" s="3"/>
    </row>
    <row r="236" spans="2:3" ht="15.75" customHeight="1">
      <c r="B236" s="1"/>
      <c r="C236" s="3"/>
    </row>
    <row r="237" spans="2:3" ht="15.75" customHeight="1">
      <c r="B237" s="1"/>
      <c r="C237" s="3"/>
    </row>
    <row r="238" spans="2:3" ht="15.75" customHeight="1">
      <c r="B238" s="1"/>
      <c r="C238" s="3"/>
    </row>
    <row r="239" spans="2:3" ht="15.75" customHeight="1">
      <c r="B239" s="1"/>
      <c r="C239" s="3"/>
    </row>
    <row r="240" spans="2:3" ht="15.75" customHeight="1">
      <c r="B240" s="1"/>
      <c r="C240" s="3"/>
    </row>
    <row r="241" spans="2:3" ht="15.75" customHeight="1">
      <c r="B241" s="1"/>
      <c r="C241" s="3"/>
    </row>
    <row r="242" spans="2:3" ht="15.75" customHeight="1">
      <c r="B242" s="1"/>
      <c r="C242" s="3"/>
    </row>
    <row r="243" spans="2:3" ht="15.75" customHeight="1">
      <c r="B243" s="1"/>
      <c r="C243" s="3"/>
    </row>
    <row r="244" spans="2:3" ht="15.75" customHeight="1">
      <c r="B244" s="1"/>
      <c r="C244" s="3"/>
    </row>
    <row r="245" spans="2:3" ht="15.75" customHeight="1">
      <c r="B245" s="1"/>
      <c r="C245" s="3"/>
    </row>
    <row r="246" spans="2:3" ht="15.75" customHeight="1">
      <c r="B246" s="1"/>
      <c r="C246" s="3"/>
    </row>
    <row r="247" spans="2:3" ht="15.75" customHeight="1">
      <c r="B247" s="1"/>
      <c r="C247" s="3"/>
    </row>
    <row r="248" spans="2:3" ht="15.75" customHeight="1">
      <c r="B248" s="1"/>
      <c r="C248" s="3"/>
    </row>
    <row r="249" spans="2:3" ht="15.75" customHeight="1">
      <c r="B249" s="1"/>
      <c r="C249" s="3"/>
    </row>
    <row r="250" spans="2:3" ht="15.75" customHeight="1">
      <c r="B250" s="1"/>
      <c r="C250" s="3"/>
    </row>
    <row r="251" spans="2:3" ht="15.75" customHeight="1">
      <c r="B251" s="1"/>
      <c r="C251" s="3"/>
    </row>
    <row r="252" spans="2:3" ht="15.75" customHeight="1">
      <c r="B252" s="1"/>
      <c r="C252" s="3"/>
    </row>
    <row r="253" spans="2:3" ht="15.75" customHeight="1">
      <c r="B253" s="1"/>
      <c r="C253" s="3"/>
    </row>
    <row r="254" spans="2:3" ht="15.75" customHeight="1">
      <c r="B254" s="1"/>
      <c r="C254" s="3"/>
    </row>
    <row r="255" spans="2:3" ht="15.75" customHeight="1">
      <c r="B255" s="1"/>
      <c r="C255" s="3"/>
    </row>
    <row r="256" spans="2:3" ht="15.75" customHeight="1">
      <c r="B256" s="1"/>
      <c r="C256" s="3"/>
    </row>
    <row r="257" spans="2:3" ht="15.75" customHeight="1">
      <c r="B257" s="1"/>
      <c r="C257" s="3"/>
    </row>
    <row r="258" spans="2:3" ht="15.75" customHeight="1">
      <c r="B258" s="1"/>
      <c r="C258" s="3"/>
    </row>
    <row r="259" spans="2:3" ht="15.75" customHeight="1">
      <c r="B259" s="1"/>
      <c r="C259" s="3"/>
    </row>
    <row r="260" spans="2:3" ht="15.75" customHeight="1">
      <c r="B260" s="1"/>
      <c r="C260" s="3"/>
    </row>
    <row r="261" spans="2:3" ht="15.75" customHeight="1">
      <c r="B261" s="1"/>
      <c r="C261" s="3"/>
    </row>
    <row r="262" spans="2:3" ht="15.75" customHeight="1">
      <c r="B262" s="1"/>
      <c r="C262" s="3"/>
    </row>
    <row r="263" spans="2:3" ht="15.75" customHeight="1">
      <c r="B263" s="1"/>
      <c r="C263" s="3"/>
    </row>
    <row r="264" spans="2:3" ht="15.75" customHeight="1">
      <c r="B264" s="1"/>
      <c r="C264" s="3"/>
    </row>
    <row r="265" spans="2:3" ht="15.75" customHeight="1">
      <c r="B265" s="1"/>
      <c r="C265" s="3"/>
    </row>
    <row r="266" spans="2:3" ht="15.75" customHeight="1">
      <c r="B266" s="1"/>
      <c r="C266" s="3"/>
    </row>
    <row r="267" spans="2:3" ht="15.75" customHeight="1">
      <c r="B267" s="1"/>
      <c r="C267" s="3"/>
    </row>
    <row r="268" spans="2:3" ht="15.75" customHeight="1">
      <c r="B268" s="1"/>
      <c r="C268" s="3"/>
    </row>
    <row r="269" spans="2:3" ht="15.75" customHeight="1">
      <c r="B269" s="1"/>
      <c r="C269" s="3"/>
    </row>
    <row r="270" spans="2:3" ht="15.75" customHeight="1">
      <c r="B270" s="1"/>
      <c r="C270" s="3"/>
    </row>
    <row r="271" spans="2:3" ht="15.75" customHeight="1">
      <c r="B271" s="1"/>
      <c r="C271" s="3"/>
    </row>
    <row r="272" spans="2:3" ht="15.75" customHeight="1">
      <c r="B272" s="1"/>
      <c r="C272" s="3"/>
    </row>
    <row r="273" spans="2:3" ht="15.75" customHeight="1">
      <c r="B273" s="1"/>
      <c r="C273" s="3"/>
    </row>
    <row r="274" spans="2:3" ht="15.75" customHeight="1">
      <c r="B274" s="1"/>
      <c r="C274" s="3"/>
    </row>
    <row r="275" spans="2:3" ht="15.75" customHeight="1">
      <c r="B275" s="1"/>
      <c r="C275" s="3"/>
    </row>
    <row r="276" spans="2:3" ht="15.75" customHeight="1">
      <c r="B276" s="1"/>
      <c r="C276" s="3"/>
    </row>
    <row r="277" spans="2:3" ht="15.75" customHeight="1">
      <c r="B277" s="1"/>
      <c r="C277" s="3"/>
    </row>
    <row r="278" spans="2:3" ht="15.75" customHeight="1">
      <c r="B278" s="1"/>
      <c r="C278" s="3"/>
    </row>
    <row r="279" spans="2:3" ht="15.75" customHeight="1">
      <c r="B279" s="1"/>
      <c r="C279" s="3"/>
    </row>
    <row r="280" spans="2:3" ht="15.75" customHeight="1">
      <c r="B280" s="1"/>
      <c r="C280" s="3"/>
    </row>
    <row r="281" spans="2:3" ht="15.75" customHeight="1">
      <c r="B281" s="1"/>
      <c r="C281" s="3"/>
    </row>
    <row r="282" spans="2:3" ht="15.75" customHeight="1">
      <c r="B282" s="1"/>
      <c r="C282" s="3"/>
    </row>
    <row r="283" spans="2:3" ht="15.75" customHeight="1">
      <c r="B283" s="1"/>
      <c r="C283" s="3"/>
    </row>
    <row r="284" spans="2:3" ht="15.75" customHeight="1">
      <c r="B284" s="1"/>
      <c r="C284" s="3"/>
    </row>
    <row r="285" spans="2:3" ht="15.75" customHeight="1">
      <c r="B285" s="1"/>
      <c r="C285" s="3"/>
    </row>
    <row r="286" spans="2:3" ht="15.75" customHeight="1">
      <c r="B286" s="1"/>
      <c r="C286" s="3"/>
    </row>
    <row r="287" spans="2:3" ht="15.75" customHeight="1">
      <c r="B287" s="1"/>
      <c r="C287" s="3"/>
    </row>
    <row r="288" spans="2:3" ht="15.75" customHeight="1">
      <c r="B288" s="1"/>
      <c r="C288" s="3"/>
    </row>
    <row r="289" spans="2:3" ht="15.75" customHeight="1">
      <c r="B289" s="1"/>
      <c r="C289" s="3"/>
    </row>
    <row r="290" spans="2:3" ht="15.75" customHeight="1">
      <c r="B290" s="1"/>
      <c r="C290" s="3"/>
    </row>
    <row r="291" spans="2:3" ht="15.75" customHeight="1">
      <c r="B291" s="1"/>
      <c r="C291" s="3"/>
    </row>
    <row r="292" spans="2:3" ht="15.75" customHeight="1">
      <c r="B292" s="1"/>
      <c r="C292" s="3"/>
    </row>
    <row r="293" spans="2:3" ht="15.75" customHeight="1">
      <c r="B293" s="1"/>
      <c r="C293" s="3"/>
    </row>
    <row r="294" spans="2:3" ht="15.75" customHeight="1">
      <c r="B294" s="1"/>
      <c r="C294" s="3"/>
    </row>
    <row r="295" spans="2:3" ht="15.75" customHeight="1">
      <c r="B295" s="1"/>
      <c r="C295" s="3"/>
    </row>
    <row r="296" spans="2:3" ht="15.75" customHeight="1">
      <c r="B296" s="1"/>
      <c r="C296" s="3"/>
    </row>
    <row r="297" spans="2:3" ht="15.75" customHeight="1">
      <c r="B297" s="1"/>
      <c r="C297" s="3"/>
    </row>
    <row r="298" spans="2:3" ht="15.75" customHeight="1">
      <c r="B298" s="1"/>
      <c r="C298" s="3"/>
    </row>
    <row r="299" spans="2:3" ht="15.75" customHeight="1">
      <c r="B299" s="1"/>
      <c r="C299" s="3"/>
    </row>
    <row r="300" spans="2:3" ht="15.75" customHeight="1">
      <c r="B300" s="1"/>
      <c r="C300" s="3"/>
    </row>
    <row r="301" spans="2:3" ht="15.75" customHeight="1">
      <c r="B301" s="1"/>
      <c r="C301" s="3"/>
    </row>
    <row r="302" spans="2:3" ht="15.75" customHeight="1">
      <c r="B302" s="1"/>
      <c r="C302" s="3"/>
    </row>
    <row r="303" spans="2:3" ht="15.75" customHeight="1">
      <c r="B303" s="1"/>
      <c r="C303" s="3"/>
    </row>
    <row r="304" spans="2:3" ht="15.75" customHeight="1">
      <c r="B304" s="1"/>
      <c r="C304" s="3"/>
    </row>
    <row r="305" spans="2:3" ht="15.75" customHeight="1">
      <c r="B305" s="1"/>
      <c r="C305" s="3"/>
    </row>
    <row r="306" spans="2:3" ht="15.75" customHeight="1">
      <c r="B306" s="1"/>
      <c r="C306" s="3"/>
    </row>
    <row r="307" spans="2:3" ht="15.75" customHeight="1">
      <c r="B307" s="1"/>
      <c r="C307" s="3"/>
    </row>
    <row r="308" spans="2:3" ht="15.75" customHeight="1">
      <c r="B308" s="1"/>
      <c r="C308" s="3"/>
    </row>
    <row r="309" spans="2:3" ht="15.75" customHeight="1">
      <c r="B309" s="1"/>
      <c r="C309" s="3"/>
    </row>
    <row r="310" spans="2:3" ht="15.75" customHeight="1">
      <c r="B310" s="1"/>
      <c r="C310" s="3"/>
    </row>
    <row r="311" spans="2:3" ht="15.75" customHeight="1">
      <c r="B311" s="1"/>
      <c r="C311" s="3"/>
    </row>
    <row r="312" spans="2:3" ht="15.75" customHeight="1">
      <c r="B312" s="1"/>
      <c r="C312" s="3"/>
    </row>
    <row r="313" spans="2:3" ht="15.75" customHeight="1">
      <c r="B313" s="1"/>
      <c r="C313" s="3"/>
    </row>
    <row r="314" spans="2:3" ht="15.75" customHeight="1">
      <c r="B314" s="1"/>
      <c r="C314" s="3"/>
    </row>
    <row r="315" spans="2:3" ht="15.75" customHeight="1">
      <c r="B315" s="1"/>
      <c r="C315" s="3"/>
    </row>
    <row r="316" spans="2:3" ht="15.75" customHeight="1">
      <c r="B316" s="1"/>
      <c r="C316" s="3"/>
    </row>
    <row r="317" spans="2:3" ht="15.75" customHeight="1">
      <c r="B317" s="1"/>
      <c r="C317" s="3"/>
    </row>
    <row r="318" spans="2:3" ht="15.75" customHeight="1">
      <c r="B318" s="1"/>
      <c r="C318" s="3"/>
    </row>
    <row r="319" spans="2:3" ht="15.75" customHeight="1">
      <c r="B319" s="1"/>
      <c r="C319" s="3"/>
    </row>
    <row r="320" spans="2:3" ht="15.75" customHeight="1">
      <c r="B320" s="1"/>
      <c r="C320" s="3"/>
    </row>
    <row r="321" spans="2:3" ht="15.75" customHeight="1">
      <c r="B321" s="1"/>
      <c r="C321" s="3"/>
    </row>
    <row r="322" spans="2:3" ht="15.75" customHeight="1">
      <c r="B322" s="1"/>
      <c r="C322" s="3"/>
    </row>
    <row r="323" spans="2:3" ht="15.75" customHeight="1">
      <c r="B323" s="1"/>
      <c r="C323" s="3"/>
    </row>
    <row r="324" spans="2:3" ht="15.75" customHeight="1">
      <c r="B324" s="1"/>
      <c r="C324" s="3"/>
    </row>
    <row r="325" spans="2:3" ht="15.75" customHeight="1">
      <c r="B325" s="1"/>
      <c r="C325" s="3"/>
    </row>
    <row r="326" spans="2:3" ht="15.75" customHeight="1">
      <c r="B326" s="1"/>
      <c r="C326" s="3"/>
    </row>
    <row r="327" spans="2:3" ht="15.75" customHeight="1">
      <c r="B327" s="1"/>
      <c r="C327" s="3"/>
    </row>
    <row r="328" spans="2:3" ht="15.75" customHeight="1">
      <c r="B328" s="1"/>
      <c r="C328" s="3"/>
    </row>
    <row r="329" spans="2:3" ht="15.75" customHeight="1">
      <c r="B329" s="1"/>
      <c r="C329" s="3"/>
    </row>
    <row r="330" spans="2:3" ht="15.75" customHeight="1">
      <c r="B330" s="1"/>
      <c r="C330" s="3"/>
    </row>
    <row r="331" spans="2:3" ht="15.75" customHeight="1">
      <c r="B331" s="1"/>
      <c r="C331" s="3"/>
    </row>
    <row r="332" spans="2:3" ht="15.75" customHeight="1">
      <c r="B332" s="1"/>
      <c r="C332" s="3"/>
    </row>
    <row r="333" spans="2:3" ht="15.75" customHeight="1">
      <c r="B333" s="1"/>
      <c r="C333" s="3"/>
    </row>
    <row r="334" spans="2:3" ht="15.75" customHeight="1">
      <c r="B334" s="1"/>
      <c r="C334" s="3"/>
    </row>
    <row r="335" spans="2:3" ht="15.75" customHeight="1">
      <c r="B335" s="1"/>
      <c r="C335" s="3"/>
    </row>
    <row r="336" spans="2:3" ht="15.75" customHeight="1">
      <c r="B336" s="1"/>
      <c r="C336" s="3"/>
    </row>
    <row r="337" spans="2:3" ht="15.75" customHeight="1">
      <c r="B337" s="1"/>
      <c r="C337" s="3"/>
    </row>
    <row r="338" spans="2:3" ht="15.75" customHeight="1">
      <c r="B338" s="1"/>
      <c r="C338" s="3"/>
    </row>
    <row r="339" spans="2:3" ht="15.75" customHeight="1">
      <c r="B339" s="1"/>
      <c r="C339" s="3"/>
    </row>
    <row r="340" spans="2:3" ht="15.75" customHeight="1">
      <c r="B340" s="1"/>
      <c r="C340" s="3"/>
    </row>
    <row r="341" spans="2:3" ht="15.75" customHeight="1">
      <c r="B341" s="1"/>
      <c r="C341" s="3"/>
    </row>
    <row r="342" spans="2:3" ht="15.75" customHeight="1">
      <c r="B342" s="1"/>
      <c r="C342" s="3"/>
    </row>
    <row r="343" spans="2:3" ht="15.75" customHeight="1">
      <c r="B343" s="1"/>
      <c r="C343" s="3"/>
    </row>
    <row r="344" spans="2:3" ht="15.75" customHeight="1">
      <c r="B344" s="1"/>
      <c r="C344" s="3"/>
    </row>
    <row r="345" spans="2:3" ht="15.75" customHeight="1">
      <c r="B345" s="1"/>
      <c r="C345" s="3"/>
    </row>
    <row r="346" spans="2:3" ht="15.75" customHeight="1">
      <c r="B346" s="1"/>
      <c r="C346" s="3"/>
    </row>
    <row r="347" spans="2:3" ht="15.75" customHeight="1">
      <c r="B347" s="1"/>
      <c r="C347" s="3"/>
    </row>
    <row r="348" spans="2:3" ht="15.75" customHeight="1">
      <c r="B348" s="1"/>
      <c r="C348" s="3"/>
    </row>
    <row r="349" spans="2:3" ht="15.75" customHeight="1">
      <c r="B349" s="1"/>
      <c r="C349" s="3"/>
    </row>
    <row r="350" spans="2:3" ht="15.75" customHeight="1">
      <c r="B350" s="1"/>
      <c r="C350" s="3"/>
    </row>
    <row r="351" spans="2:3" ht="15.75" customHeight="1">
      <c r="B351" s="1"/>
      <c r="C351" s="3"/>
    </row>
    <row r="352" spans="2:3" ht="15.75" customHeight="1">
      <c r="B352" s="1"/>
      <c r="C352" s="3"/>
    </row>
    <row r="353" spans="2:3" ht="15.75" customHeight="1">
      <c r="B353" s="1"/>
      <c r="C353" s="3"/>
    </row>
    <row r="354" spans="2:3" ht="15.75" customHeight="1">
      <c r="B354" s="1"/>
      <c r="C354" s="3"/>
    </row>
    <row r="355" spans="2:3" ht="15.75" customHeight="1">
      <c r="B355" s="1"/>
      <c r="C355" s="3"/>
    </row>
    <row r="356" spans="2:3" ht="15.75" customHeight="1">
      <c r="B356" s="1"/>
      <c r="C356" s="3"/>
    </row>
    <row r="357" spans="2:3" ht="15.75" customHeight="1">
      <c r="B357" s="1"/>
      <c r="C357" s="3"/>
    </row>
    <row r="358" spans="2:3" ht="15.75" customHeight="1">
      <c r="B358" s="1"/>
      <c r="C358" s="3"/>
    </row>
    <row r="359" spans="2:3" ht="15.75" customHeight="1">
      <c r="B359" s="1"/>
      <c r="C359" s="3"/>
    </row>
    <row r="360" spans="2:3" ht="15.75" customHeight="1">
      <c r="B360" s="1"/>
      <c r="C360" s="3"/>
    </row>
    <row r="361" spans="2:3" ht="15.75" customHeight="1">
      <c r="B361" s="1"/>
      <c r="C361" s="3"/>
    </row>
    <row r="362" spans="2:3" ht="15.75" customHeight="1">
      <c r="B362" s="1"/>
      <c r="C362" s="3"/>
    </row>
    <row r="363" spans="2:3" ht="15.75" customHeight="1">
      <c r="B363" s="1"/>
      <c r="C363" s="3"/>
    </row>
    <row r="364" spans="2:3" ht="15.75" customHeight="1">
      <c r="B364" s="1"/>
      <c r="C364" s="3"/>
    </row>
    <row r="365" spans="2:3" ht="15.75" customHeight="1">
      <c r="B365" s="1"/>
      <c r="C365" s="3"/>
    </row>
    <row r="366" spans="2:3" ht="15.75" customHeight="1">
      <c r="B366" s="1"/>
      <c r="C366" s="3"/>
    </row>
    <row r="367" spans="2:3" ht="15.75" customHeight="1">
      <c r="B367" s="1"/>
      <c r="C367" s="3"/>
    </row>
    <row r="368" spans="2:3" ht="15.75" customHeight="1">
      <c r="B368" s="1"/>
      <c r="C368" s="3"/>
    </row>
    <row r="369" spans="2:3" ht="15.75" customHeight="1">
      <c r="B369" s="1"/>
      <c r="C369" s="3"/>
    </row>
    <row r="370" spans="2:3" ht="15.75" customHeight="1">
      <c r="B370" s="1"/>
      <c r="C370" s="3"/>
    </row>
    <row r="371" spans="2:3" ht="15.75" customHeight="1">
      <c r="B371" s="1"/>
      <c r="C371" s="3"/>
    </row>
    <row r="372" spans="2:3" ht="15.75" customHeight="1">
      <c r="B372" s="1"/>
      <c r="C372" s="3"/>
    </row>
    <row r="373" spans="2:3" ht="15.75" customHeight="1">
      <c r="B373" s="1"/>
      <c r="C373" s="3"/>
    </row>
    <row r="374" spans="2:3" ht="15.75" customHeight="1">
      <c r="B374" s="1"/>
      <c r="C374" s="3"/>
    </row>
    <row r="375" spans="2:3" ht="15.75" customHeight="1">
      <c r="B375" s="1"/>
      <c r="C375" s="3"/>
    </row>
    <row r="376" spans="2:3" ht="15.75" customHeight="1">
      <c r="B376" s="1"/>
      <c r="C376" s="3"/>
    </row>
    <row r="377" spans="2:3" ht="15.75" customHeight="1">
      <c r="B377" s="1"/>
      <c r="C377" s="3"/>
    </row>
    <row r="378" spans="2:3" ht="15.75" customHeight="1">
      <c r="B378" s="1"/>
      <c r="C378" s="3"/>
    </row>
    <row r="379" spans="2:3" ht="15.75" customHeight="1">
      <c r="B379" s="1"/>
      <c r="C379" s="3"/>
    </row>
    <row r="380" spans="2:3" ht="15.75" customHeight="1">
      <c r="B380" s="1"/>
      <c r="C380" s="3"/>
    </row>
    <row r="381" spans="2:3" ht="15.75" customHeight="1">
      <c r="B381" s="1"/>
      <c r="C381" s="3"/>
    </row>
    <row r="382" spans="2:3" ht="15.75" customHeight="1">
      <c r="B382" s="1"/>
      <c r="C382" s="3"/>
    </row>
    <row r="383" spans="2:3" ht="15.75" customHeight="1">
      <c r="B383" s="1"/>
      <c r="C383" s="3"/>
    </row>
    <row r="384" spans="2:3" ht="15.75" customHeight="1">
      <c r="B384" s="1"/>
      <c r="C384" s="3"/>
    </row>
    <row r="385" spans="2:3" ht="15.75" customHeight="1">
      <c r="B385" s="1"/>
      <c r="C385" s="3"/>
    </row>
    <row r="386" spans="2:3" ht="15.75" customHeight="1">
      <c r="B386" s="1"/>
      <c r="C386" s="3"/>
    </row>
    <row r="387" spans="2:3" ht="15.75" customHeight="1">
      <c r="B387" s="1"/>
      <c r="C387" s="3"/>
    </row>
    <row r="388" spans="2:3" ht="15.75" customHeight="1">
      <c r="B388" s="1"/>
      <c r="C388" s="3"/>
    </row>
    <row r="389" spans="2:3" ht="15.75" customHeight="1">
      <c r="B389" s="1"/>
      <c r="C389" s="3"/>
    </row>
    <row r="390" spans="2:3" ht="15.75" customHeight="1">
      <c r="B390" s="1"/>
      <c r="C390" s="3"/>
    </row>
    <row r="391" spans="2:3" ht="15.75" customHeight="1">
      <c r="B391" s="1"/>
      <c r="C391" s="3"/>
    </row>
    <row r="392" spans="2:3" ht="15.75" customHeight="1">
      <c r="B392" s="1"/>
      <c r="C392" s="3"/>
    </row>
    <row r="393" spans="2:3" ht="15.75" customHeight="1">
      <c r="B393" s="1"/>
      <c r="C393" s="3"/>
    </row>
    <row r="394" spans="2:3" ht="15.75" customHeight="1">
      <c r="B394" s="1"/>
      <c r="C394" s="3"/>
    </row>
    <row r="395" spans="2:3" ht="15.75" customHeight="1">
      <c r="B395" s="1"/>
      <c r="C395" s="3"/>
    </row>
    <row r="396" spans="2:3" ht="15.75" customHeight="1">
      <c r="B396" s="1"/>
      <c r="C396" s="3"/>
    </row>
    <row r="397" spans="2:3" ht="15.75" customHeight="1">
      <c r="B397" s="1"/>
      <c r="C397" s="3"/>
    </row>
    <row r="398" spans="2:3" ht="15.75" customHeight="1">
      <c r="B398" s="1"/>
      <c r="C398" s="3"/>
    </row>
    <row r="399" spans="2:3" ht="15.75" customHeight="1">
      <c r="B399" s="1"/>
      <c r="C399" s="3"/>
    </row>
    <row r="400" spans="2:3" ht="15.75" customHeight="1">
      <c r="B400" s="1"/>
      <c r="C400" s="3"/>
    </row>
    <row r="401" spans="2:3" ht="15.75" customHeight="1">
      <c r="B401" s="1"/>
      <c r="C401" s="3"/>
    </row>
    <row r="402" spans="2:3" ht="15.75" customHeight="1">
      <c r="B402" s="1"/>
      <c r="C402" s="3"/>
    </row>
    <row r="403" spans="2:3" ht="15.75" customHeight="1">
      <c r="B403" s="1"/>
      <c r="C403" s="3"/>
    </row>
    <row r="404" spans="2:3" ht="15.75" customHeight="1">
      <c r="B404" s="1"/>
      <c r="C404" s="3"/>
    </row>
    <row r="405" spans="2:3" ht="15.75" customHeight="1">
      <c r="B405" s="1"/>
      <c r="C405" s="3"/>
    </row>
    <row r="406" spans="2:3" ht="15.75" customHeight="1">
      <c r="B406" s="1"/>
      <c r="C406" s="3"/>
    </row>
    <row r="407" spans="2:3" ht="15.75" customHeight="1">
      <c r="B407" s="1"/>
      <c r="C407" s="3"/>
    </row>
    <row r="408" spans="2:3" ht="15.75" customHeight="1">
      <c r="B408" s="1"/>
      <c r="C408" s="3"/>
    </row>
    <row r="409" spans="2:3" ht="15.75" customHeight="1">
      <c r="B409" s="1"/>
      <c r="C409" s="3"/>
    </row>
    <row r="410" spans="2:3" ht="15.75" customHeight="1">
      <c r="B410" s="1"/>
      <c r="C410" s="3"/>
    </row>
    <row r="411" spans="2:3" ht="15.75" customHeight="1">
      <c r="B411" s="1"/>
      <c r="C411" s="3"/>
    </row>
    <row r="412" spans="2:3" ht="15.75" customHeight="1">
      <c r="B412" s="1"/>
      <c r="C412" s="3"/>
    </row>
    <row r="413" spans="2:3" ht="15.75" customHeight="1">
      <c r="B413" s="1"/>
      <c r="C413" s="3"/>
    </row>
    <row r="414" spans="2:3" ht="15.75" customHeight="1">
      <c r="B414" s="1"/>
      <c r="C414" s="3"/>
    </row>
    <row r="415" spans="2:3" ht="15.75" customHeight="1">
      <c r="B415" s="1"/>
      <c r="C415" s="3"/>
    </row>
    <row r="416" spans="2:3" ht="15.75" customHeight="1">
      <c r="B416" s="1"/>
      <c r="C416" s="3"/>
    </row>
    <row r="417" spans="2:3" ht="15.75" customHeight="1">
      <c r="B417" s="1"/>
      <c r="C417" s="3"/>
    </row>
    <row r="418" spans="2:3" ht="15.75" customHeight="1">
      <c r="B418" s="1"/>
      <c r="C418" s="3"/>
    </row>
    <row r="419" spans="2:3" ht="15.75" customHeight="1">
      <c r="B419" s="1"/>
      <c r="C419" s="3"/>
    </row>
    <row r="420" spans="2:3" ht="15.75" customHeight="1">
      <c r="B420" s="1"/>
      <c r="C420" s="3"/>
    </row>
    <row r="421" spans="2:3" ht="15.75" customHeight="1">
      <c r="B421" s="1"/>
      <c r="C421" s="3"/>
    </row>
    <row r="422" spans="2:3" ht="15.75" customHeight="1">
      <c r="B422" s="1"/>
      <c r="C422" s="3"/>
    </row>
    <row r="423" spans="2:3" ht="15.75" customHeight="1">
      <c r="B423" s="1"/>
      <c r="C423" s="3"/>
    </row>
    <row r="424" spans="2:3" ht="15.75" customHeight="1">
      <c r="B424" s="1"/>
      <c r="C424" s="3"/>
    </row>
    <row r="425" spans="2:3" ht="15.75" customHeight="1">
      <c r="B425" s="1"/>
      <c r="C425" s="3"/>
    </row>
    <row r="426" spans="2:3" ht="15.75" customHeight="1">
      <c r="B426" s="1"/>
      <c r="C426" s="3"/>
    </row>
    <row r="427" spans="2:3" ht="15.75" customHeight="1">
      <c r="B427" s="1"/>
      <c r="C427" s="3"/>
    </row>
    <row r="428" spans="2:3" ht="15.75" customHeight="1">
      <c r="B428" s="1"/>
      <c r="C428" s="3"/>
    </row>
    <row r="429" spans="2:3" ht="15.75" customHeight="1">
      <c r="B429" s="1"/>
      <c r="C429" s="3"/>
    </row>
    <row r="430" spans="2:3" ht="15.75" customHeight="1">
      <c r="B430" s="1"/>
      <c r="C430" s="3"/>
    </row>
    <row r="431" spans="2:3" ht="15.75" customHeight="1">
      <c r="B431" s="1"/>
      <c r="C431" s="3"/>
    </row>
    <row r="432" spans="2:3" ht="15.75" customHeight="1">
      <c r="B432" s="1"/>
      <c r="C432" s="3"/>
    </row>
    <row r="433" spans="2:3" ht="15.75" customHeight="1">
      <c r="B433" s="1"/>
      <c r="C433" s="3"/>
    </row>
    <row r="434" spans="2:3" ht="15.75" customHeight="1">
      <c r="B434" s="1"/>
      <c r="C434" s="3"/>
    </row>
    <row r="435" spans="2:3" ht="15.75" customHeight="1">
      <c r="B435" s="1"/>
      <c r="C435" s="3"/>
    </row>
    <row r="436" spans="2:3" ht="15.75" customHeight="1">
      <c r="B436" s="1"/>
      <c r="C436" s="3"/>
    </row>
    <row r="437" spans="2:3" ht="15.75" customHeight="1">
      <c r="B437" s="1"/>
      <c r="C437" s="3"/>
    </row>
    <row r="438" spans="2:3" ht="15.75" customHeight="1">
      <c r="B438" s="1"/>
      <c r="C438" s="3"/>
    </row>
    <row r="439" spans="2:3" ht="15.75" customHeight="1">
      <c r="B439" s="1"/>
      <c r="C439" s="3"/>
    </row>
    <row r="440" spans="2:3" ht="15.75" customHeight="1">
      <c r="B440" s="1"/>
      <c r="C440" s="3"/>
    </row>
    <row r="441" spans="2:3" ht="15.75" customHeight="1">
      <c r="B441" s="1"/>
      <c r="C441" s="3"/>
    </row>
    <row r="442" spans="2:3" ht="15.75" customHeight="1">
      <c r="B442" s="1"/>
      <c r="C442" s="3"/>
    </row>
    <row r="443" spans="2:3" ht="15.75" customHeight="1">
      <c r="B443" s="1"/>
      <c r="C443" s="3"/>
    </row>
    <row r="444" spans="2:3" ht="15.75" customHeight="1">
      <c r="B444" s="1"/>
      <c r="C444" s="3"/>
    </row>
    <row r="445" spans="2:3" ht="15.75" customHeight="1">
      <c r="B445" s="1"/>
      <c r="C445" s="3"/>
    </row>
    <row r="446" spans="2:3" ht="15.75" customHeight="1">
      <c r="B446" s="1"/>
      <c r="C446" s="3"/>
    </row>
    <row r="447" spans="2:3" ht="15.75" customHeight="1">
      <c r="B447" s="1"/>
      <c r="C447" s="3"/>
    </row>
    <row r="448" spans="2:3" ht="15.75" customHeight="1">
      <c r="B448" s="1"/>
      <c r="C448" s="3"/>
    </row>
    <row r="449" spans="2:3" ht="15.75" customHeight="1">
      <c r="B449" s="1"/>
      <c r="C449" s="3"/>
    </row>
    <row r="450" spans="2:3" ht="15.75" customHeight="1">
      <c r="B450" s="1"/>
      <c r="C450" s="3"/>
    </row>
    <row r="451" spans="2:3" ht="15.75" customHeight="1">
      <c r="B451" s="1"/>
      <c r="C451" s="3"/>
    </row>
    <row r="452" spans="2:3" ht="15.75" customHeight="1">
      <c r="B452" s="1"/>
      <c r="C452" s="3"/>
    </row>
    <row r="453" spans="2:3" ht="15.75" customHeight="1">
      <c r="B453" s="1"/>
      <c r="C453" s="3"/>
    </row>
    <row r="454" spans="2:3" ht="15.75" customHeight="1">
      <c r="B454" s="1"/>
      <c r="C454" s="3"/>
    </row>
    <row r="455" spans="2:3" ht="15.75" customHeight="1">
      <c r="B455" s="1"/>
      <c r="C455" s="3"/>
    </row>
    <row r="456" spans="2:3" ht="15.75" customHeight="1">
      <c r="B456" s="1"/>
      <c r="C456" s="3"/>
    </row>
    <row r="457" spans="2:3" ht="15.75" customHeight="1">
      <c r="B457" s="1"/>
      <c r="C457" s="3"/>
    </row>
    <row r="458" spans="2:3" ht="15.75" customHeight="1">
      <c r="B458" s="1"/>
      <c r="C458" s="3"/>
    </row>
    <row r="459" spans="2:3" ht="15.75" customHeight="1">
      <c r="B459" s="1"/>
      <c r="C459" s="3"/>
    </row>
    <row r="460" spans="2:3" ht="15.75" customHeight="1">
      <c r="B460" s="1"/>
      <c r="C460" s="3"/>
    </row>
    <row r="461" spans="2:3" ht="15.75" customHeight="1">
      <c r="B461" s="1"/>
      <c r="C461" s="3"/>
    </row>
    <row r="462" spans="2:3" ht="15.75" customHeight="1">
      <c r="B462" s="1"/>
      <c r="C462" s="3"/>
    </row>
    <row r="463" spans="2:3" ht="15.75" customHeight="1">
      <c r="B463" s="1"/>
      <c r="C463" s="3"/>
    </row>
    <row r="464" spans="2:3" ht="15.75" customHeight="1">
      <c r="B464" s="1"/>
      <c r="C464" s="3"/>
    </row>
    <row r="465" spans="2:3" ht="15.75" customHeight="1">
      <c r="B465" s="1"/>
      <c r="C465" s="3"/>
    </row>
    <row r="466" spans="2:3" ht="15.75" customHeight="1">
      <c r="B466" s="1"/>
      <c r="C466" s="3"/>
    </row>
    <row r="467" spans="2:3" ht="15.75" customHeight="1">
      <c r="B467" s="1"/>
      <c r="C467" s="3"/>
    </row>
    <row r="468" spans="2:3" ht="15.75" customHeight="1">
      <c r="B468" s="1"/>
      <c r="C468" s="3"/>
    </row>
    <row r="469" spans="2:3" ht="15.75" customHeight="1">
      <c r="B469" s="1"/>
      <c r="C469" s="3"/>
    </row>
    <row r="470" spans="2:3" ht="15.75" customHeight="1">
      <c r="B470" s="1"/>
      <c r="C470" s="3"/>
    </row>
    <row r="471" spans="2:3" ht="15.75" customHeight="1">
      <c r="B471" s="1"/>
      <c r="C471" s="3"/>
    </row>
    <row r="472" spans="2:3" ht="15.75" customHeight="1">
      <c r="B472" s="1"/>
      <c r="C472" s="3"/>
    </row>
    <row r="473" spans="2:3" ht="15.75" customHeight="1">
      <c r="B473" s="1"/>
      <c r="C473" s="3"/>
    </row>
    <row r="474" spans="2:3" ht="15.75" customHeight="1">
      <c r="B474" s="1"/>
      <c r="C474" s="3"/>
    </row>
    <row r="475" spans="2:3" ht="15.75" customHeight="1">
      <c r="B475" s="1"/>
      <c r="C475" s="3"/>
    </row>
    <row r="476" spans="2:3" ht="15.75" customHeight="1">
      <c r="B476" s="1"/>
      <c r="C476" s="3"/>
    </row>
    <row r="477" spans="2:3" ht="15.75" customHeight="1">
      <c r="B477" s="1"/>
      <c r="C477" s="3"/>
    </row>
    <row r="478" spans="2:3" ht="15.75" customHeight="1">
      <c r="B478" s="1"/>
      <c r="C478" s="3"/>
    </row>
    <row r="479" spans="2:3" ht="15.75" customHeight="1">
      <c r="B479" s="1"/>
      <c r="C479" s="3"/>
    </row>
    <row r="480" spans="2:3" ht="15.75" customHeight="1">
      <c r="B480" s="1"/>
      <c r="C480" s="3"/>
    </row>
    <row r="481" spans="2:3" ht="15.75" customHeight="1">
      <c r="B481" s="1"/>
      <c r="C481" s="3"/>
    </row>
    <row r="482" spans="2:3" ht="15.75" customHeight="1">
      <c r="B482" s="1"/>
      <c r="C482" s="3"/>
    </row>
    <row r="483" spans="2:3" ht="15.75" customHeight="1">
      <c r="B483" s="1"/>
      <c r="C483" s="3"/>
    </row>
    <row r="484" spans="2:3" ht="15.75" customHeight="1">
      <c r="B484" s="1"/>
      <c r="C484" s="3"/>
    </row>
    <row r="485" spans="2:3" ht="15.75" customHeight="1">
      <c r="B485" s="1"/>
      <c r="C485" s="3"/>
    </row>
    <row r="486" spans="2:3" ht="15.75" customHeight="1">
      <c r="B486" s="1"/>
      <c r="C486" s="3"/>
    </row>
    <row r="487" spans="2:3" ht="15.75" customHeight="1">
      <c r="B487" s="1"/>
      <c r="C487" s="3"/>
    </row>
    <row r="488" spans="2:3" ht="15.75" customHeight="1">
      <c r="B488" s="1"/>
      <c r="C488" s="3"/>
    </row>
    <row r="489" spans="2:3" ht="15.75" customHeight="1">
      <c r="B489" s="1"/>
      <c r="C489" s="3"/>
    </row>
    <row r="490" spans="2:3" ht="15.75" customHeight="1">
      <c r="B490" s="1"/>
      <c r="C490" s="3"/>
    </row>
    <row r="491" spans="2:3" ht="15.75" customHeight="1">
      <c r="B491" s="1"/>
      <c r="C491" s="3"/>
    </row>
    <row r="492" spans="2:3" ht="15.75" customHeight="1">
      <c r="B492" s="1"/>
      <c r="C492" s="3"/>
    </row>
    <row r="493" spans="2:3" ht="15.75" customHeight="1">
      <c r="B493" s="1"/>
      <c r="C493" s="3"/>
    </row>
    <row r="494" spans="2:3" ht="15.75" customHeight="1">
      <c r="B494" s="1"/>
      <c r="C494" s="3"/>
    </row>
    <row r="495" spans="2:3" ht="15.75" customHeight="1">
      <c r="B495" s="1"/>
      <c r="C495" s="3"/>
    </row>
    <row r="496" spans="2:3" ht="15.75" customHeight="1">
      <c r="B496" s="1"/>
      <c r="C496" s="3"/>
    </row>
    <row r="497" spans="2:3" ht="15.75" customHeight="1">
      <c r="B497" s="1"/>
      <c r="C497" s="3"/>
    </row>
    <row r="498" spans="2:3" ht="15.75" customHeight="1">
      <c r="B498" s="1"/>
      <c r="C498" s="3"/>
    </row>
    <row r="499" spans="2:3" ht="15.75" customHeight="1">
      <c r="B499" s="1"/>
      <c r="C499" s="3"/>
    </row>
    <row r="500" spans="2:3" ht="15.75" customHeight="1">
      <c r="B500" s="1"/>
      <c r="C500" s="3"/>
    </row>
    <row r="501" spans="2:3" ht="15.75" customHeight="1">
      <c r="B501" s="1"/>
      <c r="C501" s="3"/>
    </row>
    <row r="502" spans="2:3" ht="15.75" customHeight="1">
      <c r="B502" s="1"/>
      <c r="C502" s="3"/>
    </row>
    <row r="503" spans="2:3" ht="15.75" customHeight="1">
      <c r="B503" s="1"/>
      <c r="C503" s="3"/>
    </row>
    <row r="504" spans="2:3" ht="15.75" customHeight="1">
      <c r="B504" s="1"/>
      <c r="C504" s="3"/>
    </row>
    <row r="505" spans="2:3" ht="15.75" customHeight="1">
      <c r="B505" s="1"/>
      <c r="C505" s="3"/>
    </row>
    <row r="506" spans="2:3" ht="15.75" customHeight="1">
      <c r="B506" s="1"/>
      <c r="C506" s="3"/>
    </row>
    <row r="507" spans="2:3" ht="15.75" customHeight="1">
      <c r="B507" s="1"/>
      <c r="C507" s="3"/>
    </row>
    <row r="508" spans="2:3" ht="15.75" customHeight="1">
      <c r="B508" s="1"/>
      <c r="C508" s="3"/>
    </row>
    <row r="509" spans="2:3" ht="15.75" customHeight="1">
      <c r="B509" s="1"/>
      <c r="C509" s="3"/>
    </row>
    <row r="510" spans="2:3" ht="15.75" customHeight="1">
      <c r="B510" s="1"/>
      <c r="C510" s="3"/>
    </row>
    <row r="511" spans="2:3" ht="15.75" customHeight="1">
      <c r="B511" s="1"/>
      <c r="C511" s="3"/>
    </row>
    <row r="512" spans="2:3" ht="15.75" customHeight="1">
      <c r="B512" s="1"/>
      <c r="C512" s="3"/>
    </row>
    <row r="513" spans="2:3" ht="15.75" customHeight="1">
      <c r="B513" s="1"/>
      <c r="C513" s="3"/>
    </row>
    <row r="514" spans="2:3" ht="15.75" customHeight="1">
      <c r="B514" s="1"/>
      <c r="C514" s="3"/>
    </row>
    <row r="515" spans="2:3" ht="15.75" customHeight="1">
      <c r="B515" s="1"/>
      <c r="C515" s="3"/>
    </row>
    <row r="516" spans="2:3" ht="15.75" customHeight="1">
      <c r="B516" s="1"/>
      <c r="C516" s="3"/>
    </row>
    <row r="517" spans="2:3" ht="15.75" customHeight="1">
      <c r="B517" s="1"/>
      <c r="C517" s="3"/>
    </row>
    <row r="518" spans="2:3" ht="15.75" customHeight="1">
      <c r="B518" s="1"/>
      <c r="C518" s="3"/>
    </row>
    <row r="519" spans="2:3" ht="15.75" customHeight="1">
      <c r="B519" s="1"/>
      <c r="C519" s="3"/>
    </row>
    <row r="520" spans="2:3" ht="15.75" customHeight="1">
      <c r="B520" s="1"/>
      <c r="C520" s="3"/>
    </row>
    <row r="521" spans="2:3" ht="15.75" customHeight="1">
      <c r="B521" s="1"/>
      <c r="C521" s="3"/>
    </row>
    <row r="522" spans="2:3" ht="15.75" customHeight="1">
      <c r="B522" s="1"/>
      <c r="C522" s="3"/>
    </row>
    <row r="523" spans="2:3" ht="15.75" customHeight="1">
      <c r="B523" s="1"/>
      <c r="C523" s="3"/>
    </row>
    <row r="524" spans="2:3" ht="15.75" customHeight="1">
      <c r="B524" s="1"/>
      <c r="C524" s="3"/>
    </row>
    <row r="525" spans="2:3" ht="15.75" customHeight="1">
      <c r="B525" s="1"/>
      <c r="C525" s="3"/>
    </row>
    <row r="526" spans="2:3" ht="15.75" customHeight="1">
      <c r="B526" s="1"/>
      <c r="C526" s="3"/>
    </row>
    <row r="527" spans="2:3" ht="15.75" customHeight="1">
      <c r="B527" s="1"/>
      <c r="C527" s="3"/>
    </row>
    <row r="528" spans="2:3" ht="15.75" customHeight="1">
      <c r="B528" s="1"/>
      <c r="C528" s="3"/>
    </row>
    <row r="529" spans="2:3" ht="15.75" customHeight="1">
      <c r="B529" s="1"/>
      <c r="C529" s="3"/>
    </row>
    <row r="530" spans="2:3" ht="15.75" customHeight="1">
      <c r="B530" s="1"/>
      <c r="C530" s="3"/>
    </row>
    <row r="531" spans="2:3" ht="15.75" customHeight="1">
      <c r="B531" s="1"/>
      <c r="C531" s="3"/>
    </row>
    <row r="532" spans="2:3" ht="15.75" customHeight="1">
      <c r="B532" s="1"/>
      <c r="C532" s="3"/>
    </row>
    <row r="533" spans="2:3" ht="15.75" customHeight="1">
      <c r="B533" s="1"/>
      <c r="C533" s="3"/>
    </row>
    <row r="534" spans="2:3" ht="15.75" customHeight="1">
      <c r="B534" s="1"/>
      <c r="C534" s="3"/>
    </row>
    <row r="535" spans="2:3" ht="15.75" customHeight="1">
      <c r="B535" s="1"/>
      <c r="C535" s="3"/>
    </row>
    <row r="536" spans="2:3" ht="15.75" customHeight="1">
      <c r="B536" s="1"/>
      <c r="C536" s="3"/>
    </row>
    <row r="537" spans="2:3" ht="15.75" customHeight="1">
      <c r="B537" s="1"/>
      <c r="C537" s="3"/>
    </row>
    <row r="538" spans="2:3" ht="15.75" customHeight="1">
      <c r="B538" s="1"/>
      <c r="C538" s="3"/>
    </row>
    <row r="539" spans="2:3" ht="15.75" customHeight="1">
      <c r="B539" s="1"/>
      <c r="C539" s="3"/>
    </row>
    <row r="540" spans="2:3" ht="15.75" customHeight="1">
      <c r="B540" s="1"/>
      <c r="C540" s="3"/>
    </row>
    <row r="541" spans="2:3" ht="15.75" customHeight="1">
      <c r="B541" s="1"/>
      <c r="C541" s="3"/>
    </row>
    <row r="542" spans="2:3" ht="15.75" customHeight="1">
      <c r="B542" s="1"/>
      <c r="C542" s="3"/>
    </row>
    <row r="543" spans="2:3" ht="15.75" customHeight="1">
      <c r="B543" s="1"/>
      <c r="C543" s="3"/>
    </row>
    <row r="544" spans="2:3" ht="15.75" customHeight="1">
      <c r="B544" s="1"/>
      <c r="C544" s="3"/>
    </row>
    <row r="545" spans="2:3" ht="15.75" customHeight="1">
      <c r="B545" s="1"/>
      <c r="C545" s="3"/>
    </row>
    <row r="546" spans="2:3" ht="15.75" customHeight="1">
      <c r="B546" s="1"/>
      <c r="C546" s="3"/>
    </row>
    <row r="547" spans="2:3" ht="15.75" customHeight="1">
      <c r="B547" s="1"/>
      <c r="C547" s="3"/>
    </row>
    <row r="548" spans="2:3" ht="15.75" customHeight="1">
      <c r="B548" s="1"/>
      <c r="C548" s="3"/>
    </row>
    <row r="549" spans="2:3" ht="15.75" customHeight="1">
      <c r="B549" s="1"/>
      <c r="C549" s="3"/>
    </row>
    <row r="550" spans="2:3" ht="15.75" customHeight="1">
      <c r="B550" s="1"/>
      <c r="C550" s="3"/>
    </row>
    <row r="551" spans="2:3" ht="15.75" customHeight="1">
      <c r="B551" s="1"/>
      <c r="C551" s="3"/>
    </row>
    <row r="552" spans="2:3" ht="15.75" customHeight="1">
      <c r="B552" s="1"/>
      <c r="C552" s="3"/>
    </row>
    <row r="553" spans="2:3" ht="15.75" customHeight="1">
      <c r="B553" s="1"/>
      <c r="C553" s="3"/>
    </row>
    <row r="554" spans="2:3" ht="15.75" customHeight="1">
      <c r="B554" s="1"/>
      <c r="C554" s="3"/>
    </row>
    <row r="555" spans="2:3" ht="15.75" customHeight="1">
      <c r="B555" s="1"/>
      <c r="C555" s="3"/>
    </row>
    <row r="556" spans="2:3" ht="15.75" customHeight="1">
      <c r="B556" s="1"/>
      <c r="C556" s="3"/>
    </row>
    <row r="557" spans="2:3" ht="15.75" customHeight="1">
      <c r="B557" s="1"/>
      <c r="C557" s="3"/>
    </row>
    <row r="558" spans="2:3" ht="15.75" customHeight="1">
      <c r="B558" s="1"/>
      <c r="C558" s="3"/>
    </row>
    <row r="559" spans="2:3" ht="15.75" customHeight="1">
      <c r="B559" s="1"/>
      <c r="C559" s="3"/>
    </row>
    <row r="560" spans="2:3" ht="15.75" customHeight="1">
      <c r="B560" s="1"/>
      <c r="C560" s="3"/>
    </row>
    <row r="561" spans="2:3" ht="15.75" customHeight="1">
      <c r="B561" s="1"/>
      <c r="C561" s="3"/>
    </row>
    <row r="562" spans="2:3" ht="15.75" customHeight="1">
      <c r="B562" s="1"/>
      <c r="C562" s="3"/>
    </row>
    <row r="563" spans="2:3" ht="15.75" customHeight="1">
      <c r="B563" s="1"/>
      <c r="C563" s="3"/>
    </row>
    <row r="564" spans="2:3" ht="15.75" customHeight="1">
      <c r="B564" s="1"/>
      <c r="C564" s="3"/>
    </row>
    <row r="565" spans="2:3" ht="15.75" customHeight="1">
      <c r="B565" s="1"/>
      <c r="C565" s="3"/>
    </row>
    <row r="566" spans="2:3" ht="15.75" customHeight="1">
      <c r="B566" s="1"/>
      <c r="C566" s="3"/>
    </row>
    <row r="567" spans="2:3" ht="15.75" customHeight="1">
      <c r="B567" s="1"/>
      <c r="C567" s="3"/>
    </row>
    <row r="568" spans="2:3" ht="15.75" customHeight="1">
      <c r="B568" s="1"/>
      <c r="C568" s="3"/>
    </row>
    <row r="569" spans="2:3" ht="15.75" customHeight="1">
      <c r="B569" s="1"/>
      <c r="C569" s="3"/>
    </row>
    <row r="570" spans="2:3" ht="15.75" customHeight="1">
      <c r="B570" s="1"/>
      <c r="C570" s="3"/>
    </row>
    <row r="571" spans="2:3" ht="15.75" customHeight="1"/>
    <row r="572" spans="2:3" ht="15.75" customHeight="1"/>
    <row r="573" spans="2:3" ht="15.75" customHeight="1"/>
    <row r="574" spans="2:3" ht="15.75" customHeight="1"/>
    <row r="575" spans="2:3" ht="15.75" customHeight="1"/>
    <row r="576" spans="2:3"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sheetData>
  <autoFilter ref="F5:K21" xr:uid="{107A80E4-1A87-4596-BDCB-EFF2246E8D29}"/>
  <mergeCells count="19">
    <mergeCell ref="B6:B20"/>
    <mergeCell ref="Z3:AB3"/>
    <mergeCell ref="AC3:AE3"/>
    <mergeCell ref="AF3:AH3"/>
    <mergeCell ref="AI3:AK3"/>
    <mergeCell ref="B2:B5"/>
    <mergeCell ref="C2:C5"/>
    <mergeCell ref="D2:D5"/>
    <mergeCell ref="E2:E5"/>
    <mergeCell ref="F2:AT2"/>
    <mergeCell ref="F3:M3"/>
    <mergeCell ref="N3:P3"/>
    <mergeCell ref="Q3:S3"/>
    <mergeCell ref="T3:V3"/>
    <mergeCell ref="W3:Y3"/>
    <mergeCell ref="AT3:AT5"/>
    <mergeCell ref="F4:K4"/>
    <mergeCell ref="AL3:AN3"/>
    <mergeCell ref="AO3:AS3"/>
  </mergeCells>
  <hyperlinks>
    <hyperlink ref="F8" r:id="rId1" display="COTIZACIONES\FE2416.pdf" xr:uid="{A31BF3E2-35B1-435B-8082-BD27C06276B0}"/>
    <hyperlink ref="H6" r:id="rId2" display="COTIZACIONES\FE4391.pdf" xr:uid="{7A158FC4-27A5-47B9-80DB-DDDD1C552F0B}"/>
    <hyperlink ref="H8" r:id="rId3" display="COTIZACIONES\FE4391.pdf" xr:uid="{BBE828AB-25B7-4877-B29C-4AC1815097D6}"/>
    <hyperlink ref="F6" r:id="rId4" display="COTIZACIONES\FV19617.pdf" xr:uid="{4B4842E7-AC86-490D-8BBD-9290F85AAA71}"/>
    <hyperlink ref="J6" r:id="rId5" display="COTIZACIONES\LU2964.pdf" xr:uid="{1D085275-829E-4619-B41D-08A099BD8F33}"/>
    <hyperlink ref="F16" r:id="rId6" display="COTIZACIONES\FEV630.pdf" xr:uid="{69BE6BF9-2EF3-4DFA-AF72-8DC12E6A8081}"/>
    <hyperlink ref="J8" r:id="rId7" display="COTIZACIONES\LU2961.pdf" xr:uid="{E9B12536-AFD4-4C32-B165-A12DD4FE3478}"/>
    <hyperlink ref="F7" r:id="rId8" display="COTIZACIONES\Presupuesto - CT6289.pdf" xr:uid="{072E4673-BFF1-4790-9F0A-8B25E78A37A8}"/>
    <hyperlink ref="F9" r:id="rId9" display="COTIZACIONES\Presupuesto - CT6289.pdf" xr:uid="{C22BB612-8E22-4CC1-8DB9-B93D94576860}"/>
    <hyperlink ref="H7" r:id="rId10" display="COTIZACIONES\Cotización Antropométricos ABAKAI (1).pdf" xr:uid="{FA0E24A9-0007-4CC4-84F7-66E5D0F346F4}"/>
    <hyperlink ref="H9" r:id="rId11" display="COTIZACIONES\Cotización Antropométricos ABAKAI (1).pdf" xr:uid="{74AC8DF0-050F-499B-B6C5-79A8BC16070E}"/>
    <hyperlink ref="J9" r:id="rId12" display="COTIZACIONES\COMITE PRIVADO DE ASISTENCIA A LA NIÃ_EZ PAN 1065300.pdf" xr:uid="{36C4B922-78E5-4B9F-8EC2-4F5F2BA9F1B6}"/>
    <hyperlink ref="J7" r:id="rId13" display="COTIZACIONES\COMITE PRIVADO DE ASISTENCIA A LA NIÃ_EZ PAN 1065300.pdf" xr:uid="{E916E661-DBFC-4101-AA5C-43903673DF28}"/>
    <hyperlink ref="F10" r:id="rId14" display="=413000/1,19" xr:uid="{DDFE8CFB-33BE-427E-97D6-48808FE5E79C}"/>
    <hyperlink ref="F11" r:id="rId15" display="=117000/1,19" xr:uid="{8D1C2222-73F0-410F-9D28-38E158686858}"/>
    <hyperlink ref="H10" r:id="rId16" display="=449000/1,19" xr:uid="{C15100A1-CC9A-42A3-A201-BC4D1AD8FE7B}"/>
    <hyperlink ref="J10" r:id="rId17" display="=475000/1,19" xr:uid="{3E923AA1-AABC-46B4-9ED9-9005583C8860}"/>
    <hyperlink ref="H11" r:id="rId18" display="../../../../../../../:b:/g/personal/42828314_medellin_gov_co/ETjDAR_EiS9NijXVkU6P0scBQZyhtgyAN_IdBoSlVWnWIw?e=Im2jH7" xr:uid="{87DB3930-D0E3-4DB2-B1CA-DA3A53B390D0}"/>
    <hyperlink ref="J11" r:id="rId19" display="=84990/1,19" xr:uid="{4F1D8A05-A026-4CE4-B5BF-0FC1B57BA528}"/>
    <hyperlink ref="H16" r:id="rId20" display="../../../../../../../:b:/g/personal/42828314_medellin_gov_co/EdCqULFMvQdMiRQlY2GwtTsBu_jhGKoBY-m0iIUTXVqQPQ?e=68J0Z2" xr:uid="{FFA55F15-51E9-43A2-B634-BF272CF910F3}"/>
    <hyperlink ref="F12" r:id="rId21" display="=257833/1,19" xr:uid="{DD34037E-6C40-447E-AC1C-73CC6B8EC42E}"/>
    <hyperlink ref="H12" r:id="rId22" display="=257000/1,19" xr:uid="{7E41ACA2-CE91-48EA-B947-0F2BBB091A51}"/>
    <hyperlink ref="J12" r:id="rId23" display="=330900/1,19" xr:uid="{1C9E02FD-CAE8-497B-A61A-B7512E7544D8}"/>
    <hyperlink ref="F13" r:id="rId24" display="=12649/1,19" xr:uid="{71E55EFC-C897-4C81-B8F8-AF41B4DF2272}"/>
    <hyperlink ref="H13" r:id="rId25" display="=13200/1,19" xr:uid="{F80C6868-5D6B-4F07-B6D2-71F17C0963A8}"/>
    <hyperlink ref="J13" r:id="rId26" display="=11900/1,19" xr:uid="{FCA6A548-6CA4-491B-AAD9-DB11A204CCAB}"/>
    <hyperlink ref="F14" r:id="rId27" display="=(31855*3)/1,19" xr:uid="{A8246D73-F1C3-4536-AE0C-BDCF413B4AE0}"/>
    <hyperlink ref="H14" r:id="rId28" display="=(29700*3)/1,19" xr:uid="{8DC230BB-3D53-4970-8E14-03BFAC5A2711}"/>
    <hyperlink ref="J14" r:id="rId29" display="=(24900*3)/1,19" xr:uid="{B887FE41-0A4D-4624-A30D-C6653B5CC3B9}"/>
    <hyperlink ref="F15" r:id="rId30" display="=16000/1,19" xr:uid="{0C1533DA-E2AA-438D-9E5E-D943E89F97F4}"/>
    <hyperlink ref="H15" r:id="rId31" display="=13400/1,19" xr:uid="{50757810-CF8B-4115-B188-9D10735EA0CD}"/>
    <hyperlink ref="J15" r:id="rId32" display="=14900/1,19" xr:uid="{2525078D-9591-4D3D-9677-2F956B7BDD27}"/>
    <hyperlink ref="F18" r:id="rId33" display="=387900/1,19" xr:uid="{D5A0F8C3-FA71-4883-9BAE-7515BB134C72}"/>
    <hyperlink ref="F19" r:id="rId34" display="=529900/1,19" xr:uid="{959470FB-4ED7-4428-BBA1-F2E4F1C6943A}"/>
    <hyperlink ref="H18" r:id="rId35" display="=301850/1,19" xr:uid="{C2D84E95-4CAA-403F-AA76-8F4F21B7CF51}"/>
    <hyperlink ref="J18" r:id="rId36" display="../../../../../../../:b:/g/personal/42828314_medellin_gov_co/EYPHXAg0FFJIpbmDYXTeMnsB4aBdIc91rSAGusUlEydXEA?e=u5qIS3" xr:uid="{377F3D80-0204-486A-9471-A9B6F384E921}"/>
    <hyperlink ref="F20" r:id="rId37" display="=38800/1,19" xr:uid="{5B64D99B-6C09-4779-ACBB-CFE0431D82DA}"/>
    <hyperlink ref="H20" r:id="rId38" display="=28800/1,19" xr:uid="{65686126-3C05-49EF-ACC0-9084BB428450}"/>
    <hyperlink ref="J20" r:id="rId39" display="=37100/1,19" xr:uid="{FC133F1D-A2DC-428F-AC84-F8D2D554F885}"/>
    <hyperlink ref="F17" r:id="rId40" display="=(5269000+700000)/1,19" xr:uid="{A7A68B53-4DC0-4108-8E5C-99727F174EAC}"/>
    <hyperlink ref="H17" r:id="rId41" display="=(5200000+700000)/1,19" xr:uid="{966F516C-6ADF-4D87-B2D0-C811C40C80E1}"/>
    <hyperlink ref="J17" r:id="rId42" display="../../../../../../../:b:/g/personal/42828314_medellin_gov_co/EdyfOyXAygBJjORskDnMhQsBoy8z8W4efIKovyytHAmFJQ?e=EqB4RN" xr:uid="{876D89F4-C6E0-475C-A69B-2D9032FA8E40}"/>
    <hyperlink ref="H19" r:id="rId43" display="=748900/1,19" xr:uid="{25ABAE09-7200-49A5-BFBE-67602D376D8D}"/>
    <hyperlink ref="J19" r:id="rId44" display="=820000/1,19" xr:uid="{F25C86DE-D7BE-4E0D-AC84-DBD0DDD82F82}"/>
    <hyperlink ref="J16" r:id="rId45" display="=255000/1,19" xr:uid="{25EF70F2-A85F-4FC1-8482-C072CB5ADD18}"/>
  </hyperlinks>
  <pageMargins left="0.7" right="0.7" top="0.75" bottom="0.75" header="0" footer="0"/>
  <pageSetup scale="10" orientation="landscape" r:id="rId4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1767058-ef10-4b22-bff2-2dc59370163d">
      <Terms xmlns="http://schemas.microsoft.com/office/infopath/2007/PartnerControls"/>
    </lcf76f155ced4ddcb4097134ff3c332f>
    <TaxCatchAll xmlns="73b2d84b-3006-4c71-aecf-83db54334c2b"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7DEA2A12004AB47AC02FB7A65D9B966" ma:contentTypeVersion="12" ma:contentTypeDescription="Crear nuevo documento." ma:contentTypeScope="" ma:versionID="9a2dd8dc1d5cd0290ce1080cd25f129c">
  <xsd:schema xmlns:xsd="http://www.w3.org/2001/XMLSchema" xmlns:xs="http://www.w3.org/2001/XMLSchema" xmlns:p="http://schemas.microsoft.com/office/2006/metadata/properties" xmlns:ns2="31767058-ef10-4b22-bff2-2dc59370163d" xmlns:ns3="73b2d84b-3006-4c71-aecf-83db54334c2b" targetNamespace="http://schemas.microsoft.com/office/2006/metadata/properties" ma:root="true" ma:fieldsID="d0470e7835cb9cacaa62546ce7a6afec" ns2:_="" ns3:_="">
    <xsd:import namespace="31767058-ef10-4b22-bff2-2dc59370163d"/>
    <xsd:import namespace="73b2d84b-3006-4c71-aecf-83db54334c2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767058-ef10-4b22-bff2-2dc5937016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e9b71db2-0453-481c-a7bb-ff6902fea5ab"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3b2d84b-3006-4c71-aecf-83db54334c2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b2f33eb-e9d9-4254-8da7-38a60ad0b312}" ma:internalName="TaxCatchAll" ma:showField="CatchAllData" ma:web="73b2d84b-3006-4c71-aecf-83db54334c2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15A4A18-DA98-43BE-A37E-DD93C2D62F8E}"/>
</file>

<file path=customXml/itemProps2.xml><?xml version="1.0" encoding="utf-8"?>
<ds:datastoreItem xmlns:ds="http://schemas.openxmlformats.org/officeDocument/2006/customXml" ds:itemID="{5DF1F24D-17C0-440E-94ED-16CF0AC2FA55}"/>
</file>

<file path=customXml/itemProps3.xml><?xml version="1.0" encoding="utf-8"?>
<ds:datastoreItem xmlns:ds="http://schemas.openxmlformats.org/officeDocument/2006/customXml" ds:itemID="{7484461B-5904-431D-BDBC-04810C2DE38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Alexandra Zapata Zuluaga</dc:creator>
  <cp:keywords/>
  <dc:description/>
  <cp:lastModifiedBy>Melissa Urrego Mejia</cp:lastModifiedBy>
  <cp:revision/>
  <dcterms:created xsi:type="dcterms:W3CDTF">2014-03-25T16:23:16Z</dcterms:created>
  <dcterms:modified xsi:type="dcterms:W3CDTF">2025-09-02T20:46:45Z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0x01010027DEA2A12004AB47AC02FB7A65D9B966</vt:lpwstr>
  </property>
  <property fmtid="{D5CDD505-2E9C-101B-9397-08002B2CF9AE}" pid="3" name="_SourceUrl">
    <vt:lpwstr/>
  </property>
  <property fmtid="{D5CDD505-2E9C-101B-9397-08002B2CF9AE}" pid="4" name="_SharedFileIndex">
    <vt:lpwstr/>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y fmtid="{D5CDD505-2E9C-101B-9397-08002B2CF9AE}" pid="8" name="MediaServiceImageTags">
    <vt:lpwstr/>
  </property>
</Properties>
</file>