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Lenovo Ideapad\Desktop\PROCESOS ICA 2025\1. LICITACIONES\LP-071-ADQUISICIÓN EQUIPOS DE LAB\DEFINITIVOS\"/>
    </mc:Choice>
  </mc:AlternateContent>
  <xr:revisionPtr revIDLastSave="0" documentId="8_{C11F9C4C-F463-419B-AADD-0DCF3AFD3E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quipos" sheetId="1" r:id="rId1"/>
  </sheets>
  <externalReferences>
    <externalReference r:id="rId2"/>
  </externalReferences>
  <definedNames>
    <definedName name="_xlnm._FilterDatabase" localSheetId="0" hidden="1">Equipos!$A$2:$W$2</definedName>
    <definedName name="agricola">#REF!</definedName>
    <definedName name="dani">#REF!</definedName>
    <definedName name="EURO">[1]Elementos!#REF!</definedName>
    <definedName name="TRM">[1]Elementos!#REF!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8" i="1" l="1"/>
  <c r="V15" i="1"/>
  <c r="V12" i="1"/>
  <c r="V10" i="1"/>
  <c r="V9" i="1"/>
  <c r="V29" i="1"/>
  <c r="V35" i="1"/>
  <c r="V5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R7" i="1"/>
  <c r="J27" i="1"/>
  <c r="K27" i="1" s="1"/>
  <c r="L27" i="1"/>
  <c r="M27" i="1" s="1"/>
  <c r="N27" i="1"/>
  <c r="O27" i="1" s="1"/>
  <c r="P27" i="1"/>
  <c r="Q27" i="1" s="1"/>
  <c r="R27" i="1"/>
  <c r="S27" i="1" s="1"/>
  <c r="U27" i="1"/>
  <c r="V27" i="1"/>
  <c r="W27" i="1" s="1"/>
  <c r="J7" i="1"/>
  <c r="C27" i="1" l="1"/>
  <c r="I27" i="1" s="1"/>
  <c r="J22" i="1"/>
  <c r="P30" i="1"/>
  <c r="L40" i="1"/>
  <c r="L35" i="1"/>
  <c r="M35" i="1" s="1"/>
  <c r="L14" i="1"/>
  <c r="L3" i="1"/>
  <c r="M3" i="1" s="1"/>
  <c r="L5" i="1"/>
  <c r="M5" i="1" s="1"/>
  <c r="N3" i="1"/>
  <c r="O3" i="1" s="1"/>
  <c r="N4" i="1"/>
  <c r="N6" i="1"/>
  <c r="N7" i="1"/>
  <c r="N8" i="1"/>
  <c r="N10" i="1"/>
  <c r="N11" i="1"/>
  <c r="N12" i="1"/>
  <c r="N14" i="1"/>
  <c r="N17" i="1"/>
  <c r="N18" i="1"/>
  <c r="N19" i="1"/>
  <c r="N20" i="1"/>
  <c r="N21" i="1"/>
  <c r="N22" i="1"/>
  <c r="N23" i="1"/>
  <c r="N24" i="1"/>
  <c r="N25" i="1"/>
  <c r="N26" i="1"/>
  <c r="N28" i="1"/>
  <c r="N29" i="1"/>
  <c r="N30" i="1"/>
  <c r="N31" i="1"/>
  <c r="N32" i="1"/>
  <c r="N34" i="1"/>
  <c r="N35" i="1"/>
  <c r="N36" i="1"/>
  <c r="N37" i="1"/>
  <c r="N38" i="1"/>
  <c r="N39" i="1"/>
  <c r="N41" i="1"/>
  <c r="N42" i="1"/>
  <c r="N43" i="1"/>
  <c r="L39" i="1"/>
  <c r="M39" i="1" s="1"/>
  <c r="L33" i="1"/>
  <c r="M33" i="1" s="1"/>
  <c r="L12" i="1"/>
  <c r="M12" i="1" s="1"/>
  <c r="P24" i="1"/>
  <c r="Q24" i="1" s="1"/>
  <c r="J3" i="1"/>
  <c r="K3" i="1" s="1"/>
  <c r="P3" i="1"/>
  <c r="Q3" i="1" s="1"/>
  <c r="R3" i="1"/>
  <c r="S3" i="1" s="1"/>
  <c r="U3" i="1"/>
  <c r="V3" i="1"/>
  <c r="W3" i="1" s="1"/>
  <c r="J4" i="1"/>
  <c r="J5" i="1"/>
  <c r="J6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3" i="1"/>
  <c r="J24" i="1"/>
  <c r="J25" i="1"/>
  <c r="J26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M25" i="1"/>
  <c r="M37" i="1"/>
  <c r="P4" i="1"/>
  <c r="Q4" i="1" s="1"/>
  <c r="P5" i="1"/>
  <c r="Q5" i="1" s="1"/>
  <c r="P6" i="1"/>
  <c r="Q6" i="1" s="1"/>
  <c r="P7" i="1"/>
  <c r="Q7" i="1" s="1"/>
  <c r="P8" i="1"/>
  <c r="Q8" i="1" s="1"/>
  <c r="P9" i="1"/>
  <c r="Q9" i="1" s="1"/>
  <c r="P10" i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P21" i="1"/>
  <c r="Q21" i="1" s="1"/>
  <c r="P22" i="1"/>
  <c r="P23" i="1"/>
  <c r="P25" i="1"/>
  <c r="Q25" i="1" s="1"/>
  <c r="P26" i="1"/>
  <c r="Q26" i="1" s="1"/>
  <c r="P28" i="1"/>
  <c r="Q28" i="1" s="1"/>
  <c r="P29" i="1"/>
  <c r="P31" i="1"/>
  <c r="P32" i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 s="1"/>
  <c r="P40" i="1"/>
  <c r="Q40" i="1" s="1"/>
  <c r="P41" i="1"/>
  <c r="Q41" i="1" s="1"/>
  <c r="P42" i="1"/>
  <c r="Q42" i="1" s="1"/>
  <c r="P43" i="1"/>
  <c r="Q43" i="1" s="1"/>
  <c r="W45" i="1"/>
  <c r="I45" i="1" s="1"/>
  <c r="C38" i="1" l="1"/>
  <c r="C18" i="1"/>
  <c r="C3" i="1"/>
  <c r="Q23" i="1"/>
  <c r="Q22" i="1"/>
  <c r="Q32" i="1"/>
  <c r="Q31" i="1"/>
  <c r="Q30" i="1"/>
  <c r="M14" i="1"/>
  <c r="M40" i="1"/>
  <c r="Q29" i="1"/>
  <c r="Q20" i="1"/>
  <c r="Q10" i="1"/>
  <c r="U17" i="1"/>
  <c r="R42" i="1"/>
  <c r="S42" i="1" s="1"/>
  <c r="R43" i="1"/>
  <c r="S43" i="1" s="1"/>
  <c r="R34" i="1"/>
  <c r="S34" i="1" s="1"/>
  <c r="R18" i="1"/>
  <c r="S18" i="1" s="1"/>
  <c r="R10" i="1"/>
  <c r="S10" i="1" s="1"/>
  <c r="R23" i="1"/>
  <c r="S23" i="1" s="1"/>
  <c r="R38" i="1"/>
  <c r="S38" i="1" s="1"/>
  <c r="R20" i="1"/>
  <c r="S20" i="1" s="1"/>
  <c r="R36" i="1"/>
  <c r="S36" i="1" s="1"/>
  <c r="U42" i="1"/>
  <c r="U43" i="1"/>
  <c r="U34" i="1"/>
  <c r="U18" i="1"/>
  <c r="U10" i="1"/>
  <c r="U23" i="1"/>
  <c r="U38" i="1"/>
  <c r="U20" i="1"/>
  <c r="U36" i="1"/>
  <c r="V42" i="1"/>
  <c r="W42" i="1" s="1"/>
  <c r="V43" i="1"/>
  <c r="W43" i="1" s="1"/>
  <c r="V34" i="1"/>
  <c r="W34" i="1" s="1"/>
  <c r="W18" i="1"/>
  <c r="W10" i="1"/>
  <c r="V23" i="1"/>
  <c r="W23" i="1" s="1"/>
  <c r="V38" i="1"/>
  <c r="W38" i="1" s="1"/>
  <c r="V20" i="1"/>
  <c r="W20" i="1" s="1"/>
  <c r="V36" i="1"/>
  <c r="W36" i="1" s="1"/>
  <c r="K43" i="1"/>
  <c r="L43" i="1"/>
  <c r="O43" i="1"/>
  <c r="K36" i="1"/>
  <c r="L36" i="1"/>
  <c r="K20" i="1"/>
  <c r="L20" i="1"/>
  <c r="K38" i="1"/>
  <c r="L38" i="1"/>
  <c r="M38" i="1" s="1"/>
  <c r="L23" i="1"/>
  <c r="M23" i="1" s="1"/>
  <c r="L10" i="1"/>
  <c r="M10" i="1" s="1"/>
  <c r="L18" i="1"/>
  <c r="M18" i="1" s="1"/>
  <c r="K34" i="1"/>
  <c r="L34" i="1"/>
  <c r="M43" i="1" l="1"/>
  <c r="C43" i="1"/>
  <c r="C10" i="1"/>
  <c r="M20" i="1"/>
  <c r="C20" i="1"/>
  <c r="I20" i="1" s="1"/>
  <c r="C23" i="1"/>
  <c r="I23" i="1" s="1"/>
  <c r="M36" i="1"/>
  <c r="C36" i="1"/>
  <c r="M34" i="1"/>
  <c r="C34" i="1"/>
  <c r="I34" i="1"/>
  <c r="I36" i="1"/>
  <c r="I38" i="1"/>
  <c r="I10" i="1"/>
  <c r="I18" i="1"/>
  <c r="K23" i="1"/>
  <c r="K10" i="1"/>
  <c r="K18" i="1"/>
  <c r="AK44" i="1" l="1"/>
  <c r="AJ44" i="1"/>
  <c r="AI44" i="1"/>
  <c r="AH44" i="1"/>
  <c r="AG44" i="1"/>
  <c r="AF44" i="1"/>
  <c r="AE44" i="1"/>
  <c r="AD44" i="1"/>
  <c r="AC44" i="1"/>
  <c r="AB44" i="1"/>
  <c r="R4" i="1"/>
  <c r="S4" i="1" s="1"/>
  <c r="R5" i="1"/>
  <c r="R6" i="1"/>
  <c r="S6" i="1" s="1"/>
  <c r="S7" i="1"/>
  <c r="R8" i="1"/>
  <c r="S8" i="1" s="1"/>
  <c r="R9" i="1"/>
  <c r="S9" i="1" s="1"/>
  <c r="R11" i="1"/>
  <c r="S11" i="1" s="1"/>
  <c r="R12" i="1"/>
  <c r="R13" i="1"/>
  <c r="S13" i="1" s="1"/>
  <c r="R14" i="1"/>
  <c r="R15" i="1"/>
  <c r="S15" i="1" s="1"/>
  <c r="R16" i="1"/>
  <c r="S16" i="1" s="1"/>
  <c r="R17" i="1"/>
  <c r="S17" i="1" s="1"/>
  <c r="R19" i="1"/>
  <c r="S19" i="1" s="1"/>
  <c r="R21" i="1"/>
  <c r="S21" i="1" s="1"/>
  <c r="R22" i="1"/>
  <c r="S22" i="1" s="1"/>
  <c r="R24" i="1"/>
  <c r="S24" i="1" s="1"/>
  <c r="R25" i="1"/>
  <c r="R26" i="1"/>
  <c r="S26" i="1" s="1"/>
  <c r="R28" i="1"/>
  <c r="S28" i="1" s="1"/>
  <c r="R29" i="1"/>
  <c r="S29" i="1" s="1"/>
  <c r="R30" i="1"/>
  <c r="S30" i="1" s="1"/>
  <c r="R31" i="1"/>
  <c r="S31" i="1" s="1"/>
  <c r="R32" i="1"/>
  <c r="S32" i="1" s="1"/>
  <c r="R33" i="1"/>
  <c r="R35" i="1"/>
  <c r="R37" i="1"/>
  <c r="R39" i="1"/>
  <c r="R40" i="1"/>
  <c r="R41" i="1"/>
  <c r="S41" i="1" s="1"/>
  <c r="O5" i="1"/>
  <c r="O6" i="1"/>
  <c r="O7" i="1"/>
  <c r="O8" i="1"/>
  <c r="O9" i="1"/>
  <c r="O11" i="1"/>
  <c r="O12" i="1"/>
  <c r="O13" i="1"/>
  <c r="O14" i="1"/>
  <c r="O15" i="1"/>
  <c r="O16" i="1"/>
  <c r="O17" i="1"/>
  <c r="O19" i="1"/>
  <c r="O21" i="1"/>
  <c r="O22" i="1"/>
  <c r="O24" i="1"/>
  <c r="O25" i="1"/>
  <c r="O26" i="1"/>
  <c r="O28" i="1"/>
  <c r="O29" i="1"/>
  <c r="O30" i="1"/>
  <c r="O31" i="1"/>
  <c r="O32" i="1"/>
  <c r="O33" i="1"/>
  <c r="O35" i="1"/>
  <c r="O37" i="1"/>
  <c r="O39" i="1"/>
  <c r="O40" i="1"/>
  <c r="O41" i="1"/>
  <c r="O42" i="1"/>
  <c r="O4" i="1"/>
  <c r="L4" i="1"/>
  <c r="L6" i="1"/>
  <c r="L7" i="1"/>
  <c r="L8" i="1"/>
  <c r="L9" i="1"/>
  <c r="L11" i="1"/>
  <c r="L13" i="1"/>
  <c r="L15" i="1"/>
  <c r="L16" i="1"/>
  <c r="L17" i="1"/>
  <c r="L19" i="1"/>
  <c r="L21" i="1"/>
  <c r="L22" i="1"/>
  <c r="L24" i="1"/>
  <c r="L26" i="1"/>
  <c r="L28" i="1"/>
  <c r="L29" i="1"/>
  <c r="L30" i="1"/>
  <c r="L31" i="1"/>
  <c r="L32" i="1"/>
  <c r="L41" i="1"/>
  <c r="L42" i="1"/>
  <c r="U4" i="1"/>
  <c r="U5" i="1"/>
  <c r="U6" i="1"/>
  <c r="U7" i="1"/>
  <c r="U8" i="1"/>
  <c r="U9" i="1"/>
  <c r="U11" i="1"/>
  <c r="U12" i="1"/>
  <c r="U13" i="1"/>
  <c r="U14" i="1"/>
  <c r="U15" i="1"/>
  <c r="U16" i="1"/>
  <c r="U19" i="1"/>
  <c r="U21" i="1"/>
  <c r="U22" i="1"/>
  <c r="U24" i="1"/>
  <c r="U25" i="1"/>
  <c r="U26" i="1"/>
  <c r="U28" i="1"/>
  <c r="U29" i="1"/>
  <c r="U30" i="1"/>
  <c r="U31" i="1"/>
  <c r="U32" i="1"/>
  <c r="U33" i="1"/>
  <c r="U35" i="1"/>
  <c r="U37" i="1"/>
  <c r="U39" i="1"/>
  <c r="U40" i="1"/>
  <c r="U41" i="1"/>
  <c r="V4" i="1"/>
  <c r="W4" i="1" s="1"/>
  <c r="W5" i="1"/>
  <c r="V6" i="1"/>
  <c r="W6" i="1" s="1"/>
  <c r="V7" i="1"/>
  <c r="W7" i="1" s="1"/>
  <c r="V8" i="1"/>
  <c r="W8" i="1" s="1"/>
  <c r="W9" i="1"/>
  <c r="V11" i="1"/>
  <c r="W11" i="1" s="1"/>
  <c r="W12" i="1"/>
  <c r="V13" i="1"/>
  <c r="W13" i="1" s="1"/>
  <c r="V14" i="1"/>
  <c r="W14" i="1" s="1"/>
  <c r="W15" i="1"/>
  <c r="V16" i="1"/>
  <c r="W16" i="1" s="1"/>
  <c r="V17" i="1"/>
  <c r="W17" i="1" s="1"/>
  <c r="V19" i="1"/>
  <c r="W19" i="1" s="1"/>
  <c r="V21" i="1"/>
  <c r="W21" i="1" s="1"/>
  <c r="V22" i="1"/>
  <c r="W22" i="1" s="1"/>
  <c r="V24" i="1"/>
  <c r="W24" i="1" s="1"/>
  <c r="V25" i="1"/>
  <c r="W25" i="1" s="1"/>
  <c r="V26" i="1"/>
  <c r="W26" i="1" s="1"/>
  <c r="V28" i="1"/>
  <c r="W28" i="1" s="1"/>
  <c r="W29" i="1"/>
  <c r="V30" i="1"/>
  <c r="W30" i="1" s="1"/>
  <c r="V31" i="1"/>
  <c r="W31" i="1" s="1"/>
  <c r="V32" i="1"/>
  <c r="W32" i="1" s="1"/>
  <c r="V33" i="1"/>
  <c r="W33" i="1" s="1"/>
  <c r="W35" i="1"/>
  <c r="V37" i="1"/>
  <c r="W37" i="1" s="1"/>
  <c r="V39" i="1"/>
  <c r="W39" i="1" s="1"/>
  <c r="V40" i="1"/>
  <c r="W40" i="1" s="1"/>
  <c r="V41" i="1"/>
  <c r="W41" i="1" s="1"/>
  <c r="AL44" i="1"/>
  <c r="AM44" i="1"/>
  <c r="M22" i="1" l="1"/>
  <c r="C22" i="1"/>
  <c r="M4" i="1"/>
  <c r="C4" i="1"/>
  <c r="S33" i="1"/>
  <c r="C33" i="1"/>
  <c r="S35" i="1"/>
  <c r="C35" i="1"/>
  <c r="M19" i="1"/>
  <c r="C19" i="1"/>
  <c r="M32" i="1"/>
  <c r="C32" i="1"/>
  <c r="M31" i="1"/>
  <c r="C31" i="1"/>
  <c r="M41" i="1"/>
  <c r="C41" i="1"/>
  <c r="M13" i="1"/>
  <c r="C13" i="1"/>
  <c r="S12" i="1"/>
  <c r="C12" i="1"/>
  <c r="M11" i="1"/>
  <c r="C11" i="1"/>
  <c r="S5" i="1"/>
  <c r="C5" i="1"/>
  <c r="M17" i="1"/>
  <c r="C17" i="1"/>
  <c r="M16" i="1"/>
  <c r="C16" i="1"/>
  <c r="S14" i="1"/>
  <c r="C14" i="1"/>
  <c r="M15" i="1"/>
  <c r="C15" i="1"/>
  <c r="M29" i="1"/>
  <c r="C29" i="1"/>
  <c r="S25" i="1"/>
  <c r="C25" i="1"/>
  <c r="M28" i="1"/>
  <c r="C28" i="1"/>
  <c r="S40" i="1"/>
  <c r="C40" i="1"/>
  <c r="M26" i="1"/>
  <c r="C26" i="1"/>
  <c r="M7" i="1"/>
  <c r="C7" i="1"/>
  <c r="S39" i="1"/>
  <c r="C39" i="1"/>
  <c r="M21" i="1"/>
  <c r="C21" i="1"/>
  <c r="M42" i="1"/>
  <c r="C42" i="1"/>
  <c r="M30" i="1"/>
  <c r="C30" i="1"/>
  <c r="M9" i="1"/>
  <c r="C9" i="1"/>
  <c r="M8" i="1"/>
  <c r="C8" i="1"/>
  <c r="M24" i="1"/>
  <c r="C24" i="1"/>
  <c r="M6" i="1"/>
  <c r="C6" i="1"/>
  <c r="S37" i="1"/>
  <c r="C37" i="1"/>
  <c r="K7" i="1"/>
  <c r="K42" i="1"/>
  <c r="K41" i="1"/>
  <c r="K40" i="1"/>
  <c r="K39" i="1"/>
  <c r="K37" i="1"/>
  <c r="K35" i="1"/>
  <c r="K33" i="1"/>
  <c r="K32" i="1"/>
  <c r="K31" i="1"/>
  <c r="K30" i="1"/>
  <c r="K29" i="1"/>
  <c r="K28" i="1"/>
  <c r="K26" i="1"/>
  <c r="K25" i="1"/>
  <c r="K24" i="1"/>
  <c r="K22" i="1"/>
  <c r="K21" i="1"/>
  <c r="K19" i="1"/>
  <c r="K17" i="1"/>
  <c r="K16" i="1"/>
  <c r="K15" i="1"/>
  <c r="K14" i="1"/>
  <c r="K13" i="1"/>
  <c r="K12" i="1"/>
  <c r="K11" i="1"/>
  <c r="K9" i="1"/>
  <c r="K8" i="1"/>
  <c r="K6" i="1"/>
  <c r="K5" i="1"/>
  <c r="K4" i="1"/>
  <c r="Z44" i="1"/>
  <c r="Y44" i="1"/>
  <c r="AA44" i="1"/>
  <c r="X44" i="1"/>
  <c r="B44" i="1"/>
  <c r="K44" i="1" l="1"/>
  <c r="I32" i="1"/>
  <c r="I31" i="1"/>
  <c r="I30" i="1"/>
  <c r="I29" i="1"/>
  <c r="I28" i="1"/>
  <c r="I42" i="1"/>
  <c r="H44" i="1"/>
  <c r="I43" i="1" l="1"/>
  <c r="I7" i="1"/>
  <c r="I41" i="1"/>
  <c r="I40" i="1"/>
  <c r="I39" i="1"/>
  <c r="I37" i="1"/>
  <c r="I35" i="1"/>
  <c r="I33" i="1"/>
  <c r="I14" i="1"/>
  <c r="I11" i="1"/>
  <c r="I26" i="1" l="1"/>
  <c r="I3" i="1"/>
  <c r="I25" i="1"/>
  <c r="I12" i="1"/>
  <c r="I8" i="1"/>
  <c r="I22" i="1"/>
  <c r="I24" i="1"/>
  <c r="I9" i="1"/>
  <c r="I17" i="1"/>
  <c r="I16" i="1"/>
  <c r="I4" i="1"/>
  <c r="I5" i="1"/>
  <c r="I6" i="1"/>
  <c r="I13" i="1"/>
  <c r="I15" i="1"/>
  <c r="I19" i="1"/>
  <c r="I21" i="1"/>
  <c r="N44" i="1"/>
  <c r="P44" i="1"/>
  <c r="R44" i="1"/>
  <c r="T44" i="1"/>
  <c r="J44" i="1"/>
  <c r="V44" i="1"/>
  <c r="L44" i="1"/>
  <c r="C44" i="1" l="1"/>
  <c r="I44" i="1"/>
  <c r="I46" i="1" s="1"/>
  <c r="O44" i="1"/>
  <c r="O46" i="1" s="1"/>
  <c r="M44" i="1"/>
  <c r="M46" i="1" s="1"/>
  <c r="W44" i="1"/>
  <c r="W46" i="1" s="1"/>
  <c r="K46" i="1"/>
  <c r="U44" i="1"/>
  <c r="U46" i="1" s="1"/>
  <c r="S44" i="1"/>
  <c r="S46" i="1" s="1"/>
  <c r="Q44" i="1"/>
  <c r="Q46" i="1" s="1"/>
</calcChain>
</file>

<file path=xl/sharedStrings.xml><?xml version="1.0" encoding="utf-8"?>
<sst xmlns="http://schemas.openxmlformats.org/spreadsheetml/2006/main" count="241" uniqueCount="85">
  <si>
    <t>R</t>
  </si>
  <si>
    <t>ÍTEM</t>
  </si>
  <si>
    <t xml:space="preserve">Equipo </t>
  </si>
  <si>
    <t>Cantidad Total</t>
  </si>
  <si>
    <t>Marca ofertada</t>
  </si>
  <si>
    <t>Referencia ofertada</t>
  </si>
  <si>
    <t>TIPO DE INTERVENCION METROLOGICA</t>
  </si>
  <si>
    <t>Proveedor o contratista 2025</t>
  </si>
  <si>
    <t>Valor de referencia del proceso</t>
  </si>
  <si>
    <t>Valor Total del proceso  de LP</t>
  </si>
  <si>
    <t>Cant. RED LDF</t>
  </si>
  <si>
    <t>Valor Total RED LDF</t>
  </si>
  <si>
    <t>Cant.  LDF&amp;MR</t>
  </si>
  <si>
    <t>Valor Total LDF&amp;MR</t>
  </si>
  <si>
    <t>Cant. LANIA</t>
  </si>
  <si>
    <t>Valor Total LANIA</t>
  </si>
  <si>
    <t>Cant.  RED LASE</t>
  </si>
  <si>
    <t>Valor Total RED LASE</t>
  </si>
  <si>
    <t>Cant. LNDV</t>
  </si>
  <si>
    <t>Valor Total LNDV</t>
  </si>
  <si>
    <t>TOTAL  GGCA</t>
  </si>
  <si>
    <t>Valor Total GGCA</t>
  </si>
  <si>
    <t>TOTAL  UNIDAD C.O</t>
  </si>
  <si>
    <t xml:space="preserve">Valor Total UNIDAD C.O </t>
  </si>
  <si>
    <t>LDF Bello</t>
  </si>
  <si>
    <t>LDF Cúcuta</t>
  </si>
  <si>
    <t>LDF Pasto</t>
  </si>
  <si>
    <t>LDF Sogamoso - Suelos</t>
  </si>
  <si>
    <t>LANIA</t>
  </si>
  <si>
    <t>LCV</t>
  </si>
  <si>
    <t>LOGM</t>
  </si>
  <si>
    <t>LNTC</t>
  </si>
  <si>
    <t>LASE Bucaramanga</t>
  </si>
  <si>
    <t>LASE Ibagué</t>
  </si>
  <si>
    <t>LASE Palmira</t>
  </si>
  <si>
    <t>LASE Valledupar</t>
  </si>
  <si>
    <t>LANASE</t>
  </si>
  <si>
    <t xml:space="preserve">LNDV </t>
  </si>
  <si>
    <t>LASIM</t>
  </si>
  <si>
    <t>UNIDAD C.O</t>
  </si>
  <si>
    <t>Agitador orbital con incubación shaker</t>
  </si>
  <si>
    <t>NO</t>
  </si>
  <si>
    <t> </t>
  </si>
  <si>
    <t xml:space="preserve">Agitador Reciproco </t>
  </si>
  <si>
    <t>Agitador Vortex</t>
  </si>
  <si>
    <t xml:space="preserve">Analizador Elemental </t>
  </si>
  <si>
    <t>Bactoincinerador</t>
  </si>
  <si>
    <t>Balanza Analítica de 4 cifras</t>
  </si>
  <si>
    <t>SI</t>
  </si>
  <si>
    <t xml:space="preserve">Balanza Analítica de 5 cifras </t>
  </si>
  <si>
    <t>Balanza Analítica Semimicro de 220 G con verificador de Micropipetas</t>
  </si>
  <si>
    <t>Bomba de vacio</t>
  </si>
  <si>
    <t xml:space="preserve">Cabina de Bioseguridad clase II tipo A2 </t>
  </si>
  <si>
    <t>Cabina de PCR</t>
  </si>
  <si>
    <t>Cámara para microscopio</t>
  </si>
  <si>
    <t>Centrífuga de mesa refrigerada molecular</t>
  </si>
  <si>
    <t xml:space="preserve">Congelador de alto rendimiento para laboratorio </t>
  </si>
  <si>
    <t>Datalogger de presión resistente a alta temperatura en acero inoxidable tipo bala</t>
  </si>
  <si>
    <t>Dispositivo portátil de secuenciación</t>
  </si>
  <si>
    <t>Equipo de desinfeccion de areas ( a base de peróxido de hidrógeno)</t>
  </si>
  <si>
    <t>Equipo de transferencia rápida de proteínas para membranas en sistema western-BLOTTING</t>
  </si>
  <si>
    <t>Espectofotómetro de emisión con plasma acoplado inductivamente ICP-OES</t>
  </si>
  <si>
    <t>Espectrofotómetro UV/VIS</t>
  </si>
  <si>
    <t>Fluorometro</t>
  </si>
  <si>
    <t>Germinador</t>
  </si>
  <si>
    <t>Horno de secado</t>
  </si>
  <si>
    <t>Licuadora industrial con vaso metálico</t>
  </si>
  <si>
    <t>Medidor de CO2</t>
  </si>
  <si>
    <t>Medidores de pH</t>
  </si>
  <si>
    <t>Microcentrífuga (mini spin)</t>
  </si>
  <si>
    <t xml:space="preserve">Molino Eléctrico Pulverizador Semillas </t>
  </si>
  <si>
    <t>Plancha de calentamiento con agitación magnética</t>
  </si>
  <si>
    <t xml:space="preserve">Plancha de calentamiento de 4 puestos con agitacion </t>
  </si>
  <si>
    <t xml:space="preserve">Refrigerador para laboratorio de alto rendimiento </t>
  </si>
  <si>
    <t>Sistema de electroforesis Automatizada para el Control de Calidad (CC) de Muestras de ADN y ARN</t>
  </si>
  <si>
    <t xml:space="preserve">Sistema de electroforesis con fuente de poder de dos cámaras independientes </t>
  </si>
  <si>
    <t xml:space="preserve">Sistema de electroforesis tetra vertical en mini-geles </t>
  </si>
  <si>
    <t xml:space="preserve">Sistema de purificación para agua tipo 1 </t>
  </si>
  <si>
    <t xml:space="preserve">Termobloque con agitacion </t>
  </si>
  <si>
    <t>Termociclador convencional</t>
  </si>
  <si>
    <t>Termociclador de PCR en tiempo Real</t>
  </si>
  <si>
    <t>Termohigrómetro datalogger de 2 sensores patrón</t>
  </si>
  <si>
    <t xml:space="preserve">Titulador Automático </t>
  </si>
  <si>
    <t>Ultracongelador de - 80°C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</si>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</sst>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10"/>
      <color rgb="FF000000"/>
      <name val="Times New Roman"/>
      <family val="1"/>
    </font>
    <font>
      <b/>
      <sz val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  <charset val="1"/>
    </font>
    <font>
      <sz val="9"/>
      <color rgb="FF000000"/>
      <name val="Arial"/>
      <family val="2"/>
    </font>
    <font>
      <b/>
      <sz val="9"/>
      <color rgb="FF000000"/>
      <name val="Arial"/>
      <family val="2"/>
      <charset val="1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/>
    <xf numFmtId="42" fontId="2" fillId="0" borderId="0" xfId="2" applyFont="1" applyAlignment="1">
      <alignment horizontal="center" vertical="center"/>
    </xf>
    <xf numFmtId="164" fontId="2" fillId="0" borderId="0" xfId="1" applyNumberFormat="1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3" borderId="1" xfId="3" applyFont="1" applyFill="1" applyBorder="1" applyAlignment="1">
      <alignment horizontal="left" vertical="center" wrapText="1"/>
    </xf>
    <xf numFmtId="42" fontId="3" fillId="4" borderId="3" xfId="2" applyFont="1" applyFill="1" applyBorder="1" applyAlignment="1">
      <alignment horizontal="center" vertical="center" wrapText="1"/>
    </xf>
    <xf numFmtId="164" fontId="3" fillId="4" borderId="3" xfId="1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2" fillId="0" borderId="1" xfId="2" applyNumberFormat="1" applyFont="1" applyBorder="1" applyAlignment="1">
      <alignment horizontal="center" vertical="center"/>
    </xf>
    <xf numFmtId="1" fontId="2" fillId="0" borderId="1" xfId="2" applyNumberFormat="1" applyFont="1" applyFill="1" applyBorder="1" applyAlignment="1">
      <alignment horizontal="center" vertical="center"/>
    </xf>
    <xf numFmtId="165" fontId="2" fillId="0" borderId="1" xfId="0" applyNumberFormat="1" applyFont="1" applyBorder="1"/>
    <xf numFmtId="1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wrapText="1"/>
    </xf>
    <xf numFmtId="1" fontId="7" fillId="0" borderId="12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164" fontId="3" fillId="5" borderId="12" xfId="0" applyNumberFormat="1" applyFont="1" applyFill="1" applyBorder="1" applyAlignment="1">
      <alignment vertical="center" wrapText="1"/>
    </xf>
    <xf numFmtId="165" fontId="2" fillId="0" borderId="12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65" fontId="2" fillId="0" borderId="12" xfId="0" applyNumberFormat="1" applyFont="1" applyBorder="1"/>
    <xf numFmtId="164" fontId="2" fillId="0" borderId="12" xfId="0" applyNumberFormat="1" applyFont="1" applyBorder="1"/>
    <xf numFmtId="1" fontId="8" fillId="0" borderId="12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4" fontId="8" fillId="6" borderId="5" xfId="1" applyNumberFormat="1" applyFont="1" applyFill="1" applyBorder="1" applyAlignment="1">
      <alignment horizontal="center" vertical="center" wrapText="1"/>
    </xf>
    <xf numFmtId="164" fontId="2" fillId="6" borderId="1" xfId="1" applyNumberFormat="1" applyFont="1" applyFill="1" applyBorder="1"/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" fontId="2" fillId="0" borderId="1" xfId="2" applyNumberFormat="1" applyFont="1" applyFill="1" applyBorder="1" applyAlignment="1">
      <alignment horizontal="center" vertical="center" wrapText="1"/>
    </xf>
    <xf numFmtId="42" fontId="3" fillId="4" borderId="4" xfId="2" applyFont="1" applyFill="1" applyBorder="1" applyAlignment="1">
      <alignment horizontal="center" vertical="center" wrapText="1"/>
    </xf>
    <xf numFmtId="42" fontId="3" fillId="2" borderId="1" xfId="2" applyFont="1" applyFill="1" applyBorder="1" applyAlignment="1">
      <alignment horizontal="center" vertical="center" textRotation="90" wrapText="1"/>
    </xf>
    <xf numFmtId="42" fontId="3" fillId="4" borderId="1" xfId="2" applyFont="1" applyFill="1" applyBorder="1" applyAlignment="1">
      <alignment horizontal="center" vertical="center" textRotation="90" wrapText="1"/>
    </xf>
    <xf numFmtId="164" fontId="8" fillId="0" borderId="13" xfId="1" applyNumberFormat="1" applyFont="1" applyFill="1" applyBorder="1" applyAlignment="1">
      <alignment horizontal="center" vertical="center" wrapText="1"/>
    </xf>
    <xf numFmtId="42" fontId="3" fillId="7" borderId="1" xfId="2" applyFont="1" applyFill="1" applyBorder="1" applyAlignment="1">
      <alignment horizontal="center" vertical="center" textRotation="90" wrapText="1"/>
    </xf>
    <xf numFmtId="42" fontId="3" fillId="3" borderId="1" xfId="2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5" fillId="3" borderId="1" xfId="3" applyFont="1" applyFill="1" applyBorder="1" applyAlignment="1">
      <alignment horizontal="center" vertical="center" wrapText="1"/>
    </xf>
    <xf numFmtId="164" fontId="8" fillId="0" borderId="5" xfId="1" applyNumberFormat="1" applyFont="1" applyBorder="1" applyAlignment="1">
      <alignment horizontal="center" vertical="center" wrapText="1"/>
    </xf>
    <xf numFmtId="164" fontId="8" fillId="0" borderId="9" xfId="1" applyNumberFormat="1" applyFont="1" applyBorder="1" applyAlignment="1">
      <alignment horizontal="center" vertical="center" wrapText="1"/>
    </xf>
    <xf numFmtId="164" fontId="10" fillId="0" borderId="5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9" fillId="0" borderId="1" xfId="2" applyNumberFormat="1" applyFont="1" applyBorder="1" applyAlignment="1">
      <alignment horizontal="center" vertical="center"/>
    </xf>
    <xf numFmtId="1" fontId="9" fillId="0" borderId="1" xfId="2" applyNumberFormat="1" applyFont="1" applyFill="1" applyBorder="1" applyAlignment="1">
      <alignment horizontal="center" vertical="center"/>
    </xf>
    <xf numFmtId="165" fontId="9" fillId="0" borderId="1" xfId="0" applyNumberFormat="1" applyFont="1" applyBorder="1"/>
    <xf numFmtId="164" fontId="9" fillId="0" borderId="1" xfId="1" applyNumberFormat="1" applyFont="1" applyBorder="1"/>
    <xf numFmtId="164" fontId="10" fillId="0" borderId="13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164" fontId="9" fillId="0" borderId="8" xfId="1" applyNumberFormat="1" applyFont="1" applyBorder="1"/>
    <xf numFmtId="164" fontId="10" fillId="0" borderId="14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/>
    </xf>
    <xf numFmtId="164" fontId="8" fillId="0" borderId="9" xfId="1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" fontId="2" fillId="0" borderId="1" xfId="2" applyNumberFormat="1" applyFont="1" applyBorder="1" applyAlignment="1">
      <alignment horizontal="center" vertical="center"/>
    </xf>
    <xf numFmtId="1" fontId="2" fillId="0" borderId="1" xfId="2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164" fontId="2" fillId="0" borderId="8" xfId="1" applyNumberFormat="1" applyFont="1" applyBorder="1"/>
    <xf numFmtId="0" fontId="6" fillId="8" borderId="1" xfId="0" applyFont="1" applyFill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4" fontId="2" fillId="0" borderId="0" xfId="4" applyFont="1"/>
    <xf numFmtId="164" fontId="3" fillId="9" borderId="1" xfId="1" applyNumberFormat="1" applyFont="1" applyFill="1" applyBorder="1" applyAlignment="1">
      <alignment vertical="center" wrapText="1"/>
    </xf>
    <xf numFmtId="164" fontId="11" fillId="9" borderId="1" xfId="1" applyNumberFormat="1" applyFont="1" applyFill="1" applyBorder="1" applyAlignment="1">
      <alignment vertical="center" wrapText="1"/>
    </xf>
    <xf numFmtId="164" fontId="3" fillId="9" borderId="8" xfId="1" applyNumberFormat="1" applyFont="1" applyFill="1" applyBorder="1" applyAlignment="1">
      <alignment vertical="center" wrapText="1"/>
    </xf>
    <xf numFmtId="164" fontId="11" fillId="9" borderId="8" xfId="1" applyNumberFormat="1" applyFont="1" applyFill="1" applyBorder="1" applyAlignment="1">
      <alignment vertical="center" wrapText="1"/>
    </xf>
    <xf numFmtId="165" fontId="2" fillId="10" borderId="1" xfId="0" applyNumberFormat="1" applyFont="1" applyFill="1" applyBorder="1"/>
    <xf numFmtId="165" fontId="2" fillId="8" borderId="1" xfId="0" applyNumberFormat="1" applyFont="1" applyFill="1" applyBorder="1"/>
    <xf numFmtId="165" fontId="2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horizontal="right"/>
    </xf>
    <xf numFmtId="164" fontId="17" fillId="9" borderId="1" xfId="1" applyNumberFormat="1" applyFont="1" applyFill="1" applyBorder="1" applyAlignment="1">
      <alignment vertical="center" wrapText="1"/>
    </xf>
  </cellXfs>
  <cellStyles count="6">
    <cellStyle name="Currency" xfId="5" xr:uid="{29775817-FB27-4E59-84A1-BFDE631CFE18}"/>
    <cellStyle name="Millares" xfId="1" builtinId="3"/>
    <cellStyle name="Moneda" xfId="4" builtinId="4"/>
    <cellStyle name="Moneda [0]" xfId="2" builtinId="7"/>
    <cellStyle name="Normal" xfId="0" builtinId="0"/>
    <cellStyle name="Normal 3" xfId="3" xr:uid="{00000000-0005-0000-0000-000003000000}"/>
  </cellStyles>
  <dxfs count="99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000000"/>
        <name val="Arial"/>
        <scheme val="none"/>
      </font>
      <fill>
        <patternFill patternType="none"/>
      </fill>
      <alignment horizontal="center" vertical="center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000000"/>
        <name val="Arial"/>
        <scheme val="none"/>
      </font>
      <fill>
        <patternFill patternType="none"/>
      </fill>
      <alignment horizontal="center" vertical="center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000000"/>
        <name val="Arial"/>
        <scheme val="none"/>
      </font>
      <fill>
        <patternFill patternType="none"/>
      </fill>
      <alignment horizontal="center" vertical="center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_-* #,##0\ _€_-;\-* #,##0\ _€_-;_-* &quot;-&quot;??\ _€_-;_-@_-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\ _€_-;\-* #,##0\ _€_-;_-* &quot;-&quot;??\ _€_-;_-@_-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* #,##0_-;\-* #,##0_-;_-* &quot;-&quot;??_-;_-@_-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* #,##0_-;\-* #,##0_-;_-* &quot;-&quot;??_-;_-@_-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* #,##0_-;\-* #,##0_-;_-* &quot;-&quot;??_-;_-@_-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_-* #,##0\ _€_-;\-* #,##0\ _€_-;_-* &quot;-&quot;??\ _€_-;_-@_-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\ _€_-;\-* #,##0\ _€_-;_-* &quot;-&quot;??\ _€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_-* #,##0\ _€_-;\-* #,##0\ _€_-;_-* &quot;-&quot;??\ _€_-;_-@_-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\ _€_-;\-* #,##0\ _€_-;_-* &quot;-&quot;??\ _€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_-* #,##0\ _€_-;\-* #,##0\ _€_-;_-* &quot;-&quot;??\ _€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\ _€_-;\-* #,##0\ _€_-;_-* &quot;-&quot;??\ _€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_-* #,##0_-;\-* #,##0_-;_-* &quot;-&quot;??_-;_-@_-"/>
      <fill>
        <patternFill patternType="solid">
          <fgColor indexed="64"/>
          <bgColor rgb="FFFFF2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-* #,##0_-;\-* #,##0_-;_-* &quot;-&quot;??_-;_-@_-"/>
      <fill>
        <patternFill patternType="solid">
          <fgColor indexed="64"/>
          <bgColor theme="9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</dxf>
    <dxf>
      <border outline="0">
        <left style="medium">
          <color indexed="64"/>
        </lef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aoti-my.sharepoint.com/Users/daniel.romero/OneDrive%20-%20Instituto%20Colombiano%20Agropecuario/SAD/2024/Reactivos%20-%20Elementos%20-%20equipo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ctivos resumen"/>
      <sheetName val="Reactivos"/>
      <sheetName val="Resumen elementos"/>
      <sheetName val="Elementos"/>
      <sheetName val="Resumen equipos"/>
      <sheetName val="Equip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M44" totalsRowCount="1" headerRowDxfId="82" dataDxfId="80" totalsRowDxfId="78" headerRowBorderDxfId="81" tableBorderDxfId="79" headerRowCellStyle="Moneda [0]">
  <autoFilter ref="A2:AM43" xr:uid="{00000000-000C-0000-FFFF-FFFF00000000}"/>
  <sortState xmlns:xlrd2="http://schemas.microsoft.com/office/spreadsheetml/2017/richdata2" ref="A3:AM43">
    <sortCondition ref="B2:B43"/>
  </sortState>
  <tableColumns count="39">
    <tableColumn id="1" xr3:uid="{00000000-0010-0000-0000-000001000000}" name="ÍTEM" totalsRowLabel="Total" dataDxfId="77" totalsRowDxfId="76"/>
    <tableColumn id="2" xr3:uid="{00000000-0010-0000-0000-000002000000}" name="Equipo " totalsRowFunction="count" dataDxfId="75" totalsRowDxfId="74"/>
    <tableColumn id="5" xr3:uid="{00000000-0010-0000-0000-000005000000}" name="Cantidad Total" totalsRowFunction="sum" dataDxfId="73" totalsRowDxfId="72">
      <calculatedColumnFormula>SUM(#REF!+L3+N3+P3+#REF!+R3+#REF!+T3+V3)</calculatedColumnFormula>
    </tableColumn>
    <tableColumn id="82" xr3:uid="{BB92C8A5-E0DC-4BD4-87CE-19693CB2C552}" name="Marca ofertada" dataDxfId="71" totalsRowDxfId="70"/>
    <tableColumn id="6" xr3:uid="{00000000-0010-0000-0000-000006000000}" name="Referencia ofertada" dataDxfId="69" totalsRowDxfId="68" dataCellStyle="Millares"/>
    <tableColumn id="42" xr3:uid="{69D355C7-AF43-411B-8F69-30B77635FE22}" name="TIPO DE INTERVENCION METROLOGICA" dataDxfId="67" totalsRowDxfId="66" dataCellStyle="Millares"/>
    <tableColumn id="7" xr3:uid="{00000000-0010-0000-0000-000007000000}" name="Proveedor o contratista 2025" dataDxfId="65" totalsRowDxfId="64"/>
    <tableColumn id="8" xr3:uid="{00000000-0010-0000-0000-000008000000}" name="Valor de referencia del proceso" totalsRowFunction="sum" dataDxfId="63" totalsRowDxfId="62" dataCellStyle="Millares"/>
    <tableColumn id="9" xr3:uid="{00000000-0010-0000-0000-000009000000}" name="Valor Total del proceso  de LP" totalsRowFunction="sum" dataDxfId="61" totalsRowDxfId="60" dataCellStyle="Moneda [0]">
      <calculatedColumnFormula>IFERROR(C3*H3," ")</calculatedColumnFormula>
    </tableColumn>
    <tableColumn id="10" xr3:uid="{00000000-0010-0000-0000-00000A000000}" name="Cant. RED LDF" totalsRowFunction="sum" dataDxfId="59" totalsRowDxfId="58" dataCellStyle="Moneda [0]">
      <calculatedColumnFormula>+SUM(X3:AA3)</calculatedColumnFormula>
    </tableColumn>
    <tableColumn id="11" xr3:uid="{00000000-0010-0000-0000-00000B000000}" name="Valor Total RED LDF" totalsRowFunction="sum" dataDxfId="57" totalsRowDxfId="56">
      <calculatedColumnFormula>+H3*#REF!</calculatedColumnFormula>
    </tableColumn>
    <tableColumn id="12" xr3:uid="{00000000-0010-0000-0000-00000C000000}" name="Cant.  LDF&amp;MR" totalsRowFunction="sum" dataDxfId="55" totalsRowDxfId="54" dataCellStyle="Moneda [0]">
      <calculatedColumnFormula>SUM(AC3:AE3)</calculatedColumnFormula>
    </tableColumn>
    <tableColumn id="13" xr3:uid="{00000000-0010-0000-0000-00000D000000}" name="Valor Total LDF&amp;MR" totalsRowFunction="sum" dataDxfId="53" totalsRowDxfId="52">
      <calculatedColumnFormula>IFERROR(L3*H3," ")</calculatedColumnFormula>
    </tableColumn>
    <tableColumn id="14" xr3:uid="{00000000-0010-0000-0000-00000E000000}" name="Cant. LANIA" totalsRowFunction="sum" dataDxfId="51" totalsRowDxfId="50">
      <calculatedColumnFormula>+Tabla1[[#This Row],[LANIA]]</calculatedColumnFormula>
    </tableColumn>
    <tableColumn id="15" xr3:uid="{00000000-0010-0000-0000-00000F000000}" name="Valor Total LANIA" totalsRowFunction="sum" dataDxfId="49" totalsRowDxfId="48" dataCellStyle="Millares"/>
    <tableColumn id="16" xr3:uid="{00000000-0010-0000-0000-000010000000}" name="Cant.  RED LASE" totalsRowFunction="sum" dataDxfId="47" totalsRowDxfId="46">
      <calculatedColumnFormula>SUM(AF3:AJ3)</calculatedColumnFormula>
    </tableColumn>
    <tableColumn id="17" xr3:uid="{00000000-0010-0000-0000-000011000000}" name="Valor Total RED LASE" totalsRowFunction="sum" dataDxfId="45" totalsRowDxfId="44" dataCellStyle="Millares">
      <calculatedColumnFormula>IFERROR(P3*H3," ")</calculatedColumnFormula>
    </tableColumn>
    <tableColumn id="20" xr3:uid="{00000000-0010-0000-0000-000014000000}" name="Cant. LNDV" totalsRowFunction="sum" dataDxfId="43" totalsRowDxfId="42">
      <calculatedColumnFormula>SUM(Equipos!$X3:$AM33)</calculatedColumnFormula>
    </tableColumn>
    <tableColumn id="21" xr3:uid="{00000000-0010-0000-0000-000015000000}" name="Valor Total LNDV" totalsRowFunction="sum" dataDxfId="41" totalsRowDxfId="40" dataCellStyle="Millares">
      <calculatedColumnFormula>IFERROR(R3*H3," ")</calculatedColumnFormula>
    </tableColumn>
    <tableColumn id="24" xr3:uid="{00000000-0010-0000-0000-000018000000}" name="TOTAL  GGCA" totalsRowFunction="sum" dataDxfId="39" totalsRowDxfId="38">
      <calculatedColumnFormula>SUM(AL3:AL3)</calculatedColumnFormula>
    </tableColumn>
    <tableColumn id="25" xr3:uid="{00000000-0010-0000-0000-000019000000}" name="Valor Total GGCA" totalsRowFunction="sum" dataDxfId="37" totalsRowDxfId="36"/>
    <tableColumn id="26" xr3:uid="{00000000-0010-0000-0000-00001A000000}" name="TOTAL  UNIDAD C.O" totalsRowFunction="sum" dataDxfId="35" totalsRowDxfId="34" dataCellStyle="Moneda [0]">
      <calculatedColumnFormula>Equipos!$X3:$AM33</calculatedColumnFormula>
    </tableColumn>
    <tableColumn id="27" xr3:uid="{00000000-0010-0000-0000-00001B000000}" name="Valor Total UNIDAD C.O " totalsRowFunction="sum" dataDxfId="33" totalsRowDxfId="32" dataCellStyle="Millares">
      <calculatedColumnFormula>+V3*H3</calculatedColumnFormula>
    </tableColumn>
    <tableColumn id="29" xr3:uid="{E0488D79-2BDD-48C7-B1CA-3A2816B5134D}" name="LDF Bello" totalsRowFunction="sum" dataDxfId="31" totalsRowDxfId="30"/>
    <tableColumn id="33" xr3:uid="{D6BED2C1-AA19-4955-930C-531347826BB4}" name="LDF Cúcuta" totalsRowFunction="sum" dataDxfId="29" totalsRowDxfId="28"/>
    <tableColumn id="37" xr3:uid="{9A33E7B2-65B2-4401-90F8-BE93BEF91294}" name="LDF Pasto" totalsRowFunction="sum" dataDxfId="27" totalsRowDxfId="26"/>
    <tableColumn id="38" xr3:uid="{8E47EC33-D60E-46FA-A472-638CA9466F6B}" name="LDF Sogamoso - Suelos" totalsRowFunction="sum" dataDxfId="25" totalsRowDxfId="24"/>
    <tableColumn id="43" xr3:uid="{4BAA65A7-116E-4C04-B1A8-D275971667B4}" name="LANIA" totalsRowFunction="sum" dataDxfId="23" totalsRowDxfId="22"/>
    <tableColumn id="46" xr3:uid="{00A5ED81-C6AC-45FE-A49D-AEFC01844451}" name="LCV" totalsRowFunction="sum" dataDxfId="21" totalsRowDxfId="20"/>
    <tableColumn id="47" xr3:uid="{C177D6AD-C556-4232-968C-8760646AFCE4}" name="LOGM" totalsRowFunction="sum" dataDxfId="19" totalsRowDxfId="18"/>
    <tableColumn id="48" xr3:uid="{25FA8CBC-2773-4D2A-AB74-AA3061AD7CFC}" name="LNTC" totalsRowFunction="sum" dataDxfId="17" totalsRowDxfId="16"/>
    <tableColumn id="49" xr3:uid="{3DB0E30B-8285-44C1-B717-FF2656B90104}" name="LASE Bucaramanga" totalsRowFunction="sum" dataDxfId="15" totalsRowDxfId="14"/>
    <tableColumn id="50" xr3:uid="{8A683DF2-9E03-4E70-8E55-AC139F7A8EE3}" name="LASE Ibagué" totalsRowFunction="sum" dataDxfId="13" totalsRowDxfId="12"/>
    <tableColumn id="51" xr3:uid="{9F3568EA-733F-4AE4-A240-F2C9B926BB0B}" name="LASE Palmira" totalsRowFunction="sum" dataDxfId="11" totalsRowDxfId="10"/>
    <tableColumn id="52" xr3:uid="{AB1A8D9F-3A0A-4414-8EF3-227BBD4F56D4}" name="LASE Valledupar" totalsRowFunction="sum" dataDxfId="9" totalsRowDxfId="8"/>
    <tableColumn id="54" xr3:uid="{443557DE-4203-4F0B-A2E7-62C2EBE53C87}" name="LANASE" totalsRowFunction="sum" dataDxfId="7" totalsRowDxfId="6"/>
    <tableColumn id="81" xr3:uid="{B477C1A3-79EC-4D0D-97AC-39932F7A4D05}" name="LNDV " totalsRowFunction="sum" dataDxfId="5" totalsRowDxfId="4"/>
    <tableColumn id="84" xr3:uid="{CAFF21CF-048E-4C50-AEFE-79EE233D82FD}" name="LASIM" totalsRowFunction="sum" dataDxfId="3" totalsRowDxfId="2"/>
    <tableColumn id="86" xr3:uid="{FFD02828-ED3C-47B2-BB01-40CC70470675}" name="UNIDAD C.O" totalsRowFunction="sum" dataDxfId="1" totalsRowDxfId="0"/>
  </tableColumns>
  <tableStyleInfo name="TableStyleLight14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7" tint="-0.249977111117893"/>
  </sheetPr>
  <dimension ref="A1:AM46"/>
  <sheetViews>
    <sheetView tabSelected="1" topLeftCell="A2" zoomScaleNormal="100" workbookViewId="0">
      <pane xSplit="5" ySplit="2" topLeftCell="I29" activePane="bottomRight" state="frozen"/>
      <selection pane="topRight" activeCell="H2" sqref="H2"/>
      <selection pane="bottomLeft" activeCell="A3" sqref="A3"/>
      <selection pane="bottomRight" activeCell="I44" sqref="I44"/>
    </sheetView>
  </sheetViews>
  <sheetFormatPr baseColWidth="10" defaultColWidth="4.6640625" defaultRowHeight="12" customHeight="1" outlineLevelCol="1" x14ac:dyDescent="0.2"/>
  <cols>
    <col min="1" max="1" width="6.6640625" style="1" customWidth="1"/>
    <col min="2" max="2" width="46.88671875" style="1" customWidth="1"/>
    <col min="3" max="3" width="8.5546875" style="1" customWidth="1"/>
    <col min="4" max="4" width="13.6640625" style="1" customWidth="1"/>
    <col min="5" max="6" width="14" style="1" customWidth="1"/>
    <col min="7" max="7" width="13.6640625" style="1" hidden="1" customWidth="1"/>
    <col min="8" max="8" width="17.33203125" style="2" customWidth="1"/>
    <col min="9" max="9" width="18.44140625" style="2" customWidth="1"/>
    <col min="10" max="10" width="9.109375" style="2" customWidth="1"/>
    <col min="11" max="11" width="19.33203125" style="1" customWidth="1"/>
    <col min="12" max="12" width="8.5546875" style="1" customWidth="1"/>
    <col min="13" max="13" width="17.44140625" style="1" bestFit="1" customWidth="1"/>
    <col min="14" max="14" width="8.5546875" style="1" customWidth="1"/>
    <col min="15" max="15" width="15.5546875" style="3" bestFit="1" customWidth="1"/>
    <col min="16" max="16" width="9.88671875" style="1" customWidth="1"/>
    <col min="17" max="17" width="15.88671875" style="1" bestFit="1" customWidth="1"/>
    <col min="18" max="18" width="8.88671875" style="1" customWidth="1"/>
    <col min="19" max="19" width="15.88671875" style="1" bestFit="1" customWidth="1"/>
    <col min="20" max="20" width="9.88671875" style="1" customWidth="1"/>
    <col min="21" max="21" width="16.33203125" style="1" customWidth="1"/>
    <col min="22" max="22" width="12.88671875" style="1" customWidth="1"/>
    <col min="23" max="23" width="17.44140625" style="1" bestFit="1" customWidth="1"/>
    <col min="24" max="27" width="5.5546875" style="20" customWidth="1" outlineLevel="1"/>
    <col min="28" max="31" width="5.5546875" style="21" customWidth="1"/>
    <col min="32" max="38" width="5.5546875" style="20" customWidth="1"/>
    <col min="39" max="39" width="4.6640625" style="21"/>
    <col min="40" max="16384" width="4.6640625" style="1"/>
  </cols>
  <sheetData>
    <row r="1" spans="1:39" ht="60" customHeight="1" x14ac:dyDescent="0.2">
      <c r="E1" s="1" t="s">
        <v>0</v>
      </c>
      <c r="AL1" s="24"/>
    </row>
    <row r="2" spans="1:39" ht="75.75" customHeight="1" x14ac:dyDescent="0.2">
      <c r="A2" s="4" t="s">
        <v>1</v>
      </c>
      <c r="B2" s="5" t="s">
        <v>2</v>
      </c>
      <c r="C2" s="6" t="s">
        <v>3</v>
      </c>
      <c r="D2" s="50" t="s">
        <v>4</v>
      </c>
      <c r="E2" s="68" t="s">
        <v>5</v>
      </c>
      <c r="F2" s="52" t="s">
        <v>6</v>
      </c>
      <c r="G2" s="7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9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8" t="s">
        <v>21</v>
      </c>
      <c r="V2" s="8" t="s">
        <v>22</v>
      </c>
      <c r="W2" s="42" t="s">
        <v>23</v>
      </c>
      <c r="X2" s="43" t="s">
        <v>24</v>
      </c>
      <c r="Y2" s="43" t="s">
        <v>25</v>
      </c>
      <c r="Z2" s="43" t="s">
        <v>26</v>
      </c>
      <c r="AA2" s="43" t="s">
        <v>27</v>
      </c>
      <c r="AB2" s="44" t="s">
        <v>28</v>
      </c>
      <c r="AC2" s="46" t="s">
        <v>29</v>
      </c>
      <c r="AD2" s="46" t="s">
        <v>30</v>
      </c>
      <c r="AE2" s="46" t="s">
        <v>31</v>
      </c>
      <c r="AF2" s="47" t="s">
        <v>32</v>
      </c>
      <c r="AG2" s="47" t="s">
        <v>33</v>
      </c>
      <c r="AH2" s="47" t="s">
        <v>34</v>
      </c>
      <c r="AI2" s="47" t="s">
        <v>35</v>
      </c>
      <c r="AJ2" s="47" t="s">
        <v>36</v>
      </c>
      <c r="AK2" s="44" t="s">
        <v>37</v>
      </c>
      <c r="AL2" s="44" t="s">
        <v>38</v>
      </c>
      <c r="AM2" s="44" t="s">
        <v>39</v>
      </c>
    </row>
    <row r="3" spans="1:39" x14ac:dyDescent="0.2">
      <c r="A3" s="10">
        <v>1</v>
      </c>
      <c r="B3" s="77" t="s">
        <v>40</v>
      </c>
      <c r="C3" s="11">
        <f>SUM(J3+L3+N3+P3+R3+T3+V3)</f>
        <v>1</v>
      </c>
      <c r="D3" s="51"/>
      <c r="E3" s="12"/>
      <c r="F3" s="12" t="s">
        <v>41</v>
      </c>
      <c r="G3" s="13"/>
      <c r="H3" s="92">
        <v>75468078</v>
      </c>
      <c r="I3" s="14">
        <f t="shared" ref="I3:I43" si="0">IFERROR(C3*H3," ")</f>
        <v>75468078</v>
      </c>
      <c r="J3" s="15">
        <f t="shared" ref="J3:J43" si="1">+SUM(X3:AA3)</f>
        <v>0</v>
      </c>
      <c r="K3" s="16">
        <f t="shared" ref="K3:K43" si="2">+H3*J3</f>
        <v>0</v>
      </c>
      <c r="L3" s="15">
        <f t="shared" ref="L3:L24" si="3">SUM(AC3:AE3)</f>
        <v>1</v>
      </c>
      <c r="M3" s="96">
        <f t="shared" ref="M3:M43" si="4">IFERROR(L3*H3," ")</f>
        <v>75468078</v>
      </c>
      <c r="N3" s="17">
        <f>+Tabla1[[#This Row],[LANIA]]</f>
        <v>0</v>
      </c>
      <c r="O3" s="18">
        <f t="shared" ref="O3:O9" si="5">IFERROR(N3*H3," ")</f>
        <v>0</v>
      </c>
      <c r="P3" s="17">
        <f t="shared" ref="P3:P43" si="6">SUM(AF3:AJ3)</f>
        <v>0</v>
      </c>
      <c r="Q3" s="18">
        <f t="shared" ref="Q3:Q43" si="7">IFERROR(P3*H3," ")</f>
        <v>0</v>
      </c>
      <c r="R3" s="17">
        <f>SUM(Tabla1[[#This Row],[LNDV ]])</f>
        <v>0</v>
      </c>
      <c r="S3" s="18">
        <f t="shared" ref="S3:S43" si="8">IFERROR(R3*H3," ")</f>
        <v>0</v>
      </c>
      <c r="T3" s="17">
        <f>SUM(Tabla1[[#This Row],[LASIM]])</f>
        <v>0</v>
      </c>
      <c r="U3" s="16">
        <f>+Tabla1[[#This Row],[TOTAL  GGCA]]*Tabla1[[#This Row],[Valor de referencia del proceso]]</f>
        <v>0</v>
      </c>
      <c r="V3" s="41">
        <f>+Tabla1[[#This Row],[UNIDAD C.O]]</f>
        <v>0</v>
      </c>
      <c r="W3" s="12">
        <f t="shared" ref="W3:W43" si="9">+V3*H3</f>
        <v>0</v>
      </c>
      <c r="X3" s="78" t="s">
        <v>42</v>
      </c>
      <c r="Y3" s="78" t="s">
        <v>42</v>
      </c>
      <c r="Z3" s="78" t="s">
        <v>42</v>
      </c>
      <c r="AA3" s="39"/>
      <c r="AB3" s="39"/>
      <c r="AC3" s="39">
        <v>1</v>
      </c>
      <c r="AD3" s="39"/>
      <c r="AE3" s="39"/>
      <c r="AF3" s="39"/>
      <c r="AG3" s="39"/>
      <c r="AH3" s="39"/>
      <c r="AI3" s="39"/>
      <c r="AJ3" s="39"/>
      <c r="AK3" s="39"/>
      <c r="AL3" s="39"/>
      <c r="AM3" s="66"/>
    </row>
    <row r="4" spans="1:39" ht="16.5" customHeight="1" x14ac:dyDescent="0.2">
      <c r="A4" s="10">
        <v>2</v>
      </c>
      <c r="B4" s="77" t="s">
        <v>43</v>
      </c>
      <c r="C4" s="11">
        <f t="shared" ref="C4:C43" si="10">SUM(J4+L4+N4+P4+R4+T4+V4)</f>
        <v>1</v>
      </c>
      <c r="D4" s="51"/>
      <c r="E4" s="12"/>
      <c r="F4" s="12" t="s">
        <v>41</v>
      </c>
      <c r="G4" s="13"/>
      <c r="H4" s="92">
        <v>36222481</v>
      </c>
      <c r="I4" s="14">
        <f t="shared" si="0"/>
        <v>36222481</v>
      </c>
      <c r="J4" s="15">
        <f t="shared" si="1"/>
        <v>1</v>
      </c>
      <c r="K4" s="16">
        <f t="shared" si="2"/>
        <v>36222481</v>
      </c>
      <c r="L4" s="15">
        <f t="shared" si="3"/>
        <v>0</v>
      </c>
      <c r="M4" s="16">
        <f t="shared" si="4"/>
        <v>0</v>
      </c>
      <c r="N4" s="17">
        <f>+Tabla1[[#This Row],[LANIA]]</f>
        <v>0</v>
      </c>
      <c r="O4" s="18">
        <f t="shared" si="5"/>
        <v>0</v>
      </c>
      <c r="P4" s="17">
        <f t="shared" si="6"/>
        <v>0</v>
      </c>
      <c r="Q4" s="18">
        <f t="shared" si="7"/>
        <v>0</v>
      </c>
      <c r="R4" s="17">
        <f>SUM(Tabla1[[#This Row],[LNDV ]])</f>
        <v>0</v>
      </c>
      <c r="S4" s="18">
        <f t="shared" si="8"/>
        <v>0</v>
      </c>
      <c r="T4" s="17">
        <f>SUM(Tabla1[[#This Row],[LASIM]])</f>
        <v>0</v>
      </c>
      <c r="U4" s="16">
        <f>+Tabla1[[#This Row],[TOTAL  GGCA]]*Tabla1[[#This Row],[Valor de referencia del proceso]]</f>
        <v>0</v>
      </c>
      <c r="V4" s="41">
        <f>+Tabla1[[#This Row],[UNIDAD C.O]]</f>
        <v>0</v>
      </c>
      <c r="W4" s="12">
        <f t="shared" si="9"/>
        <v>0</v>
      </c>
      <c r="X4" s="78" t="s">
        <v>42</v>
      </c>
      <c r="Y4" s="78" t="s">
        <v>42</v>
      </c>
      <c r="Z4" s="78" t="s">
        <v>42</v>
      </c>
      <c r="AA4" s="23">
        <v>1</v>
      </c>
      <c r="AB4" s="23"/>
      <c r="AC4" s="39"/>
      <c r="AD4" s="39"/>
      <c r="AE4" s="39"/>
      <c r="AF4" s="23"/>
      <c r="AG4" s="23"/>
      <c r="AH4" s="23"/>
      <c r="AI4" s="23"/>
      <c r="AJ4" s="23"/>
      <c r="AK4" s="23"/>
      <c r="AL4" s="23"/>
      <c r="AM4" s="67"/>
    </row>
    <row r="5" spans="1:39" x14ac:dyDescent="0.2">
      <c r="A5" s="10">
        <v>3</v>
      </c>
      <c r="B5" s="77" t="s">
        <v>44</v>
      </c>
      <c r="C5" s="11">
        <f t="shared" si="10"/>
        <v>4</v>
      </c>
      <c r="D5" s="51"/>
      <c r="E5" s="12"/>
      <c r="F5" s="12" t="s">
        <v>41</v>
      </c>
      <c r="G5" s="13"/>
      <c r="H5" s="92">
        <v>5432654</v>
      </c>
      <c r="I5" s="14">
        <f t="shared" si="0"/>
        <v>21730616</v>
      </c>
      <c r="J5" s="15">
        <f t="shared" si="1"/>
        <v>0</v>
      </c>
      <c r="K5" s="16">
        <f t="shared" si="2"/>
        <v>0</v>
      </c>
      <c r="L5" s="15">
        <f t="shared" si="3"/>
        <v>0</v>
      </c>
      <c r="M5" s="16">
        <f t="shared" si="4"/>
        <v>0</v>
      </c>
      <c r="N5" s="17">
        <v>0</v>
      </c>
      <c r="O5" s="18">
        <f t="shared" si="5"/>
        <v>0</v>
      </c>
      <c r="P5" s="17">
        <f t="shared" si="6"/>
        <v>0</v>
      </c>
      <c r="Q5" s="18">
        <f t="shared" si="7"/>
        <v>0</v>
      </c>
      <c r="R5" s="17">
        <f>SUM(Tabla1[[#This Row],[LNDV ]])</f>
        <v>0</v>
      </c>
      <c r="S5" s="18">
        <f t="shared" si="8"/>
        <v>0</v>
      </c>
      <c r="T5" s="17">
        <f>SUM(Tabla1[[#This Row],[LASIM]])</f>
        <v>0</v>
      </c>
      <c r="U5" s="16">
        <f>+Tabla1[[#This Row],[TOTAL  GGCA]]*Tabla1[[#This Row],[Valor de referencia del proceso]]</f>
        <v>0</v>
      </c>
      <c r="V5" s="41">
        <f>+Tabla1[[#This Row],[UNIDAD C.O]]</f>
        <v>4</v>
      </c>
      <c r="W5" s="12">
        <f t="shared" si="9"/>
        <v>21730616</v>
      </c>
      <c r="X5" s="78" t="s">
        <v>42</v>
      </c>
      <c r="Y5" s="78" t="s">
        <v>42</v>
      </c>
      <c r="Z5" s="78" t="s">
        <v>42</v>
      </c>
      <c r="AA5" s="23"/>
      <c r="AB5" s="23">
        <v>2</v>
      </c>
      <c r="AC5" s="39">
        <v>0</v>
      </c>
      <c r="AD5" s="39">
        <v>0</v>
      </c>
      <c r="AE5" s="39"/>
      <c r="AF5" s="23"/>
      <c r="AG5" s="23"/>
      <c r="AH5" s="23"/>
      <c r="AI5" s="23"/>
      <c r="AJ5" s="23"/>
      <c r="AK5" s="23"/>
      <c r="AL5" s="23"/>
      <c r="AM5" s="67">
        <v>4</v>
      </c>
    </row>
    <row r="6" spans="1:39" x14ac:dyDescent="0.2">
      <c r="A6" s="10">
        <v>4</v>
      </c>
      <c r="B6" s="77" t="s">
        <v>45</v>
      </c>
      <c r="C6" s="11">
        <f t="shared" si="10"/>
        <v>1</v>
      </c>
      <c r="D6" s="51"/>
      <c r="E6" s="12"/>
      <c r="F6" s="12" t="s">
        <v>41</v>
      </c>
      <c r="G6" s="13"/>
      <c r="H6" s="92">
        <v>498873921</v>
      </c>
      <c r="I6" s="14">
        <f t="shared" si="0"/>
        <v>498873921</v>
      </c>
      <c r="J6" s="15">
        <f t="shared" si="1"/>
        <v>1</v>
      </c>
      <c r="K6" s="16">
        <f t="shared" si="2"/>
        <v>498873921</v>
      </c>
      <c r="L6" s="15">
        <f t="shared" si="3"/>
        <v>0</v>
      </c>
      <c r="M6" s="16">
        <f t="shared" si="4"/>
        <v>0</v>
      </c>
      <c r="N6" s="17">
        <f>+Tabla1[[#This Row],[LANIA]]</f>
        <v>0</v>
      </c>
      <c r="O6" s="18">
        <f t="shared" si="5"/>
        <v>0</v>
      </c>
      <c r="P6" s="17">
        <f t="shared" si="6"/>
        <v>0</v>
      </c>
      <c r="Q6" s="18">
        <f t="shared" si="7"/>
        <v>0</v>
      </c>
      <c r="R6" s="17">
        <f>SUM(Tabla1[[#This Row],[LNDV ]])</f>
        <v>0</v>
      </c>
      <c r="S6" s="18">
        <f t="shared" si="8"/>
        <v>0</v>
      </c>
      <c r="T6" s="17">
        <f>SUM(Tabla1[[#This Row],[LASIM]])</f>
        <v>0</v>
      </c>
      <c r="U6" s="16">
        <f>+Tabla1[[#This Row],[TOTAL  GGCA]]*Tabla1[[#This Row],[Valor de referencia del proceso]]</f>
        <v>0</v>
      </c>
      <c r="V6" s="41">
        <f>+Tabla1[[#This Row],[UNIDAD C.O]]</f>
        <v>0</v>
      </c>
      <c r="W6" s="12">
        <f t="shared" si="9"/>
        <v>0</v>
      </c>
      <c r="X6" s="78" t="s">
        <v>42</v>
      </c>
      <c r="Y6" s="78" t="s">
        <v>42</v>
      </c>
      <c r="Z6" s="78" t="s">
        <v>42</v>
      </c>
      <c r="AA6" s="23">
        <v>1</v>
      </c>
      <c r="AB6" s="23"/>
      <c r="AC6" s="39"/>
      <c r="AD6" s="39"/>
      <c r="AE6" s="39"/>
      <c r="AF6" s="23"/>
      <c r="AG6" s="23"/>
      <c r="AH6" s="23"/>
      <c r="AI6" s="23"/>
      <c r="AJ6" s="23"/>
      <c r="AK6" s="23"/>
      <c r="AL6" s="23"/>
      <c r="AM6" s="67"/>
    </row>
    <row r="7" spans="1:39" x14ac:dyDescent="0.2">
      <c r="A7" s="10">
        <v>5</v>
      </c>
      <c r="B7" s="77" t="s">
        <v>46</v>
      </c>
      <c r="C7" s="11">
        <f t="shared" si="10"/>
        <v>4</v>
      </c>
      <c r="D7" s="51"/>
      <c r="E7" s="12"/>
      <c r="F7" s="12" t="s">
        <v>41</v>
      </c>
      <c r="G7" s="13"/>
      <c r="H7" s="92">
        <v>4320811</v>
      </c>
      <c r="I7" s="14">
        <f t="shared" si="0"/>
        <v>17283244</v>
      </c>
      <c r="J7" s="15">
        <f t="shared" si="1"/>
        <v>2</v>
      </c>
      <c r="K7" s="16">
        <f t="shared" si="2"/>
        <v>8641622</v>
      </c>
      <c r="L7" s="15">
        <f t="shared" si="3"/>
        <v>0</v>
      </c>
      <c r="M7" s="16">
        <f t="shared" si="4"/>
        <v>0</v>
      </c>
      <c r="N7" s="17">
        <f>+Tabla1[[#This Row],[LANIA]]</f>
        <v>0</v>
      </c>
      <c r="O7" s="18">
        <f t="shared" si="5"/>
        <v>0</v>
      </c>
      <c r="P7" s="17">
        <f t="shared" si="6"/>
        <v>0</v>
      </c>
      <c r="Q7" s="18">
        <f t="shared" si="7"/>
        <v>0</v>
      </c>
      <c r="R7" s="17">
        <f>SUM(Tabla1[[#This Row],[LNDV ]])</f>
        <v>2</v>
      </c>
      <c r="S7" s="18">
        <f t="shared" si="8"/>
        <v>8641622</v>
      </c>
      <c r="T7" s="17">
        <f>SUM(Tabla1[[#This Row],[LASIM]])</f>
        <v>0</v>
      </c>
      <c r="U7" s="16">
        <f>+Tabla1[[#This Row],[TOTAL  GGCA]]*Tabla1[[#This Row],[Valor de referencia del proceso]]</f>
        <v>0</v>
      </c>
      <c r="V7" s="41">
        <f>+Tabla1[[#This Row],[UNIDAD C.O]]</f>
        <v>0</v>
      </c>
      <c r="W7" s="12">
        <f t="shared" si="9"/>
        <v>0</v>
      </c>
      <c r="X7" s="78"/>
      <c r="Y7" s="78">
        <v>1</v>
      </c>
      <c r="Z7" s="78">
        <v>1</v>
      </c>
      <c r="AA7" s="23"/>
      <c r="AB7" s="23"/>
      <c r="AC7" s="39"/>
      <c r="AD7" s="39"/>
      <c r="AE7" s="39"/>
      <c r="AF7" s="23"/>
      <c r="AG7" s="23"/>
      <c r="AH7" s="23"/>
      <c r="AI7" s="23"/>
      <c r="AJ7" s="23"/>
      <c r="AK7" s="23">
        <v>2</v>
      </c>
      <c r="AL7" s="23"/>
      <c r="AM7" s="67"/>
    </row>
    <row r="8" spans="1:39" x14ac:dyDescent="0.2">
      <c r="A8" s="10">
        <v>6</v>
      </c>
      <c r="B8" s="77" t="s">
        <v>47</v>
      </c>
      <c r="C8" s="11">
        <f t="shared" si="10"/>
        <v>2</v>
      </c>
      <c r="D8" s="51"/>
      <c r="E8" s="12"/>
      <c r="F8" s="12" t="s">
        <v>48</v>
      </c>
      <c r="G8" s="13"/>
      <c r="H8" s="92">
        <v>21931325</v>
      </c>
      <c r="I8" s="14">
        <f t="shared" si="0"/>
        <v>43862650</v>
      </c>
      <c r="J8" s="15">
        <f t="shared" si="1"/>
        <v>1</v>
      </c>
      <c r="K8" s="16">
        <f t="shared" si="2"/>
        <v>21931325</v>
      </c>
      <c r="L8" s="15">
        <f t="shared" si="3"/>
        <v>0</v>
      </c>
      <c r="M8" s="16">
        <f t="shared" si="4"/>
        <v>0</v>
      </c>
      <c r="N8" s="17">
        <f>+Tabla1[[#This Row],[LANIA]]</f>
        <v>0</v>
      </c>
      <c r="O8" s="18">
        <f t="shared" si="5"/>
        <v>0</v>
      </c>
      <c r="P8" s="17">
        <f t="shared" si="6"/>
        <v>0</v>
      </c>
      <c r="Q8" s="18">
        <f t="shared" si="7"/>
        <v>0</v>
      </c>
      <c r="R8" s="17">
        <f>SUM(Tabla1[[#This Row],[LNDV ]])</f>
        <v>0</v>
      </c>
      <c r="S8" s="18">
        <f t="shared" si="8"/>
        <v>0</v>
      </c>
      <c r="T8" s="17">
        <f>SUM(Tabla1[[#This Row],[LASIM]])</f>
        <v>0</v>
      </c>
      <c r="U8" s="16">
        <f>+Tabla1[[#This Row],[TOTAL  GGCA]]*Tabla1[[#This Row],[Valor de referencia del proceso]]</f>
        <v>0</v>
      </c>
      <c r="V8" s="41">
        <f>+Tabla1[[#This Row],[UNIDAD C.O]]</f>
        <v>1</v>
      </c>
      <c r="W8" s="12">
        <f t="shared" si="9"/>
        <v>21931325</v>
      </c>
      <c r="X8" s="78" t="s">
        <v>42</v>
      </c>
      <c r="Y8" s="78" t="s">
        <v>42</v>
      </c>
      <c r="Z8" s="78" t="s">
        <v>42</v>
      </c>
      <c r="AA8" s="23">
        <v>1</v>
      </c>
      <c r="AB8" s="23"/>
      <c r="AC8" s="39"/>
      <c r="AD8" s="39"/>
      <c r="AE8" s="39"/>
      <c r="AF8" s="23"/>
      <c r="AG8" s="23"/>
      <c r="AH8" s="23"/>
      <c r="AI8" s="23"/>
      <c r="AJ8" s="23"/>
      <c r="AK8" s="23"/>
      <c r="AL8" s="23"/>
      <c r="AM8" s="67">
        <v>1</v>
      </c>
    </row>
    <row r="9" spans="1:39" x14ac:dyDescent="0.2">
      <c r="A9" s="10">
        <v>7</v>
      </c>
      <c r="B9" s="77" t="s">
        <v>49</v>
      </c>
      <c r="C9" s="11">
        <f t="shared" si="10"/>
        <v>1</v>
      </c>
      <c r="D9" s="51"/>
      <c r="E9" s="12"/>
      <c r="F9" s="12" t="s">
        <v>48</v>
      </c>
      <c r="G9" s="13"/>
      <c r="H9" s="92">
        <v>80018119</v>
      </c>
      <c r="I9" s="14">
        <f t="shared" si="0"/>
        <v>80018119</v>
      </c>
      <c r="J9" s="15">
        <f t="shared" si="1"/>
        <v>0</v>
      </c>
      <c r="K9" s="16">
        <f t="shared" si="2"/>
        <v>0</v>
      </c>
      <c r="L9" s="15">
        <f t="shared" si="3"/>
        <v>0</v>
      </c>
      <c r="M9" s="16">
        <f t="shared" si="4"/>
        <v>0</v>
      </c>
      <c r="N9" s="17">
        <v>1</v>
      </c>
      <c r="O9" s="18">
        <f t="shared" si="5"/>
        <v>80018119</v>
      </c>
      <c r="P9" s="17">
        <f t="shared" si="6"/>
        <v>0</v>
      </c>
      <c r="Q9" s="18">
        <f t="shared" si="7"/>
        <v>0</v>
      </c>
      <c r="R9" s="17">
        <f>SUM(Tabla1[[#This Row],[LNDV ]])</f>
        <v>0</v>
      </c>
      <c r="S9" s="18">
        <f t="shared" si="8"/>
        <v>0</v>
      </c>
      <c r="T9" s="17">
        <f>SUM(Tabla1[[#This Row],[LASIM]])</f>
        <v>0</v>
      </c>
      <c r="U9" s="16">
        <f>+Tabla1[[#This Row],[TOTAL  GGCA]]*Tabla1[[#This Row],[Valor de referencia del proceso]]</f>
        <v>0</v>
      </c>
      <c r="V9" s="41">
        <f>+Tabla1[[#This Row],[UNIDAD C.O]]</f>
        <v>0</v>
      </c>
      <c r="W9" s="12">
        <f t="shared" si="9"/>
        <v>0</v>
      </c>
      <c r="X9" s="78" t="s">
        <v>42</v>
      </c>
      <c r="Y9" s="78" t="s">
        <v>42</v>
      </c>
      <c r="Z9" s="78" t="s">
        <v>42</v>
      </c>
      <c r="AA9" s="23"/>
      <c r="AB9" s="23">
        <v>1</v>
      </c>
      <c r="AC9" s="39"/>
      <c r="AD9" s="39"/>
      <c r="AE9" s="39"/>
      <c r="AF9" s="23"/>
      <c r="AG9" s="23"/>
      <c r="AH9" s="23"/>
      <c r="AI9" s="23"/>
      <c r="AJ9" s="23"/>
      <c r="AK9" s="23"/>
      <c r="AL9" s="23"/>
      <c r="AM9" s="67"/>
    </row>
    <row r="10" spans="1:39" ht="22.8" x14ac:dyDescent="0.2">
      <c r="A10" s="10">
        <v>8</v>
      </c>
      <c r="B10" s="77" t="s">
        <v>50</v>
      </c>
      <c r="C10" s="11">
        <f t="shared" si="10"/>
        <v>1</v>
      </c>
      <c r="D10" s="51"/>
      <c r="E10" s="53"/>
      <c r="F10" s="53" t="s">
        <v>48</v>
      </c>
      <c r="G10" s="56"/>
      <c r="H10" s="93">
        <v>181925808</v>
      </c>
      <c r="I10" s="57">
        <f t="shared" si="0"/>
        <v>181925808</v>
      </c>
      <c r="J10" s="58">
        <f t="shared" si="1"/>
        <v>0</v>
      </c>
      <c r="K10" s="16">
        <f t="shared" si="2"/>
        <v>0</v>
      </c>
      <c r="L10" s="58">
        <f t="shared" si="3"/>
        <v>0</v>
      </c>
      <c r="M10" s="59">
        <f t="shared" si="4"/>
        <v>0</v>
      </c>
      <c r="N10" s="17">
        <f>+Tabla1[[#This Row],[LANIA]]</f>
        <v>0</v>
      </c>
      <c r="O10" s="60"/>
      <c r="P10" s="17">
        <f t="shared" si="6"/>
        <v>0</v>
      </c>
      <c r="Q10" s="60">
        <f t="shared" si="7"/>
        <v>0</v>
      </c>
      <c r="R10" s="17">
        <f>SUM(Tabla1[[#This Row],[LNDV ]])</f>
        <v>0</v>
      </c>
      <c r="S10" s="60">
        <f t="shared" si="8"/>
        <v>0</v>
      </c>
      <c r="T10" s="17">
        <f>SUM(Tabla1[[#This Row],[LASIM]])</f>
        <v>0</v>
      </c>
      <c r="U10" s="16">
        <f>+Tabla1[[#This Row],[TOTAL  GGCA]]*Tabla1[[#This Row],[Valor de referencia del proceso]]</f>
        <v>0</v>
      </c>
      <c r="V10" s="41">
        <f>+Tabla1[[#This Row],[UNIDAD C.O]]</f>
        <v>1</v>
      </c>
      <c r="W10" s="55">
        <f t="shared" si="9"/>
        <v>181925808</v>
      </c>
      <c r="X10" s="79" t="s">
        <v>42</v>
      </c>
      <c r="Y10" s="78" t="s">
        <v>42</v>
      </c>
      <c r="Z10" s="78" t="s">
        <v>42</v>
      </c>
      <c r="AA10" s="23"/>
      <c r="AB10" s="70"/>
      <c r="AC10" s="87"/>
      <c r="AD10" s="87"/>
      <c r="AE10" s="87"/>
      <c r="AF10" s="70"/>
      <c r="AG10" s="70"/>
      <c r="AH10" s="70"/>
      <c r="AI10" s="70"/>
      <c r="AJ10" s="70"/>
      <c r="AK10" s="70"/>
      <c r="AL10" s="70"/>
      <c r="AM10" s="72">
        <v>1</v>
      </c>
    </row>
    <row r="11" spans="1:39" x14ac:dyDescent="0.2">
      <c r="A11" s="10">
        <v>9</v>
      </c>
      <c r="B11" s="77" t="s">
        <v>51</v>
      </c>
      <c r="C11" s="11">
        <f t="shared" si="10"/>
        <v>1</v>
      </c>
      <c r="D11" s="51"/>
      <c r="E11" s="12"/>
      <c r="F11" s="12" t="s">
        <v>41</v>
      </c>
      <c r="G11" s="13"/>
      <c r="H11" s="92">
        <v>7670346</v>
      </c>
      <c r="I11" s="14">
        <f t="shared" si="0"/>
        <v>7670346</v>
      </c>
      <c r="J11" s="15">
        <f t="shared" si="1"/>
        <v>1</v>
      </c>
      <c r="K11" s="16">
        <f t="shared" si="2"/>
        <v>7670346</v>
      </c>
      <c r="L11" s="15">
        <f t="shared" si="3"/>
        <v>0</v>
      </c>
      <c r="M11" s="16">
        <f t="shared" si="4"/>
        <v>0</v>
      </c>
      <c r="N11" s="17">
        <f>+Tabla1[[#This Row],[LANIA]]</f>
        <v>0</v>
      </c>
      <c r="O11" s="18">
        <f t="shared" ref="O11:O17" si="11">IFERROR(N11*H11," ")</f>
        <v>0</v>
      </c>
      <c r="P11" s="17">
        <f t="shared" si="6"/>
        <v>0</v>
      </c>
      <c r="Q11" s="18">
        <f t="shared" si="7"/>
        <v>0</v>
      </c>
      <c r="R11" s="17">
        <f>SUM(Tabla1[[#This Row],[LNDV ]])</f>
        <v>0</v>
      </c>
      <c r="S11" s="18">
        <f t="shared" si="8"/>
        <v>0</v>
      </c>
      <c r="T11" s="17">
        <f>SUM(Tabla1[[#This Row],[LASIM]])</f>
        <v>0</v>
      </c>
      <c r="U11" s="16">
        <f>+Tabla1[[#This Row],[TOTAL  GGCA]]*Tabla1[[#This Row],[Valor de referencia del proceso]]</f>
        <v>0</v>
      </c>
      <c r="V11" s="41">
        <f>+Tabla1[[#This Row],[UNIDAD C.O]]</f>
        <v>0</v>
      </c>
      <c r="W11" s="12">
        <f t="shared" si="9"/>
        <v>0</v>
      </c>
      <c r="X11" s="78" t="s">
        <v>42</v>
      </c>
      <c r="Y11" s="78" t="s">
        <v>42</v>
      </c>
      <c r="Z11" s="78" t="s">
        <v>42</v>
      </c>
      <c r="AA11" s="23">
        <v>1</v>
      </c>
      <c r="AB11" s="23"/>
      <c r="AC11" s="39"/>
      <c r="AD11" s="39"/>
      <c r="AE11" s="39"/>
      <c r="AF11" s="23"/>
      <c r="AG11" s="23"/>
      <c r="AH11" s="23"/>
      <c r="AI11" s="23"/>
      <c r="AJ11" s="23"/>
      <c r="AK11" s="23"/>
      <c r="AL11" s="23"/>
      <c r="AM11" s="67"/>
    </row>
    <row r="12" spans="1:39" x14ac:dyDescent="0.2">
      <c r="A12" s="10">
        <v>10</v>
      </c>
      <c r="B12" s="77" t="s">
        <v>52</v>
      </c>
      <c r="C12" s="11">
        <f t="shared" si="10"/>
        <v>2</v>
      </c>
      <c r="D12" s="51"/>
      <c r="E12" s="12"/>
      <c r="F12" s="12" t="s">
        <v>48</v>
      </c>
      <c r="G12" s="13"/>
      <c r="H12" s="100">
        <v>119842669</v>
      </c>
      <c r="I12" s="14">
        <f t="shared" si="0"/>
        <v>239685338</v>
      </c>
      <c r="J12" s="15">
        <f t="shared" si="1"/>
        <v>0</v>
      </c>
      <c r="K12" s="16">
        <f t="shared" si="2"/>
        <v>0</v>
      </c>
      <c r="L12" s="15">
        <f t="shared" si="3"/>
        <v>0</v>
      </c>
      <c r="M12" s="97">
        <f t="shared" si="4"/>
        <v>0</v>
      </c>
      <c r="N12" s="17">
        <f>+Tabla1[[#This Row],[LANIA]]</f>
        <v>0</v>
      </c>
      <c r="O12" s="18">
        <f t="shared" si="11"/>
        <v>0</v>
      </c>
      <c r="P12" s="17">
        <f t="shared" si="6"/>
        <v>0</v>
      </c>
      <c r="Q12" s="18">
        <f t="shared" si="7"/>
        <v>0</v>
      </c>
      <c r="R12" s="17">
        <f>SUM(Tabla1[[#This Row],[LNDV ]])</f>
        <v>0</v>
      </c>
      <c r="S12" s="18">
        <f t="shared" si="8"/>
        <v>0</v>
      </c>
      <c r="T12" s="17">
        <f>SUM(Tabla1[[#This Row],[LASIM]])</f>
        <v>0</v>
      </c>
      <c r="U12" s="16">
        <f>+Tabla1[[#This Row],[TOTAL  GGCA]]*Tabla1[[#This Row],[Valor de referencia del proceso]]</f>
        <v>0</v>
      </c>
      <c r="V12" s="41">
        <f>+Tabla1[[#This Row],[UNIDAD C.O]]</f>
        <v>2</v>
      </c>
      <c r="W12" s="12">
        <f t="shared" si="9"/>
        <v>239685338</v>
      </c>
      <c r="X12" s="78" t="s">
        <v>42</v>
      </c>
      <c r="Y12" s="78" t="s">
        <v>42</v>
      </c>
      <c r="Z12" s="78" t="s">
        <v>42</v>
      </c>
      <c r="AA12" s="23"/>
      <c r="AB12" s="23"/>
      <c r="AC12" s="39"/>
      <c r="AD12" s="39"/>
      <c r="AE12" s="39"/>
      <c r="AF12" s="23"/>
      <c r="AG12" s="23"/>
      <c r="AH12" s="23"/>
      <c r="AI12" s="23"/>
      <c r="AJ12" s="23"/>
      <c r="AK12" s="23"/>
      <c r="AL12" s="23"/>
      <c r="AM12" s="67">
        <v>2</v>
      </c>
    </row>
    <row r="13" spans="1:39" x14ac:dyDescent="0.2">
      <c r="A13" s="10">
        <v>11</v>
      </c>
      <c r="B13" s="77" t="s">
        <v>53</v>
      </c>
      <c r="C13" s="11">
        <f t="shared" si="10"/>
        <v>2</v>
      </c>
      <c r="D13" s="51"/>
      <c r="E13" s="12"/>
      <c r="F13" s="12" t="s">
        <v>48</v>
      </c>
      <c r="G13" s="13"/>
      <c r="H13" s="92">
        <v>89065161</v>
      </c>
      <c r="I13" s="14">
        <f t="shared" si="0"/>
        <v>178130322</v>
      </c>
      <c r="J13" s="15">
        <f t="shared" si="1"/>
        <v>0</v>
      </c>
      <c r="K13" s="16">
        <f t="shared" si="2"/>
        <v>0</v>
      </c>
      <c r="L13" s="15">
        <f t="shared" si="3"/>
        <v>0</v>
      </c>
      <c r="M13" s="16">
        <f t="shared" si="4"/>
        <v>0</v>
      </c>
      <c r="N13" s="17">
        <v>0</v>
      </c>
      <c r="O13" s="18">
        <f t="shared" si="11"/>
        <v>0</v>
      </c>
      <c r="P13" s="17">
        <f t="shared" si="6"/>
        <v>0</v>
      </c>
      <c r="Q13" s="18">
        <f t="shared" si="7"/>
        <v>0</v>
      </c>
      <c r="R13" s="17">
        <f>SUM(Tabla1[[#This Row],[LNDV ]])</f>
        <v>0</v>
      </c>
      <c r="S13" s="18">
        <f t="shared" si="8"/>
        <v>0</v>
      </c>
      <c r="T13" s="17">
        <f>SUM(Tabla1[[#This Row],[LASIM]])</f>
        <v>0</v>
      </c>
      <c r="U13" s="16">
        <f>+Tabla1[[#This Row],[TOTAL  GGCA]]*Tabla1[[#This Row],[Valor de referencia del proceso]]</f>
        <v>0</v>
      </c>
      <c r="V13" s="41">
        <f>+Tabla1[[#This Row],[UNIDAD C.O]]</f>
        <v>2</v>
      </c>
      <c r="W13" s="12">
        <f t="shared" si="9"/>
        <v>178130322</v>
      </c>
      <c r="X13" s="78" t="s">
        <v>42</v>
      </c>
      <c r="Y13" s="78" t="s">
        <v>42</v>
      </c>
      <c r="Z13" s="78" t="s">
        <v>42</v>
      </c>
      <c r="AA13" s="23"/>
      <c r="AB13" s="23">
        <v>1</v>
      </c>
      <c r="AC13" s="39"/>
      <c r="AD13" s="39"/>
      <c r="AE13" s="39"/>
      <c r="AF13" s="23"/>
      <c r="AG13" s="23"/>
      <c r="AH13" s="23"/>
      <c r="AI13" s="23"/>
      <c r="AJ13" s="23"/>
      <c r="AK13" s="23"/>
      <c r="AL13" s="23"/>
      <c r="AM13" s="67">
        <v>2</v>
      </c>
    </row>
    <row r="14" spans="1:39" ht="30.75" customHeight="1" x14ac:dyDescent="0.2">
      <c r="A14" s="10">
        <v>12</v>
      </c>
      <c r="B14" s="77" t="s">
        <v>54</v>
      </c>
      <c r="C14" s="11">
        <f t="shared" si="10"/>
        <v>2</v>
      </c>
      <c r="D14" s="51"/>
      <c r="E14" s="12"/>
      <c r="F14" s="12" t="s">
        <v>41</v>
      </c>
      <c r="G14" s="13"/>
      <c r="H14" s="92">
        <v>58073587</v>
      </c>
      <c r="I14" s="14">
        <f t="shared" si="0"/>
        <v>116147174</v>
      </c>
      <c r="J14" s="73">
        <f t="shared" si="1"/>
        <v>1</v>
      </c>
      <c r="K14" s="98">
        <f t="shared" si="2"/>
        <v>58073587</v>
      </c>
      <c r="L14" s="15">
        <f t="shared" si="3"/>
        <v>1</v>
      </c>
      <c r="M14" s="96">
        <f t="shared" si="4"/>
        <v>58073587</v>
      </c>
      <c r="N14" s="17">
        <f>+Tabla1[[#This Row],[LANIA]]</f>
        <v>0</v>
      </c>
      <c r="O14" s="18">
        <f t="shared" si="11"/>
        <v>0</v>
      </c>
      <c r="P14" s="17">
        <f t="shared" si="6"/>
        <v>0</v>
      </c>
      <c r="Q14" s="18">
        <f t="shared" si="7"/>
        <v>0</v>
      </c>
      <c r="R14" s="17">
        <f>SUM(Tabla1[[#This Row],[LNDV ]])</f>
        <v>0</v>
      </c>
      <c r="S14" s="38">
        <f t="shared" si="8"/>
        <v>0</v>
      </c>
      <c r="T14" s="17">
        <f>SUM(Tabla1[[#This Row],[LASIM]])</f>
        <v>0</v>
      </c>
      <c r="U14" s="16">
        <f>+Tabla1[[#This Row],[TOTAL  GGCA]]*Tabla1[[#This Row],[Valor de referencia del proceso]]</f>
        <v>0</v>
      </c>
      <c r="V14" s="74">
        <f>+Tabla1[[#This Row],[UNIDAD C.O]]</f>
        <v>0</v>
      </c>
      <c r="W14" s="37">
        <f t="shared" si="9"/>
        <v>0</v>
      </c>
      <c r="X14" s="78">
        <v>1</v>
      </c>
      <c r="Y14" s="78" t="s">
        <v>42</v>
      </c>
      <c r="Z14" s="78" t="s">
        <v>42</v>
      </c>
      <c r="AA14" s="23"/>
      <c r="AB14" s="23"/>
      <c r="AC14" s="39"/>
      <c r="AD14" s="39"/>
      <c r="AE14" s="39">
        <v>1</v>
      </c>
      <c r="AF14" s="23"/>
      <c r="AG14" s="23"/>
      <c r="AH14" s="23"/>
      <c r="AI14" s="23"/>
      <c r="AJ14" s="23"/>
      <c r="AK14" s="23"/>
      <c r="AL14" s="23"/>
      <c r="AM14" s="67"/>
    </row>
    <row r="15" spans="1:39" x14ac:dyDescent="0.2">
      <c r="A15" s="10">
        <v>13</v>
      </c>
      <c r="B15" s="77" t="s">
        <v>55</v>
      </c>
      <c r="C15" s="11">
        <f t="shared" si="10"/>
        <v>2</v>
      </c>
      <c r="D15" s="51"/>
      <c r="E15" s="12"/>
      <c r="F15" s="12" t="s">
        <v>41</v>
      </c>
      <c r="G15" s="13"/>
      <c r="H15" s="92">
        <v>130040307</v>
      </c>
      <c r="I15" s="14">
        <f t="shared" si="0"/>
        <v>260080614</v>
      </c>
      <c r="J15" s="15">
        <f t="shared" si="1"/>
        <v>0</v>
      </c>
      <c r="K15" s="16">
        <f t="shared" si="2"/>
        <v>0</v>
      </c>
      <c r="L15" s="15">
        <f t="shared" si="3"/>
        <v>0</v>
      </c>
      <c r="M15" s="16">
        <f t="shared" si="4"/>
        <v>0</v>
      </c>
      <c r="N15" s="17">
        <v>0</v>
      </c>
      <c r="O15" s="18">
        <f t="shared" si="11"/>
        <v>0</v>
      </c>
      <c r="P15" s="17">
        <f t="shared" si="6"/>
        <v>0</v>
      </c>
      <c r="Q15" s="18">
        <f t="shared" si="7"/>
        <v>0</v>
      </c>
      <c r="R15" s="17">
        <f>SUM(Tabla1[[#This Row],[LNDV ]])</f>
        <v>0</v>
      </c>
      <c r="S15" s="18">
        <f t="shared" si="8"/>
        <v>0</v>
      </c>
      <c r="T15" s="17">
        <f>SUM(Tabla1[[#This Row],[LASIM]])</f>
        <v>0</v>
      </c>
      <c r="U15" s="16">
        <f>+Tabla1[[#This Row],[TOTAL  GGCA]]*Tabla1[[#This Row],[Valor de referencia del proceso]]</f>
        <v>0</v>
      </c>
      <c r="V15" s="74">
        <f>+Tabla1[[#This Row],[UNIDAD C.O]]</f>
        <v>2</v>
      </c>
      <c r="W15" s="12">
        <f t="shared" si="9"/>
        <v>260080614</v>
      </c>
      <c r="X15" s="78" t="s">
        <v>42</v>
      </c>
      <c r="Y15" s="78" t="s">
        <v>42</v>
      </c>
      <c r="Z15" s="78" t="s">
        <v>42</v>
      </c>
      <c r="AA15" s="23"/>
      <c r="AB15" s="23">
        <v>1</v>
      </c>
      <c r="AC15" s="39"/>
      <c r="AD15" s="39"/>
      <c r="AE15" s="39"/>
      <c r="AF15" s="23"/>
      <c r="AG15" s="23"/>
      <c r="AH15" s="23"/>
      <c r="AI15" s="23"/>
      <c r="AJ15" s="23"/>
      <c r="AK15" s="23"/>
      <c r="AL15" s="23"/>
      <c r="AM15" s="67">
        <v>2</v>
      </c>
    </row>
    <row r="16" spans="1:39" x14ac:dyDescent="0.2">
      <c r="A16" s="10">
        <v>15</v>
      </c>
      <c r="B16" s="77" t="s">
        <v>56</v>
      </c>
      <c r="C16" s="11">
        <f t="shared" si="10"/>
        <v>1</v>
      </c>
      <c r="D16" s="51"/>
      <c r="E16" s="12"/>
      <c r="F16" s="12" t="s">
        <v>48</v>
      </c>
      <c r="G16" s="13"/>
      <c r="H16" s="92">
        <v>78999830</v>
      </c>
      <c r="I16" s="14">
        <f t="shared" si="0"/>
        <v>78999830</v>
      </c>
      <c r="J16" s="15">
        <f t="shared" si="1"/>
        <v>0</v>
      </c>
      <c r="K16" s="16">
        <f t="shared" si="2"/>
        <v>0</v>
      </c>
      <c r="L16" s="15">
        <f t="shared" si="3"/>
        <v>0</v>
      </c>
      <c r="M16" s="16">
        <f t="shared" si="4"/>
        <v>0</v>
      </c>
      <c r="N16" s="17">
        <v>0</v>
      </c>
      <c r="O16" s="18">
        <f t="shared" si="11"/>
        <v>0</v>
      </c>
      <c r="P16" s="17">
        <f t="shared" si="6"/>
        <v>0</v>
      </c>
      <c r="Q16" s="18">
        <f t="shared" si="7"/>
        <v>0</v>
      </c>
      <c r="R16" s="17">
        <f>SUM(Tabla1[[#This Row],[LNDV ]])</f>
        <v>0</v>
      </c>
      <c r="S16" s="18">
        <f t="shared" si="8"/>
        <v>0</v>
      </c>
      <c r="T16" s="17">
        <f>SUM(Tabla1[[#This Row],[LASIM]])</f>
        <v>0</v>
      </c>
      <c r="U16" s="16">
        <f>+Tabla1[[#This Row],[TOTAL  GGCA]]*Tabla1[[#This Row],[Valor de referencia del proceso]]</f>
        <v>0</v>
      </c>
      <c r="V16" s="41">
        <f>+Tabla1[[#This Row],[UNIDAD C.O]]</f>
        <v>1</v>
      </c>
      <c r="W16" s="12">
        <f t="shared" si="9"/>
        <v>78999830</v>
      </c>
      <c r="X16" s="78" t="s">
        <v>42</v>
      </c>
      <c r="Y16" s="78" t="s">
        <v>42</v>
      </c>
      <c r="Z16" s="78" t="s">
        <v>42</v>
      </c>
      <c r="AA16" s="23"/>
      <c r="AB16" s="23"/>
      <c r="AC16" s="39"/>
      <c r="AD16" s="39"/>
      <c r="AE16" s="39"/>
      <c r="AF16" s="23"/>
      <c r="AG16" s="23"/>
      <c r="AH16" s="23"/>
      <c r="AI16" s="23"/>
      <c r="AJ16" s="23"/>
      <c r="AK16" s="23"/>
      <c r="AL16" s="23"/>
      <c r="AM16" s="67">
        <v>1</v>
      </c>
    </row>
    <row r="17" spans="1:39" ht="37.5" customHeight="1" x14ac:dyDescent="0.2">
      <c r="A17" s="10">
        <v>16</v>
      </c>
      <c r="B17" s="77" t="s">
        <v>57</v>
      </c>
      <c r="C17" s="11">
        <f t="shared" si="10"/>
        <v>1</v>
      </c>
      <c r="D17" s="51"/>
      <c r="E17" s="12"/>
      <c r="F17" s="12" t="s">
        <v>48</v>
      </c>
      <c r="G17" s="13"/>
      <c r="H17" s="92">
        <v>23875056</v>
      </c>
      <c r="I17" s="14">
        <f t="shared" si="0"/>
        <v>23875056</v>
      </c>
      <c r="J17" s="15">
        <f t="shared" si="1"/>
        <v>0</v>
      </c>
      <c r="K17" s="16">
        <f t="shared" si="2"/>
        <v>0</v>
      </c>
      <c r="L17" s="15">
        <f t="shared" si="3"/>
        <v>0</v>
      </c>
      <c r="M17" s="16">
        <f t="shared" si="4"/>
        <v>0</v>
      </c>
      <c r="N17" s="17">
        <f>+Tabla1[[#This Row],[LANIA]]</f>
        <v>0</v>
      </c>
      <c r="O17" s="18">
        <f t="shared" si="11"/>
        <v>0</v>
      </c>
      <c r="P17" s="17">
        <f t="shared" si="6"/>
        <v>0</v>
      </c>
      <c r="Q17" s="18">
        <f t="shared" si="7"/>
        <v>0</v>
      </c>
      <c r="R17" s="17">
        <f>SUM(Tabla1[[#This Row],[LNDV ]])</f>
        <v>0</v>
      </c>
      <c r="S17" s="18">
        <f t="shared" si="8"/>
        <v>0</v>
      </c>
      <c r="T17" s="17">
        <f>SUM(Tabla1[[#This Row],[LASIM]])</f>
        <v>1</v>
      </c>
      <c r="U17" s="16">
        <f>+Tabla1[[#This Row],[TOTAL  GGCA]]*Tabla1[[#This Row],[Valor de referencia del proceso]]</f>
        <v>23875056</v>
      </c>
      <c r="V17" s="41">
        <f>+Tabla1[[#This Row],[UNIDAD C.O]]</f>
        <v>0</v>
      </c>
      <c r="W17" s="12">
        <f t="shared" si="9"/>
        <v>0</v>
      </c>
      <c r="X17" s="78" t="s">
        <v>42</v>
      </c>
      <c r="Y17" s="78" t="s">
        <v>42</v>
      </c>
      <c r="Z17" s="78" t="s">
        <v>42</v>
      </c>
      <c r="AA17" s="23"/>
      <c r="AB17" s="23"/>
      <c r="AC17" s="39"/>
      <c r="AD17" s="39"/>
      <c r="AE17" s="39"/>
      <c r="AF17" s="23"/>
      <c r="AG17" s="23"/>
      <c r="AH17" s="23"/>
      <c r="AI17" s="23"/>
      <c r="AJ17" s="23"/>
      <c r="AK17" s="23"/>
      <c r="AL17" s="23">
        <v>1</v>
      </c>
      <c r="AM17" s="67"/>
    </row>
    <row r="18" spans="1:39" x14ac:dyDescent="0.2">
      <c r="A18" s="10">
        <v>17</v>
      </c>
      <c r="B18" s="77" t="s">
        <v>58</v>
      </c>
      <c r="C18" s="11">
        <f t="shared" si="10"/>
        <v>1</v>
      </c>
      <c r="D18" s="51"/>
      <c r="E18" s="53"/>
      <c r="F18" s="53" t="s">
        <v>48</v>
      </c>
      <c r="G18" s="56"/>
      <c r="H18" s="93">
        <v>114537500</v>
      </c>
      <c r="I18" s="57">
        <f t="shared" si="0"/>
        <v>114537500</v>
      </c>
      <c r="J18" s="58">
        <f t="shared" si="1"/>
        <v>0</v>
      </c>
      <c r="K18" s="16">
        <f t="shared" si="2"/>
        <v>0</v>
      </c>
      <c r="L18" s="58">
        <f t="shared" si="3"/>
        <v>0</v>
      </c>
      <c r="M18" s="59">
        <f t="shared" si="4"/>
        <v>0</v>
      </c>
      <c r="N18" s="17">
        <f>+Tabla1[[#This Row],[LANIA]]</f>
        <v>0</v>
      </c>
      <c r="O18" s="60"/>
      <c r="P18" s="17">
        <f t="shared" si="6"/>
        <v>0</v>
      </c>
      <c r="Q18" s="60">
        <f t="shared" si="7"/>
        <v>0</v>
      </c>
      <c r="R18" s="17">
        <f>SUM(Tabla1[[#This Row],[LNDV ]])</f>
        <v>0</v>
      </c>
      <c r="S18" s="60">
        <f t="shared" si="8"/>
        <v>0</v>
      </c>
      <c r="T18" s="17">
        <f>SUM(Tabla1[[#This Row],[LASIM]])</f>
        <v>0</v>
      </c>
      <c r="U18" s="16">
        <f>+Tabla1[[#This Row],[TOTAL  GGCA]]*Tabla1[[#This Row],[Valor de referencia del proceso]]</f>
        <v>0</v>
      </c>
      <c r="V18" s="74">
        <f>+Tabla1[[#This Row],[UNIDAD C.O]]</f>
        <v>1</v>
      </c>
      <c r="W18" s="55">
        <f t="shared" si="9"/>
        <v>114537500</v>
      </c>
      <c r="X18" s="79" t="s">
        <v>42</v>
      </c>
      <c r="Y18" s="78" t="s">
        <v>42</v>
      </c>
      <c r="Z18" s="78" t="s">
        <v>42</v>
      </c>
      <c r="AA18" s="23"/>
      <c r="AB18" s="70"/>
      <c r="AC18" s="87"/>
      <c r="AD18" s="87"/>
      <c r="AE18" s="87"/>
      <c r="AF18" s="70"/>
      <c r="AG18" s="70"/>
      <c r="AH18" s="70"/>
      <c r="AI18" s="70"/>
      <c r="AJ18" s="70"/>
      <c r="AK18" s="70"/>
      <c r="AL18" s="70"/>
      <c r="AM18" s="72">
        <v>1</v>
      </c>
    </row>
    <row r="19" spans="1:39" ht="18.75" customHeight="1" x14ac:dyDescent="0.2">
      <c r="A19" s="10">
        <v>19</v>
      </c>
      <c r="B19" s="77" t="s">
        <v>59</v>
      </c>
      <c r="C19" s="11">
        <f t="shared" si="10"/>
        <v>1</v>
      </c>
      <c r="D19" s="51"/>
      <c r="E19" s="12"/>
      <c r="F19" s="12" t="s">
        <v>41</v>
      </c>
      <c r="G19" s="13"/>
      <c r="H19" s="92">
        <v>109783741</v>
      </c>
      <c r="I19" s="14">
        <f t="shared" si="0"/>
        <v>109783741</v>
      </c>
      <c r="J19" s="15">
        <f t="shared" si="1"/>
        <v>0</v>
      </c>
      <c r="K19" s="16">
        <f t="shared" si="2"/>
        <v>0</v>
      </c>
      <c r="L19" s="15">
        <f t="shared" si="3"/>
        <v>0</v>
      </c>
      <c r="M19" s="16">
        <f t="shared" si="4"/>
        <v>0</v>
      </c>
      <c r="N19" s="17">
        <f>+Tabla1[[#This Row],[LANIA]]</f>
        <v>0</v>
      </c>
      <c r="O19" s="18">
        <f>IFERROR(N19*H19," ")</f>
        <v>0</v>
      </c>
      <c r="P19" s="17">
        <f t="shared" si="6"/>
        <v>0</v>
      </c>
      <c r="Q19" s="18">
        <f t="shared" si="7"/>
        <v>0</v>
      </c>
      <c r="R19" s="17">
        <f>SUM(Tabla1[[#This Row],[LNDV ]])</f>
        <v>1</v>
      </c>
      <c r="S19" s="18">
        <f t="shared" si="8"/>
        <v>109783741</v>
      </c>
      <c r="T19" s="17">
        <f>SUM(Tabla1[[#This Row],[LASIM]])</f>
        <v>0</v>
      </c>
      <c r="U19" s="16">
        <f>+Tabla1[[#This Row],[TOTAL  GGCA]]*Tabla1[[#This Row],[Valor de referencia del proceso]]</f>
        <v>0</v>
      </c>
      <c r="V19" s="41">
        <f>+Tabla1[[#This Row],[UNIDAD C.O]]</f>
        <v>0</v>
      </c>
      <c r="W19" s="12">
        <f t="shared" si="9"/>
        <v>0</v>
      </c>
      <c r="X19" s="78" t="s">
        <v>42</v>
      </c>
      <c r="Y19" s="78" t="s">
        <v>42</v>
      </c>
      <c r="Z19" s="78" t="s">
        <v>42</v>
      </c>
      <c r="AA19" s="23"/>
      <c r="AB19" s="23"/>
      <c r="AC19" s="39"/>
      <c r="AD19" s="39"/>
      <c r="AE19" s="39"/>
      <c r="AF19" s="23"/>
      <c r="AG19" s="23"/>
      <c r="AH19" s="23"/>
      <c r="AI19" s="23"/>
      <c r="AJ19" s="23"/>
      <c r="AK19" s="23">
        <v>1</v>
      </c>
      <c r="AL19" s="23"/>
      <c r="AM19" s="67"/>
    </row>
    <row r="20" spans="1:39" ht="27" customHeight="1" x14ac:dyDescent="0.2">
      <c r="A20" s="10">
        <v>20</v>
      </c>
      <c r="B20" s="77" t="s">
        <v>60</v>
      </c>
      <c r="C20" s="11">
        <f t="shared" si="10"/>
        <v>1</v>
      </c>
      <c r="D20" s="51"/>
      <c r="E20" s="53"/>
      <c r="F20" s="53" t="s">
        <v>41</v>
      </c>
      <c r="G20" s="56"/>
      <c r="H20" s="93">
        <v>40193354</v>
      </c>
      <c r="I20" s="57">
        <f t="shared" si="0"/>
        <v>40193354</v>
      </c>
      <c r="J20" s="58">
        <f t="shared" si="1"/>
        <v>0</v>
      </c>
      <c r="K20" s="16">
        <f t="shared" si="2"/>
        <v>0</v>
      </c>
      <c r="L20" s="58">
        <f t="shared" si="3"/>
        <v>0</v>
      </c>
      <c r="M20" s="59">
        <f t="shared" si="4"/>
        <v>0</v>
      </c>
      <c r="N20" s="17">
        <f>+Tabla1[[#This Row],[LANIA]]</f>
        <v>0</v>
      </c>
      <c r="O20" s="60"/>
      <c r="P20" s="17">
        <f t="shared" si="6"/>
        <v>0</v>
      </c>
      <c r="Q20" s="60">
        <f t="shared" si="7"/>
        <v>0</v>
      </c>
      <c r="R20" s="17">
        <f>SUM(Tabla1[[#This Row],[LNDV ]])</f>
        <v>0</v>
      </c>
      <c r="S20" s="60">
        <f t="shared" si="8"/>
        <v>0</v>
      </c>
      <c r="T20" s="17">
        <f>SUM(Tabla1[[#This Row],[LASIM]])</f>
        <v>0</v>
      </c>
      <c r="U20" s="16">
        <f>+Tabla1[[#This Row],[TOTAL  GGCA]]*Tabla1[[#This Row],[Valor de referencia del proceso]]</f>
        <v>0</v>
      </c>
      <c r="V20" s="41">
        <f>+Tabla1[[#This Row],[UNIDAD C.O]]</f>
        <v>1</v>
      </c>
      <c r="W20" s="55">
        <f t="shared" si="9"/>
        <v>40193354</v>
      </c>
      <c r="X20" s="79" t="s">
        <v>42</v>
      </c>
      <c r="Y20" s="78" t="s">
        <v>42</v>
      </c>
      <c r="Z20" s="78" t="s">
        <v>42</v>
      </c>
      <c r="AA20" s="23"/>
      <c r="AB20" s="70"/>
      <c r="AC20" s="87"/>
      <c r="AD20" s="87"/>
      <c r="AE20" s="87"/>
      <c r="AF20" s="70"/>
      <c r="AG20" s="70"/>
      <c r="AH20" s="70"/>
      <c r="AI20" s="70"/>
      <c r="AJ20" s="70"/>
      <c r="AK20" s="70"/>
      <c r="AL20" s="70"/>
      <c r="AM20" s="72">
        <v>1</v>
      </c>
    </row>
    <row r="21" spans="1:39" ht="22.8" x14ac:dyDescent="0.2">
      <c r="A21" s="10">
        <v>21</v>
      </c>
      <c r="B21" s="77" t="s">
        <v>61</v>
      </c>
      <c r="C21" s="11">
        <f t="shared" si="10"/>
        <v>1</v>
      </c>
      <c r="D21" s="51"/>
      <c r="E21" s="12"/>
      <c r="F21" s="12" t="s">
        <v>48</v>
      </c>
      <c r="G21" s="13"/>
      <c r="H21" s="92">
        <v>1058386000</v>
      </c>
      <c r="I21" s="14">
        <f t="shared" si="0"/>
        <v>1058386000</v>
      </c>
      <c r="J21" s="15">
        <f t="shared" si="1"/>
        <v>1</v>
      </c>
      <c r="K21" s="99">
        <f t="shared" si="2"/>
        <v>1058386000</v>
      </c>
      <c r="L21" s="15">
        <f t="shared" si="3"/>
        <v>0</v>
      </c>
      <c r="M21" s="16">
        <f t="shared" si="4"/>
        <v>0</v>
      </c>
      <c r="N21" s="17">
        <f>+Tabla1[[#This Row],[LANIA]]</f>
        <v>0</v>
      </c>
      <c r="O21" s="18">
        <f>IFERROR(N21*H21," ")</f>
        <v>0</v>
      </c>
      <c r="P21" s="17">
        <f t="shared" si="6"/>
        <v>0</v>
      </c>
      <c r="Q21" s="18">
        <f t="shared" si="7"/>
        <v>0</v>
      </c>
      <c r="R21" s="17">
        <f>SUM(Tabla1[[#This Row],[LNDV ]])</f>
        <v>0</v>
      </c>
      <c r="S21" s="18">
        <f t="shared" si="8"/>
        <v>0</v>
      </c>
      <c r="T21" s="17">
        <f>SUM(Tabla1[[#This Row],[LASIM]])</f>
        <v>0</v>
      </c>
      <c r="U21" s="16">
        <f>+Tabla1[[#This Row],[TOTAL  GGCA]]*Tabla1[[#This Row],[Valor de referencia del proceso]]</f>
        <v>0</v>
      </c>
      <c r="V21" s="41">
        <f>+Tabla1[[#This Row],[UNIDAD C.O]]</f>
        <v>0</v>
      </c>
      <c r="W21" s="12">
        <f t="shared" si="9"/>
        <v>0</v>
      </c>
      <c r="X21" s="78" t="s">
        <v>42</v>
      </c>
      <c r="Y21" s="78" t="s">
        <v>42</v>
      </c>
      <c r="Z21" s="78" t="s">
        <v>42</v>
      </c>
      <c r="AA21" s="23">
        <v>1</v>
      </c>
      <c r="AB21" s="23"/>
      <c r="AC21" s="39"/>
      <c r="AD21" s="39"/>
      <c r="AE21" s="39"/>
      <c r="AF21" s="23"/>
      <c r="AG21" s="23"/>
      <c r="AH21" s="23"/>
      <c r="AI21" s="23"/>
      <c r="AJ21" s="23"/>
      <c r="AK21" s="23"/>
      <c r="AL21" s="23"/>
      <c r="AM21" s="67"/>
    </row>
    <row r="22" spans="1:39" ht="15.75" customHeight="1" x14ac:dyDescent="0.2">
      <c r="A22" s="10">
        <v>23</v>
      </c>
      <c r="B22" s="77" t="s">
        <v>62</v>
      </c>
      <c r="C22" s="11">
        <f t="shared" si="10"/>
        <v>1</v>
      </c>
      <c r="D22" s="51"/>
      <c r="E22" s="12"/>
      <c r="F22" s="12" t="s">
        <v>48</v>
      </c>
      <c r="G22" s="13"/>
      <c r="H22" s="92">
        <v>122924025</v>
      </c>
      <c r="I22" s="14">
        <f t="shared" si="0"/>
        <v>122924025</v>
      </c>
      <c r="J22" s="15">
        <f t="shared" si="1"/>
        <v>1</v>
      </c>
      <c r="K22" s="16">
        <f t="shared" si="2"/>
        <v>122924025</v>
      </c>
      <c r="L22" s="15">
        <f t="shared" si="3"/>
        <v>0</v>
      </c>
      <c r="M22" s="16">
        <f t="shared" si="4"/>
        <v>0</v>
      </c>
      <c r="N22" s="17">
        <f>+Tabla1[[#This Row],[LANIA]]</f>
        <v>0</v>
      </c>
      <c r="O22" s="18">
        <f>IFERROR(N22*H22," ")</f>
        <v>0</v>
      </c>
      <c r="P22" s="17">
        <f t="shared" si="6"/>
        <v>0</v>
      </c>
      <c r="Q22" s="18">
        <f t="shared" si="7"/>
        <v>0</v>
      </c>
      <c r="R22" s="17">
        <f>SUM(Tabla1[[#This Row],[LNDV ]])</f>
        <v>0</v>
      </c>
      <c r="S22" s="18">
        <f t="shared" si="8"/>
        <v>0</v>
      </c>
      <c r="T22" s="17">
        <f>SUM(Tabla1[[#This Row],[LASIM]])</f>
        <v>0</v>
      </c>
      <c r="U22" s="16">
        <f>+Tabla1[[#This Row],[TOTAL  GGCA]]*Tabla1[[#This Row],[Valor de referencia del proceso]]</f>
        <v>0</v>
      </c>
      <c r="V22" s="41">
        <f>+Tabla1[[#This Row],[UNIDAD C.O]]</f>
        <v>0</v>
      </c>
      <c r="W22" s="12">
        <f t="shared" si="9"/>
        <v>0</v>
      </c>
      <c r="X22" s="78" t="s">
        <v>42</v>
      </c>
      <c r="Y22" s="78" t="s">
        <v>42</v>
      </c>
      <c r="Z22" s="78" t="s">
        <v>42</v>
      </c>
      <c r="AA22" s="23">
        <v>1</v>
      </c>
      <c r="AB22" s="23"/>
      <c r="AC22" s="39"/>
      <c r="AD22" s="39"/>
      <c r="AE22" s="39"/>
      <c r="AF22" s="23"/>
      <c r="AG22" s="23"/>
      <c r="AH22" s="23"/>
      <c r="AI22" s="23"/>
      <c r="AJ22" s="23"/>
      <c r="AK22" s="23"/>
      <c r="AL22" s="23"/>
      <c r="AM22" s="67"/>
    </row>
    <row r="23" spans="1:39" ht="18" customHeight="1" x14ac:dyDescent="0.2">
      <c r="A23" s="10">
        <v>24</v>
      </c>
      <c r="B23" s="77" t="s">
        <v>63</v>
      </c>
      <c r="C23" s="11">
        <f t="shared" si="10"/>
        <v>1</v>
      </c>
      <c r="D23" s="51"/>
      <c r="E23" s="53"/>
      <c r="F23" s="53" t="s">
        <v>48</v>
      </c>
      <c r="G23" s="56"/>
      <c r="H23" s="93">
        <v>109477289</v>
      </c>
      <c r="I23" s="57">
        <f t="shared" si="0"/>
        <v>109477289</v>
      </c>
      <c r="J23" s="58">
        <f t="shared" si="1"/>
        <v>0</v>
      </c>
      <c r="K23" s="16">
        <f t="shared" si="2"/>
        <v>0</v>
      </c>
      <c r="L23" s="58">
        <f t="shared" si="3"/>
        <v>0</v>
      </c>
      <c r="M23" s="59">
        <f t="shared" si="4"/>
        <v>0</v>
      </c>
      <c r="N23" s="17">
        <f>+Tabla1[[#This Row],[LANIA]]</f>
        <v>0</v>
      </c>
      <c r="O23" s="60"/>
      <c r="P23" s="17">
        <f t="shared" si="6"/>
        <v>0</v>
      </c>
      <c r="Q23" s="60">
        <f t="shared" si="7"/>
        <v>0</v>
      </c>
      <c r="R23" s="17">
        <f>SUM(Tabla1[[#This Row],[LNDV ]])</f>
        <v>0</v>
      </c>
      <c r="S23" s="60">
        <f t="shared" si="8"/>
        <v>0</v>
      </c>
      <c r="T23" s="17">
        <f>SUM(Tabla1[[#This Row],[LASIM]])</f>
        <v>0</v>
      </c>
      <c r="U23" s="16">
        <f>+Tabla1[[#This Row],[TOTAL  GGCA]]*Tabla1[[#This Row],[Valor de referencia del proceso]]</f>
        <v>0</v>
      </c>
      <c r="V23" s="41">
        <f>+Tabla1[[#This Row],[UNIDAD C.O]]</f>
        <v>1</v>
      </c>
      <c r="W23" s="55">
        <f t="shared" si="9"/>
        <v>109477289</v>
      </c>
      <c r="X23" s="79" t="s">
        <v>42</v>
      </c>
      <c r="Y23" s="78" t="s">
        <v>42</v>
      </c>
      <c r="Z23" s="78" t="s">
        <v>42</v>
      </c>
      <c r="AA23" s="23"/>
      <c r="AB23" s="70"/>
      <c r="AC23" s="87"/>
      <c r="AD23" s="87"/>
      <c r="AE23" s="87"/>
      <c r="AF23" s="70"/>
      <c r="AG23" s="70"/>
      <c r="AH23" s="70"/>
      <c r="AI23" s="70"/>
      <c r="AJ23" s="70"/>
      <c r="AK23" s="70"/>
      <c r="AL23" s="70"/>
      <c r="AM23" s="72">
        <v>1</v>
      </c>
    </row>
    <row r="24" spans="1:39" x14ac:dyDescent="0.2">
      <c r="A24" s="10">
        <v>25</v>
      </c>
      <c r="B24" s="77" t="s">
        <v>64</v>
      </c>
      <c r="C24" s="11">
        <f t="shared" si="10"/>
        <v>4</v>
      </c>
      <c r="D24" s="51"/>
      <c r="E24" s="12"/>
      <c r="F24" s="12" t="s">
        <v>48</v>
      </c>
      <c r="G24" s="13"/>
      <c r="H24" s="92">
        <v>164792126</v>
      </c>
      <c r="I24" s="14">
        <f t="shared" si="0"/>
        <v>659168504</v>
      </c>
      <c r="J24" s="15">
        <f t="shared" si="1"/>
        <v>0</v>
      </c>
      <c r="K24" s="16">
        <f t="shared" si="2"/>
        <v>0</v>
      </c>
      <c r="L24" s="15">
        <f t="shared" si="3"/>
        <v>0</v>
      </c>
      <c r="M24" s="16">
        <f t="shared" si="4"/>
        <v>0</v>
      </c>
      <c r="N24" s="17">
        <f>+Tabla1[[#This Row],[LANIA]]</f>
        <v>0</v>
      </c>
      <c r="O24" s="18">
        <f t="shared" ref="O24:O33" si="12">IFERROR(N24*H24," ")</f>
        <v>0</v>
      </c>
      <c r="P24" s="17">
        <f t="shared" si="6"/>
        <v>4</v>
      </c>
      <c r="Q24" s="18">
        <f t="shared" si="7"/>
        <v>659168504</v>
      </c>
      <c r="R24" s="17">
        <f>SUM(Tabla1[[#This Row],[LNDV ]])</f>
        <v>0</v>
      </c>
      <c r="S24" s="18">
        <f t="shared" si="8"/>
        <v>0</v>
      </c>
      <c r="T24" s="17">
        <f>SUM(Tabla1[[#This Row],[LASIM]])</f>
        <v>0</v>
      </c>
      <c r="U24" s="16">
        <f>+Tabla1[[#This Row],[TOTAL  GGCA]]*Tabla1[[#This Row],[Valor de referencia del proceso]]</f>
        <v>0</v>
      </c>
      <c r="V24" s="41">
        <f>+Tabla1[[#This Row],[UNIDAD C.O]]</f>
        <v>0</v>
      </c>
      <c r="W24" s="12">
        <f t="shared" si="9"/>
        <v>0</v>
      </c>
      <c r="X24" s="78" t="s">
        <v>42</v>
      </c>
      <c r="Y24" s="78" t="s">
        <v>42</v>
      </c>
      <c r="Z24" s="78" t="s">
        <v>42</v>
      </c>
      <c r="AA24" s="23"/>
      <c r="AB24" s="23"/>
      <c r="AC24" s="39"/>
      <c r="AD24" s="39"/>
      <c r="AE24" s="39"/>
      <c r="AF24" s="23">
        <v>1</v>
      </c>
      <c r="AG24" s="23">
        <v>1</v>
      </c>
      <c r="AH24" s="23">
        <v>1</v>
      </c>
      <c r="AI24" s="23">
        <v>1</v>
      </c>
      <c r="AJ24" s="23"/>
      <c r="AK24" s="23"/>
      <c r="AL24" s="23"/>
      <c r="AM24" s="67"/>
    </row>
    <row r="25" spans="1:39" ht="18" customHeight="1" x14ac:dyDescent="0.2">
      <c r="A25" s="10">
        <v>26</v>
      </c>
      <c r="B25" s="77" t="s">
        <v>65</v>
      </c>
      <c r="C25" s="11">
        <f t="shared" si="10"/>
        <v>1</v>
      </c>
      <c r="D25" s="51"/>
      <c r="E25" s="12"/>
      <c r="F25" s="12" t="s">
        <v>48</v>
      </c>
      <c r="G25" s="13"/>
      <c r="H25" s="92">
        <v>35385784</v>
      </c>
      <c r="I25" s="14">
        <f t="shared" si="0"/>
        <v>35385784</v>
      </c>
      <c r="J25" s="15">
        <f t="shared" si="1"/>
        <v>1</v>
      </c>
      <c r="K25" s="16">
        <f t="shared" si="2"/>
        <v>35385784</v>
      </c>
      <c r="L25" s="15"/>
      <c r="M25" s="16">
        <f t="shared" si="4"/>
        <v>0</v>
      </c>
      <c r="N25" s="17">
        <f>+Tabla1[[#This Row],[LANIA]]</f>
        <v>0</v>
      </c>
      <c r="O25" s="18">
        <f t="shared" si="12"/>
        <v>0</v>
      </c>
      <c r="P25" s="17">
        <f t="shared" si="6"/>
        <v>0</v>
      </c>
      <c r="Q25" s="18">
        <f t="shared" si="7"/>
        <v>0</v>
      </c>
      <c r="R25" s="17">
        <f>SUM(Tabla1[[#This Row],[LNDV ]])</f>
        <v>0</v>
      </c>
      <c r="S25" s="18">
        <f t="shared" si="8"/>
        <v>0</v>
      </c>
      <c r="T25" s="17">
        <f>SUM(Tabla1[[#This Row],[LASIM]])</f>
        <v>0</v>
      </c>
      <c r="U25" s="16">
        <f>+Tabla1[[#This Row],[TOTAL  GGCA]]*Tabla1[[#This Row],[Valor de referencia del proceso]]</f>
        <v>0</v>
      </c>
      <c r="V25" s="41">
        <f>+Tabla1[[#This Row],[UNIDAD C.O]]</f>
        <v>0</v>
      </c>
      <c r="W25" s="12">
        <f t="shared" si="9"/>
        <v>0</v>
      </c>
      <c r="X25" s="78" t="s">
        <v>42</v>
      </c>
      <c r="Y25" s="78" t="s">
        <v>42</v>
      </c>
      <c r="Z25" s="78" t="s">
        <v>42</v>
      </c>
      <c r="AA25" s="23">
        <v>1</v>
      </c>
      <c r="AB25" s="23"/>
      <c r="AC25" s="39"/>
      <c r="AD25" s="39">
        <v>0</v>
      </c>
      <c r="AE25" s="39"/>
      <c r="AF25" s="23"/>
      <c r="AG25" s="23"/>
      <c r="AH25" s="23"/>
      <c r="AI25" s="23"/>
      <c r="AJ25" s="23"/>
      <c r="AK25" s="23"/>
      <c r="AL25" s="23"/>
      <c r="AM25" s="67"/>
    </row>
    <row r="26" spans="1:39" x14ac:dyDescent="0.2">
      <c r="A26" s="10">
        <v>28</v>
      </c>
      <c r="B26" s="77" t="s">
        <v>66</v>
      </c>
      <c r="C26" s="11">
        <f t="shared" si="10"/>
        <v>2</v>
      </c>
      <c r="D26" s="51"/>
      <c r="E26" s="12"/>
      <c r="F26" s="12" t="s">
        <v>41</v>
      </c>
      <c r="G26" s="13"/>
      <c r="H26" s="92">
        <v>16898000</v>
      </c>
      <c r="I26" s="14">
        <f t="shared" si="0"/>
        <v>33796000</v>
      </c>
      <c r="J26" s="15">
        <f t="shared" si="1"/>
        <v>0</v>
      </c>
      <c r="K26" s="16">
        <f t="shared" si="2"/>
        <v>0</v>
      </c>
      <c r="L26" s="15">
        <f t="shared" ref="L26:L36" si="13">SUM(AC26:AE26)</f>
        <v>2</v>
      </c>
      <c r="M26" s="96">
        <f t="shared" si="4"/>
        <v>33796000</v>
      </c>
      <c r="N26" s="17">
        <f>+Tabla1[[#This Row],[LANIA]]</f>
        <v>0</v>
      </c>
      <c r="O26" s="18">
        <f t="shared" si="12"/>
        <v>0</v>
      </c>
      <c r="P26" s="17">
        <f t="shared" si="6"/>
        <v>0</v>
      </c>
      <c r="Q26" s="18">
        <f t="shared" si="7"/>
        <v>0</v>
      </c>
      <c r="R26" s="17">
        <f>SUM(Tabla1[[#This Row],[LNDV ]])</f>
        <v>0</v>
      </c>
      <c r="S26" s="18">
        <f t="shared" si="8"/>
        <v>0</v>
      </c>
      <c r="T26" s="17">
        <f>SUM(Tabla1[[#This Row],[LASIM]])</f>
        <v>0</v>
      </c>
      <c r="U26" s="16">
        <f>+Tabla1[[#This Row],[TOTAL  GGCA]]*Tabla1[[#This Row],[Valor de referencia del proceso]]</f>
        <v>0</v>
      </c>
      <c r="V26" s="41">
        <f>+Tabla1[[#This Row],[UNIDAD C.O]]</f>
        <v>0</v>
      </c>
      <c r="W26" s="12">
        <f t="shared" si="9"/>
        <v>0</v>
      </c>
      <c r="X26" s="78" t="s">
        <v>42</v>
      </c>
      <c r="Y26" s="78" t="s">
        <v>42</v>
      </c>
      <c r="Z26" s="78" t="s">
        <v>42</v>
      </c>
      <c r="AA26" s="23"/>
      <c r="AB26" s="23"/>
      <c r="AC26" s="39"/>
      <c r="AD26" s="39">
        <v>2</v>
      </c>
      <c r="AE26" s="39"/>
      <c r="AF26" s="23"/>
      <c r="AG26" s="23"/>
      <c r="AH26" s="23"/>
      <c r="AI26" s="23"/>
      <c r="AJ26" s="23"/>
      <c r="AK26" s="23"/>
      <c r="AL26" s="23"/>
      <c r="AM26" s="67"/>
    </row>
    <row r="27" spans="1:39" x14ac:dyDescent="0.2">
      <c r="A27" s="10">
        <v>29</v>
      </c>
      <c r="B27" s="77" t="s">
        <v>67</v>
      </c>
      <c r="C27" s="11">
        <f t="shared" si="10"/>
        <v>1</v>
      </c>
      <c r="D27" s="51"/>
      <c r="E27" s="12"/>
      <c r="F27" s="12" t="s">
        <v>48</v>
      </c>
      <c r="G27" s="13"/>
      <c r="H27" s="92">
        <v>3094000</v>
      </c>
      <c r="I27" s="14">
        <f t="shared" si="0"/>
        <v>3094000</v>
      </c>
      <c r="J27" s="15">
        <f t="shared" si="1"/>
        <v>0</v>
      </c>
      <c r="K27" s="16">
        <f t="shared" si="2"/>
        <v>0</v>
      </c>
      <c r="L27" s="73">
        <f t="shared" si="13"/>
        <v>1</v>
      </c>
      <c r="M27" s="96">
        <f t="shared" si="4"/>
        <v>3094000</v>
      </c>
      <c r="N27" s="17">
        <f>+Tabla1[[#This Row],[LANIA]]</f>
        <v>0</v>
      </c>
      <c r="O27" s="18">
        <f t="shared" si="12"/>
        <v>0</v>
      </c>
      <c r="P27" s="17">
        <f t="shared" si="6"/>
        <v>0</v>
      </c>
      <c r="Q27" s="18">
        <f t="shared" si="7"/>
        <v>0</v>
      </c>
      <c r="R27" s="17">
        <f>SUM(Tabla1[[#This Row],[LNDV ]])</f>
        <v>0</v>
      </c>
      <c r="S27" s="18">
        <f t="shared" si="8"/>
        <v>0</v>
      </c>
      <c r="T27" s="17">
        <f>SUM(Tabla1[[#This Row],[LASIM]])</f>
        <v>0</v>
      </c>
      <c r="U27" s="16">
        <f>+Tabla1[[#This Row],[TOTAL  GGCA]]*Tabla1[[#This Row],[Valor de referencia del proceso]]</f>
        <v>0</v>
      </c>
      <c r="V27" s="41">
        <f>+Tabla1[[#This Row],[UNIDAD C.O]]</f>
        <v>0</v>
      </c>
      <c r="W27" s="12">
        <f t="shared" si="9"/>
        <v>0</v>
      </c>
      <c r="X27" s="78" t="s">
        <v>42</v>
      </c>
      <c r="Y27" s="78" t="s">
        <v>42</v>
      </c>
      <c r="Z27" s="78" t="s">
        <v>42</v>
      </c>
      <c r="AA27" s="23"/>
      <c r="AB27" s="23"/>
      <c r="AC27" s="39"/>
      <c r="AD27" s="39"/>
      <c r="AE27" s="39">
        <v>1</v>
      </c>
      <c r="AF27" s="23"/>
      <c r="AG27" s="23"/>
      <c r="AH27" s="23"/>
      <c r="AI27" s="23"/>
      <c r="AJ27" s="23"/>
      <c r="AK27" s="23"/>
      <c r="AL27" s="23"/>
      <c r="AM27" s="67"/>
    </row>
    <row r="28" spans="1:39" ht="18.600000000000001" customHeight="1" x14ac:dyDescent="0.2">
      <c r="A28" s="10">
        <v>31</v>
      </c>
      <c r="B28" s="77" t="s">
        <v>68</v>
      </c>
      <c r="C28" s="11">
        <f t="shared" si="10"/>
        <v>2</v>
      </c>
      <c r="D28" s="51"/>
      <c r="E28" s="53"/>
      <c r="F28" s="53" t="s">
        <v>48</v>
      </c>
      <c r="G28" s="13"/>
      <c r="H28" s="92">
        <v>23983298</v>
      </c>
      <c r="I28" s="14">
        <f t="shared" si="0"/>
        <v>47966596</v>
      </c>
      <c r="J28" s="15">
        <f t="shared" si="1"/>
        <v>2</v>
      </c>
      <c r="K28" s="16">
        <f t="shared" si="2"/>
        <v>47966596</v>
      </c>
      <c r="L28" s="73">
        <f t="shared" si="13"/>
        <v>0</v>
      </c>
      <c r="M28" s="16">
        <f t="shared" si="4"/>
        <v>0</v>
      </c>
      <c r="N28" s="17">
        <f>+Tabla1[[#This Row],[LANIA]]</f>
        <v>0</v>
      </c>
      <c r="O28" s="18">
        <f t="shared" si="12"/>
        <v>0</v>
      </c>
      <c r="P28" s="17">
        <f t="shared" si="6"/>
        <v>0</v>
      </c>
      <c r="Q28" s="18">
        <f t="shared" si="7"/>
        <v>0</v>
      </c>
      <c r="R28" s="17">
        <f>SUM(Tabla1[[#This Row],[LNDV ]])</f>
        <v>0</v>
      </c>
      <c r="S28" s="18">
        <f t="shared" si="8"/>
        <v>0</v>
      </c>
      <c r="T28" s="17">
        <f>SUM(Tabla1[[#This Row],[LASIM]])</f>
        <v>0</v>
      </c>
      <c r="U28" s="16">
        <f>+Tabla1[[#This Row],[TOTAL  GGCA]]*Tabla1[[#This Row],[Valor de referencia del proceso]]</f>
        <v>0</v>
      </c>
      <c r="V28" s="41">
        <f>+Tabla1[[#This Row],[UNIDAD C.O]]</f>
        <v>0</v>
      </c>
      <c r="W28" s="12">
        <f t="shared" si="9"/>
        <v>0</v>
      </c>
      <c r="X28" s="78" t="s">
        <v>42</v>
      </c>
      <c r="Y28" s="78" t="s">
        <v>42</v>
      </c>
      <c r="Z28" s="78">
        <v>1</v>
      </c>
      <c r="AA28" s="23">
        <v>1</v>
      </c>
      <c r="AB28" s="23">
        <v>0</v>
      </c>
      <c r="AC28" s="39"/>
      <c r="AD28" s="39"/>
      <c r="AE28" s="39"/>
      <c r="AF28" s="23"/>
      <c r="AG28" s="23"/>
      <c r="AH28" s="23"/>
      <c r="AI28" s="23"/>
      <c r="AJ28" s="23"/>
      <c r="AK28" s="23"/>
      <c r="AL28" s="23"/>
      <c r="AM28" s="67"/>
    </row>
    <row r="29" spans="1:39" ht="25.5" customHeight="1" x14ac:dyDescent="0.2">
      <c r="A29" s="10">
        <v>32</v>
      </c>
      <c r="B29" s="77" t="s">
        <v>69</v>
      </c>
      <c r="C29" s="11">
        <f t="shared" si="10"/>
        <v>2</v>
      </c>
      <c r="D29" s="51"/>
      <c r="E29" s="53"/>
      <c r="F29" s="53" t="s">
        <v>41</v>
      </c>
      <c r="G29" s="13"/>
      <c r="H29" s="92">
        <v>16041569</v>
      </c>
      <c r="I29" s="14">
        <f t="shared" si="0"/>
        <v>32083138</v>
      </c>
      <c r="J29" s="15">
        <f t="shared" si="1"/>
        <v>0</v>
      </c>
      <c r="K29" s="16">
        <f t="shared" si="2"/>
        <v>0</v>
      </c>
      <c r="L29" s="73">
        <f t="shared" si="13"/>
        <v>0</v>
      </c>
      <c r="M29" s="16">
        <f t="shared" si="4"/>
        <v>0</v>
      </c>
      <c r="N29" s="17">
        <f>+Tabla1[[#This Row],[LANIA]]</f>
        <v>0</v>
      </c>
      <c r="O29" s="18">
        <f t="shared" si="12"/>
        <v>0</v>
      </c>
      <c r="P29" s="17">
        <f t="shared" si="6"/>
        <v>0</v>
      </c>
      <c r="Q29" s="18">
        <f t="shared" si="7"/>
        <v>0</v>
      </c>
      <c r="R29" s="17">
        <f>SUM(Tabla1[[#This Row],[LNDV ]])</f>
        <v>0</v>
      </c>
      <c r="S29" s="18">
        <f t="shared" si="8"/>
        <v>0</v>
      </c>
      <c r="T29" s="17">
        <f>SUM(Tabla1[[#This Row],[LASIM]])</f>
        <v>0</v>
      </c>
      <c r="U29" s="16">
        <f>+Tabla1[[#This Row],[TOTAL  GGCA]]*Tabla1[[#This Row],[Valor de referencia del proceso]]</f>
        <v>0</v>
      </c>
      <c r="V29" s="41">
        <f>+Tabla1[[#This Row],[UNIDAD C.O]]</f>
        <v>2</v>
      </c>
      <c r="W29" s="12">
        <f t="shared" si="9"/>
        <v>32083138</v>
      </c>
      <c r="X29" s="78" t="s">
        <v>42</v>
      </c>
      <c r="Y29" s="78" t="s">
        <v>42</v>
      </c>
      <c r="Z29" s="78" t="s">
        <v>42</v>
      </c>
      <c r="AA29" s="23"/>
      <c r="AB29" s="23"/>
      <c r="AC29" s="39"/>
      <c r="AD29" s="39"/>
      <c r="AE29" s="39"/>
      <c r="AF29" s="23"/>
      <c r="AG29" s="23"/>
      <c r="AH29" s="23"/>
      <c r="AI29" s="23"/>
      <c r="AJ29" s="23"/>
      <c r="AK29" s="23"/>
      <c r="AL29" s="23"/>
      <c r="AM29" s="67">
        <v>2</v>
      </c>
    </row>
    <row r="30" spans="1:39" ht="25.5" customHeight="1" x14ac:dyDescent="0.2">
      <c r="A30" s="10">
        <v>34</v>
      </c>
      <c r="B30" s="77" t="s">
        <v>70</v>
      </c>
      <c r="C30" s="11">
        <f t="shared" si="10"/>
        <v>2</v>
      </c>
      <c r="D30" s="51"/>
      <c r="E30" s="53"/>
      <c r="F30" s="53" t="s">
        <v>41</v>
      </c>
      <c r="G30" s="13"/>
      <c r="H30" s="92">
        <v>4760000</v>
      </c>
      <c r="I30" s="14">
        <f t="shared" si="0"/>
        <v>9520000</v>
      </c>
      <c r="J30" s="15">
        <f t="shared" si="1"/>
        <v>0</v>
      </c>
      <c r="K30" s="16">
        <f t="shared" si="2"/>
        <v>0</v>
      </c>
      <c r="L30" s="73">
        <f t="shared" si="13"/>
        <v>1</v>
      </c>
      <c r="M30" s="96">
        <f t="shared" si="4"/>
        <v>4760000</v>
      </c>
      <c r="N30" s="17">
        <f>+Tabla1[[#This Row],[LANIA]]</f>
        <v>0</v>
      </c>
      <c r="O30" s="18">
        <f t="shared" si="12"/>
        <v>0</v>
      </c>
      <c r="P30" s="17">
        <f t="shared" si="6"/>
        <v>1</v>
      </c>
      <c r="Q30" s="18">
        <f t="shared" si="7"/>
        <v>4760000</v>
      </c>
      <c r="R30" s="17">
        <f>SUM(Tabla1[[#This Row],[LNDV ]])</f>
        <v>0</v>
      </c>
      <c r="S30" s="18">
        <f t="shared" si="8"/>
        <v>0</v>
      </c>
      <c r="T30" s="17">
        <f>SUM(Tabla1[[#This Row],[LASIM]])</f>
        <v>0</v>
      </c>
      <c r="U30" s="16">
        <f>+Tabla1[[#This Row],[TOTAL  GGCA]]*Tabla1[[#This Row],[Valor de referencia del proceso]]</f>
        <v>0</v>
      </c>
      <c r="V30" s="41">
        <f>+Tabla1[[#This Row],[UNIDAD C.O]]</f>
        <v>0</v>
      </c>
      <c r="W30" s="45">
        <f t="shared" si="9"/>
        <v>0</v>
      </c>
      <c r="X30" s="78" t="s">
        <v>42</v>
      </c>
      <c r="Y30" s="78" t="s">
        <v>42</v>
      </c>
      <c r="Z30" s="78" t="s">
        <v>42</v>
      </c>
      <c r="AA30" s="23"/>
      <c r="AB30" s="19"/>
      <c r="AC30" s="71"/>
      <c r="AD30" s="71">
        <v>1</v>
      </c>
      <c r="AE30" s="71"/>
      <c r="AF30" s="19"/>
      <c r="AG30" s="19"/>
      <c r="AH30" s="19"/>
      <c r="AI30" s="19"/>
      <c r="AJ30" s="19">
        <v>1</v>
      </c>
      <c r="AK30" s="19"/>
      <c r="AL30" s="19"/>
      <c r="AM30" s="19"/>
    </row>
    <row r="31" spans="1:39" ht="25.5" customHeight="1" x14ac:dyDescent="0.2">
      <c r="A31" s="10">
        <v>35</v>
      </c>
      <c r="B31" s="77" t="s">
        <v>71</v>
      </c>
      <c r="C31" s="11">
        <f t="shared" si="10"/>
        <v>1</v>
      </c>
      <c r="D31" s="51"/>
      <c r="E31" s="53"/>
      <c r="F31" s="53" t="s">
        <v>41</v>
      </c>
      <c r="G31" s="13"/>
      <c r="H31" s="92">
        <v>7671669</v>
      </c>
      <c r="I31" s="14">
        <f t="shared" si="0"/>
        <v>7671669</v>
      </c>
      <c r="J31" s="15">
        <f t="shared" si="1"/>
        <v>0</v>
      </c>
      <c r="K31" s="16">
        <f t="shared" si="2"/>
        <v>0</v>
      </c>
      <c r="L31" s="73">
        <f t="shared" si="13"/>
        <v>0</v>
      </c>
      <c r="M31" s="16">
        <f t="shared" si="4"/>
        <v>0</v>
      </c>
      <c r="N31" s="17">
        <f>+Tabla1[[#This Row],[LANIA]]</f>
        <v>1</v>
      </c>
      <c r="O31" s="18">
        <f t="shared" si="12"/>
        <v>7671669</v>
      </c>
      <c r="P31" s="17">
        <f t="shared" si="6"/>
        <v>0</v>
      </c>
      <c r="Q31" s="18">
        <f t="shared" si="7"/>
        <v>0</v>
      </c>
      <c r="R31" s="17">
        <f>SUM(Tabla1[[#This Row],[LNDV ]])</f>
        <v>0</v>
      </c>
      <c r="S31" s="18">
        <f t="shared" si="8"/>
        <v>0</v>
      </c>
      <c r="T31" s="17">
        <f>SUM(Tabla1[[#This Row],[LASIM]])</f>
        <v>0</v>
      </c>
      <c r="U31" s="16">
        <f>+Tabla1[[#This Row],[TOTAL  GGCA]]*Tabla1[[#This Row],[Valor de referencia del proceso]]</f>
        <v>0</v>
      </c>
      <c r="V31" s="41">
        <f>+Tabla1[[#This Row],[UNIDAD C.O]]</f>
        <v>0</v>
      </c>
      <c r="W31" s="45">
        <f t="shared" si="9"/>
        <v>0</v>
      </c>
      <c r="X31" s="78" t="s">
        <v>42</v>
      </c>
      <c r="Y31" s="78" t="s">
        <v>42</v>
      </c>
      <c r="Z31" s="78" t="s">
        <v>42</v>
      </c>
      <c r="AA31" s="23"/>
      <c r="AB31" s="19">
        <v>1</v>
      </c>
      <c r="AC31" s="71"/>
      <c r="AD31" s="71"/>
      <c r="AE31" s="71"/>
      <c r="AF31" s="19"/>
      <c r="AG31" s="19"/>
      <c r="AH31" s="19"/>
      <c r="AI31" s="19"/>
      <c r="AJ31" s="19"/>
      <c r="AK31" s="19"/>
      <c r="AL31" s="19"/>
      <c r="AM31" s="19"/>
    </row>
    <row r="32" spans="1:39" ht="25.5" customHeight="1" x14ac:dyDescent="0.2">
      <c r="A32" s="10">
        <v>36</v>
      </c>
      <c r="B32" s="77" t="s">
        <v>72</v>
      </c>
      <c r="C32" s="11">
        <f t="shared" si="10"/>
        <v>3</v>
      </c>
      <c r="D32" s="51"/>
      <c r="E32" s="53"/>
      <c r="F32" s="53" t="s">
        <v>41</v>
      </c>
      <c r="G32" s="13"/>
      <c r="H32" s="92">
        <v>19585020</v>
      </c>
      <c r="I32" s="14">
        <f t="shared" si="0"/>
        <v>58755060</v>
      </c>
      <c r="J32" s="15">
        <f t="shared" si="1"/>
        <v>1</v>
      </c>
      <c r="K32" s="98">
        <f t="shared" si="2"/>
        <v>19585020</v>
      </c>
      <c r="L32" s="73">
        <f t="shared" si="13"/>
        <v>0</v>
      </c>
      <c r="M32" s="16">
        <f t="shared" si="4"/>
        <v>0</v>
      </c>
      <c r="N32" s="17">
        <f>+Tabla1[[#This Row],[LANIA]]</f>
        <v>2</v>
      </c>
      <c r="O32" s="18">
        <f t="shared" si="12"/>
        <v>39170040</v>
      </c>
      <c r="P32" s="17">
        <f t="shared" si="6"/>
        <v>0</v>
      </c>
      <c r="Q32" s="18">
        <f t="shared" si="7"/>
        <v>0</v>
      </c>
      <c r="R32" s="17">
        <f>SUM(Tabla1[[#This Row],[LNDV ]])</f>
        <v>0</v>
      </c>
      <c r="S32" s="18">
        <f t="shared" si="8"/>
        <v>0</v>
      </c>
      <c r="T32" s="17">
        <f>SUM(Tabla1[[#This Row],[LASIM]])</f>
        <v>0</v>
      </c>
      <c r="U32" s="16">
        <f>+Tabla1[[#This Row],[TOTAL  GGCA]]*Tabla1[[#This Row],[Valor de referencia del proceso]]</f>
        <v>0</v>
      </c>
      <c r="V32" s="41">
        <f>+Tabla1[[#This Row],[UNIDAD C.O]]</f>
        <v>0</v>
      </c>
      <c r="W32" s="45">
        <f t="shared" si="9"/>
        <v>0</v>
      </c>
      <c r="X32" s="78" t="s">
        <v>42</v>
      </c>
      <c r="Y32" s="78" t="s">
        <v>42</v>
      </c>
      <c r="Z32" s="78" t="s">
        <v>42</v>
      </c>
      <c r="AA32" s="19">
        <v>1</v>
      </c>
      <c r="AB32" s="19">
        <v>2</v>
      </c>
      <c r="AC32" s="71"/>
      <c r="AD32" s="71"/>
      <c r="AE32" s="71"/>
      <c r="AF32" s="19"/>
      <c r="AG32" s="19"/>
      <c r="AH32" s="19"/>
      <c r="AI32" s="19"/>
      <c r="AJ32" s="19"/>
      <c r="AK32" s="19"/>
      <c r="AL32" s="19"/>
      <c r="AM32" s="19"/>
    </row>
    <row r="33" spans="1:39" ht="19.5" customHeight="1" x14ac:dyDescent="0.2">
      <c r="A33" s="10">
        <v>37</v>
      </c>
      <c r="B33" s="77" t="s">
        <v>73</v>
      </c>
      <c r="C33" s="11">
        <f t="shared" si="10"/>
        <v>2</v>
      </c>
      <c r="D33" s="51"/>
      <c r="E33" s="53"/>
      <c r="F33" s="53" t="s">
        <v>48</v>
      </c>
      <c r="G33" s="13"/>
      <c r="H33" s="92">
        <v>70192984</v>
      </c>
      <c r="I33" s="14">
        <f t="shared" si="0"/>
        <v>140385968</v>
      </c>
      <c r="J33" s="15">
        <f t="shared" si="1"/>
        <v>0</v>
      </c>
      <c r="K33" s="16">
        <f t="shared" si="2"/>
        <v>0</v>
      </c>
      <c r="L33" s="73">
        <f t="shared" si="13"/>
        <v>0</v>
      </c>
      <c r="M33" s="16">
        <f t="shared" si="4"/>
        <v>0</v>
      </c>
      <c r="N33" s="17">
        <v>0</v>
      </c>
      <c r="O33" s="18">
        <f t="shared" si="12"/>
        <v>0</v>
      </c>
      <c r="P33" s="17">
        <f t="shared" si="6"/>
        <v>0</v>
      </c>
      <c r="Q33" s="18">
        <f t="shared" si="7"/>
        <v>0</v>
      </c>
      <c r="R33" s="17">
        <f>SUM(Tabla1[[#This Row],[LNDV ]])</f>
        <v>0</v>
      </c>
      <c r="S33" s="18">
        <f t="shared" si="8"/>
        <v>0</v>
      </c>
      <c r="T33" s="17">
        <f>SUM(Tabla1[[#This Row],[LASIM]])</f>
        <v>0</v>
      </c>
      <c r="U33" s="16">
        <f>+Tabla1[[#This Row],[TOTAL  GGCA]]*Tabla1[[#This Row],[Valor de referencia del proceso]]</f>
        <v>0</v>
      </c>
      <c r="V33" s="41">
        <f>+Tabla1[[#This Row],[UNIDAD C.O]]</f>
        <v>2</v>
      </c>
      <c r="W33" s="45">
        <f t="shared" si="9"/>
        <v>140385968</v>
      </c>
      <c r="X33" s="78" t="s">
        <v>42</v>
      </c>
      <c r="Y33" s="78" t="s">
        <v>42</v>
      </c>
      <c r="Z33" s="78" t="s">
        <v>42</v>
      </c>
      <c r="AA33" s="23"/>
      <c r="AB33" s="19"/>
      <c r="AC33" s="71">
        <v>0</v>
      </c>
      <c r="AD33" s="71"/>
      <c r="AE33" s="71">
        <v>0</v>
      </c>
      <c r="AF33" s="19"/>
      <c r="AG33" s="19"/>
      <c r="AH33" s="19"/>
      <c r="AI33" s="19"/>
      <c r="AJ33" s="19"/>
      <c r="AK33" s="19"/>
      <c r="AL33" s="19"/>
      <c r="AM33" s="19">
        <v>2</v>
      </c>
    </row>
    <row r="34" spans="1:39" ht="22.8" x14ac:dyDescent="0.2">
      <c r="A34" s="10">
        <v>40</v>
      </c>
      <c r="B34" s="77" t="s">
        <v>74</v>
      </c>
      <c r="C34" s="11">
        <f t="shared" si="10"/>
        <v>1</v>
      </c>
      <c r="D34" s="51"/>
      <c r="E34" s="53"/>
      <c r="F34" s="53" t="s">
        <v>41</v>
      </c>
      <c r="G34" s="56"/>
      <c r="H34" s="93">
        <v>313270583</v>
      </c>
      <c r="I34" s="57">
        <f t="shared" si="0"/>
        <v>313270583</v>
      </c>
      <c r="J34" s="58">
        <f t="shared" si="1"/>
        <v>0</v>
      </c>
      <c r="K34" s="16">
        <f t="shared" si="2"/>
        <v>0</v>
      </c>
      <c r="L34" s="58">
        <f t="shared" si="13"/>
        <v>0</v>
      </c>
      <c r="M34" s="59">
        <f t="shared" si="4"/>
        <v>0</v>
      </c>
      <c r="N34" s="17">
        <f>+Tabla1[[#This Row],[LANIA]]</f>
        <v>0</v>
      </c>
      <c r="O34" s="60"/>
      <c r="P34" s="17">
        <f t="shared" si="6"/>
        <v>0</v>
      </c>
      <c r="Q34" s="60">
        <f t="shared" si="7"/>
        <v>0</v>
      </c>
      <c r="R34" s="17">
        <f>SUM(Tabla1[[#This Row],[LNDV ]])</f>
        <v>0</v>
      </c>
      <c r="S34" s="60">
        <f t="shared" si="8"/>
        <v>0</v>
      </c>
      <c r="T34" s="17">
        <f>SUM(Tabla1[[#This Row],[LASIM]])</f>
        <v>0</v>
      </c>
      <c r="U34" s="16">
        <f>+Tabla1[[#This Row],[TOTAL  GGCA]]*Tabla1[[#This Row],[Valor de referencia del proceso]]</f>
        <v>0</v>
      </c>
      <c r="V34" s="41">
        <f>+Tabla1[[#This Row],[UNIDAD C.O]]</f>
        <v>1</v>
      </c>
      <c r="W34" s="55">
        <f t="shared" si="9"/>
        <v>313270583</v>
      </c>
      <c r="X34" s="79" t="s">
        <v>42</v>
      </c>
      <c r="Y34" s="78" t="s">
        <v>42</v>
      </c>
      <c r="Z34" s="78" t="s">
        <v>42</v>
      </c>
      <c r="AA34" s="23"/>
      <c r="AB34" s="72"/>
      <c r="AC34" s="89"/>
      <c r="AD34" s="89"/>
      <c r="AE34" s="89"/>
      <c r="AF34" s="72"/>
      <c r="AG34" s="72"/>
      <c r="AH34" s="72"/>
      <c r="AI34" s="72"/>
      <c r="AJ34" s="72"/>
      <c r="AK34" s="72"/>
      <c r="AL34" s="72"/>
      <c r="AM34" s="72">
        <v>1</v>
      </c>
    </row>
    <row r="35" spans="1:39" ht="27.75" customHeight="1" x14ac:dyDescent="0.2">
      <c r="A35" s="10">
        <v>41</v>
      </c>
      <c r="B35" s="77" t="s">
        <v>75</v>
      </c>
      <c r="C35" s="11">
        <f t="shared" si="10"/>
        <v>2</v>
      </c>
      <c r="D35" s="51"/>
      <c r="E35" s="53"/>
      <c r="F35" s="54" t="s">
        <v>41</v>
      </c>
      <c r="G35" s="75"/>
      <c r="H35" s="94">
        <v>15766480</v>
      </c>
      <c r="I35" s="14">
        <f t="shared" si="0"/>
        <v>31532960</v>
      </c>
      <c r="J35" s="15">
        <f t="shared" si="1"/>
        <v>0</v>
      </c>
      <c r="K35" s="16">
        <f t="shared" si="2"/>
        <v>0</v>
      </c>
      <c r="L35" s="58">
        <f t="shared" si="13"/>
        <v>0</v>
      </c>
      <c r="M35" s="16">
        <f t="shared" si="4"/>
        <v>0</v>
      </c>
      <c r="N35" s="17">
        <f>+Tabla1[[#This Row],[LANIA]]</f>
        <v>0</v>
      </c>
      <c r="O35" s="18">
        <f>IFERROR(N35*H35," ")</f>
        <v>0</v>
      </c>
      <c r="P35" s="17">
        <f t="shared" si="6"/>
        <v>0</v>
      </c>
      <c r="Q35" s="18">
        <f t="shared" si="7"/>
        <v>0</v>
      </c>
      <c r="R35" s="17">
        <f>SUM(Tabla1[[#This Row],[LNDV ]])</f>
        <v>0</v>
      </c>
      <c r="S35" s="76">
        <f t="shared" si="8"/>
        <v>0</v>
      </c>
      <c r="T35" s="17">
        <f>SUM(Tabla1[[#This Row],[LASIM]])</f>
        <v>0</v>
      </c>
      <c r="U35" s="16">
        <f>+Tabla1[[#This Row],[TOTAL  GGCA]]*Tabla1[[#This Row],[Valor de referencia del proceso]]</f>
        <v>0</v>
      </c>
      <c r="V35" s="41">
        <f>+Tabla1[[#This Row],[UNIDAD C.O]]</f>
        <v>2</v>
      </c>
      <c r="W35" s="69">
        <f t="shared" si="9"/>
        <v>31532960</v>
      </c>
      <c r="X35" s="80" t="s">
        <v>42</v>
      </c>
      <c r="Y35" s="80" t="s">
        <v>42</v>
      </c>
      <c r="Z35" s="80" t="s">
        <v>42</v>
      </c>
      <c r="AA35" s="19"/>
      <c r="AB35" s="19"/>
      <c r="AC35" s="71">
        <v>0</v>
      </c>
      <c r="AD35" s="71"/>
      <c r="AE35" s="71"/>
      <c r="AF35" s="19"/>
      <c r="AG35" s="19"/>
      <c r="AH35" s="19"/>
      <c r="AI35" s="19"/>
      <c r="AJ35" s="19"/>
      <c r="AK35" s="19"/>
      <c r="AL35" s="19"/>
      <c r="AM35" s="19">
        <v>2</v>
      </c>
    </row>
    <row r="36" spans="1:39" ht="12" customHeight="1" x14ac:dyDescent="0.2">
      <c r="A36" s="10">
        <v>42</v>
      </c>
      <c r="B36" s="77" t="s">
        <v>76</v>
      </c>
      <c r="C36" s="11">
        <f t="shared" si="10"/>
        <v>1</v>
      </c>
      <c r="D36" s="51"/>
      <c r="E36" s="55"/>
      <c r="F36" s="54" t="s">
        <v>41</v>
      </c>
      <c r="G36" s="62"/>
      <c r="H36" s="95">
        <v>20443308</v>
      </c>
      <c r="I36" s="57">
        <f t="shared" si="0"/>
        <v>20443308</v>
      </c>
      <c r="J36" s="58">
        <f t="shared" si="1"/>
        <v>0</v>
      </c>
      <c r="K36" s="16">
        <f t="shared" si="2"/>
        <v>0</v>
      </c>
      <c r="L36" s="58">
        <f t="shared" si="13"/>
        <v>0</v>
      </c>
      <c r="M36" s="59">
        <f t="shared" si="4"/>
        <v>0</v>
      </c>
      <c r="N36" s="17">
        <f>+Tabla1[[#This Row],[LANIA]]</f>
        <v>0</v>
      </c>
      <c r="O36" s="60"/>
      <c r="P36" s="17">
        <f t="shared" si="6"/>
        <v>0</v>
      </c>
      <c r="Q36" s="60">
        <f t="shared" si="7"/>
        <v>0</v>
      </c>
      <c r="R36" s="17">
        <f>SUM(Tabla1[[#This Row],[LNDV ]])</f>
        <v>0</v>
      </c>
      <c r="S36" s="63">
        <f t="shared" si="8"/>
        <v>0</v>
      </c>
      <c r="T36" s="17">
        <f>SUM(Tabla1[[#This Row],[LASIM]])</f>
        <v>0</v>
      </c>
      <c r="U36" s="16">
        <f>+Tabla1[[#This Row],[TOTAL  GGCA]]*Tabla1[[#This Row],[Valor de referencia del proceso]]</f>
        <v>0</v>
      </c>
      <c r="V36" s="41">
        <f>+Tabla1[[#This Row],[UNIDAD C.O]]</f>
        <v>1</v>
      </c>
      <c r="W36" s="64">
        <f t="shared" si="9"/>
        <v>20443308</v>
      </c>
      <c r="X36" s="81" t="s">
        <v>42</v>
      </c>
      <c r="Y36" s="82" t="s">
        <v>42</v>
      </c>
      <c r="Z36" s="82" t="s">
        <v>42</v>
      </c>
      <c r="AA36" s="19"/>
      <c r="AB36" s="65"/>
      <c r="AC36" s="88"/>
      <c r="AD36" s="88"/>
      <c r="AE36" s="88"/>
      <c r="AF36" s="65"/>
      <c r="AG36" s="65"/>
      <c r="AH36" s="65"/>
      <c r="AI36" s="65"/>
      <c r="AJ36" s="65"/>
      <c r="AK36" s="65"/>
      <c r="AL36" s="65"/>
      <c r="AM36" s="65">
        <v>1</v>
      </c>
    </row>
    <row r="37" spans="1:39" ht="12" customHeight="1" x14ac:dyDescent="0.2">
      <c r="A37" s="10">
        <v>43</v>
      </c>
      <c r="B37" s="77" t="s">
        <v>77</v>
      </c>
      <c r="C37" s="11">
        <f t="shared" si="10"/>
        <v>1</v>
      </c>
      <c r="D37" s="51"/>
      <c r="E37" s="53"/>
      <c r="F37" s="53" t="s">
        <v>41</v>
      </c>
      <c r="G37" s="13"/>
      <c r="H37" s="92">
        <v>70580031</v>
      </c>
      <c r="I37" s="14">
        <f t="shared" si="0"/>
        <v>70580031</v>
      </c>
      <c r="J37" s="15">
        <f t="shared" si="1"/>
        <v>0</v>
      </c>
      <c r="K37" s="16">
        <f t="shared" si="2"/>
        <v>0</v>
      </c>
      <c r="L37" s="73"/>
      <c r="M37" s="16">
        <f t="shared" si="4"/>
        <v>0</v>
      </c>
      <c r="N37" s="17">
        <f>+Tabla1[[#This Row],[LANIA]]</f>
        <v>0</v>
      </c>
      <c r="O37" s="18">
        <f>IFERROR(N37*H37," ")</f>
        <v>0</v>
      </c>
      <c r="P37" s="17">
        <f t="shared" si="6"/>
        <v>0</v>
      </c>
      <c r="Q37" s="18">
        <f t="shared" si="7"/>
        <v>0</v>
      </c>
      <c r="R37" s="17">
        <f>SUM(Tabla1[[#This Row],[LNDV ]])</f>
        <v>0</v>
      </c>
      <c r="S37" s="18">
        <f t="shared" si="8"/>
        <v>0</v>
      </c>
      <c r="T37" s="17">
        <f>SUM(Tabla1[[#This Row],[LASIM]])</f>
        <v>0</v>
      </c>
      <c r="U37" s="16">
        <f>+Tabla1[[#This Row],[TOTAL  GGCA]]*Tabla1[[#This Row],[Valor de referencia del proceso]]</f>
        <v>0</v>
      </c>
      <c r="V37" s="41">
        <f>+Tabla1[[#This Row],[UNIDAD C.O]]</f>
        <v>1</v>
      </c>
      <c r="W37" s="45">
        <f t="shared" si="9"/>
        <v>70580031</v>
      </c>
      <c r="X37" s="82" t="s">
        <v>42</v>
      </c>
      <c r="Y37" s="82" t="s">
        <v>42</v>
      </c>
      <c r="Z37" s="82" t="s">
        <v>42</v>
      </c>
      <c r="AA37" s="48"/>
      <c r="AB37" s="19"/>
      <c r="AC37" s="71"/>
      <c r="AD37" s="71"/>
      <c r="AE37" s="71"/>
      <c r="AF37" s="19"/>
      <c r="AG37" s="19"/>
      <c r="AH37" s="19"/>
      <c r="AI37" s="19"/>
      <c r="AJ37" s="19"/>
      <c r="AK37" s="19"/>
      <c r="AL37" s="19"/>
      <c r="AM37" s="19">
        <v>1</v>
      </c>
    </row>
    <row r="38" spans="1:39" ht="12" customHeight="1" x14ac:dyDescent="0.2">
      <c r="A38" s="10">
        <v>45</v>
      </c>
      <c r="B38" s="77" t="s">
        <v>78</v>
      </c>
      <c r="C38" s="11">
        <f t="shared" si="10"/>
        <v>1</v>
      </c>
      <c r="D38" s="51"/>
      <c r="E38" s="53"/>
      <c r="F38" s="54" t="s">
        <v>48</v>
      </c>
      <c r="G38" s="56"/>
      <c r="H38" s="93">
        <v>36304917</v>
      </c>
      <c r="I38" s="57">
        <f t="shared" si="0"/>
        <v>36304917</v>
      </c>
      <c r="J38" s="58">
        <f t="shared" si="1"/>
        <v>0</v>
      </c>
      <c r="K38" s="16">
        <f t="shared" si="2"/>
        <v>0</v>
      </c>
      <c r="L38" s="58">
        <f t="shared" ref="L38:L43" si="14">SUM(AC38:AE38)</f>
        <v>0</v>
      </c>
      <c r="M38" s="59">
        <f t="shared" si="4"/>
        <v>0</v>
      </c>
      <c r="N38" s="17">
        <f>+Tabla1[[#This Row],[LANIA]]</f>
        <v>0</v>
      </c>
      <c r="O38" s="60"/>
      <c r="P38" s="17">
        <f t="shared" si="6"/>
        <v>0</v>
      </c>
      <c r="Q38" s="60">
        <f t="shared" si="7"/>
        <v>0</v>
      </c>
      <c r="R38" s="17">
        <f>SUM(Tabla1[[#This Row],[LNDV ]])</f>
        <v>0</v>
      </c>
      <c r="S38" s="60">
        <f t="shared" si="8"/>
        <v>0</v>
      </c>
      <c r="T38" s="17">
        <f>SUM(Tabla1[[#This Row],[LASIM]])</f>
        <v>0</v>
      </c>
      <c r="U38" s="16">
        <f>+Tabla1[[#This Row],[TOTAL  GGCA]]*Tabla1[[#This Row],[Valor de referencia del proceso]]</f>
        <v>0</v>
      </c>
      <c r="V38" s="41">
        <f>+Tabla1[[#This Row],[UNIDAD C.O]]</f>
        <v>1</v>
      </c>
      <c r="W38" s="61">
        <f t="shared" si="9"/>
        <v>36304917</v>
      </c>
      <c r="X38" s="81" t="s">
        <v>42</v>
      </c>
      <c r="Y38" s="83" t="s">
        <v>42</v>
      </c>
      <c r="Z38" s="78" t="s">
        <v>42</v>
      </c>
      <c r="AA38" s="23"/>
      <c r="AB38" s="65"/>
      <c r="AC38" s="88"/>
      <c r="AD38" s="88"/>
      <c r="AE38" s="88"/>
      <c r="AF38" s="65"/>
      <c r="AG38" s="65"/>
      <c r="AH38" s="65"/>
      <c r="AI38" s="65"/>
      <c r="AJ38" s="65"/>
      <c r="AK38" s="65"/>
      <c r="AL38" s="65"/>
      <c r="AM38" s="65">
        <v>1</v>
      </c>
    </row>
    <row r="39" spans="1:39" ht="12" customHeight="1" x14ac:dyDescent="0.2">
      <c r="A39" s="10">
        <v>46</v>
      </c>
      <c r="B39" s="77" t="s">
        <v>79</v>
      </c>
      <c r="C39" s="11">
        <f t="shared" si="10"/>
        <v>1</v>
      </c>
      <c r="D39" s="51"/>
      <c r="E39" s="53"/>
      <c r="F39" s="54" t="s">
        <v>48</v>
      </c>
      <c r="G39" s="13"/>
      <c r="H39" s="92">
        <v>82992980</v>
      </c>
      <c r="I39" s="14">
        <f t="shared" si="0"/>
        <v>82992980</v>
      </c>
      <c r="J39" s="15">
        <f t="shared" si="1"/>
        <v>0</v>
      </c>
      <c r="K39" s="16">
        <f t="shared" si="2"/>
        <v>0</v>
      </c>
      <c r="L39" s="58">
        <f t="shared" si="14"/>
        <v>0</v>
      </c>
      <c r="M39" s="16">
        <f t="shared" si="4"/>
        <v>0</v>
      </c>
      <c r="N39" s="17">
        <f>+Tabla1[[#This Row],[LANIA]]</f>
        <v>0</v>
      </c>
      <c r="O39" s="18">
        <f>IFERROR(N39*H39," ")</f>
        <v>0</v>
      </c>
      <c r="P39" s="17">
        <f t="shared" si="6"/>
        <v>0</v>
      </c>
      <c r="Q39" s="18">
        <f t="shared" si="7"/>
        <v>0</v>
      </c>
      <c r="R39" s="17">
        <f>SUM(Tabla1[[#This Row],[LNDV ]])</f>
        <v>0</v>
      </c>
      <c r="S39" s="18">
        <f t="shared" si="8"/>
        <v>0</v>
      </c>
      <c r="T39" s="17">
        <f>SUM(Tabla1[[#This Row],[LASIM]])</f>
        <v>0</v>
      </c>
      <c r="U39" s="16">
        <f>+Tabla1[[#This Row],[TOTAL  GGCA]]*Tabla1[[#This Row],[Valor de referencia del proceso]]</f>
        <v>0</v>
      </c>
      <c r="V39" s="41">
        <f>+Tabla1[[#This Row],[UNIDAD C.O]]</f>
        <v>1</v>
      </c>
      <c r="W39" s="45">
        <f t="shared" si="9"/>
        <v>82992980</v>
      </c>
      <c r="X39" s="82" t="s">
        <v>42</v>
      </c>
      <c r="Y39" s="83" t="s">
        <v>42</v>
      </c>
      <c r="Z39" s="78" t="s">
        <v>42</v>
      </c>
      <c r="AA39" s="23"/>
      <c r="AB39" s="19"/>
      <c r="AC39" s="71"/>
      <c r="AD39" s="71"/>
      <c r="AE39" s="71"/>
      <c r="AF39" s="19"/>
      <c r="AG39" s="19"/>
      <c r="AH39" s="19"/>
      <c r="AI39" s="19"/>
      <c r="AJ39" s="19"/>
      <c r="AK39" s="19"/>
      <c r="AL39" s="19"/>
      <c r="AM39" s="19">
        <v>1</v>
      </c>
    </row>
    <row r="40" spans="1:39" ht="14.25" customHeight="1" x14ac:dyDescent="0.2">
      <c r="A40" s="10">
        <v>47</v>
      </c>
      <c r="B40" s="77" t="s">
        <v>80</v>
      </c>
      <c r="C40" s="11">
        <f t="shared" si="10"/>
        <v>2</v>
      </c>
      <c r="D40" s="51"/>
      <c r="E40" s="53"/>
      <c r="F40" s="54" t="s">
        <v>48</v>
      </c>
      <c r="G40" s="13"/>
      <c r="H40" s="92">
        <v>220047462</v>
      </c>
      <c r="I40" s="14">
        <f t="shared" si="0"/>
        <v>440094924</v>
      </c>
      <c r="J40" s="15">
        <f t="shared" si="1"/>
        <v>0</v>
      </c>
      <c r="K40" s="16">
        <f t="shared" si="2"/>
        <v>0</v>
      </c>
      <c r="L40" s="58">
        <f t="shared" si="14"/>
        <v>1</v>
      </c>
      <c r="M40" s="96">
        <f t="shared" si="4"/>
        <v>220047462</v>
      </c>
      <c r="N40" s="17">
        <v>0</v>
      </c>
      <c r="O40" s="18">
        <f>IFERROR(N40*H40," ")</f>
        <v>0</v>
      </c>
      <c r="P40" s="17">
        <f t="shared" si="6"/>
        <v>0</v>
      </c>
      <c r="Q40" s="18">
        <f t="shared" si="7"/>
        <v>0</v>
      </c>
      <c r="R40" s="17">
        <f>SUM(Tabla1[[#This Row],[LNDV ]])</f>
        <v>0</v>
      </c>
      <c r="S40" s="18">
        <f t="shared" si="8"/>
        <v>0</v>
      </c>
      <c r="T40" s="17">
        <f>SUM(Tabla1[[#This Row],[LASIM]])</f>
        <v>0</v>
      </c>
      <c r="U40" s="16">
        <f>+Tabla1[[#This Row],[TOTAL  GGCA]]*Tabla1[[#This Row],[Valor de referencia del proceso]]</f>
        <v>0</v>
      </c>
      <c r="V40" s="41">
        <f>+Tabla1[[#This Row],[UNIDAD C.O]]</f>
        <v>1</v>
      </c>
      <c r="W40" s="45">
        <f t="shared" si="9"/>
        <v>220047462</v>
      </c>
      <c r="X40" s="82" t="s">
        <v>42</v>
      </c>
      <c r="Y40" s="83" t="s">
        <v>42</v>
      </c>
      <c r="Z40" s="78" t="s">
        <v>42</v>
      </c>
      <c r="AA40" s="23"/>
      <c r="AB40" s="19">
        <v>1</v>
      </c>
      <c r="AC40" s="71"/>
      <c r="AD40" s="71">
        <v>1</v>
      </c>
      <c r="AE40" s="71"/>
      <c r="AF40" s="19"/>
      <c r="AG40" s="19"/>
      <c r="AH40" s="19"/>
      <c r="AI40" s="19"/>
      <c r="AJ40" s="19"/>
      <c r="AK40" s="19"/>
      <c r="AL40" s="19"/>
      <c r="AM40" s="19">
        <v>1</v>
      </c>
    </row>
    <row r="41" spans="1:39" ht="12" customHeight="1" x14ac:dyDescent="0.2">
      <c r="A41" s="10">
        <v>48</v>
      </c>
      <c r="B41" s="77" t="s">
        <v>81</v>
      </c>
      <c r="C41" s="11">
        <f t="shared" si="10"/>
        <v>1</v>
      </c>
      <c r="D41" s="51"/>
      <c r="E41" s="53"/>
      <c r="F41" s="54" t="s">
        <v>48</v>
      </c>
      <c r="G41" s="13"/>
      <c r="H41" s="92">
        <v>77256387</v>
      </c>
      <c r="I41" s="14">
        <f t="shared" si="0"/>
        <v>77256387</v>
      </c>
      <c r="J41" s="15">
        <f t="shared" si="1"/>
        <v>0</v>
      </c>
      <c r="K41" s="16">
        <f t="shared" si="2"/>
        <v>0</v>
      </c>
      <c r="L41" s="73">
        <f t="shared" si="14"/>
        <v>0</v>
      </c>
      <c r="M41" s="16">
        <f t="shared" si="4"/>
        <v>0</v>
      </c>
      <c r="N41" s="17">
        <f>+Tabla1[[#This Row],[LANIA]]</f>
        <v>0</v>
      </c>
      <c r="O41" s="18">
        <f>IFERROR(N41*H41," ")</f>
        <v>0</v>
      </c>
      <c r="P41" s="17">
        <f t="shared" si="6"/>
        <v>0</v>
      </c>
      <c r="Q41" s="18">
        <f t="shared" si="7"/>
        <v>0</v>
      </c>
      <c r="R41" s="17">
        <f>SUM(Tabla1[[#This Row],[LNDV ]])</f>
        <v>0</v>
      </c>
      <c r="S41" s="18">
        <f t="shared" si="8"/>
        <v>0</v>
      </c>
      <c r="T41" s="17">
        <f>SUM(Tabla1[[#This Row],[LASIM]])</f>
        <v>1</v>
      </c>
      <c r="U41" s="16">
        <f>+Tabla1[[#This Row],[TOTAL  GGCA]]*Tabla1[[#This Row],[Valor de referencia del proceso]]</f>
        <v>77256387</v>
      </c>
      <c r="V41" s="41">
        <f>+Tabla1[[#This Row],[UNIDAD C.O]]</f>
        <v>0</v>
      </c>
      <c r="W41" s="45">
        <f t="shared" si="9"/>
        <v>0</v>
      </c>
      <c r="X41" s="82" t="s">
        <v>42</v>
      </c>
      <c r="Y41" s="83" t="s">
        <v>42</v>
      </c>
      <c r="Z41" s="78" t="s">
        <v>42</v>
      </c>
      <c r="AA41" s="23"/>
      <c r="AB41" s="19"/>
      <c r="AC41" s="71"/>
      <c r="AD41" s="71"/>
      <c r="AE41" s="71"/>
      <c r="AF41" s="19"/>
      <c r="AG41" s="19"/>
      <c r="AH41" s="19"/>
      <c r="AI41" s="19"/>
      <c r="AJ41" s="19"/>
      <c r="AK41" s="19"/>
      <c r="AL41" s="19">
        <v>1</v>
      </c>
      <c r="AM41" s="19"/>
    </row>
    <row r="42" spans="1:39" ht="14.25" customHeight="1" x14ac:dyDescent="0.2">
      <c r="A42" s="10">
        <v>49</v>
      </c>
      <c r="B42" s="77" t="s">
        <v>82</v>
      </c>
      <c r="C42" s="11">
        <f t="shared" si="10"/>
        <v>1</v>
      </c>
      <c r="D42" s="51"/>
      <c r="E42" s="53"/>
      <c r="F42" s="54" t="s">
        <v>41</v>
      </c>
      <c r="G42" s="13"/>
      <c r="H42" s="92">
        <v>49299816</v>
      </c>
      <c r="I42" s="14">
        <f t="shared" si="0"/>
        <v>49299816</v>
      </c>
      <c r="J42" s="73">
        <f t="shared" si="1"/>
        <v>1</v>
      </c>
      <c r="K42" s="16">
        <f t="shared" si="2"/>
        <v>49299816</v>
      </c>
      <c r="L42" s="73">
        <f t="shared" si="14"/>
        <v>0</v>
      </c>
      <c r="M42" s="16">
        <f t="shared" si="4"/>
        <v>0</v>
      </c>
      <c r="N42" s="17">
        <f>+Tabla1[[#This Row],[LANIA]]</f>
        <v>0</v>
      </c>
      <c r="O42" s="18">
        <f>IFERROR(N42*H42," ")</f>
        <v>0</v>
      </c>
      <c r="P42" s="17">
        <f t="shared" si="6"/>
        <v>0</v>
      </c>
      <c r="Q42" s="18">
        <f t="shared" si="7"/>
        <v>0</v>
      </c>
      <c r="R42" s="17">
        <f>SUM(Tabla1[[#This Row],[LNDV ]])</f>
        <v>0</v>
      </c>
      <c r="S42" s="18">
        <f t="shared" si="8"/>
        <v>0</v>
      </c>
      <c r="T42" s="17">
        <f>SUM(Tabla1[[#This Row],[LASIM]])</f>
        <v>0</v>
      </c>
      <c r="U42" s="16">
        <f>+Tabla1[[#This Row],[TOTAL  GGCA]]*Tabla1[[#This Row],[Valor de referencia del proceso]]</f>
        <v>0</v>
      </c>
      <c r="V42" s="41">
        <f>+Tabla1[[#This Row],[UNIDAD C.O]]</f>
        <v>0</v>
      </c>
      <c r="W42" s="45">
        <f t="shared" si="9"/>
        <v>0</v>
      </c>
      <c r="X42" s="84" t="s">
        <v>42</v>
      </c>
      <c r="Y42" s="85" t="s">
        <v>42</v>
      </c>
      <c r="Z42" s="86" t="s">
        <v>42</v>
      </c>
      <c r="AA42" s="40">
        <v>1</v>
      </c>
      <c r="AB42" s="19"/>
      <c r="AC42" s="71"/>
      <c r="AD42" s="71"/>
      <c r="AE42" s="71"/>
      <c r="AF42" s="19"/>
      <c r="AG42" s="19"/>
      <c r="AH42" s="19"/>
      <c r="AI42" s="19"/>
      <c r="AJ42" s="19"/>
      <c r="AK42" s="19"/>
      <c r="AL42" s="19"/>
      <c r="AM42" s="19"/>
    </row>
    <row r="43" spans="1:39" ht="12" customHeight="1" x14ac:dyDescent="0.2">
      <c r="A43" s="10">
        <v>50</v>
      </c>
      <c r="B43" s="22" t="s">
        <v>83</v>
      </c>
      <c r="C43" s="11">
        <f t="shared" si="10"/>
        <v>1</v>
      </c>
      <c r="D43" s="51"/>
      <c r="E43" s="53"/>
      <c r="F43" s="54" t="s">
        <v>48</v>
      </c>
      <c r="G43" s="13"/>
      <c r="H43" s="92">
        <v>172746924</v>
      </c>
      <c r="I43" s="14">
        <f t="shared" si="0"/>
        <v>172746924</v>
      </c>
      <c r="J43" s="73">
        <f t="shared" si="1"/>
        <v>0</v>
      </c>
      <c r="K43" s="16">
        <f t="shared" si="2"/>
        <v>0</v>
      </c>
      <c r="L43" s="15">
        <f t="shared" si="14"/>
        <v>0</v>
      </c>
      <c r="M43" s="16">
        <f t="shared" si="4"/>
        <v>0</v>
      </c>
      <c r="N43" s="17">
        <f>+Tabla1[[#This Row],[LANIA]]</f>
        <v>0</v>
      </c>
      <c r="O43" s="18">
        <f>IFERROR(N43*H43," ")</f>
        <v>0</v>
      </c>
      <c r="P43" s="17">
        <f t="shared" si="6"/>
        <v>0</v>
      </c>
      <c r="Q43" s="18">
        <f t="shared" si="7"/>
        <v>0</v>
      </c>
      <c r="R43" s="17">
        <f>SUM(Tabla1[[#This Row],[LNDV ]])</f>
        <v>0</v>
      </c>
      <c r="S43" s="18">
        <f t="shared" si="8"/>
        <v>0</v>
      </c>
      <c r="T43" s="17">
        <f>SUM(Tabla1[[#This Row],[LASIM]])</f>
        <v>0</v>
      </c>
      <c r="U43" s="16">
        <f>+Tabla1[[#This Row],[TOTAL  GGCA]]*Tabla1[[#This Row],[Valor de referencia del proceso]]</f>
        <v>0</v>
      </c>
      <c r="V43" s="41">
        <f>+Tabla1[[#This Row],[UNIDAD C.O]]</f>
        <v>1</v>
      </c>
      <c r="W43" s="45">
        <f t="shared" si="9"/>
        <v>172746924</v>
      </c>
      <c r="X43" s="82" t="s">
        <v>42</v>
      </c>
      <c r="Y43" s="83" t="s">
        <v>42</v>
      </c>
      <c r="Z43" s="78" t="s">
        <v>42</v>
      </c>
      <c r="AA43" s="23"/>
      <c r="AB43" s="19"/>
      <c r="AC43" s="71"/>
      <c r="AD43" s="71"/>
      <c r="AE43" s="71"/>
      <c r="AF43" s="19"/>
      <c r="AG43" s="19"/>
      <c r="AH43" s="19"/>
      <c r="AI43" s="19"/>
      <c r="AJ43" s="19"/>
      <c r="AK43" s="19"/>
      <c r="AL43" s="19"/>
      <c r="AM43" s="19">
        <v>1</v>
      </c>
    </row>
    <row r="44" spans="1:39" ht="12" customHeight="1" x14ac:dyDescent="0.2">
      <c r="A44" s="25" t="s">
        <v>84</v>
      </c>
      <c r="B44" s="26">
        <f>SUBTOTAL(103,Tabla1[[Equipo ]])</f>
        <v>41</v>
      </c>
      <c r="C44" s="27">
        <f>SUBTOTAL(109,Tabla1[Cantidad Total])</f>
        <v>64</v>
      </c>
      <c r="D44" s="27"/>
      <c r="E44" s="28"/>
      <c r="F44" s="28"/>
      <c r="G44" s="29"/>
      <c r="H44" s="30">
        <f>SUBTOTAL(109,Tabla1[Valor de referencia del proceso])</f>
        <v>4388175400</v>
      </c>
      <c r="I44" s="31">
        <f>SUBTOTAL(109,Tabla1[Valor Total del proceso  de LP])</f>
        <v>5737625055</v>
      </c>
      <c r="J44" s="32">
        <f>SUBTOTAL(109,Tabla1[Cant. RED LDF])</f>
        <v>14</v>
      </c>
      <c r="K44" s="33">
        <f>SUBTOTAL(109,Tabla1[Valor Total RED LDF])</f>
        <v>1964960523</v>
      </c>
      <c r="L44" s="32">
        <f>SUBTOTAL(109,Tabla1[Cant.  LDF&amp;MR])</f>
        <v>7</v>
      </c>
      <c r="M44" s="33">
        <f>SUBTOTAL(109,Tabla1[Valor Total LDF&amp;MR])</f>
        <v>395239127</v>
      </c>
      <c r="N44" s="32">
        <f>SUBTOTAL(109,Tabla1[Cant. LANIA])</f>
        <v>4</v>
      </c>
      <c r="O44" s="34">
        <f>SUBTOTAL(109,Tabla1[Valor Total LANIA])</f>
        <v>126859828</v>
      </c>
      <c r="P44" s="32">
        <f>SUBTOTAL(109,Tabla1[Cant.  RED LASE])</f>
        <v>5</v>
      </c>
      <c r="Q44" s="34">
        <f>SUBTOTAL(109,Tabla1[Valor Total RED LASE])</f>
        <v>663928504</v>
      </c>
      <c r="R44" s="32">
        <f>SUBTOTAL(109,Tabla1[Cant. LNDV])</f>
        <v>3</v>
      </c>
      <c r="S44" s="34">
        <f>SUBTOTAL(109,Tabla1[Valor Total LNDV])</f>
        <v>118425363</v>
      </c>
      <c r="T44" s="32">
        <f>SUBTOTAL(109,Tabla1[TOTAL  GGCA])</f>
        <v>2</v>
      </c>
      <c r="U44" s="33">
        <f>SUBTOTAL(109,Tabla1[Valor Total GGCA])</f>
        <v>101131443</v>
      </c>
      <c r="V44" s="35">
        <f>SUBTOTAL(109,Tabla1[TOTAL  UNIDAD C.O])</f>
        <v>29</v>
      </c>
      <c r="W44" s="36">
        <f>SUBTOTAL(109,Tabla1[Valor Total UNIDAD C.O ])</f>
        <v>2367080267</v>
      </c>
      <c r="X44" s="49">
        <f>SUBTOTAL(109,Tabla1[LDF Bello])</f>
        <v>1</v>
      </c>
      <c r="Y44" s="49">
        <f>SUBTOTAL(109,Tabla1[LDF Cúcuta])</f>
        <v>1</v>
      </c>
      <c r="Z44" s="49">
        <f>SUBTOTAL(109,Tabla1[LDF Pasto])</f>
        <v>2</v>
      </c>
      <c r="AA44" s="49">
        <f>SUBTOTAL(109,Tabla1[LDF Sogamoso - Suelos])</f>
        <v>10</v>
      </c>
      <c r="AB44" s="49">
        <f>SUBTOTAL(109,Tabla1[LANIA])</f>
        <v>9</v>
      </c>
      <c r="AC44" s="90">
        <f>SUBTOTAL(109,Tabla1[LCV])</f>
        <v>1</v>
      </c>
      <c r="AD44" s="90">
        <f>SUBTOTAL(109,Tabla1[LOGM])</f>
        <v>4</v>
      </c>
      <c r="AE44" s="90">
        <f>SUBTOTAL(109,Tabla1[LNTC])</f>
        <v>2</v>
      </c>
      <c r="AF44" s="49">
        <f>SUBTOTAL(109,Tabla1[LASE Bucaramanga])</f>
        <v>1</v>
      </c>
      <c r="AG44" s="49">
        <f>SUBTOTAL(109,Tabla1[LASE Ibagué])</f>
        <v>1</v>
      </c>
      <c r="AH44" s="49">
        <f>SUBTOTAL(109,Tabla1[LASE Palmira])</f>
        <v>1</v>
      </c>
      <c r="AI44" s="49">
        <f>SUBTOTAL(109,Tabla1[LASE Valledupar])</f>
        <v>1</v>
      </c>
      <c r="AJ44" s="49">
        <f>SUBTOTAL(109,Tabla1[LANASE])</f>
        <v>1</v>
      </c>
      <c r="AK44" s="49">
        <f>SUBTOTAL(109,Tabla1[[LNDV ]])</f>
        <v>3</v>
      </c>
      <c r="AL44" s="49">
        <f>SUBTOTAL(109,Tabla1[LASIM])</f>
        <v>2</v>
      </c>
      <c r="AM44" s="49">
        <f>SUBTOTAL(109,Tabla1[UNIDAD C.O])</f>
        <v>29</v>
      </c>
    </row>
    <row r="45" spans="1:39" ht="12" customHeight="1" x14ac:dyDescent="0.2">
      <c r="I45" s="2">
        <f>+K45+M45+O45+Q45+S45+U45+W45</f>
        <v>5739000000</v>
      </c>
      <c r="K45" s="91">
        <v>1319000000</v>
      </c>
      <c r="M45" s="91">
        <v>400000000</v>
      </c>
      <c r="O45" s="3">
        <v>700000000</v>
      </c>
      <c r="Q45" s="91">
        <v>600000000</v>
      </c>
      <c r="S45" s="91">
        <v>120000000</v>
      </c>
      <c r="U45" s="91">
        <v>100000000</v>
      </c>
      <c r="W45" s="91">
        <f>1020000000+1480000000</f>
        <v>2500000000</v>
      </c>
    </row>
    <row r="46" spans="1:39" ht="12" customHeight="1" x14ac:dyDescent="0.2">
      <c r="I46" s="91">
        <f>+I45-Tabla1[[#Totals],[Valor Total del proceso  de LP]]</f>
        <v>1374945</v>
      </c>
      <c r="K46" s="91">
        <f>+K45-Tabla1[[#Totals],[Valor Total RED LDF]]</f>
        <v>-645960523</v>
      </c>
      <c r="M46" s="91">
        <f>+M45-Tabla1[[#Totals],[Valor Total LDF&amp;MR]]</f>
        <v>4760873</v>
      </c>
      <c r="O46" s="91">
        <f>+O45-Tabla1[[#Totals],[Valor Total LANIA]]</f>
        <v>573140172</v>
      </c>
      <c r="Q46" s="91">
        <f>+Q45-Tabla1[[#Totals],[Valor Total RED LASE]]</f>
        <v>-63928504</v>
      </c>
      <c r="S46" s="91">
        <f>+S45-Tabla1[[#Totals],[Valor Total LNDV]]</f>
        <v>1574637</v>
      </c>
      <c r="U46" s="91">
        <f>+U45-Tabla1[[#Totals],[Valor Total GGCA]]</f>
        <v>-1131443</v>
      </c>
      <c r="W46" s="91">
        <f>+W45-Tabla1[[#Totals],[Valor Total UNIDAD C.O ]]</f>
        <v>132919733</v>
      </c>
    </row>
  </sheetData>
  <conditionalFormatting sqref="I46">
    <cfRule type="cellIs" dxfId="98" priority="1" operator="lessThan">
      <formula>0</formula>
    </cfRule>
    <cfRule type="cellIs" dxfId="97" priority="2" operator="greaterThan">
      <formula>0</formula>
    </cfRule>
  </conditionalFormatting>
  <conditionalFormatting sqref="K46">
    <cfRule type="cellIs" dxfId="96" priority="9" operator="lessThan">
      <formula>0</formula>
    </cfRule>
    <cfRule type="cellIs" dxfId="95" priority="10" operator="greaterThan">
      <formula>0</formula>
    </cfRule>
  </conditionalFormatting>
  <conditionalFormatting sqref="M46">
    <cfRule type="cellIs" dxfId="94" priority="11" operator="lessThan">
      <formula>0</formula>
    </cfRule>
    <cfRule type="cellIs" dxfId="93" priority="12" operator="greaterThan">
      <formula>0</formula>
    </cfRule>
  </conditionalFormatting>
  <conditionalFormatting sqref="O46">
    <cfRule type="cellIs" dxfId="92" priority="13" operator="lessThan">
      <formula>0</formula>
    </cfRule>
    <cfRule type="cellIs" dxfId="91" priority="14" operator="greaterThan">
      <formula>0</formula>
    </cfRule>
  </conditionalFormatting>
  <conditionalFormatting sqref="Q46">
    <cfRule type="cellIs" dxfId="90" priority="17" operator="lessThan">
      <formula>0</formula>
    </cfRule>
    <cfRule type="cellIs" dxfId="89" priority="18" operator="greaterThan">
      <formula>0</formula>
    </cfRule>
  </conditionalFormatting>
  <conditionalFormatting sqref="S46">
    <cfRule type="cellIs" dxfId="88" priority="19" operator="lessThan">
      <formula>0</formula>
    </cfRule>
    <cfRule type="cellIs" dxfId="87" priority="20" operator="greaterThan">
      <formula>0</formula>
    </cfRule>
  </conditionalFormatting>
  <conditionalFormatting sqref="U46">
    <cfRule type="cellIs" dxfId="86" priority="5" operator="lessThan">
      <formula>0</formula>
    </cfRule>
    <cfRule type="cellIs" dxfId="85" priority="6" operator="greaterThan">
      <formula>0</formula>
    </cfRule>
  </conditionalFormatting>
  <conditionalFormatting sqref="W46">
    <cfRule type="cellIs" dxfId="84" priority="3" operator="lessThan">
      <formula>0</formula>
    </cfRule>
    <cfRule type="cellIs" dxfId="83" priority="4" operator="greaterThan">
      <formula>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3947b0a9b10a8ee52c9a22391abaf2ad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97ee6d4b05bc516e8a1436f4a82ab588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  <SharedWithUsers xmlns="6bd64bee-747a-4257-ac2c-022ce70e2643">
      <UserInfo>
        <DisplayName>Leixaned Beltran Calderon</DisplayName>
        <AccountId>12</AccountId>
        <AccountType/>
      </UserInfo>
      <UserInfo>
        <DisplayName>Diego Alejandro Mendez Mendez</DisplayName>
        <AccountId>277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4F68DD-940B-4027-AFF9-F982ABD94B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d64bee-747a-4257-ac2c-022ce70e2643"/>
    <ds:schemaRef ds:uri="49568fc9-c75b-4056-ba7b-120608bf9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4B5650-EDFD-4A35-8379-03BC4C5C23F5}">
  <ds:schemaRefs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49568fc9-c75b-4056-ba7b-120608bf9c50"/>
    <ds:schemaRef ds:uri="http://schemas.microsoft.com/office/infopath/2007/PartnerControls"/>
    <ds:schemaRef ds:uri="6bd64bee-747a-4257-ac2c-022ce70e2643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387E776-FA6E-4FA5-8555-404BA96E59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David Romero Jara</dc:creator>
  <cp:keywords/>
  <dc:description/>
  <cp:lastModifiedBy>Lenovo Ideapad</cp:lastModifiedBy>
  <cp:revision/>
  <dcterms:created xsi:type="dcterms:W3CDTF">2024-03-13T16:09:58Z</dcterms:created>
  <dcterms:modified xsi:type="dcterms:W3CDTF">2025-08-19T18:06:19Z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