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Documents\ARCHIVOS FERO 2025\079-CITAE NVO-HERRAMIENTAS PARA LABORAT (MINIMA)\SOPORTES PARA PUBLICAR\"/>
    </mc:Choice>
  </mc:AlternateContent>
  <xr:revisionPtr revIDLastSave="0" documentId="13_ncr:1_{FBF7CB2C-EDAF-4D47-BA62-7BA86129CB8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 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4" i="3" l="1"/>
  <c r="I14" i="3"/>
  <c r="L14" i="3" s="1"/>
  <c r="J14" i="3"/>
  <c r="K14" i="3"/>
  <c r="M14" i="3"/>
  <c r="N14" i="3"/>
  <c r="O14" i="3" s="1"/>
  <c r="P14" i="3"/>
  <c r="Q14" i="3"/>
  <c r="R33" i="3" l="1"/>
  <c r="N5" i="3"/>
  <c r="N8" i="3"/>
  <c r="N9" i="3"/>
  <c r="N12" i="3"/>
  <c r="N13" i="3"/>
  <c r="N15" i="3"/>
  <c r="N16" i="3"/>
  <c r="N19" i="3"/>
  <c r="N20" i="3"/>
  <c r="N21" i="3"/>
  <c r="N22" i="3"/>
  <c r="N23" i="3"/>
  <c r="N24" i="3"/>
  <c r="N27" i="3"/>
  <c r="N28" i="3"/>
  <c r="N29" i="3"/>
  <c r="N30" i="3"/>
  <c r="N31" i="3"/>
  <c r="N34" i="3"/>
  <c r="N37" i="3"/>
  <c r="N40" i="3"/>
  <c r="N4" i="3"/>
  <c r="M40" i="3"/>
  <c r="M37" i="3"/>
  <c r="M34" i="3"/>
  <c r="M27" i="3"/>
  <c r="M24" i="3"/>
  <c r="M23" i="3"/>
  <c r="M22" i="3"/>
  <c r="R22" i="3" s="1"/>
  <c r="M21" i="3"/>
  <c r="R21" i="3" s="1"/>
  <c r="M15" i="3"/>
  <c r="R15" i="3" s="1"/>
  <c r="M12" i="3"/>
  <c r="K8" i="3"/>
  <c r="K5" i="3"/>
  <c r="K4" i="3"/>
  <c r="K40" i="3"/>
  <c r="K37" i="3"/>
  <c r="K34" i="3"/>
  <c r="K31" i="3"/>
  <c r="K29" i="3"/>
  <c r="K27" i="3"/>
  <c r="K24" i="3"/>
  <c r="J24" i="3"/>
  <c r="K23" i="3"/>
  <c r="K22" i="3"/>
  <c r="K21" i="3"/>
  <c r="K20" i="3"/>
  <c r="K19" i="3"/>
  <c r="K16" i="3"/>
  <c r="K15" i="3"/>
  <c r="K13" i="3"/>
  <c r="K12" i="3"/>
  <c r="K9" i="3"/>
  <c r="J40" i="3"/>
  <c r="J37" i="3"/>
  <c r="J34" i="3"/>
  <c r="J31" i="3"/>
  <c r="J30" i="3"/>
  <c r="J29" i="3"/>
  <c r="J28" i="3"/>
  <c r="J27" i="3"/>
  <c r="J23" i="3"/>
  <c r="J22" i="3"/>
  <c r="J21" i="3"/>
  <c r="J20" i="3"/>
  <c r="J19" i="3"/>
  <c r="J16" i="3"/>
  <c r="J15" i="3"/>
  <c r="J13" i="3"/>
  <c r="J12" i="3"/>
  <c r="J9" i="3"/>
  <c r="J8" i="3"/>
  <c r="J5" i="3"/>
  <c r="J4" i="3"/>
  <c r="I40" i="3"/>
  <c r="R40" i="3" s="1"/>
  <c r="I37" i="3"/>
  <c r="I34" i="3"/>
  <c r="R34" i="3" s="1"/>
  <c r="I31" i="3"/>
  <c r="R31" i="3" s="1"/>
  <c r="I30" i="3"/>
  <c r="R30" i="3" s="1"/>
  <c r="I28" i="3"/>
  <c r="R28" i="3" s="1"/>
  <c r="I27" i="3"/>
  <c r="I24" i="3"/>
  <c r="R24" i="3" s="1"/>
  <c r="I23" i="3"/>
  <c r="R23" i="3" s="1"/>
  <c r="I22" i="3"/>
  <c r="I21" i="3"/>
  <c r="I20" i="3"/>
  <c r="R20" i="3" s="1"/>
  <c r="I19" i="3"/>
  <c r="R19" i="3" s="1"/>
  <c r="I16" i="3"/>
  <c r="R16" i="3" s="1"/>
  <c r="I15" i="3"/>
  <c r="I13" i="3"/>
  <c r="L13" i="3" s="1"/>
  <c r="R13" i="3" s="1"/>
  <c r="I12" i="3"/>
  <c r="R12" i="3" s="1"/>
  <c r="I9" i="3"/>
  <c r="R9" i="3" s="1"/>
  <c r="I8" i="3"/>
  <c r="R8" i="3" s="1"/>
  <c r="I5" i="3"/>
  <c r="R5" i="3" s="1"/>
  <c r="I4" i="3"/>
  <c r="Q37" i="3"/>
  <c r="Q13" i="3"/>
  <c r="P13" i="3"/>
  <c r="M5" i="3"/>
  <c r="M4" i="3"/>
  <c r="Q8" i="3"/>
  <c r="Q9" i="3"/>
  <c r="Q12" i="3"/>
  <c r="Q15" i="3"/>
  <c r="Q16" i="3"/>
  <c r="Q19" i="3"/>
  <c r="Q20" i="3"/>
  <c r="Q21" i="3"/>
  <c r="Q22" i="3"/>
  <c r="Q23" i="3"/>
  <c r="Q24" i="3"/>
  <c r="Q27" i="3"/>
  <c r="Q28" i="3"/>
  <c r="Q29" i="3"/>
  <c r="Q30" i="3"/>
  <c r="Q31" i="3"/>
  <c r="Q34" i="3"/>
  <c r="Q40" i="3"/>
  <c r="Q5" i="3"/>
  <c r="Q4" i="3"/>
  <c r="P8" i="3"/>
  <c r="P9" i="3"/>
  <c r="P12" i="3"/>
  <c r="P15" i="3"/>
  <c r="P16" i="3"/>
  <c r="P19" i="3"/>
  <c r="P20" i="3"/>
  <c r="P21" i="3"/>
  <c r="P22" i="3"/>
  <c r="P23" i="3"/>
  <c r="P24" i="3"/>
  <c r="P27" i="3"/>
  <c r="P28" i="3"/>
  <c r="P29" i="3"/>
  <c r="P30" i="3"/>
  <c r="P31" i="3"/>
  <c r="P34" i="3"/>
  <c r="P37" i="3"/>
  <c r="P40" i="3"/>
  <c r="P5" i="3"/>
  <c r="P4" i="3"/>
  <c r="M20" i="3"/>
  <c r="M28" i="3"/>
  <c r="M29" i="3"/>
  <c r="M30" i="3"/>
  <c r="M31" i="3"/>
  <c r="M19" i="3"/>
  <c r="M16" i="3"/>
  <c r="M13" i="3"/>
  <c r="M8" i="3"/>
  <c r="M9" i="3"/>
  <c r="K30" i="3"/>
  <c r="K28" i="3"/>
  <c r="I29" i="3"/>
  <c r="R29" i="3" s="1"/>
  <c r="R25" i="3" l="1"/>
  <c r="R10" i="3"/>
  <c r="O13" i="3"/>
  <c r="O37" i="3"/>
  <c r="R37" i="3"/>
  <c r="R17" i="3"/>
  <c r="R4" i="3"/>
  <c r="R6" i="3" s="1"/>
  <c r="I6" i="3"/>
  <c r="O40" i="3"/>
  <c r="L22" i="3"/>
  <c r="L21" i="3"/>
  <c r="L24" i="3"/>
  <c r="L4" i="3"/>
  <c r="L9" i="3"/>
  <c r="O15" i="3"/>
  <c r="O4" i="3"/>
  <c r="O20" i="3"/>
  <c r="L5" i="3"/>
  <c r="L8" i="3"/>
  <c r="L15" i="3"/>
  <c r="O9" i="3"/>
  <c r="O8" i="3"/>
  <c r="L30" i="3"/>
  <c r="O12" i="3"/>
  <c r="L31" i="3"/>
  <c r="O23" i="3"/>
  <c r="L16" i="3"/>
  <c r="L23" i="3"/>
  <c r="O21" i="3"/>
  <c r="O24" i="3"/>
  <c r="O27" i="3"/>
  <c r="L20" i="3"/>
  <c r="O5" i="3"/>
  <c r="O31" i="3"/>
  <c r="O30" i="3"/>
  <c r="L29" i="3"/>
  <c r="L28" i="3"/>
  <c r="O29" i="3"/>
  <c r="L27" i="3"/>
  <c r="O28" i="3"/>
  <c r="L37" i="3"/>
  <c r="L19" i="3"/>
  <c r="O16" i="3"/>
  <c r="O34" i="3"/>
  <c r="O22" i="3"/>
  <c r="L40" i="3"/>
  <c r="L34" i="3"/>
  <c r="O19" i="3"/>
  <c r="L12" i="3"/>
  <c r="R42" i="3" l="1"/>
  <c r="R27" i="3"/>
  <c r="R32" i="3" s="1"/>
  <c r="H32" i="3"/>
</calcChain>
</file>

<file path=xl/sharedStrings.xml><?xml version="1.0" encoding="utf-8"?>
<sst xmlns="http://schemas.openxmlformats.org/spreadsheetml/2006/main" count="117" uniqueCount="60">
  <si>
    <r>
      <t>ITEM</t>
    </r>
    <r>
      <rPr>
        <sz val="8"/>
        <color theme="1"/>
        <rFont val="Arial"/>
        <family val="2"/>
      </rPr>
      <t> </t>
    </r>
  </si>
  <si>
    <t>PRODUCTOS</t>
  </si>
  <si>
    <t>VALOR UNITARIO INCLUIDO IVA</t>
  </si>
  <si>
    <t xml:space="preserve"> MEDIA ARITMETICA/PROMEDIO  </t>
  </si>
  <si>
    <t xml:space="preserve"> VALOR  COTIZADO  MAS BAJO  </t>
  </si>
  <si>
    <t xml:space="preserve"> VALOR  UNITARIO MAS ALTO </t>
  </si>
  <si>
    <t xml:space="preserve"> MAB - MEDIA ARITMETICA BAJA </t>
  </si>
  <si>
    <t xml:space="preserve"> MEDIA PODADA </t>
  </si>
  <si>
    <t xml:space="preserve"> DESVIACION ESTANDAR </t>
  </si>
  <si>
    <t xml:space="preserve">% DISPERSION </t>
  </si>
  <si>
    <t>MEDIA GOMETRICA</t>
  </si>
  <si>
    <t xml:space="preserve">MEDIANA </t>
  </si>
  <si>
    <t>PRECIO DE REFERENCIA</t>
  </si>
  <si>
    <t xml:space="preserve">METRICA APLICADA </t>
  </si>
  <si>
    <t>CANT.</t>
  </si>
  <si>
    <t>UND.</t>
  </si>
  <si>
    <t>FUENTE 1 ARDOBOT ROBOTICA S.A.S</t>
  </si>
  <si>
    <t>FUENTE  2   TECNOSOLUCIONES A&amp;K S.A.S.</t>
  </si>
  <si>
    <t>FUENTE  3     FERREPLASTICOS CALI S.A.S</t>
  </si>
  <si>
    <t xml:space="preserve"> FUENTE 4 INNOVACIONES Y SERVICIOS LCIDC S.A.S </t>
  </si>
  <si>
    <t xml:space="preserve"> VALOR UNITARIO INCLUIDO  IVA </t>
  </si>
  <si>
    <t>RUBRO A-02-01-01-004-008 APARATOS MÉDICOS, INSTRUMENTOS ÓPTICOS Y DE PRECISIÓN, RELOJES  $4.380.032</t>
  </si>
  <si>
    <t>Mini monitor continuo individual de estación de trabajo para medición de continuidad estática. </t>
  </si>
  <si>
    <t>UND</t>
  </si>
  <si>
    <t xml:space="preserve">PROMEDIO </t>
  </si>
  <si>
    <t>NanoVNA LiteVNA64 OK, 50 kHz a 6 GHz.   </t>
  </si>
  <si>
    <t>PROMEDIO</t>
  </si>
  <si>
    <t xml:space="preserve">TOTAL RUBRO </t>
  </si>
  <si>
    <t>RUBRO A-02-01-01-004-007 (KITS)  EQUIPO Y APARATOS DE RADIO, TELEVISIÓN Y COMUNICACIONES $7.840.233</t>
  </si>
  <si>
    <t>Kit de adaptador SMA</t>
  </si>
  <si>
    <t>kit de adaptador universal Maxi Pomona Electronics 5748, 41 piezas</t>
  </si>
  <si>
    <t>3888,155,76</t>
  </si>
  <si>
    <t>RUBRO A-02-02-01-003-006 PRODUCTOS DE CAUCHO Y PLÁSTICO $10.659.590</t>
  </si>
  <si>
    <t xml:space="preserve">Caja plástica ESD ASSORTER 4-32 </t>
  </si>
  <si>
    <t xml:space="preserve">Kit amarre plástico negro  </t>
  </si>
  <si>
    <t>MEDIA ARITMETICA BAJA</t>
  </si>
  <si>
    <t>Rollo Tapete disipativo</t>
  </si>
  <si>
    <t>Tapete antiestático para soldar</t>
  </si>
  <si>
    <t>MEDIA PODADA</t>
  </si>
  <si>
    <t xml:space="preserve">Tapete adhesivo  </t>
  </si>
  <si>
    <t>RUBRO A-02-02-01-004-006 MAQUINARIA Y APARATOS ELÉCTRICOS $1.949.851</t>
  </si>
  <si>
    <t xml:space="preserve">Conector plug banana de seguridad surtidos 4mm  </t>
  </si>
  <si>
    <t>Cables de multímetro de 25 piezas.</t>
  </si>
  <si>
    <t>Cable coaxial BNC a caimán.</t>
  </si>
  <si>
    <t>Cable tipo BNC-BNC con encauchetado de media flexibilidad.</t>
  </si>
  <si>
    <t xml:space="preserve">Juegos cables para multimetro 16 puntas de sonda.  </t>
  </si>
  <si>
    <t xml:space="preserve"> Cables de prueba industrial FLUKE TL220.</t>
  </si>
  <si>
    <t>RUBRO A-02-02-01-004-002 PRODUCTOS METÁLICOS ELABORADOS (EXCEPTO MAQUINARIA Y EQUIPO) $3,673.479</t>
  </si>
  <si>
    <t>Desarmador con torque ajustable, 2.5 a 11.5 in/lbs WERA</t>
  </si>
  <si>
    <t>Juego Ratchet fijación de trinquete &amp; pasador cautivo de 1/4" 
GEDORE</t>
  </si>
  <si>
    <t>Adaptador de llaves Allen GEDORE 
y llave cerrada GEDORE 5 mm.</t>
  </si>
  <si>
    <t xml:space="preserve">Kit broche universal, 10 mm  </t>
  </si>
  <si>
    <t xml:space="preserve">Copa desechable de aluminio sartenes redondos de aluminio desechables de 7 pulgadas. </t>
  </si>
  <si>
    <t>RUBRO A-02-02-01-003-005 OTROS PRODUCTOS QUÍMICOS; FIBRAS ARTIFICIALES (O FIBRAS INDUSTRIALES HECHAS POR EL $6.013.657</t>
  </si>
  <si>
    <t xml:space="preserve">Limpiador de pisos conductivos ESD, cera antiestática  </t>
  </si>
  <si>
    <t>RUBRO A-02-02-01-004-001 METALES BÁSICOS $201.149</t>
  </si>
  <si>
    <t xml:space="preserve">Alambre de soldadura </t>
  </si>
  <si>
    <t>RUBRO A-02-02-01-003-004 QUÍMICOS BÁSICOS $466.901</t>
  </si>
  <si>
    <t>Botella de aire comprimido antiestático. </t>
  </si>
  <si>
    <t>Valor Total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</si>
</sst>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[$$-409]* #,##0.00_ ;_-[$$-409]* \-#,##0.00\ ;_-[$$-409]* &quot;-&quot;??_ ;_-@_ "/>
  </numFmts>
  <fonts count="1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charset val="1"/>
    </font>
    <font>
      <b/>
      <sz val="11"/>
      <color rgb="FF000000"/>
      <name val="Calibri"/>
      <charset val="1"/>
    </font>
    <font>
      <sz val="9"/>
      <color theme="1"/>
      <name val="Arial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/>
    </xf>
    <xf numFmtId="43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43" fontId="0" fillId="0" borderId="2" xfId="0" applyNumberFormat="1" applyBorder="1" applyAlignment="1">
      <alignment horizontal="center"/>
    </xf>
    <xf numFmtId="43" fontId="0" fillId="2" borderId="2" xfId="0" applyNumberFormat="1" applyFill="1" applyBorder="1" applyAlignment="1">
      <alignment vertical="center"/>
    </xf>
    <xf numFmtId="43" fontId="0" fillId="0" borderId="2" xfId="0" applyNumberFormat="1" applyBorder="1" applyAlignment="1">
      <alignment vertical="center"/>
    </xf>
    <xf numFmtId="9" fontId="0" fillId="2" borderId="2" xfId="0" applyNumberFormat="1" applyFill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9" fontId="0" fillId="0" borderId="0" xfId="0" applyNumberFormat="1" applyAlignment="1">
      <alignment horizontal="center"/>
    </xf>
    <xf numFmtId="43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3" fontId="4" fillId="2" borderId="2" xfId="0" applyNumberFormat="1" applyFont="1" applyFill="1" applyBorder="1" applyAlignment="1">
      <alignment horizontal="center"/>
    </xf>
    <xf numFmtId="43" fontId="0" fillId="0" borderId="0" xfId="0" applyNumberFormat="1" applyAlignment="1">
      <alignment vertical="center"/>
    </xf>
    <xf numFmtId="43" fontId="3" fillId="0" borderId="2" xfId="0" applyNumberFormat="1" applyFont="1" applyBorder="1" applyAlignment="1">
      <alignment horizontal="left" vertical="center" wrapText="1"/>
    </xf>
    <xf numFmtId="43" fontId="2" fillId="0" borderId="2" xfId="0" applyNumberFormat="1" applyFont="1" applyBorder="1" applyAlignment="1">
      <alignment horizontal="center" vertical="center" wrapText="1"/>
    </xf>
    <xf numFmtId="43" fontId="2" fillId="0" borderId="2" xfId="0" applyNumberFormat="1" applyFont="1" applyBorder="1" applyAlignment="1">
      <alignment vertical="center" wrapText="1"/>
    </xf>
    <xf numFmtId="43" fontId="2" fillId="0" borderId="2" xfId="0" applyNumberFormat="1" applyFont="1" applyBorder="1" applyAlignment="1">
      <alignment horizontal="left" vertical="center" wrapText="1"/>
    </xf>
    <xf numFmtId="43" fontId="1" fillId="2" borderId="2" xfId="0" applyNumberFormat="1" applyFont="1" applyFill="1" applyBorder="1" applyAlignment="1">
      <alignment horizontal="center" vertical="center" wrapText="1"/>
    </xf>
    <xf numFmtId="43" fontId="6" fillId="2" borderId="2" xfId="0" applyNumberFormat="1" applyFont="1" applyFill="1" applyBorder="1" applyAlignment="1">
      <alignment vertical="center" wrapText="1"/>
    </xf>
    <xf numFmtId="43" fontId="6" fillId="2" borderId="2" xfId="0" applyNumberFormat="1" applyFont="1" applyFill="1" applyBorder="1" applyAlignment="1">
      <alignment horizontal="center" wrapText="1"/>
    </xf>
    <xf numFmtId="9" fontId="6" fillId="2" borderId="2" xfId="0" applyNumberFormat="1" applyFont="1" applyFill="1" applyBorder="1" applyAlignment="1">
      <alignment horizontal="center" wrapText="1"/>
    </xf>
    <xf numFmtId="43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43" fontId="0" fillId="0" borderId="4" xfId="0" applyNumberFormat="1" applyBorder="1" applyAlignment="1">
      <alignment vertical="center"/>
    </xf>
    <xf numFmtId="43" fontId="0" fillId="0" borderId="1" xfId="0" applyNumberFormat="1" applyBorder="1" applyAlignment="1">
      <alignment vertical="center"/>
    </xf>
    <xf numFmtId="43" fontId="0" fillId="2" borderId="1" xfId="0" applyNumberFormat="1" applyFill="1" applyBorder="1" applyAlignment="1">
      <alignment vertical="center"/>
    </xf>
    <xf numFmtId="43" fontId="0" fillId="0" borderId="2" xfId="0" applyNumberFormat="1" applyBorder="1" applyAlignment="1">
      <alignment horizontal="center" vertical="center"/>
    </xf>
    <xf numFmtId="43" fontId="4" fillId="0" borderId="2" xfId="0" applyNumberFormat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43" fontId="0" fillId="3" borderId="2" xfId="0" applyNumberFormat="1" applyFill="1" applyBorder="1" applyAlignment="1">
      <alignment vertical="center"/>
    </xf>
    <xf numFmtId="43" fontId="0" fillId="0" borderId="5" xfId="0" applyNumberFormat="1" applyBorder="1" applyAlignment="1">
      <alignment vertical="center" wrapText="1"/>
    </xf>
    <xf numFmtId="43" fontId="0" fillId="3" borderId="4" xfId="0" applyNumberFormat="1" applyFill="1" applyBorder="1" applyAlignment="1">
      <alignment vertical="center"/>
    </xf>
    <xf numFmtId="43" fontId="0" fillId="2" borderId="3" xfId="0" applyNumberFormat="1" applyFill="1" applyBorder="1" applyAlignment="1">
      <alignment vertical="center"/>
    </xf>
    <xf numFmtId="43" fontId="0" fillId="3" borderId="2" xfId="0" applyNumberFormat="1" applyFill="1" applyBorder="1" applyAlignment="1">
      <alignment horizontal="center" vertical="center"/>
    </xf>
    <xf numFmtId="43" fontId="0" fillId="4" borderId="2" xfId="0" applyNumberFormat="1" applyFill="1" applyBorder="1" applyAlignment="1">
      <alignment horizontal="center" vertical="center"/>
    </xf>
    <xf numFmtId="43" fontId="4" fillId="3" borderId="2" xfId="0" applyNumberFormat="1" applyFont="1" applyFill="1" applyBorder="1" applyAlignment="1">
      <alignment horizontal="center" vertical="center"/>
    </xf>
    <xf numFmtId="9" fontId="0" fillId="3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wrapText="1"/>
    </xf>
    <xf numFmtId="43" fontId="3" fillId="0" borderId="2" xfId="0" applyNumberFormat="1" applyFont="1" applyBorder="1" applyAlignment="1">
      <alignment horizontal="center" vertical="center"/>
    </xf>
    <xf numFmtId="43" fontId="2" fillId="0" borderId="2" xfId="0" applyNumberFormat="1" applyFont="1" applyBorder="1" applyAlignment="1">
      <alignment horizontal="center" wrapText="1"/>
    </xf>
    <xf numFmtId="0" fontId="0" fillId="2" borderId="2" xfId="0" applyFill="1" applyBorder="1"/>
    <xf numFmtId="43" fontId="7" fillId="0" borderId="2" xfId="0" applyNumberFormat="1" applyFont="1" applyBorder="1"/>
    <xf numFmtId="0" fontId="7" fillId="0" borderId="2" xfId="0" applyFont="1" applyBorder="1"/>
    <xf numFmtId="0" fontId="0" fillId="0" borderId="2" xfId="0" applyBorder="1"/>
    <xf numFmtId="164" fontId="2" fillId="0" borderId="2" xfId="0" applyNumberFormat="1" applyFont="1" applyBorder="1" applyAlignment="1">
      <alignment horizontal="left" vertical="center" wrapText="1"/>
    </xf>
    <xf numFmtId="164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center"/>
    </xf>
    <xf numFmtId="43" fontId="3" fillId="0" borderId="2" xfId="0" applyNumberFormat="1" applyFont="1" applyBorder="1" applyAlignment="1">
      <alignment horizontal="center" vertical="center" wrapText="1"/>
    </xf>
    <xf numFmtId="43" fontId="10" fillId="0" borderId="2" xfId="0" applyNumberFormat="1" applyFont="1" applyBorder="1" applyAlignment="1">
      <alignment horizontal="center" vertical="center" wrapText="1"/>
    </xf>
    <xf numFmtId="43" fontId="1" fillId="3" borderId="2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/>
    </xf>
    <xf numFmtId="0" fontId="0" fillId="2" borderId="7" xfId="0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9" fillId="0" borderId="10" xfId="0" applyFont="1" applyBorder="1"/>
    <xf numFmtId="0" fontId="8" fillId="0" borderId="10" xfId="0" applyFont="1" applyBorder="1"/>
    <xf numFmtId="0" fontId="0" fillId="0" borderId="10" xfId="0" applyBorder="1"/>
    <xf numFmtId="165" fontId="6" fillId="9" borderId="2" xfId="0" applyNumberFormat="1" applyFont="1" applyFill="1" applyBorder="1" applyAlignment="1">
      <alignment horizontal="center" wrapText="1"/>
    </xf>
    <xf numFmtId="165" fontId="6" fillId="9" borderId="2" xfId="0" applyNumberFormat="1" applyFont="1" applyFill="1" applyBorder="1" applyAlignment="1">
      <alignment horizontal="center" vertical="center" wrapText="1"/>
    </xf>
    <xf numFmtId="165" fontId="0" fillId="9" borderId="2" xfId="0" applyNumberFormat="1" applyFill="1" applyBorder="1" applyAlignment="1">
      <alignment horizontal="center"/>
    </xf>
    <xf numFmtId="165" fontId="7" fillId="9" borderId="2" xfId="0" applyNumberFormat="1" applyFont="1" applyFill="1" applyBorder="1" applyAlignment="1">
      <alignment horizontal="center"/>
    </xf>
    <xf numFmtId="43" fontId="2" fillId="0" borderId="3" xfId="0" applyNumberFormat="1" applyFont="1" applyBorder="1" applyAlignment="1">
      <alignment horizontal="center" vertical="center" wrapText="1"/>
    </xf>
    <xf numFmtId="43" fontId="2" fillId="0" borderId="8" xfId="0" applyNumberFormat="1" applyFont="1" applyBorder="1" applyAlignment="1">
      <alignment horizontal="center" vertical="center" wrapText="1"/>
    </xf>
    <xf numFmtId="43" fontId="10" fillId="0" borderId="8" xfId="0" applyNumberFormat="1" applyFont="1" applyBorder="1" applyAlignment="1">
      <alignment horizontal="center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left" vertical="center" wrapText="1"/>
    </xf>
    <xf numFmtId="44" fontId="1" fillId="8" borderId="2" xfId="1" applyFont="1" applyFill="1" applyBorder="1" applyAlignment="1">
      <alignment horizontal="center" vertical="center" wrapText="1"/>
    </xf>
    <xf numFmtId="44" fontId="3" fillId="8" borderId="2" xfId="1" applyFont="1" applyFill="1" applyBorder="1" applyAlignment="1">
      <alignment horizontal="center" vertical="center" wrapText="1"/>
    </xf>
    <xf numFmtId="44" fontId="3" fillId="8" borderId="6" xfId="1" applyFont="1" applyFill="1" applyBorder="1" applyAlignment="1">
      <alignment horizontal="center" vertical="center" wrapText="1"/>
    </xf>
    <xf numFmtId="44" fontId="3" fillId="8" borderId="4" xfId="1" applyFont="1" applyFill="1" applyBorder="1" applyAlignment="1">
      <alignment horizontal="center" vertical="center" wrapText="1"/>
    </xf>
    <xf numFmtId="44" fontId="2" fillId="8" borderId="11" xfId="1" applyFont="1" applyFill="1" applyBorder="1"/>
    <xf numFmtId="44" fontId="2" fillId="8" borderId="1" xfId="1" applyFont="1" applyFill="1" applyBorder="1" applyAlignment="1">
      <alignment horizontal="center"/>
    </xf>
    <xf numFmtId="44" fontId="3" fillId="8" borderId="3" xfId="1" applyFont="1" applyFill="1" applyBorder="1" applyAlignment="1">
      <alignment horizontal="center" vertical="center"/>
    </xf>
    <xf numFmtId="44" fontId="3" fillId="8" borderId="2" xfId="1" applyFont="1" applyFill="1" applyBorder="1" applyAlignment="1">
      <alignment horizontal="center" vertical="center"/>
    </xf>
    <xf numFmtId="44" fontId="2" fillId="8" borderId="1" xfId="1" applyFont="1" applyFill="1" applyBorder="1" applyAlignment="1">
      <alignment horizontal="center" vertical="center" wrapText="1"/>
    </xf>
    <xf numFmtId="44" fontId="3" fillId="8" borderId="3" xfId="1" applyFont="1" applyFill="1" applyBorder="1" applyAlignment="1">
      <alignment horizontal="center" vertical="center" wrapText="1"/>
    </xf>
    <xf numFmtId="44" fontId="3" fillId="8" borderId="5" xfId="1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44" fontId="1" fillId="7" borderId="2" xfId="1" applyFont="1" applyFill="1" applyBorder="1" applyAlignment="1">
      <alignment horizontal="center" vertical="center" wrapText="1"/>
    </xf>
    <xf numFmtId="44" fontId="3" fillId="7" borderId="2" xfId="1" applyFont="1" applyFill="1" applyBorder="1" applyAlignment="1">
      <alignment horizontal="center" vertical="center" wrapText="1"/>
    </xf>
    <xf numFmtId="44" fontId="3" fillId="7" borderId="4" xfId="1" applyFont="1" applyFill="1" applyBorder="1" applyAlignment="1">
      <alignment horizontal="center" vertical="center" wrapText="1"/>
    </xf>
    <xf numFmtId="44" fontId="2" fillId="7" borderId="11" xfId="1" applyFont="1" applyFill="1" applyBorder="1" applyAlignment="1">
      <alignment horizontal="center"/>
    </xf>
    <xf numFmtId="44" fontId="2" fillId="7" borderId="1" xfId="1" applyFont="1" applyFill="1" applyBorder="1" applyAlignment="1">
      <alignment horizontal="center"/>
    </xf>
    <xf numFmtId="44" fontId="3" fillId="7" borderId="3" xfId="1" applyFont="1" applyFill="1" applyBorder="1" applyAlignment="1">
      <alignment horizontal="center" vertical="center"/>
    </xf>
    <xf numFmtId="44" fontId="3" fillId="7" borderId="2" xfId="1" applyFont="1" applyFill="1" applyBorder="1" applyAlignment="1">
      <alignment horizontal="center" vertical="center"/>
    </xf>
    <xf numFmtId="44" fontId="2" fillId="7" borderId="1" xfId="1" applyFont="1" applyFill="1" applyBorder="1" applyAlignment="1">
      <alignment horizontal="center" vertical="center" wrapText="1"/>
    </xf>
    <xf numFmtId="44" fontId="3" fillId="7" borderId="3" xfId="1" applyFont="1" applyFill="1" applyBorder="1" applyAlignment="1">
      <alignment horizontal="center" vertical="center" wrapText="1"/>
    </xf>
    <xf numFmtId="44" fontId="1" fillId="6" borderId="2" xfId="1" applyFont="1" applyFill="1" applyBorder="1" applyAlignment="1">
      <alignment horizontal="center" vertical="center" wrapText="1"/>
    </xf>
    <xf numFmtId="44" fontId="3" fillId="6" borderId="2" xfId="1" applyFont="1" applyFill="1" applyBorder="1" applyAlignment="1">
      <alignment horizontal="center" vertical="center" wrapText="1"/>
    </xf>
    <xf numFmtId="44" fontId="3" fillId="6" borderId="4" xfId="1" applyFont="1" applyFill="1" applyBorder="1" applyAlignment="1">
      <alignment horizontal="center" vertical="center" wrapText="1"/>
    </xf>
    <xf numFmtId="44" fontId="2" fillId="6" borderId="11" xfId="1" applyFont="1" applyFill="1" applyBorder="1" applyAlignment="1">
      <alignment horizontal="center"/>
    </xf>
    <xf numFmtId="44" fontId="2" fillId="6" borderId="1" xfId="1" applyFont="1" applyFill="1" applyBorder="1" applyAlignment="1">
      <alignment horizontal="center"/>
    </xf>
    <xf numFmtId="44" fontId="3" fillId="6" borderId="3" xfId="1" applyFont="1" applyFill="1" applyBorder="1" applyAlignment="1">
      <alignment horizontal="center" vertical="center"/>
    </xf>
    <xf numFmtId="44" fontId="3" fillId="6" borderId="2" xfId="1" applyFont="1" applyFill="1" applyBorder="1" applyAlignment="1">
      <alignment horizontal="center" vertical="center"/>
    </xf>
    <xf numFmtId="44" fontId="3" fillId="6" borderId="5" xfId="1" applyFont="1" applyFill="1" applyBorder="1" applyAlignment="1">
      <alignment horizontal="center" vertical="center" wrapText="1"/>
    </xf>
    <xf numFmtId="44" fontId="1" fillId="5" borderId="2" xfId="1" applyFont="1" applyFill="1" applyBorder="1" applyAlignment="1">
      <alignment horizontal="center" vertical="center" wrapText="1"/>
    </xf>
    <xf numFmtId="44" fontId="3" fillId="5" borderId="2" xfId="1" applyFont="1" applyFill="1" applyBorder="1" applyAlignment="1">
      <alignment horizontal="center" vertical="center" wrapText="1"/>
    </xf>
    <xf numFmtId="44" fontId="3" fillId="5" borderId="4" xfId="1" applyFont="1" applyFill="1" applyBorder="1" applyAlignment="1">
      <alignment horizontal="center" vertical="center" wrapText="1"/>
    </xf>
    <xf numFmtId="44" fontId="3" fillId="5" borderId="11" xfId="1" applyFont="1" applyFill="1" applyBorder="1" applyAlignment="1">
      <alignment horizontal="center" vertical="center" wrapText="1"/>
    </xf>
    <xf numFmtId="44" fontId="3" fillId="5" borderId="3" xfId="1" applyFont="1" applyFill="1" applyBorder="1" applyAlignment="1">
      <alignment horizontal="center" vertical="center"/>
    </xf>
    <xf numFmtId="44" fontId="3" fillId="5" borderId="2" xfId="1" applyFont="1" applyFill="1" applyBorder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44" fontId="1" fillId="8" borderId="6" xfId="1" applyFont="1" applyFill="1" applyBorder="1" applyAlignment="1">
      <alignment horizontal="center" vertical="center" wrapText="1"/>
    </xf>
    <xf numFmtId="43" fontId="7" fillId="0" borderId="5" xfId="0" applyNumberFormat="1" applyFont="1" applyBorder="1" applyAlignment="1">
      <alignment vertical="center" wrapText="1"/>
    </xf>
    <xf numFmtId="43" fontId="7" fillId="0" borderId="2" xfId="0" applyNumberFormat="1" applyFont="1" applyBorder="1" applyAlignment="1">
      <alignment vertical="center"/>
    </xf>
    <xf numFmtId="44" fontId="3" fillId="5" borderId="1" xfId="1" applyFont="1" applyFill="1" applyBorder="1" applyAlignment="1">
      <alignment horizontal="center" vertical="center" wrapText="1"/>
    </xf>
    <xf numFmtId="43" fontId="2" fillId="0" borderId="4" xfId="0" applyNumberFormat="1" applyFont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43" fontId="1" fillId="2" borderId="5" xfId="0" applyNumberFormat="1" applyFont="1" applyFill="1" applyBorder="1" applyAlignment="1">
      <alignment horizontal="center" vertical="center" wrapText="1"/>
    </xf>
    <xf numFmtId="43" fontId="1" fillId="2" borderId="6" xfId="0" applyNumberFormat="1" applyFont="1" applyFill="1" applyBorder="1" applyAlignment="1">
      <alignment horizontal="center" vertical="center" wrapText="1"/>
    </xf>
    <xf numFmtId="164" fontId="12" fillId="0" borderId="5" xfId="0" applyNumberFormat="1" applyFont="1" applyBorder="1" applyAlignment="1">
      <alignment horizontal="right" vertical="center" wrapText="1"/>
    </xf>
    <xf numFmtId="164" fontId="12" fillId="0" borderId="6" xfId="0" applyNumberFormat="1" applyFont="1" applyBorder="1" applyAlignment="1">
      <alignment horizontal="right" vertical="center" wrapText="1"/>
    </xf>
    <xf numFmtId="164" fontId="12" fillId="0" borderId="7" xfId="0" applyNumberFormat="1" applyFont="1" applyBorder="1" applyAlignment="1">
      <alignment horizontal="right" vertical="center" wrapText="1"/>
    </xf>
    <xf numFmtId="43" fontId="1" fillId="0" borderId="2" xfId="0" applyNumberFormat="1" applyFont="1" applyBorder="1" applyAlignment="1">
      <alignment horizontal="center" vertical="center" wrapText="1"/>
    </xf>
    <xf numFmtId="43" fontId="1" fillId="2" borderId="2" xfId="0" applyNumberFormat="1" applyFont="1" applyFill="1" applyBorder="1" applyAlignment="1">
      <alignment horizontal="center" vertical="center" wrapText="1"/>
    </xf>
    <xf numFmtId="43" fontId="1" fillId="2" borderId="8" xfId="0" applyNumberFormat="1" applyFont="1" applyFill="1" applyBorder="1" applyAlignment="1">
      <alignment horizontal="center" vertical="center" wrapText="1"/>
    </xf>
    <xf numFmtId="43" fontId="1" fillId="2" borderId="9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T50"/>
  <sheetViews>
    <sheetView tabSelected="1" zoomScaleNormal="100" workbookViewId="0">
      <selection activeCell="S42" sqref="S42"/>
    </sheetView>
  </sheetViews>
  <sheetFormatPr baseColWidth="10" defaultColWidth="9.26953125" defaultRowHeight="14.5" x14ac:dyDescent="0.35"/>
  <cols>
    <col min="1" max="1" width="7.7265625" style="49" customWidth="1"/>
    <col min="2" max="2" width="29" style="3" customWidth="1"/>
    <col min="3" max="3" width="6.7265625" style="3" customWidth="1"/>
    <col min="4" max="4" width="6.81640625" style="3" customWidth="1"/>
    <col min="5" max="5" width="18.81640625" style="80" customWidth="1"/>
    <col min="6" max="6" width="19.6328125" style="80" customWidth="1"/>
    <col min="7" max="7" width="19.1796875" style="80" customWidth="1"/>
    <col min="8" max="8" width="20.81640625" style="80" customWidth="1"/>
    <col min="9" max="9" width="30.81640625" style="16" bestFit="1" customWidth="1"/>
    <col min="10" max="10" width="16.26953125" style="1" customWidth="1"/>
    <col min="11" max="11" width="13.90625" style="2" customWidth="1"/>
    <col min="12" max="12" width="15.453125" style="2" customWidth="1"/>
    <col min="13" max="13" width="15.7265625" style="2" customWidth="1"/>
    <col min="14" max="14" width="14.54296875" style="14" customWidth="1"/>
    <col min="15" max="15" width="16.81640625" style="12" bestFit="1" customWidth="1"/>
    <col min="16" max="16" width="18.7265625" style="2" bestFit="1" customWidth="1"/>
    <col min="17" max="17" width="16.26953125" style="2" customWidth="1"/>
    <col min="18" max="18" width="17" style="2" customWidth="1"/>
    <col min="19" max="19" width="25.453125" style="59" customWidth="1"/>
    <col min="20" max="16384" width="9.26953125" style="2"/>
  </cols>
  <sheetData>
    <row r="1" spans="1:98" s="6" customFormat="1" ht="39.75" customHeight="1" x14ac:dyDescent="0.35">
      <c r="A1" s="120" t="s">
        <v>0</v>
      </c>
      <c r="B1" s="117" t="s">
        <v>1</v>
      </c>
      <c r="C1" s="53"/>
      <c r="D1" s="21"/>
      <c r="E1" s="117" t="s">
        <v>2</v>
      </c>
      <c r="F1" s="117"/>
      <c r="G1" s="117"/>
      <c r="H1" s="117"/>
      <c r="I1" s="22" t="s">
        <v>3</v>
      </c>
      <c r="J1" s="22" t="s">
        <v>4</v>
      </c>
      <c r="K1" s="23" t="s">
        <v>5</v>
      </c>
      <c r="L1" s="23" t="s">
        <v>6</v>
      </c>
      <c r="M1" s="23" t="s">
        <v>7</v>
      </c>
      <c r="N1" s="23" t="s">
        <v>8</v>
      </c>
      <c r="O1" s="24" t="s">
        <v>9</v>
      </c>
      <c r="P1" s="23" t="s">
        <v>10</v>
      </c>
      <c r="Q1" s="23" t="s">
        <v>11</v>
      </c>
      <c r="R1" s="60" t="s">
        <v>12</v>
      </c>
      <c r="S1" s="110" t="s">
        <v>13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54"/>
    </row>
    <row r="2" spans="1:98" s="41" customFormat="1" ht="56.25" customHeight="1" x14ac:dyDescent="0.35">
      <c r="A2" s="120"/>
      <c r="B2" s="117"/>
      <c r="C2" s="53" t="s">
        <v>14</v>
      </c>
      <c r="D2" s="21" t="s">
        <v>15</v>
      </c>
      <c r="E2" s="98" t="s">
        <v>16</v>
      </c>
      <c r="F2" s="90" t="s">
        <v>17</v>
      </c>
      <c r="G2" s="81" t="s">
        <v>18</v>
      </c>
      <c r="H2" s="69" t="s">
        <v>19</v>
      </c>
      <c r="I2" s="22" t="s">
        <v>20</v>
      </c>
      <c r="J2" s="22" t="s">
        <v>20</v>
      </c>
      <c r="K2" s="25" t="s">
        <v>20</v>
      </c>
      <c r="L2" s="25" t="s">
        <v>20</v>
      </c>
      <c r="M2" s="25" t="s">
        <v>20</v>
      </c>
      <c r="N2" s="25" t="s">
        <v>20</v>
      </c>
      <c r="O2" s="26" t="s">
        <v>20</v>
      </c>
      <c r="P2" s="25" t="s">
        <v>20</v>
      </c>
      <c r="Q2" s="25" t="s">
        <v>20</v>
      </c>
      <c r="R2" s="61" t="s">
        <v>20</v>
      </c>
      <c r="S2" s="110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55"/>
    </row>
    <row r="3" spans="1:98" s="6" customFormat="1" ht="24" customHeight="1" x14ac:dyDescent="0.35">
      <c r="A3" s="117" t="s">
        <v>21</v>
      </c>
      <c r="B3" s="117"/>
      <c r="C3" s="117"/>
      <c r="D3" s="117"/>
      <c r="E3" s="117"/>
      <c r="F3" s="117"/>
      <c r="G3" s="117"/>
      <c r="H3" s="117"/>
      <c r="I3" s="8"/>
      <c r="J3" s="8"/>
      <c r="K3" s="5"/>
      <c r="L3" s="5"/>
      <c r="M3" s="5"/>
      <c r="N3" s="15"/>
      <c r="O3" s="10"/>
      <c r="P3" s="5"/>
      <c r="Q3" s="5"/>
      <c r="R3" s="62"/>
      <c r="S3" s="44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54"/>
    </row>
    <row r="4" spans="1:98" s="4" customFormat="1" ht="34.5" x14ac:dyDescent="0.35">
      <c r="A4" s="48">
        <v>1</v>
      </c>
      <c r="B4" s="17" t="s">
        <v>22</v>
      </c>
      <c r="C4" s="51">
        <v>1</v>
      </c>
      <c r="D4" s="42" t="s">
        <v>23</v>
      </c>
      <c r="E4" s="99">
        <v>2000000</v>
      </c>
      <c r="F4" s="91">
        <v>1785000</v>
      </c>
      <c r="G4" s="82">
        <v>1950000</v>
      </c>
      <c r="H4" s="70">
        <v>1966624.56</v>
      </c>
      <c r="I4" s="9">
        <f>AVERAGE(E4:H4)</f>
        <v>1925406.1400000001</v>
      </c>
      <c r="J4" s="9">
        <f>MIN(E4:H4)</f>
        <v>1785000</v>
      </c>
      <c r="K4" s="30">
        <f>MAX(E4:H4)</f>
        <v>2000000</v>
      </c>
      <c r="L4" s="30">
        <f>+(I4+J4)/2</f>
        <v>1855203.07</v>
      </c>
      <c r="M4" s="30">
        <f>HARMEAN(E4:H4)</f>
        <v>1921663.3313740713</v>
      </c>
      <c r="N4" s="31">
        <f>+_xlfn.STDEV.S(E4:H4)</f>
        <v>95885.25120579495</v>
      </c>
      <c r="O4" s="32">
        <f>+N4/I4</f>
        <v>4.9800013209574029E-2</v>
      </c>
      <c r="P4" s="30">
        <f>GEOMEAN(E4:H4)</f>
        <v>1923561.4795871323</v>
      </c>
      <c r="Q4" s="30">
        <f>MEDIAN(E4:H4)</f>
        <v>1958312.28</v>
      </c>
      <c r="R4" s="62">
        <f>ROUND(+I4,0)</f>
        <v>1925406</v>
      </c>
      <c r="S4" s="45" t="s">
        <v>24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56"/>
    </row>
    <row r="5" spans="1:98" s="4" customFormat="1" ht="23" x14ac:dyDescent="0.35">
      <c r="A5" s="48">
        <v>2</v>
      </c>
      <c r="B5" s="17" t="s">
        <v>25</v>
      </c>
      <c r="C5" s="51">
        <v>1</v>
      </c>
      <c r="D5" s="42" t="s">
        <v>15</v>
      </c>
      <c r="E5" s="99">
        <v>2000000</v>
      </c>
      <c r="F5" s="91">
        <v>1904000</v>
      </c>
      <c r="G5" s="82">
        <v>1815000</v>
      </c>
      <c r="H5" s="70">
        <v>2060446.84</v>
      </c>
      <c r="I5" s="9">
        <f>AVERAGE(E5:H5)</f>
        <v>1944861.71</v>
      </c>
      <c r="J5" s="9">
        <f>MIN(E5:H5)</f>
        <v>1815000</v>
      </c>
      <c r="K5" s="30">
        <f>MAX(E5:H5)</f>
        <v>2060446.84</v>
      </c>
      <c r="L5" s="30">
        <f>+(I5+J5)/2</f>
        <v>1879930.855</v>
      </c>
      <c r="M5" s="30">
        <f>HARMEAN(E5:H5)</f>
        <v>1940329.1639284701</v>
      </c>
      <c r="N5" s="31">
        <f>+_xlfn.STDEV.S(E5:H5)</f>
        <v>107910.29665033394</v>
      </c>
      <c r="O5" s="32">
        <f>+N5/I5</f>
        <v>5.5484817298569751E-2</v>
      </c>
      <c r="P5" s="30">
        <f>GEOMEAN(E5:H5)</f>
        <v>1942601.6165363642</v>
      </c>
      <c r="Q5" s="30">
        <f>MEDIAN(E5:H5)</f>
        <v>1952000</v>
      </c>
      <c r="R5" s="62">
        <f>ROUND(+I5,0)</f>
        <v>1944862</v>
      </c>
      <c r="S5" s="57" t="s">
        <v>26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56"/>
    </row>
    <row r="6" spans="1:98" s="4" customFormat="1" ht="24.65" customHeight="1" x14ac:dyDescent="0.35">
      <c r="A6" s="113" t="s">
        <v>27</v>
      </c>
      <c r="B6" s="114"/>
      <c r="C6" s="114"/>
      <c r="D6" s="114"/>
      <c r="E6" s="114"/>
      <c r="F6" s="114"/>
      <c r="G6" s="114"/>
      <c r="H6" s="115"/>
      <c r="I6" s="9">
        <f>SUM(I4:I5)</f>
        <v>3870267.85</v>
      </c>
      <c r="J6" s="27"/>
      <c r="K6" s="30"/>
      <c r="L6" s="30"/>
      <c r="M6" s="30"/>
      <c r="N6" s="31"/>
      <c r="O6" s="32"/>
      <c r="P6" s="30"/>
      <c r="Q6" s="30"/>
      <c r="R6" s="62">
        <f>SUM(R4:R5)</f>
        <v>3870268</v>
      </c>
      <c r="S6" s="57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56"/>
    </row>
    <row r="7" spans="1:98" s="6" customFormat="1" ht="25.5" customHeight="1" x14ac:dyDescent="0.35">
      <c r="A7" s="111" t="s">
        <v>28</v>
      </c>
      <c r="B7" s="112"/>
      <c r="C7" s="112"/>
      <c r="D7" s="112"/>
      <c r="E7" s="112"/>
      <c r="F7" s="112"/>
      <c r="G7" s="112"/>
      <c r="H7" s="112"/>
      <c r="I7" s="8"/>
      <c r="J7" s="35"/>
      <c r="K7" s="37"/>
      <c r="L7" s="37"/>
      <c r="M7" s="37"/>
      <c r="N7" s="39"/>
      <c r="O7" s="40"/>
      <c r="P7" s="37"/>
      <c r="Q7" s="37"/>
      <c r="R7" s="62"/>
      <c r="S7" s="44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54"/>
    </row>
    <row r="8" spans="1:98" s="4" customFormat="1" ht="30.65" customHeight="1" x14ac:dyDescent="0.35">
      <c r="A8" s="48">
        <v>3</v>
      </c>
      <c r="B8" s="20" t="s">
        <v>29</v>
      </c>
      <c r="C8" s="52">
        <v>1</v>
      </c>
      <c r="D8" s="18" t="s">
        <v>15</v>
      </c>
      <c r="E8" s="99">
        <v>3000000</v>
      </c>
      <c r="F8" s="91">
        <v>2856000</v>
      </c>
      <c r="G8" s="82">
        <v>2975000</v>
      </c>
      <c r="H8" s="70">
        <v>3176203.89</v>
      </c>
      <c r="I8" s="34">
        <f>AVERAGE(E8:H8)</f>
        <v>3001800.9725000001</v>
      </c>
      <c r="J8" s="28">
        <f>MIN(E8:H8)</f>
        <v>2856000</v>
      </c>
      <c r="K8" s="30">
        <f>MAX(E8:H8)</f>
        <v>3176203.89</v>
      </c>
      <c r="L8" s="30">
        <f t="shared" ref="L8:L15" si="0">+(I8+J8)/2</f>
        <v>2928900.4862500001</v>
      </c>
      <c r="M8" s="30">
        <f>HARMEAN(E8:H8)</f>
        <v>2997491.6415962754</v>
      </c>
      <c r="N8" s="31">
        <f>+_xlfn.STDEV.S(E8:H8)</f>
        <v>132156.26715287869</v>
      </c>
      <c r="O8" s="32">
        <f t="shared" ref="O8:O40" si="1">+N8/I8</f>
        <v>4.4025659383678105E-2</v>
      </c>
      <c r="P8" s="30">
        <f>GEOMEAN(E8:H8)</f>
        <v>2999636.9888882814</v>
      </c>
      <c r="Q8" s="30">
        <f>MEDIAN(E8:H8)</f>
        <v>2987500</v>
      </c>
      <c r="R8" s="62">
        <f>ROUND(+I8,0)</f>
        <v>3001801</v>
      </c>
      <c r="S8" s="57" t="s">
        <v>26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56"/>
    </row>
    <row r="9" spans="1:98" s="4" customFormat="1" ht="36" customHeight="1" x14ac:dyDescent="0.35">
      <c r="A9" s="48">
        <v>4</v>
      </c>
      <c r="B9" s="20" t="s">
        <v>30</v>
      </c>
      <c r="C9" s="52">
        <v>1</v>
      </c>
      <c r="D9" s="18" t="s">
        <v>15</v>
      </c>
      <c r="E9" s="99">
        <v>4000000</v>
      </c>
      <c r="F9" s="91">
        <v>3570000</v>
      </c>
      <c r="G9" s="82">
        <v>3903200</v>
      </c>
      <c r="H9" s="70" t="s">
        <v>31</v>
      </c>
      <c r="I9" s="34">
        <f>AVERAGE(E9:H9)</f>
        <v>3824400</v>
      </c>
      <c r="J9" s="28">
        <f>MIN(E9:H9)</f>
        <v>3570000</v>
      </c>
      <c r="K9" s="30">
        <f>MAX(E9:H9)</f>
        <v>4000000</v>
      </c>
      <c r="L9" s="30">
        <f>+(I9+J9)/2</f>
        <v>3697200</v>
      </c>
      <c r="M9" s="30">
        <f>HARMEAN(E9:H9)</f>
        <v>3815279.014705563</v>
      </c>
      <c r="N9" s="31">
        <f>+_xlfn.STDEV.S(E9:H9)</f>
        <v>225570.56545569061</v>
      </c>
      <c r="O9" s="32">
        <f t="shared" si="1"/>
        <v>5.8981948921580013E-2</v>
      </c>
      <c r="P9" s="30">
        <f>GEOMEAN(E9:H9)</f>
        <v>3819879.5682178857</v>
      </c>
      <c r="Q9" s="30">
        <f>MEDIAN(E9:H9)</f>
        <v>3903200</v>
      </c>
      <c r="R9" s="62">
        <f t="shared" ref="R9" si="2">ROUND(+I9,0)</f>
        <v>3824400</v>
      </c>
      <c r="S9" s="57" t="s">
        <v>26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56"/>
    </row>
    <row r="10" spans="1:98" s="4" customFormat="1" ht="36" customHeight="1" x14ac:dyDescent="0.35">
      <c r="A10" s="113" t="s">
        <v>27</v>
      </c>
      <c r="B10" s="114"/>
      <c r="C10" s="114"/>
      <c r="D10" s="114"/>
      <c r="E10" s="114"/>
      <c r="F10" s="114"/>
      <c r="G10" s="114"/>
      <c r="H10" s="115"/>
      <c r="I10" s="106"/>
      <c r="J10" s="16"/>
      <c r="K10" s="30"/>
      <c r="L10" s="30"/>
      <c r="M10" s="30"/>
      <c r="N10" s="31"/>
      <c r="O10" s="32"/>
      <c r="P10" s="30"/>
      <c r="Q10" s="30"/>
      <c r="R10" s="62">
        <f>SUM(R8:R9)</f>
        <v>6826201</v>
      </c>
      <c r="S10" s="57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56"/>
    </row>
    <row r="11" spans="1:98" s="6" customFormat="1" ht="31.5" customHeight="1" x14ac:dyDescent="0.35">
      <c r="A11" s="111" t="s">
        <v>32</v>
      </c>
      <c r="B11" s="112"/>
      <c r="C11" s="112"/>
      <c r="D11" s="112"/>
      <c r="E11" s="112"/>
      <c r="F11" s="112"/>
      <c r="G11" s="112"/>
      <c r="H11" s="112"/>
      <c r="I11" s="8"/>
      <c r="J11" s="36"/>
      <c r="K11" s="37"/>
      <c r="L11" s="37"/>
      <c r="M11" s="37"/>
      <c r="N11" s="39"/>
      <c r="O11" s="40"/>
      <c r="P11" s="37"/>
      <c r="Q11" s="37"/>
      <c r="R11" s="62"/>
      <c r="S11" s="44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54"/>
    </row>
    <row r="12" spans="1:98" s="4" customFormat="1" ht="25.15" customHeight="1" x14ac:dyDescent="0.35">
      <c r="A12" s="48">
        <v>5</v>
      </c>
      <c r="B12" s="20" t="s">
        <v>33</v>
      </c>
      <c r="C12" s="52">
        <v>1</v>
      </c>
      <c r="D12" s="18" t="s">
        <v>15</v>
      </c>
      <c r="E12" s="100">
        <v>400000</v>
      </c>
      <c r="F12" s="92">
        <v>452200</v>
      </c>
      <c r="G12" s="83">
        <v>460000</v>
      </c>
      <c r="H12" s="72">
        <v>477014.96</v>
      </c>
      <c r="I12" s="9">
        <f>AVERAGE(E12:H12)</f>
        <v>447303.74</v>
      </c>
      <c r="J12" s="9">
        <f>MIN(E12:H12)</f>
        <v>400000</v>
      </c>
      <c r="K12" s="30">
        <f>MAX(E12:H12)</f>
        <v>477014.96</v>
      </c>
      <c r="L12" s="30">
        <f t="shared" si="0"/>
        <v>423651.87</v>
      </c>
      <c r="M12" s="30">
        <f>HARMEAN(E12:H12)</f>
        <v>445350.27529948734</v>
      </c>
      <c r="N12" s="31">
        <f>+_xlfn.STDEV.S(E12:H12)</f>
        <v>33194.220339547071</v>
      </c>
      <c r="O12" s="32">
        <f t="shared" si="1"/>
        <v>7.4209574772495915E-2</v>
      </c>
      <c r="P12" s="30">
        <f>GEOMEAN(E12:H12)</f>
        <v>446344.40492773551</v>
      </c>
      <c r="Q12" s="30">
        <f>MEDIAN(E12:H12)</f>
        <v>456100</v>
      </c>
      <c r="R12" s="62">
        <f>ROUND(+I12,0)</f>
        <v>447304</v>
      </c>
      <c r="S12" s="58" t="s">
        <v>26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56"/>
    </row>
    <row r="13" spans="1:98" s="4" customFormat="1" ht="17.649999999999999" customHeight="1" x14ac:dyDescent="0.35">
      <c r="A13" s="48">
        <v>6</v>
      </c>
      <c r="B13" s="20" t="s">
        <v>34</v>
      </c>
      <c r="C13" s="52">
        <v>1</v>
      </c>
      <c r="D13" s="65" t="s">
        <v>15</v>
      </c>
      <c r="E13" s="101">
        <v>8000</v>
      </c>
      <c r="F13" s="93">
        <v>22610</v>
      </c>
      <c r="G13" s="84">
        <v>22000</v>
      </c>
      <c r="H13" s="73">
        <v>24789.32</v>
      </c>
      <c r="I13" s="9">
        <f>AVERAGE(E13:H13)</f>
        <v>19349.830000000002</v>
      </c>
      <c r="J13" s="9">
        <f>MIN(E13:H13)</f>
        <v>8000</v>
      </c>
      <c r="K13" s="30">
        <f>MAX(E13:H13)</f>
        <v>24789.32</v>
      </c>
      <c r="L13" s="30">
        <f>+(I13+J13)/2</f>
        <v>13674.915000000001</v>
      </c>
      <c r="M13" s="30">
        <f>HARMEAN(E13:H13)</f>
        <v>15684.877269687593</v>
      </c>
      <c r="N13" s="31">
        <f>+_xlfn.STDEV.S(E13:H13)</f>
        <v>7660.6962683296506</v>
      </c>
      <c r="O13" s="32">
        <f>+N13/I13</f>
        <v>0.39590509417031827</v>
      </c>
      <c r="P13" s="30">
        <f>GEOMEAN(E13:H13)</f>
        <v>17722.274578301713</v>
      </c>
      <c r="Q13" s="30">
        <f>MEDIAN(E13:H13)</f>
        <v>22305</v>
      </c>
      <c r="R13" s="62">
        <f>ROUND(+L13,0)</f>
        <v>13675</v>
      </c>
      <c r="S13" s="57" t="s">
        <v>35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56"/>
    </row>
    <row r="14" spans="1:98" s="4" customFormat="1" ht="17.649999999999999" customHeight="1" x14ac:dyDescent="0.35">
      <c r="A14" s="68">
        <v>7</v>
      </c>
      <c r="B14" s="109" t="s">
        <v>36</v>
      </c>
      <c r="C14" s="66">
        <v>1</v>
      </c>
      <c r="D14" s="67" t="s">
        <v>15</v>
      </c>
      <c r="E14" s="108">
        <v>3528000</v>
      </c>
      <c r="F14" s="94">
        <v>3094000</v>
      </c>
      <c r="G14" s="85">
        <v>3300000</v>
      </c>
      <c r="H14" s="74">
        <v>3423066.95</v>
      </c>
      <c r="I14" s="9">
        <f>AVERAGE(E14:H14)</f>
        <v>3336266.7374999998</v>
      </c>
      <c r="J14" s="9">
        <f>MIN(E14:H14)</f>
        <v>3094000</v>
      </c>
      <c r="K14" s="30">
        <f>MAX(E14:H14)</f>
        <v>3528000</v>
      </c>
      <c r="L14" s="30">
        <f>+(I14+J14)/2</f>
        <v>3215133.3687499999</v>
      </c>
      <c r="M14" s="30">
        <f>HARMEAN(E14:H14)</f>
        <v>3328288.4712058585</v>
      </c>
      <c r="N14" s="31">
        <f>+_xlfn.STDEV.S(E14:H14)</f>
        <v>186462.12232580187</v>
      </c>
      <c r="O14" s="104">
        <f>+N14/I14</f>
        <v>5.5889452791633057E-2</v>
      </c>
      <c r="P14" s="30">
        <f>GEOMEAN(E14:H14)</f>
        <v>3332303.5421760581</v>
      </c>
      <c r="Q14" s="30">
        <f>MEDIAN(E14:H14)</f>
        <v>3361533.4750000001</v>
      </c>
      <c r="R14" s="62">
        <f>ROUND(+I14,0)</f>
        <v>3336267</v>
      </c>
      <c r="S14" s="57" t="s">
        <v>26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56"/>
    </row>
    <row r="15" spans="1:98" s="4" customFormat="1" x14ac:dyDescent="0.35">
      <c r="A15" s="48">
        <v>8</v>
      </c>
      <c r="B15" s="19" t="s">
        <v>37</v>
      </c>
      <c r="C15" s="52">
        <v>1</v>
      </c>
      <c r="D15" s="64" t="s">
        <v>15</v>
      </c>
      <c r="E15" s="102">
        <v>45000</v>
      </c>
      <c r="F15" s="95">
        <v>136850</v>
      </c>
      <c r="G15" s="86">
        <v>157000</v>
      </c>
      <c r="H15" s="75">
        <v>152444.22</v>
      </c>
      <c r="I15" s="9">
        <f>AVERAGE(E15:H15)</f>
        <v>122823.55499999999</v>
      </c>
      <c r="J15" s="9">
        <f>MIN(E15:H15)</f>
        <v>45000</v>
      </c>
      <c r="K15" s="30">
        <f>MAX(E15:H15)</f>
        <v>157000</v>
      </c>
      <c r="L15" s="30">
        <f t="shared" si="0"/>
        <v>83911.777499999997</v>
      </c>
      <c r="M15" s="30">
        <f>HARMEAN(E15:H15)</f>
        <v>94209.204817561622</v>
      </c>
      <c r="N15" s="31">
        <f>+_xlfn.STDEV.S(E15:H15)</f>
        <v>52594.866859977585</v>
      </c>
      <c r="O15" s="32">
        <f>+N15/I15</f>
        <v>0.42821482296272556</v>
      </c>
      <c r="P15" s="30">
        <f>GEOMEAN(E15:H15)</f>
        <v>110183.60627995493</v>
      </c>
      <c r="Q15" s="30">
        <f>MEDIAN(E15:H15)</f>
        <v>144647.10999999999</v>
      </c>
      <c r="R15" s="62">
        <f>ROUND(+M15,0)</f>
        <v>94209</v>
      </c>
      <c r="S15" s="58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56"/>
    </row>
    <row r="16" spans="1:98" s="4" customFormat="1" x14ac:dyDescent="0.35">
      <c r="A16" s="48">
        <v>9</v>
      </c>
      <c r="B16" s="20" t="s">
        <v>39</v>
      </c>
      <c r="C16" s="52">
        <v>1</v>
      </c>
      <c r="D16" s="18" t="s">
        <v>15</v>
      </c>
      <c r="E16" s="103">
        <v>400000</v>
      </c>
      <c r="F16" s="96">
        <v>511700</v>
      </c>
      <c r="G16" s="87">
        <v>590000</v>
      </c>
      <c r="H16" s="76">
        <v>572616.22</v>
      </c>
      <c r="I16" s="9">
        <f>AVERAGE(E16:H16)</f>
        <v>518579.05499999999</v>
      </c>
      <c r="J16" s="9">
        <f>MIN(E16:H16)</f>
        <v>400000</v>
      </c>
      <c r="K16" s="30">
        <f>MAX(E16:H16)</f>
        <v>590000</v>
      </c>
      <c r="L16" s="30">
        <f>+(I16+J16)/2</f>
        <v>459289.52749999997</v>
      </c>
      <c r="M16" s="30">
        <f>HARMEAN(E16:H16)</f>
        <v>506614.11935585347</v>
      </c>
      <c r="N16" s="31">
        <f>+_xlfn.STDEV.S(E16:H16)</f>
        <v>85886.12668007231</v>
      </c>
      <c r="O16" s="32">
        <f t="shared" si="1"/>
        <v>0.16561819427911972</v>
      </c>
      <c r="P16" s="30">
        <f>GEOMEAN(E16:H16)</f>
        <v>512799.70470235392</v>
      </c>
      <c r="Q16" s="30">
        <f>MEDIAN(E16:H16)</f>
        <v>542158.11</v>
      </c>
      <c r="R16" s="62">
        <f>ROUND(+I16,0)</f>
        <v>518579</v>
      </c>
      <c r="S16" s="57" t="s">
        <v>26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56"/>
    </row>
    <row r="17" spans="1:98" s="4" customFormat="1" ht="14.5" customHeight="1" x14ac:dyDescent="0.35">
      <c r="A17" s="113" t="s">
        <v>27</v>
      </c>
      <c r="B17" s="114"/>
      <c r="C17" s="114"/>
      <c r="D17" s="114"/>
      <c r="E17" s="114"/>
      <c r="F17" s="114"/>
      <c r="G17" s="114"/>
      <c r="H17" s="115"/>
      <c r="I17" s="107"/>
      <c r="J17" s="9"/>
      <c r="K17" s="30"/>
      <c r="L17" s="30"/>
      <c r="M17" s="30"/>
      <c r="N17" s="31"/>
      <c r="O17" s="32"/>
      <c r="P17" s="30"/>
      <c r="Q17" s="30"/>
      <c r="R17" s="62">
        <f>SUM(R12:R16)</f>
        <v>4410034</v>
      </c>
      <c r="S17" s="57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56"/>
    </row>
    <row r="18" spans="1:98" s="6" customFormat="1" ht="31.5" customHeight="1" x14ac:dyDescent="0.35">
      <c r="A18" s="118" t="s">
        <v>40</v>
      </c>
      <c r="B18" s="119"/>
      <c r="C18" s="119"/>
      <c r="D18" s="119"/>
      <c r="E18" s="119"/>
      <c r="F18" s="119"/>
      <c r="G18" s="119"/>
      <c r="H18" s="119"/>
      <c r="I18" s="8"/>
      <c r="J18" s="8"/>
      <c r="K18" s="37"/>
      <c r="L18" s="37"/>
      <c r="M18" s="37"/>
      <c r="N18" s="39"/>
      <c r="O18" s="40"/>
      <c r="P18" s="37"/>
      <c r="Q18" s="37"/>
      <c r="R18" s="62"/>
      <c r="S18" s="44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54"/>
    </row>
    <row r="19" spans="1:98" s="4" customFormat="1" ht="24" customHeight="1" x14ac:dyDescent="0.35">
      <c r="A19" s="48">
        <v>10</v>
      </c>
      <c r="B19" s="20" t="s">
        <v>41</v>
      </c>
      <c r="C19" s="52">
        <v>1</v>
      </c>
      <c r="D19" s="18" t="s">
        <v>15</v>
      </c>
      <c r="E19" s="99">
        <v>10000</v>
      </c>
      <c r="F19" s="97">
        <v>10710</v>
      </c>
      <c r="G19" s="88">
        <v>9000</v>
      </c>
      <c r="H19" s="77">
        <v>11950</v>
      </c>
      <c r="I19" s="27">
        <f t="shared" ref="I19:I24" si="3">AVERAGE(E19:H19)</f>
        <v>10415</v>
      </c>
      <c r="J19" s="9">
        <f t="shared" ref="J19:J24" si="4">MIN(E19:H19)</f>
        <v>9000</v>
      </c>
      <c r="K19" s="38">
        <f t="shared" ref="K19:K24" si="5">MAX(E19:H19)</f>
        <v>11950</v>
      </c>
      <c r="L19" s="30">
        <f>+(I19+J19)/2</f>
        <v>9707.5</v>
      </c>
      <c r="M19" s="30">
        <f t="shared" ref="M19:M24" si="6">HARMEAN(E19:H19)</f>
        <v>10304.927942317621</v>
      </c>
      <c r="N19" s="31">
        <f t="shared" ref="N19:N24" si="7">+_xlfn.STDEV.S(E19:H19)</f>
        <v>1240.6584273414392</v>
      </c>
      <c r="O19" s="32">
        <f t="shared" si="1"/>
        <v>0.1191222685877522</v>
      </c>
      <c r="P19" s="30">
        <f t="shared" ref="P19:P24" si="8">GEOMEAN(E19:H19)</f>
        <v>10359.766606960036</v>
      </c>
      <c r="Q19" s="30">
        <f t="shared" ref="Q19:Q24" si="9">MEDIAN(E19:H19)</f>
        <v>10355</v>
      </c>
      <c r="R19" s="62">
        <f>ROUND(+I19,0)</f>
        <v>10415</v>
      </c>
      <c r="S19" s="57" t="s">
        <v>26</v>
      </c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56"/>
    </row>
    <row r="20" spans="1:98" s="4" customFormat="1" ht="26.65" customHeight="1" x14ac:dyDescent="0.35">
      <c r="A20" s="48">
        <v>11</v>
      </c>
      <c r="B20" s="19" t="s">
        <v>42</v>
      </c>
      <c r="C20" s="52">
        <v>1</v>
      </c>
      <c r="D20" s="18" t="s">
        <v>15</v>
      </c>
      <c r="E20" s="99">
        <v>180000</v>
      </c>
      <c r="F20" s="91">
        <v>321300</v>
      </c>
      <c r="G20" s="89">
        <v>360000</v>
      </c>
      <c r="H20" s="78">
        <v>351543.52</v>
      </c>
      <c r="I20" s="27">
        <f t="shared" si="3"/>
        <v>303210.88</v>
      </c>
      <c r="J20" s="9">
        <f t="shared" si="4"/>
        <v>180000</v>
      </c>
      <c r="K20" s="38">
        <f t="shared" si="5"/>
        <v>360000</v>
      </c>
      <c r="L20" s="30">
        <f t="shared" ref="L20:L30" si="10">+(I20+J20)/2</f>
        <v>241605.44</v>
      </c>
      <c r="M20" s="30">
        <f t="shared" si="6"/>
        <v>279910.3955616256</v>
      </c>
      <c r="N20" s="31">
        <f t="shared" si="7"/>
        <v>83803.71004614055</v>
      </c>
      <c r="O20" s="32">
        <f t="shared" si="1"/>
        <v>0.27638754271001276</v>
      </c>
      <c r="P20" s="30">
        <f t="shared" si="8"/>
        <v>292493.49177149951</v>
      </c>
      <c r="Q20" s="30">
        <f t="shared" si="9"/>
        <v>336421.76</v>
      </c>
      <c r="R20" s="62">
        <f>ROUND(+I20,0)</f>
        <v>303211</v>
      </c>
      <c r="S20" s="57" t="s">
        <v>26</v>
      </c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56"/>
    </row>
    <row r="21" spans="1:98" s="4" customFormat="1" x14ac:dyDescent="0.35">
      <c r="A21" s="48">
        <v>12</v>
      </c>
      <c r="B21" s="19" t="s">
        <v>43</v>
      </c>
      <c r="C21" s="52">
        <v>1</v>
      </c>
      <c r="D21" s="18" t="s">
        <v>15</v>
      </c>
      <c r="E21" s="99">
        <v>14000</v>
      </c>
      <c r="F21" s="91">
        <v>13090</v>
      </c>
      <c r="G21" s="82">
        <v>14000</v>
      </c>
      <c r="H21" s="70">
        <v>13851.6</v>
      </c>
      <c r="I21" s="27">
        <f t="shared" si="3"/>
        <v>13735.4</v>
      </c>
      <c r="J21" s="9">
        <f t="shared" si="4"/>
        <v>13090</v>
      </c>
      <c r="K21" s="38">
        <f t="shared" si="5"/>
        <v>14000</v>
      </c>
      <c r="L21" s="30">
        <f t="shared" si="10"/>
        <v>13412.7</v>
      </c>
      <c r="M21" s="30">
        <f t="shared" si="6"/>
        <v>13724.708828377637</v>
      </c>
      <c r="N21" s="31">
        <f t="shared" si="7"/>
        <v>435.91662811444422</v>
      </c>
      <c r="O21" s="32">
        <f t="shared" si="1"/>
        <v>3.1736726132070722E-2</v>
      </c>
      <c r="P21" s="30">
        <f t="shared" si="8"/>
        <v>13730.106783635107</v>
      </c>
      <c r="Q21" s="30">
        <f t="shared" si="9"/>
        <v>13925.8</v>
      </c>
      <c r="R21" s="62">
        <f>ROUND(+M21,0)</f>
        <v>13725</v>
      </c>
      <c r="S21" s="58" t="s">
        <v>38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56"/>
    </row>
    <row r="22" spans="1:98" s="4" customFormat="1" ht="36.65" customHeight="1" x14ac:dyDescent="0.35">
      <c r="A22" s="48">
        <v>13</v>
      </c>
      <c r="B22" s="19" t="s">
        <v>44</v>
      </c>
      <c r="C22" s="52">
        <v>1</v>
      </c>
      <c r="D22" s="18" t="s">
        <v>15</v>
      </c>
      <c r="E22" s="99">
        <v>18000</v>
      </c>
      <c r="F22" s="91">
        <v>53550</v>
      </c>
      <c r="G22" s="82">
        <v>57000</v>
      </c>
      <c r="H22" s="70">
        <v>57884.75</v>
      </c>
      <c r="I22" s="27">
        <f t="shared" si="3"/>
        <v>46608.6875</v>
      </c>
      <c r="J22" s="9">
        <f t="shared" si="4"/>
        <v>18000</v>
      </c>
      <c r="K22" s="38">
        <f t="shared" si="5"/>
        <v>57884.75</v>
      </c>
      <c r="L22" s="30">
        <f t="shared" si="10"/>
        <v>32304.34375</v>
      </c>
      <c r="M22" s="30">
        <f t="shared" si="6"/>
        <v>36680.6711195022</v>
      </c>
      <c r="N22" s="31">
        <f t="shared" si="7"/>
        <v>19163.922534038407</v>
      </c>
      <c r="O22" s="32">
        <f t="shared" si="1"/>
        <v>0.41116632031396311</v>
      </c>
      <c r="P22" s="30">
        <f t="shared" si="8"/>
        <v>42229.676008261886</v>
      </c>
      <c r="Q22" s="30">
        <f t="shared" si="9"/>
        <v>55275</v>
      </c>
      <c r="R22" s="62">
        <f>ROUND(+M22,0)</f>
        <v>36681</v>
      </c>
      <c r="S22" s="57" t="s">
        <v>38</v>
      </c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56"/>
    </row>
    <row r="23" spans="1:98" s="4" customFormat="1" ht="23.25" customHeight="1" x14ac:dyDescent="0.35">
      <c r="A23" s="48">
        <v>14</v>
      </c>
      <c r="B23" s="19" t="s">
        <v>45</v>
      </c>
      <c r="C23" s="52">
        <v>1</v>
      </c>
      <c r="D23" s="18" t="s">
        <v>15</v>
      </c>
      <c r="E23" s="99">
        <v>140000</v>
      </c>
      <c r="F23" s="91">
        <v>142800</v>
      </c>
      <c r="G23" s="82">
        <v>150000</v>
      </c>
      <c r="H23" s="70">
        <v>157617.24</v>
      </c>
      <c r="I23" s="27">
        <f t="shared" si="3"/>
        <v>147604.31</v>
      </c>
      <c r="J23" s="9">
        <f t="shared" si="4"/>
        <v>140000</v>
      </c>
      <c r="K23" s="38">
        <f t="shared" si="5"/>
        <v>157617.24</v>
      </c>
      <c r="L23" s="30">
        <f t="shared" si="10"/>
        <v>143802.155</v>
      </c>
      <c r="M23" s="30">
        <f t="shared" si="6"/>
        <v>147292.71262559365</v>
      </c>
      <c r="N23" s="31">
        <f t="shared" si="7"/>
        <v>7893.1409656992655</v>
      </c>
      <c r="O23" s="32">
        <f t="shared" si="1"/>
        <v>5.3475003309180237E-2</v>
      </c>
      <c r="P23" s="30">
        <f t="shared" si="8"/>
        <v>147447.63299935232</v>
      </c>
      <c r="Q23" s="30">
        <f t="shared" si="9"/>
        <v>146400</v>
      </c>
      <c r="R23" s="62">
        <f>ROUND(+I23,0)</f>
        <v>147604</v>
      </c>
      <c r="S23" s="58" t="s">
        <v>26</v>
      </c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56"/>
    </row>
    <row r="24" spans="1:98" s="4" customFormat="1" ht="23" x14ac:dyDescent="0.35">
      <c r="A24" s="48">
        <v>15</v>
      </c>
      <c r="B24" s="19" t="s">
        <v>46</v>
      </c>
      <c r="C24" s="52">
        <v>1</v>
      </c>
      <c r="D24" s="18" t="s">
        <v>15</v>
      </c>
      <c r="E24" s="99">
        <v>700000</v>
      </c>
      <c r="F24" s="91">
        <v>714000</v>
      </c>
      <c r="G24" s="82">
        <v>780000</v>
      </c>
      <c r="H24" s="70">
        <v>789923.38</v>
      </c>
      <c r="I24" s="27">
        <f t="shared" si="3"/>
        <v>745980.84499999997</v>
      </c>
      <c r="J24" s="9">
        <f t="shared" si="4"/>
        <v>700000</v>
      </c>
      <c r="K24" s="38">
        <f t="shared" si="5"/>
        <v>789923.38</v>
      </c>
      <c r="L24" s="30">
        <f>+(I24+J24)/2</f>
        <v>722990.42249999999</v>
      </c>
      <c r="M24" s="30">
        <f t="shared" si="6"/>
        <v>743891.46546117601</v>
      </c>
      <c r="N24" s="31">
        <f t="shared" si="7"/>
        <v>45553.125918968872</v>
      </c>
      <c r="O24" s="32">
        <f t="shared" si="1"/>
        <v>6.1064739429024982E-2</v>
      </c>
      <c r="P24" s="30">
        <f t="shared" si="8"/>
        <v>744935.98805974156</v>
      </c>
      <c r="Q24" s="30">
        <f t="shared" si="9"/>
        <v>747000</v>
      </c>
      <c r="R24" s="62">
        <f>ROUND(+I24,0)</f>
        <v>745981</v>
      </c>
      <c r="S24" s="58" t="s">
        <v>26</v>
      </c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56"/>
    </row>
    <row r="25" spans="1:98" s="4" customFormat="1" x14ac:dyDescent="0.35">
      <c r="A25" s="113" t="s">
        <v>27</v>
      </c>
      <c r="B25" s="114"/>
      <c r="C25" s="114"/>
      <c r="D25" s="114"/>
      <c r="E25" s="114"/>
      <c r="F25" s="114"/>
      <c r="G25" s="114"/>
      <c r="H25" s="71"/>
      <c r="I25" s="16"/>
      <c r="J25" s="9"/>
      <c r="K25" s="38"/>
      <c r="L25" s="30"/>
      <c r="M25" s="30"/>
      <c r="N25" s="31"/>
      <c r="O25" s="32"/>
      <c r="P25" s="30"/>
      <c r="Q25" s="30"/>
      <c r="R25" s="62">
        <f>SUM(R19:R24)</f>
        <v>1257617</v>
      </c>
      <c r="S25" s="58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56"/>
    </row>
    <row r="26" spans="1:98" s="6" customFormat="1" ht="29.25" customHeight="1" x14ac:dyDescent="0.35">
      <c r="A26" s="111" t="s">
        <v>47</v>
      </c>
      <c r="B26" s="112"/>
      <c r="C26" s="112"/>
      <c r="D26" s="112"/>
      <c r="E26" s="112"/>
      <c r="F26" s="112"/>
      <c r="G26" s="112"/>
      <c r="H26" s="112"/>
      <c r="I26" s="29"/>
      <c r="J26" s="33"/>
      <c r="K26" s="37"/>
      <c r="L26" s="37"/>
      <c r="M26" s="37"/>
      <c r="N26" s="39"/>
      <c r="O26" s="40"/>
      <c r="P26" s="37"/>
      <c r="Q26" s="37"/>
      <c r="R26" s="62"/>
      <c r="S26" s="44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54"/>
    </row>
    <row r="27" spans="1:98" s="4" customFormat="1" ht="27.75" customHeight="1" x14ac:dyDescent="0.35">
      <c r="A27" s="48">
        <v>16</v>
      </c>
      <c r="B27" s="20" t="s">
        <v>48</v>
      </c>
      <c r="C27" s="52">
        <v>1</v>
      </c>
      <c r="D27" s="18" t="s">
        <v>15</v>
      </c>
      <c r="E27" s="99">
        <v>580000</v>
      </c>
      <c r="F27" s="91">
        <v>952000</v>
      </c>
      <c r="G27" s="82">
        <v>850000</v>
      </c>
      <c r="H27" s="79">
        <v>1033955.01</v>
      </c>
      <c r="I27" s="28">
        <f>AVERAGE(E27:H27)</f>
        <v>853988.75249999994</v>
      </c>
      <c r="J27" s="9">
        <f>MIN(E27:H27)</f>
        <v>580000</v>
      </c>
      <c r="K27" s="38">
        <f>MAX(E27:H27)</f>
        <v>1033955.01</v>
      </c>
      <c r="L27" s="30">
        <f t="shared" si="10"/>
        <v>716994.37624999997</v>
      </c>
      <c r="M27" s="30">
        <f>HARMEAN(E27:H27)</f>
        <v>813307.54008039064</v>
      </c>
      <c r="N27" s="31">
        <f>+_xlfn.STDEV.S(E27:H27)</f>
        <v>197551.51658750998</v>
      </c>
      <c r="O27" s="32">
        <f t="shared" si="1"/>
        <v>0.23132800755184418</v>
      </c>
      <c r="P27" s="30">
        <f>GEOMEAN(E27:H27)</f>
        <v>834634.58626307978</v>
      </c>
      <c r="Q27" s="30">
        <f>MEDIAN(E27:H27)</f>
        <v>901000</v>
      </c>
      <c r="R27" s="62">
        <f>ROUND(+L27,0)</f>
        <v>716994</v>
      </c>
      <c r="S27" s="58" t="s">
        <v>35</v>
      </c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56"/>
    </row>
    <row r="28" spans="1:98" s="4" customFormat="1" ht="34.5" x14ac:dyDescent="0.35">
      <c r="A28" s="48">
        <v>17</v>
      </c>
      <c r="B28" s="20" t="s">
        <v>49</v>
      </c>
      <c r="C28" s="52">
        <v>1</v>
      </c>
      <c r="D28" s="18" t="s">
        <v>15</v>
      </c>
      <c r="E28" s="99">
        <v>900000</v>
      </c>
      <c r="F28" s="91">
        <v>904400</v>
      </c>
      <c r="G28" s="82">
        <v>850000</v>
      </c>
      <c r="H28" s="79">
        <v>963381.7</v>
      </c>
      <c r="I28" s="28">
        <f>AVERAGE(E28:H28)</f>
        <v>904445.42500000005</v>
      </c>
      <c r="J28" s="9">
        <f>MIN(E28:H28)</f>
        <v>850000</v>
      </c>
      <c r="K28" s="38">
        <f>MAX(E28:H28)</f>
        <v>963381.7</v>
      </c>
      <c r="L28" s="30">
        <f t="shared" si="10"/>
        <v>877222.71250000002</v>
      </c>
      <c r="M28" s="30">
        <f>HARMEAN(E28:H28)</f>
        <v>902670.19402041915</v>
      </c>
      <c r="N28" s="31">
        <f>+_xlfn.STDEV.S(E28:H28)</f>
        <v>46395.232086812161</v>
      </c>
      <c r="O28" s="32">
        <f t="shared" si="1"/>
        <v>5.1296884040086949E-2</v>
      </c>
      <c r="P28" s="30">
        <f>GEOMEAN(E28:H28)</f>
        <v>903556.04400762904</v>
      </c>
      <c r="Q28" s="30">
        <f>MEDIAN(E28:H28)</f>
        <v>902200</v>
      </c>
      <c r="R28" s="62">
        <f>ROUND(+I28,0)</f>
        <v>904445</v>
      </c>
      <c r="S28" s="57" t="s">
        <v>26</v>
      </c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56"/>
    </row>
    <row r="29" spans="1:98" s="4" customFormat="1" ht="38.5" customHeight="1" x14ac:dyDescent="0.35">
      <c r="A29" s="48">
        <v>18</v>
      </c>
      <c r="B29" s="20" t="s">
        <v>50</v>
      </c>
      <c r="C29" s="52">
        <v>1</v>
      </c>
      <c r="D29" s="18" t="s">
        <v>15</v>
      </c>
      <c r="E29" s="99">
        <v>699000</v>
      </c>
      <c r="F29" s="91">
        <v>595000</v>
      </c>
      <c r="G29" s="82">
        <v>550000</v>
      </c>
      <c r="H29" s="79">
        <v>678450.98</v>
      </c>
      <c r="I29" s="28">
        <f>AVERAGE(E29:H29)</f>
        <v>630612.745</v>
      </c>
      <c r="J29" s="9">
        <f>MIN(E29:H29)</f>
        <v>550000</v>
      </c>
      <c r="K29" s="38">
        <f>MAX(E29:H29)</f>
        <v>699000</v>
      </c>
      <c r="L29" s="30">
        <f t="shared" si="10"/>
        <v>590306.37250000006</v>
      </c>
      <c r="M29" s="30">
        <f>HARMEAN(E29:H29)</f>
        <v>624666.67277064791</v>
      </c>
      <c r="N29" s="31">
        <f>+_xlfn.STDEV.S(E29:H29)</f>
        <v>70076.138680771837</v>
      </c>
      <c r="O29" s="32">
        <f t="shared" si="1"/>
        <v>0.11112388583388343</v>
      </c>
      <c r="P29" s="30">
        <f>GEOMEAN(E29:H29)</f>
        <v>627651.86883207189</v>
      </c>
      <c r="Q29" s="30">
        <f>MEDIAN(E29:H29)</f>
        <v>636725.49</v>
      </c>
      <c r="R29" s="62">
        <f>ROUND(+I29,0)</f>
        <v>630613</v>
      </c>
      <c r="S29" s="58" t="s">
        <v>26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56"/>
    </row>
    <row r="30" spans="1:98" s="4" customFormat="1" x14ac:dyDescent="0.35">
      <c r="A30" s="48">
        <v>19</v>
      </c>
      <c r="B30" s="20" t="s">
        <v>51</v>
      </c>
      <c r="C30" s="52">
        <v>1</v>
      </c>
      <c r="D30" s="18" t="s">
        <v>15</v>
      </c>
      <c r="E30" s="99">
        <v>75000</v>
      </c>
      <c r="F30" s="91">
        <v>107100</v>
      </c>
      <c r="G30" s="82">
        <v>110000</v>
      </c>
      <c r="H30" s="79">
        <v>118683.38</v>
      </c>
      <c r="I30" s="28">
        <f>AVERAGE(E30:H30)</f>
        <v>102695.845</v>
      </c>
      <c r="J30" s="9">
        <f>MIN(E30:H30)</f>
        <v>75000</v>
      </c>
      <c r="K30" s="38">
        <f>MAX(E30:H30)</f>
        <v>118683.38</v>
      </c>
      <c r="L30" s="30">
        <f t="shared" si="10"/>
        <v>88847.922500000001</v>
      </c>
      <c r="M30" s="30">
        <f>HARMEAN(E30:H30)</f>
        <v>99534.45206737383</v>
      </c>
      <c r="N30" s="31">
        <f>+_xlfn.STDEV.S(E30:H30)</f>
        <v>19108.535328209611</v>
      </c>
      <c r="O30" s="32">
        <f t="shared" si="1"/>
        <v>0.18606921563583814</v>
      </c>
      <c r="P30" s="30">
        <f>GEOMEAN(E30:H30)</f>
        <v>101194.8314515927</v>
      </c>
      <c r="Q30" s="30">
        <f>MEDIAN(E30:H30)</f>
        <v>108550</v>
      </c>
      <c r="R30" s="62">
        <f>ROUND(+I30,0)</f>
        <v>102696</v>
      </c>
      <c r="S30" s="58" t="s">
        <v>26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56"/>
    </row>
    <row r="31" spans="1:98" s="4" customFormat="1" ht="42" customHeight="1" x14ac:dyDescent="0.35">
      <c r="A31" s="48">
        <v>20</v>
      </c>
      <c r="B31" s="20" t="s">
        <v>52</v>
      </c>
      <c r="C31" s="52">
        <v>1</v>
      </c>
      <c r="D31" s="18" t="s">
        <v>15</v>
      </c>
      <c r="E31" s="99">
        <v>1600</v>
      </c>
      <c r="F31" s="91">
        <v>1428</v>
      </c>
      <c r="G31" s="82">
        <v>1650</v>
      </c>
      <c r="H31" s="70">
        <v>1600.5</v>
      </c>
      <c r="I31" s="28">
        <f>AVERAGE(E31:H31)</f>
        <v>1569.625</v>
      </c>
      <c r="J31" s="9">
        <f>MIN(E31:H31)</f>
        <v>1428</v>
      </c>
      <c r="K31" s="38">
        <f>MAX(E31:H31)</f>
        <v>1650</v>
      </c>
      <c r="L31" s="30">
        <f>+(I31+J31)/2</f>
        <v>1498.8125</v>
      </c>
      <c r="M31" s="30">
        <f>HARMEAN(E31:H31)</f>
        <v>1564.8561680986202</v>
      </c>
      <c r="N31" s="31">
        <f>+_xlfn.STDEV.S(E31:H31)</f>
        <v>97.285983060253855</v>
      </c>
      <c r="O31" s="32">
        <f t="shared" si="1"/>
        <v>6.1980398541214531E-2</v>
      </c>
      <c r="P31" s="30">
        <f>GEOMEAN(E31:H31)</f>
        <v>1567.2813048837199</v>
      </c>
      <c r="Q31" s="30">
        <f>MEDIAN(E31:H31)</f>
        <v>1600.25</v>
      </c>
      <c r="R31" s="62">
        <f>ROUND(+I31,0)</f>
        <v>1570</v>
      </c>
      <c r="S31" s="57" t="s">
        <v>26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56"/>
    </row>
    <row r="32" spans="1:98" s="4" customFormat="1" ht="42" customHeight="1" x14ac:dyDescent="0.35">
      <c r="A32" s="113" t="s">
        <v>27</v>
      </c>
      <c r="B32" s="114"/>
      <c r="C32" s="114"/>
      <c r="D32" s="114"/>
      <c r="E32" s="114"/>
      <c r="F32" s="114"/>
      <c r="G32" s="114"/>
      <c r="H32" s="105">
        <f>L27+I28+I29+I30+I31</f>
        <v>2356318.0162500003</v>
      </c>
      <c r="I32" s="16"/>
      <c r="J32" s="9"/>
      <c r="K32" s="38"/>
      <c r="L32" s="30"/>
      <c r="M32" s="30"/>
      <c r="N32" s="31"/>
      <c r="O32" s="32"/>
      <c r="P32" s="30"/>
      <c r="Q32" s="30"/>
      <c r="R32" s="62">
        <f>SUM(R27:R31)</f>
        <v>2356318</v>
      </c>
      <c r="S32" s="57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56"/>
    </row>
    <row r="33" spans="1:98" s="6" customFormat="1" ht="39.75" customHeight="1" x14ac:dyDescent="0.35">
      <c r="A33" s="111" t="s">
        <v>53</v>
      </c>
      <c r="B33" s="112"/>
      <c r="C33" s="112"/>
      <c r="D33" s="112"/>
      <c r="E33" s="112"/>
      <c r="F33" s="112"/>
      <c r="G33" s="112"/>
      <c r="H33" s="112"/>
      <c r="I33" s="8"/>
      <c r="J33" s="33"/>
      <c r="K33" s="37"/>
      <c r="L33" s="37"/>
      <c r="M33" s="37"/>
      <c r="N33" s="39"/>
      <c r="O33" s="40"/>
      <c r="P33" s="37"/>
      <c r="Q33" s="37"/>
      <c r="R33" s="62">
        <f t="shared" ref="R33" si="11">ROUND(+I33,0)</f>
        <v>0</v>
      </c>
      <c r="S33" s="44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54"/>
    </row>
    <row r="34" spans="1:98" s="4" customFormat="1" ht="24.75" customHeight="1" x14ac:dyDescent="0.35">
      <c r="A34" s="48">
        <v>21</v>
      </c>
      <c r="B34" s="20" t="s">
        <v>54</v>
      </c>
      <c r="C34" s="52">
        <v>1</v>
      </c>
      <c r="D34" s="18" t="s">
        <v>15</v>
      </c>
      <c r="E34" s="99">
        <v>3000000</v>
      </c>
      <c r="F34" s="91">
        <v>3272500</v>
      </c>
      <c r="G34" s="82">
        <v>3200000</v>
      </c>
      <c r="H34" s="70">
        <v>3498849.17</v>
      </c>
      <c r="I34" s="9">
        <f>AVERAGE(E34:H34)</f>
        <v>3242837.2925</v>
      </c>
      <c r="J34" s="9">
        <f>MIN(E34:H34)</f>
        <v>3000000</v>
      </c>
      <c r="K34" s="38">
        <f>MAX(E34:H34)</f>
        <v>3498849.17</v>
      </c>
      <c r="L34" s="30">
        <f t="shared" ref="L34:L40" si="12">+(I34+J34)/2</f>
        <v>3121418.6462500002</v>
      </c>
      <c r="M34" s="30">
        <f>HARMEAN(E34:H34)</f>
        <v>3233059.0075319512</v>
      </c>
      <c r="N34" s="31">
        <f>+_xlfn.STDEV.S(E34:H34)</f>
        <v>205934.40856639008</v>
      </c>
      <c r="O34" s="32">
        <f t="shared" si="1"/>
        <v>6.3504391368223445E-2</v>
      </c>
      <c r="P34" s="30">
        <f>GEOMEAN(E34:H34)</f>
        <v>3237941.7182313395</v>
      </c>
      <c r="Q34" s="30">
        <f>MEDIAN(E34:H34)</f>
        <v>3236250</v>
      </c>
      <c r="R34" s="62">
        <f>ROUND(+I34,0)</f>
        <v>3242837</v>
      </c>
      <c r="S34" s="58" t="s">
        <v>26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56"/>
    </row>
    <row r="35" spans="1:98" s="4" customFormat="1" ht="24.75" customHeight="1" x14ac:dyDescent="0.35">
      <c r="A35" s="113" t="s">
        <v>27</v>
      </c>
      <c r="B35" s="114"/>
      <c r="C35" s="114"/>
      <c r="D35" s="114"/>
      <c r="E35" s="114"/>
      <c r="F35" s="114"/>
      <c r="G35" s="114"/>
      <c r="H35" s="70">
        <v>3498849.17</v>
      </c>
      <c r="I35" s="9"/>
      <c r="J35" s="9"/>
      <c r="K35" s="38"/>
      <c r="L35" s="30"/>
      <c r="M35" s="30"/>
      <c r="N35" s="31"/>
      <c r="O35" s="32"/>
      <c r="P35" s="30"/>
      <c r="Q35" s="30"/>
      <c r="R35" s="62"/>
      <c r="S35" s="58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56"/>
    </row>
    <row r="36" spans="1:98" s="6" customFormat="1" ht="40.5" customHeight="1" x14ac:dyDescent="0.35">
      <c r="A36" s="111" t="s">
        <v>55</v>
      </c>
      <c r="B36" s="112"/>
      <c r="C36" s="112"/>
      <c r="D36" s="112"/>
      <c r="E36" s="112"/>
      <c r="F36" s="112"/>
      <c r="G36" s="112"/>
      <c r="H36" s="112"/>
      <c r="I36" s="8"/>
      <c r="J36" s="33"/>
      <c r="K36" s="37"/>
      <c r="L36" s="37"/>
      <c r="M36" s="37"/>
      <c r="N36" s="39"/>
      <c r="O36" s="40"/>
      <c r="P36" s="37"/>
      <c r="Q36" s="37"/>
      <c r="R36" s="62"/>
      <c r="S36" s="44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54"/>
    </row>
    <row r="37" spans="1:98" s="4" customFormat="1" x14ac:dyDescent="0.35">
      <c r="A37" s="48">
        <v>22</v>
      </c>
      <c r="B37" s="20" t="s">
        <v>56</v>
      </c>
      <c r="C37" s="52">
        <v>1</v>
      </c>
      <c r="D37" s="18" t="s">
        <v>15</v>
      </c>
      <c r="E37" s="99">
        <v>40000</v>
      </c>
      <c r="F37" s="91">
        <v>51170</v>
      </c>
      <c r="G37" s="82">
        <v>54000</v>
      </c>
      <c r="H37" s="70">
        <v>56138.75</v>
      </c>
      <c r="I37" s="9">
        <f>AVERAGE(E37:H37)</f>
        <v>50327.1875</v>
      </c>
      <c r="J37" s="9">
        <f>MIN(E37:H37)</f>
        <v>40000</v>
      </c>
      <c r="K37" s="38">
        <f>MAX(E37:H37)</f>
        <v>56138.75</v>
      </c>
      <c r="L37" s="30">
        <f t="shared" si="12"/>
        <v>45163.59375</v>
      </c>
      <c r="M37" s="30">
        <f>HARMEAN(E37:H37)</f>
        <v>49459.514298715869</v>
      </c>
      <c r="N37" s="31">
        <f>+_xlfn.STDEV.S(E37:H37)</f>
        <v>7179.2512358387112</v>
      </c>
      <c r="O37" s="32">
        <f t="shared" si="1"/>
        <v>0.14265154864532636</v>
      </c>
      <c r="P37" s="30">
        <f>GEOMEAN(E37:H37)</f>
        <v>49909.472135800766</v>
      </c>
      <c r="Q37" s="30">
        <f>MEDIAN(E37:H37)</f>
        <v>52585</v>
      </c>
      <c r="R37" s="62">
        <f>ROUND(+I37,0)</f>
        <v>50327</v>
      </c>
      <c r="S37" s="58" t="s">
        <v>26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56"/>
    </row>
    <row r="38" spans="1:98" s="4" customFormat="1" x14ac:dyDescent="0.35">
      <c r="A38" s="113" t="s">
        <v>27</v>
      </c>
      <c r="B38" s="114"/>
      <c r="C38" s="114"/>
      <c r="D38" s="114"/>
      <c r="E38" s="114"/>
      <c r="F38" s="114"/>
      <c r="G38" s="114"/>
      <c r="H38" s="70">
        <v>56138.75</v>
      </c>
      <c r="I38" s="9"/>
      <c r="J38" s="9"/>
      <c r="K38" s="38"/>
      <c r="L38" s="30"/>
      <c r="M38" s="30"/>
      <c r="N38" s="31"/>
      <c r="O38" s="32"/>
      <c r="P38" s="30"/>
      <c r="Q38" s="30"/>
      <c r="R38" s="62"/>
      <c r="S38" s="58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56"/>
    </row>
    <row r="39" spans="1:98" s="6" customFormat="1" ht="36" customHeight="1" x14ac:dyDescent="0.35">
      <c r="A39" s="111" t="s">
        <v>57</v>
      </c>
      <c r="B39" s="112"/>
      <c r="C39" s="112"/>
      <c r="D39" s="112"/>
      <c r="E39" s="112"/>
      <c r="F39" s="112"/>
      <c r="G39" s="112"/>
      <c r="H39" s="112"/>
      <c r="I39" s="8"/>
      <c r="J39" s="33"/>
      <c r="K39" s="37"/>
      <c r="L39" s="37"/>
      <c r="M39" s="37"/>
      <c r="N39" s="39"/>
      <c r="O39" s="40"/>
      <c r="P39" s="37"/>
      <c r="Q39" s="37"/>
      <c r="R39" s="62"/>
      <c r="S39" s="44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54"/>
    </row>
    <row r="40" spans="1:98" s="4" customFormat="1" ht="23" x14ac:dyDescent="0.35">
      <c r="A40" s="48">
        <v>23</v>
      </c>
      <c r="B40" s="20" t="s">
        <v>58</v>
      </c>
      <c r="C40" s="43">
        <v>1</v>
      </c>
      <c r="D40" s="43" t="s">
        <v>15</v>
      </c>
      <c r="E40" s="99">
        <v>80000</v>
      </c>
      <c r="F40" s="91">
        <v>416500</v>
      </c>
      <c r="G40" s="82">
        <v>280000</v>
      </c>
      <c r="H40" s="70">
        <v>452874.58</v>
      </c>
      <c r="I40" s="9">
        <f>AVERAGE(E40:H40)</f>
        <v>307343.64500000002</v>
      </c>
      <c r="J40" s="9">
        <f>MIN(E40:H40)</f>
        <v>80000</v>
      </c>
      <c r="K40" s="38">
        <f>MAX(E40:H40)</f>
        <v>452874.58</v>
      </c>
      <c r="L40" s="30">
        <f t="shared" si="12"/>
        <v>193671.82250000001</v>
      </c>
      <c r="M40" s="30">
        <f>HARMEAN(E40:H40)</f>
        <v>193418.86672284754</v>
      </c>
      <c r="N40" s="31">
        <f>+_xlfn.STDEV.S(E40:H40)</f>
        <v>168846.25227568447</v>
      </c>
      <c r="O40" s="32">
        <f t="shared" si="1"/>
        <v>0.54937284379406792</v>
      </c>
      <c r="P40" s="30">
        <f>GEOMEAN(E40:H40)</f>
        <v>254953.06778412854</v>
      </c>
      <c r="Q40" s="30">
        <f>MEDIAN(E40:H40)</f>
        <v>348250</v>
      </c>
      <c r="R40" s="62">
        <f>ROUND(+I40,0)</f>
        <v>307344</v>
      </c>
      <c r="S40" s="46" t="s">
        <v>38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56"/>
    </row>
    <row r="41" spans="1:98" s="4" customFormat="1" x14ac:dyDescent="0.35">
      <c r="A41" s="113" t="s">
        <v>27</v>
      </c>
      <c r="B41" s="114"/>
      <c r="C41" s="114"/>
      <c r="D41" s="114"/>
      <c r="E41" s="114"/>
      <c r="F41" s="114"/>
      <c r="G41" s="115"/>
      <c r="H41" s="69">
        <v>452874.58</v>
      </c>
      <c r="I41" s="9"/>
      <c r="J41" s="9"/>
      <c r="K41" s="38"/>
      <c r="L41" s="30"/>
      <c r="M41" s="30"/>
      <c r="N41" s="31"/>
      <c r="O41" s="32"/>
      <c r="P41" s="30"/>
      <c r="Q41" s="30"/>
      <c r="R41" s="62"/>
      <c r="S41" s="46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56"/>
    </row>
    <row r="42" spans="1:98" s="4" customFormat="1" ht="17.25" customHeight="1" x14ac:dyDescent="0.35">
      <c r="A42" s="116" t="s">
        <v>59</v>
      </c>
      <c r="B42" s="116"/>
      <c r="C42" s="116"/>
      <c r="D42" s="116"/>
      <c r="E42" s="116"/>
      <c r="F42" s="116"/>
      <c r="G42" s="116"/>
      <c r="H42" s="116"/>
      <c r="I42" s="9"/>
      <c r="J42" s="9"/>
      <c r="K42" s="7"/>
      <c r="L42" s="7"/>
      <c r="M42" s="7"/>
      <c r="N42" s="13"/>
      <c r="O42" s="11"/>
      <c r="P42" s="7"/>
      <c r="Q42" s="9"/>
      <c r="R42" s="63">
        <f>R6+R10+R17+R25+R32+R34+R37+R40</f>
        <v>22320946</v>
      </c>
      <c r="S42" s="47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56"/>
    </row>
    <row r="43" spans="1:98" x14ac:dyDescent="0.35">
      <c r="R43" s="50"/>
    </row>
    <row r="50" spans="18:18" x14ac:dyDescent="0.35">
      <c r="R50" s="50"/>
    </row>
  </sheetData>
  <sheetProtection algorithmName="SHA-512" hashValue="e7cOIgN36GntiE9UaFzGebGX3SjFAaesrclC+V3yWCUxSmOVbK4HHcoZJpR0Gq2y2NJoDiFVqpE8DMgNSnNqFQ==" saltValue="BIkECImAk/aYuJTtCjFA9g==" spinCount="100000" sheet="1" objects="1" scenarios="1" formatCells="0" formatColumns="0" formatRows="0" selectLockedCells="1" selectUnlockedCells="1"/>
  <mergeCells count="21">
    <mergeCell ref="A42:H42"/>
    <mergeCell ref="E1:H1"/>
    <mergeCell ref="A7:H7"/>
    <mergeCell ref="A11:H11"/>
    <mergeCell ref="A18:H18"/>
    <mergeCell ref="A26:H26"/>
    <mergeCell ref="A33:H33"/>
    <mergeCell ref="A1:A2"/>
    <mergeCell ref="B1:B2"/>
    <mergeCell ref="A3:H3"/>
    <mergeCell ref="S1:S2"/>
    <mergeCell ref="A36:H36"/>
    <mergeCell ref="A39:H39"/>
    <mergeCell ref="A41:G41"/>
    <mergeCell ref="A38:G38"/>
    <mergeCell ref="A35:G35"/>
    <mergeCell ref="A32:G32"/>
    <mergeCell ref="A25:G25"/>
    <mergeCell ref="A6:H6"/>
    <mergeCell ref="A10:H10"/>
    <mergeCell ref="A17:H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221196bdd5975688ec0e11ec27f8f3d8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75ec711b9e956d3f790561b956814a18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13A2AC-4384-48EC-8C07-D04E71D976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938D0F-8369-4357-92FA-9B28CAAAD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8269B6-D79D-4504-8D9B-57349E71233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a4fc0ec-267c-4c0e-85e7-5b097c0f2bfc"/>
    <ds:schemaRef ds:uri="6a377735-9fca-43e2-8f2c-45a5e5075c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TS22. FRANCIA HELENA RESTREPO OSORIO</cp:lastModifiedBy>
  <cp:revision/>
  <dcterms:created xsi:type="dcterms:W3CDTF">2025-05-02T23:13:08Z</dcterms:created>
  <dcterms:modified xsi:type="dcterms:W3CDTF">2025-09-04T17:07:28Z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