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OSI\Documents\SED\IEO\SALIM BECHARA\APERTURA\CONTRACTUAL\"/>
    </mc:Choice>
  </mc:AlternateContent>
  <bookViews>
    <workbookView xWindow="-120" yWindow="-120" windowWidth="20730" windowHeight="11040"/>
  </bookViews>
  <sheets>
    <sheet name="YCO" sheetId="2" r:id="rId1"/>
    <sheet name="apu tuberia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2" l="1"/>
  <c r="M7" i="2"/>
  <c r="J23" i="2" l="1"/>
  <c r="K30" i="2"/>
  <c r="K29" i="2"/>
  <c r="L25" i="2"/>
  <c r="I37" i="2"/>
  <c r="N36" i="2" l="1"/>
  <c r="M36" i="2"/>
  <c r="N37" i="2"/>
  <c r="M37" i="2"/>
  <c r="N29" i="2"/>
  <c r="M29" i="2"/>
  <c r="H29" i="2"/>
  <c r="M30" i="2"/>
  <c r="N28" i="2"/>
  <c r="M28" i="2"/>
  <c r="H28" i="2"/>
  <c r="M24" i="2"/>
  <c r="N24" i="2"/>
  <c r="H24" i="2"/>
  <c r="I34" i="2"/>
  <c r="M34" i="2" s="1"/>
  <c r="I33" i="2"/>
  <c r="M33" i="2" s="1"/>
  <c r="N34" i="2"/>
  <c r="N33" i="2"/>
  <c r="N32" i="2"/>
  <c r="M32" i="2"/>
  <c r="N30" i="2"/>
  <c r="N27" i="2"/>
  <c r="M27" i="2"/>
  <c r="N50" i="2"/>
  <c r="M50" i="2"/>
  <c r="N49" i="2"/>
  <c r="M49" i="2"/>
  <c r="N48" i="2"/>
  <c r="M48" i="2"/>
  <c r="N47" i="2"/>
  <c r="M47" i="2"/>
  <c r="N46" i="2"/>
  <c r="M46" i="2"/>
  <c r="N45" i="2"/>
  <c r="M45" i="2"/>
  <c r="N44" i="2"/>
  <c r="M44" i="2"/>
  <c r="N43" i="2"/>
  <c r="M43" i="2"/>
  <c r="N42" i="2"/>
  <c r="M42" i="2"/>
  <c r="N41" i="2"/>
  <c r="M41" i="2"/>
  <c r="N40" i="2"/>
  <c r="M40" i="2"/>
  <c r="N39" i="2"/>
  <c r="M39" i="2"/>
  <c r="N25" i="2"/>
  <c r="M25" i="2"/>
  <c r="H25" i="2"/>
  <c r="I21" i="2"/>
  <c r="M21" i="2" s="1"/>
  <c r="N23" i="2"/>
  <c r="M23" i="2"/>
  <c r="N22" i="2"/>
  <c r="M22" i="2"/>
  <c r="N21" i="2"/>
  <c r="N20" i="2"/>
  <c r="M20" i="2"/>
  <c r="N19" i="2"/>
  <c r="M19" i="2"/>
  <c r="N17" i="2"/>
  <c r="M17" i="2"/>
  <c r="N16" i="2"/>
  <c r="M16" i="2"/>
  <c r="M15" i="2"/>
  <c r="N15" i="2"/>
  <c r="I14" i="2"/>
  <c r="M14" i="2" s="1"/>
  <c r="N14" i="2"/>
  <c r="N12" i="2"/>
  <c r="I12" i="2"/>
  <c r="M12" i="2" s="1"/>
  <c r="N11" i="2"/>
  <c r="I11" i="2"/>
  <c r="M11" i="2" s="1"/>
  <c r="N10" i="2"/>
  <c r="M10" i="2"/>
  <c r="N8" i="2"/>
  <c r="H8" i="2"/>
  <c r="K7" i="2"/>
  <c r="N7" i="2"/>
  <c r="H7" i="2"/>
  <c r="O43" i="2" l="1"/>
  <c r="O28" i="2"/>
  <c r="O47" i="2"/>
  <c r="O39" i="2"/>
  <c r="O36" i="2"/>
  <c r="O10" i="2"/>
  <c r="O20" i="2"/>
  <c r="O29" i="2"/>
  <c r="O37" i="2"/>
  <c r="O35" i="2" s="1"/>
  <c r="O19" i="2"/>
  <c r="O40" i="2"/>
  <c r="O44" i="2"/>
  <c r="O12" i="2"/>
  <c r="O49" i="2"/>
  <c r="O50" i="2"/>
  <c r="O42" i="2"/>
  <c r="O24" i="2"/>
  <c r="O41" i="2"/>
  <c r="O48" i="2"/>
  <c r="O21" i="2"/>
  <c r="O45" i="2"/>
  <c r="O46" i="2"/>
  <c r="O34" i="2"/>
  <c r="O33" i="2"/>
  <c r="O32" i="2"/>
  <c r="O30" i="2"/>
  <c r="O27" i="2"/>
  <c r="O25" i="2"/>
  <c r="O11" i="2"/>
  <c r="O16" i="2"/>
  <c r="O17" i="2"/>
  <c r="O23" i="2"/>
  <c r="O22" i="2"/>
  <c r="O15" i="2"/>
  <c r="O14" i="2"/>
  <c r="O13" i="2" s="1"/>
  <c r="O8" i="2"/>
  <c r="O7" i="2"/>
  <c r="N6" i="2"/>
  <c r="M6" i="2"/>
  <c r="N5" i="2"/>
  <c r="M5" i="2"/>
  <c r="O31" i="2" l="1"/>
  <c r="O9" i="2"/>
  <c r="O18" i="2"/>
  <c r="O26" i="2"/>
  <c r="O38" i="2"/>
  <c r="O6" i="2"/>
  <c r="O5" i="2"/>
  <c r="O4" i="2" s="1"/>
  <c r="O51" i="2" l="1"/>
  <c r="O54" i="2" l="1"/>
  <c r="O53" i="2"/>
  <c r="O52" i="2"/>
  <c r="O55" i="2" l="1"/>
  <c r="O56" i="2" s="1"/>
  <c r="H50" i="2" l="1"/>
  <c r="H49" i="2"/>
  <c r="H48" i="2"/>
  <c r="H47" i="2"/>
  <c r="H46" i="2"/>
  <c r="H45" i="2"/>
  <c r="H44" i="2"/>
  <c r="H43" i="2"/>
  <c r="H42" i="2"/>
  <c r="H41" i="2"/>
  <c r="H40" i="2"/>
  <c r="H39" i="2"/>
  <c r="H37" i="2"/>
  <c r="H36" i="2"/>
  <c r="H35" i="2" s="1"/>
  <c r="H34" i="2"/>
  <c r="H33" i="2"/>
  <c r="H32" i="2"/>
  <c r="H30" i="2"/>
  <c r="H27" i="2"/>
  <c r="H26" i="2" s="1"/>
  <c r="H23" i="2"/>
  <c r="H22" i="2"/>
  <c r="H21" i="2"/>
  <c r="H20" i="2"/>
  <c r="H19" i="2"/>
  <c r="H17" i="2"/>
  <c r="H16" i="2"/>
  <c r="H15" i="2"/>
  <c r="H14" i="2"/>
  <c r="H13" i="2" s="1"/>
  <c r="H12" i="2"/>
  <c r="H11" i="2"/>
  <c r="H10" i="2"/>
  <c r="H6" i="2"/>
  <c r="H5" i="2"/>
  <c r="H4" i="2" l="1"/>
  <c r="H31" i="2"/>
  <c r="H9" i="2"/>
  <c r="H38" i="2"/>
  <c r="H18" i="2"/>
  <c r="H51" i="2" l="1"/>
  <c r="L51" i="2" s="1"/>
  <c r="H54" i="2" l="1"/>
  <c r="H52" i="2"/>
  <c r="H53" i="2"/>
  <c r="H55" i="2" l="1"/>
  <c r="H56" i="2" s="1"/>
  <c r="L56" i="2" s="1"/>
</calcChain>
</file>

<file path=xl/comments1.xml><?xml version="1.0" encoding="utf-8"?>
<comments xmlns="http://schemas.openxmlformats.org/spreadsheetml/2006/main">
  <authors>
    <author>jader andres de la rosa anaya</author>
  </authors>
  <commentList>
    <comment ref="K25" authorId="0" shapeId="0">
      <text>
        <r>
          <rPr>
            <b/>
            <sz val="9"/>
            <color indexed="81"/>
            <rFont val="Tahoma"/>
            <family val="2"/>
          </rPr>
          <t>jader andres de la rosa anaya:</t>
        </r>
        <r>
          <rPr>
            <sz val="9"/>
            <color indexed="81"/>
            <rFont val="Tahoma"/>
            <family val="2"/>
          </rPr>
          <t xml:space="preserve">
Confirmar en obra, puede variar
</t>
        </r>
      </text>
    </comment>
  </commentList>
</comments>
</file>

<file path=xl/sharedStrings.xml><?xml version="1.0" encoding="utf-8"?>
<sst xmlns="http://schemas.openxmlformats.org/spreadsheetml/2006/main" count="145" uniqueCount="104">
  <si>
    <t>ITEM</t>
  </si>
  <si>
    <t>DESCRIPCION ACTIVIDAD</t>
  </si>
  <si>
    <t>UNIT.</t>
  </si>
  <si>
    <t>CANT.</t>
  </si>
  <si>
    <t>VALOR UNITARIO</t>
  </si>
  <si>
    <t>VALOR PARCIAL</t>
  </si>
  <si>
    <t xml:space="preserve">PRELIMINARES Y DEMOLICIONES </t>
  </si>
  <si>
    <t>1.22</t>
  </si>
  <si>
    <t xml:space="preserve">DESMONTE Y RETIRO DE LAVAMANOS </t>
  </si>
  <si>
    <t>UND</t>
  </si>
  <si>
    <t>1.24</t>
  </si>
  <si>
    <t>DESMONTE Y RETIRO DE ORINALES</t>
  </si>
  <si>
    <t>ESTRUCTURA</t>
  </si>
  <si>
    <t>3.6</t>
  </si>
  <si>
    <t>CONSTRUCCIÓN DE COLUMNETAS EN CONCRETO 3500 PSI HASTA 0,20x0,20m INCLUYE ACERO DE REFUERZO</t>
  </si>
  <si>
    <t>ML</t>
  </si>
  <si>
    <t>3.8</t>
  </si>
  <si>
    <t>CONSTRUCCIÓN DE VIGA DE AMARRE SUPERIOR EN CONCRETO 3500 PSI 0,20x0,20m</t>
  </si>
  <si>
    <t>3.11</t>
  </si>
  <si>
    <t>VIGAS DE CIMENTACIÓN EN CONCRETO F'C = 4.000 PSI 0,4 X 0,4M.</t>
  </si>
  <si>
    <t>MAMPORTERIA Y PAÑETE</t>
  </si>
  <si>
    <t>4.1</t>
  </si>
  <si>
    <t xml:space="preserve">LEVANTE EN BLOCK No. 5 </t>
  </si>
  <si>
    <t>M2</t>
  </si>
  <si>
    <t>4.2</t>
  </si>
  <si>
    <t>PAÑETES EN MONTERO 1:4</t>
  </si>
  <si>
    <t>4.3</t>
  </si>
  <si>
    <t>RASPADO DE MUROS CON HUMEDAD</t>
  </si>
  <si>
    <t>4.4</t>
  </si>
  <si>
    <t>RESANE DE MUROS CON MORTERO IMPERMEABLE</t>
  </si>
  <si>
    <t>REDES HIDROSANITARIA Y CONTRAINCENDIO</t>
  </si>
  <si>
    <t>6.1</t>
  </si>
  <si>
    <t>SUMINISTRO E INSTALACIÓN DE LAVAMANOS</t>
  </si>
  <si>
    <t>6.4</t>
  </si>
  <si>
    <t xml:space="preserve">SUMINISTRO E INSTALACIÓN DE ORINAL </t>
  </si>
  <si>
    <t>6.8</t>
  </si>
  <si>
    <t>CONSTRUCCION DE REGISTRO DE AGUAS NEGRAS</t>
  </si>
  <si>
    <t>6.10</t>
  </si>
  <si>
    <t>DOTACION DE GABINETE DE INCENDIO</t>
  </si>
  <si>
    <t>6.16</t>
  </si>
  <si>
    <t>LIMPIEZA DE CANAL DE AGUAS LLUVIA</t>
  </si>
  <si>
    <t>PISOS, ENCHAPES Y URBANISMOS</t>
  </si>
  <si>
    <t>7.5</t>
  </si>
  <si>
    <t>CONSTRUCCIÓN DE JARDINERAS EN CONCRETO</t>
  </si>
  <si>
    <t>7.9</t>
  </si>
  <si>
    <t>SUMINISTRO Y SIEMBRA DE GRAMA PARA JARDINERAS</t>
  </si>
  <si>
    <t>CERRAMIENTO</t>
  </si>
  <si>
    <t>8.2</t>
  </si>
  <si>
    <t>SUMINISTRO E INSTALACION DE MALLA ESLABONADA PARA CERRAMIENTO PERIMETRAL CON TUBERIA GALVANIZADA DE 2"</t>
  </si>
  <si>
    <t>8.5</t>
  </si>
  <si>
    <t>SUMINSTRO E INSTALACION DE CONCERTINA</t>
  </si>
  <si>
    <t>8.6</t>
  </si>
  <si>
    <t>SUMINISTRO E INSTALACION DE TUBERIA PARA CONCERTINA</t>
  </si>
  <si>
    <t>ACABADOS Y PINTURA</t>
  </si>
  <si>
    <t>10.1</t>
  </si>
  <si>
    <t xml:space="preserve">APLICACIÓN DE ESTUCO ACRILICO TEXTURIZADO </t>
  </si>
  <si>
    <t>10.2</t>
  </si>
  <si>
    <t xml:space="preserve">APLICACIÓN DE PINTURA TIPO 1 </t>
  </si>
  <si>
    <t>REDES ELECTRICAS</t>
  </si>
  <si>
    <t>11.5</t>
  </si>
  <si>
    <t>SUMINISTRO  Y MONTAJE  DE  TABLERO MULTIBREAKER  TRIFÁSICO  CON  12 CIRCUITOS 125 AMPERIOS CON PUERTA Y CERRADURA</t>
  </si>
  <si>
    <t>11.6</t>
  </si>
  <si>
    <t>SUMINISTRO  Y MONTAJE  DE  TABLERO MULTIBREAKER  TRIFÁSICO  CON  24 CIRCUITOS 125 AMPERIOS CON PUERTA Y CERRADURA</t>
  </si>
  <si>
    <t>11.9</t>
  </si>
  <si>
    <t>SALIDA PARA LUCES (NO INCLUYE LUMINARIAS)</t>
  </si>
  <si>
    <t>11.13</t>
  </si>
  <si>
    <t>INSTALACIÓN DE LAMPARAS HERMETICAS</t>
  </si>
  <si>
    <t>11.15</t>
  </si>
  <si>
    <t>SALIDA PARA VENTILADORES</t>
  </si>
  <si>
    <t>11.16</t>
  </si>
  <si>
    <t xml:space="preserve">SUMINISTRO E INSTALACION DE TOMACORRIENTES </t>
  </si>
  <si>
    <t>11.17</t>
  </si>
  <si>
    <t>SUMINISTRO E INSTALACIÓN DE VENTILADORES DE PARED</t>
  </si>
  <si>
    <t>11.19</t>
  </si>
  <si>
    <t>SUMINISTRO E INSTALACION DE INTERRUPTOR SENCILLO</t>
  </si>
  <si>
    <t>11.20</t>
  </si>
  <si>
    <t>SUMINISTRO E INSTALACIÓN DE INTERRUPTOR DOBLE</t>
  </si>
  <si>
    <t>11.25</t>
  </si>
  <si>
    <t>SALIDA PARA  AIRES ACONDICIONADORES 220V</t>
  </si>
  <si>
    <t>11.28</t>
  </si>
  <si>
    <t>PUNTO ELECTRICO PARA TIMBRE</t>
  </si>
  <si>
    <t>11.29</t>
  </si>
  <si>
    <t>SUMINISTRO E INSTALACION DE TIMBRE</t>
  </si>
  <si>
    <t xml:space="preserve">TOTAL COSTOS </t>
  </si>
  <si>
    <t>ADMINISTRACION (24%)</t>
  </si>
  <si>
    <t>UTILIDAD (5%)</t>
  </si>
  <si>
    <t>IMPREVISTOS  (1%)</t>
  </si>
  <si>
    <t>AUI 30%</t>
  </si>
  <si>
    <t>TOTAL</t>
  </si>
  <si>
    <t>BALANCE</t>
  </si>
  <si>
    <t>CONDICIONES ACTUALIZADAS</t>
  </si>
  <si>
    <t>MAYORES CANTIDADES</t>
  </si>
  <si>
    <t>MENORES CANTIDADES</t>
  </si>
  <si>
    <t>NUEVAS CANTIDADES</t>
  </si>
  <si>
    <t xml:space="preserve">VALOR UNITARIO  </t>
  </si>
  <si>
    <t xml:space="preserve">CANTIDAD </t>
  </si>
  <si>
    <t xml:space="preserve">VALOR UNITARIO </t>
  </si>
  <si>
    <t xml:space="preserve">VALOR PARCIAL </t>
  </si>
  <si>
    <t>Demolición de Placa e = 0,10m, incl. Retiro</t>
  </si>
  <si>
    <t>Manteniemiento de cubierta (Incluye limpieza e impermeabilizacion donde alla  lugar)</t>
  </si>
  <si>
    <t>Suministro e Instalación rejilla anticucaracha 3"</t>
  </si>
  <si>
    <t>Placa Inferior  e=0,10m , concreto simple 3000psi</t>
  </si>
  <si>
    <t>Piso en Gres</t>
  </si>
  <si>
    <t>Suministro e Instalacion de Tuberia sanitaria entre 4" a 6" (incluye demolicion, excavación y relleno)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</si>
</sst>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([$$-240A]\ * #,##0.00_);_([$$-240A]\ * \(#,##0.00\);_([$$-240A]\ * &quot;-&quot;??_);_(@_)"/>
    <numFmt numFmtId="167" formatCode="&quot;$&quot;\ #,##0.00;[Red]&quot;$&quot;\ \-#,##0.00"/>
    <numFmt numFmtId="168" formatCode="&quot;$&quot;\ #,##0;[Red]&quot;$&quot;\ \-#,##0"/>
    <numFmt numFmtId="169" formatCode="_-[$$-409]* #,##0.00_ ;_-[$$-409]* \-#,##0.00\ ;_-[$$-409]* &quot;-&quot;??_ ;_-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top"/>
    </xf>
    <xf numFmtId="2" fontId="3" fillId="2" borderId="5" xfId="0" applyNumberFormat="1" applyFont="1" applyFill="1" applyBorder="1" applyAlignment="1">
      <alignment horizontal="center" vertical="top"/>
    </xf>
    <xf numFmtId="166" fontId="3" fillId="2" borderId="5" xfId="1" applyNumberFormat="1" applyFont="1" applyFill="1" applyBorder="1" applyAlignment="1">
      <alignment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/>
    </xf>
    <xf numFmtId="2" fontId="3" fillId="0" borderId="5" xfId="0" applyNumberFormat="1" applyFont="1" applyBorder="1" applyAlignment="1">
      <alignment horizontal="center" vertical="top"/>
    </xf>
    <xf numFmtId="166" fontId="3" fillId="0" borderId="5" xfId="2" applyNumberFormat="1" applyFont="1" applyFill="1" applyBorder="1" applyAlignment="1">
      <alignment vertical="top"/>
    </xf>
    <xf numFmtId="166" fontId="3" fillId="2" borderId="5" xfId="2" applyNumberFormat="1" applyFont="1" applyFill="1" applyBorder="1" applyAlignment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/>
    </xf>
    <xf numFmtId="2" fontId="3" fillId="0" borderId="8" xfId="0" applyNumberFormat="1" applyFont="1" applyBorder="1" applyAlignment="1">
      <alignment horizontal="center" vertical="top"/>
    </xf>
    <xf numFmtId="166" fontId="3" fillId="0" borderId="8" xfId="2" applyNumberFormat="1" applyFont="1" applyFill="1" applyBorder="1" applyAlignment="1">
      <alignment vertical="top"/>
    </xf>
    <xf numFmtId="0" fontId="4" fillId="3" borderId="12" xfId="0" applyFont="1" applyFill="1" applyBorder="1" applyAlignment="1">
      <alignment vertical="top"/>
    </xf>
    <xf numFmtId="167" fontId="4" fillId="3" borderId="13" xfId="0" applyNumberFormat="1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68" fontId="2" fillId="3" borderId="11" xfId="0" applyNumberFormat="1" applyFont="1" applyFill="1" applyBorder="1" applyAlignment="1">
      <alignment vertical="top"/>
    </xf>
    <xf numFmtId="169" fontId="3" fillId="0" borderId="0" xfId="0" applyNumberFormat="1" applyFont="1" applyAlignment="1">
      <alignment vertical="top"/>
    </xf>
    <xf numFmtId="167" fontId="4" fillId="3" borderId="11" xfId="0" applyNumberFormat="1" applyFont="1" applyFill="1" applyBorder="1" applyAlignment="1">
      <alignment vertical="top"/>
    </xf>
    <xf numFmtId="166" fontId="3" fillId="0" borderId="17" xfId="1" applyNumberFormat="1" applyFont="1" applyFill="1" applyBorder="1" applyAlignment="1">
      <alignment vertical="top"/>
    </xf>
    <xf numFmtId="0" fontId="0" fillId="0" borderId="5" xfId="0" applyBorder="1"/>
    <xf numFmtId="2" fontId="0" fillId="0" borderId="5" xfId="0" applyNumberFormat="1" applyBorder="1"/>
    <xf numFmtId="165" fontId="0" fillId="0" borderId="5" xfId="1" applyFont="1" applyBorder="1"/>
    <xf numFmtId="0" fontId="3" fillId="4" borderId="4" xfId="0" applyFont="1" applyFill="1" applyBorder="1" applyAlignment="1">
      <alignment horizontal="center" vertical="top"/>
    </xf>
    <xf numFmtId="166" fontId="3" fillId="0" borderId="18" xfId="1" applyNumberFormat="1" applyFont="1" applyFill="1" applyBorder="1" applyAlignment="1">
      <alignment vertical="top"/>
    </xf>
    <xf numFmtId="0" fontId="2" fillId="0" borderId="19" xfId="0" applyFont="1" applyBorder="1" applyAlignment="1">
      <alignment horizontal="center" vertical="center" wrapText="1"/>
    </xf>
    <xf numFmtId="166" fontId="2" fillId="2" borderId="17" xfId="1" applyNumberFormat="1" applyFont="1" applyFill="1" applyBorder="1" applyAlignment="1">
      <alignment vertical="top"/>
    </xf>
    <xf numFmtId="0" fontId="2" fillId="0" borderId="20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0" fillId="0" borderId="4" xfId="0" applyBorder="1"/>
    <xf numFmtId="0" fontId="0" fillId="0" borderId="6" xfId="0" applyBorder="1"/>
    <xf numFmtId="165" fontId="0" fillId="0" borderId="6" xfId="1" applyFont="1" applyBorder="1"/>
    <xf numFmtId="2" fontId="0" fillId="0" borderId="4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5" fontId="4" fillId="2" borderId="6" xfId="0" applyNumberFormat="1" applyFont="1" applyFill="1" applyBorder="1" applyAlignment="1">
      <alignment horizontal="center" vertical="top"/>
    </xf>
    <xf numFmtId="2" fontId="0" fillId="0" borderId="7" xfId="0" applyNumberFormat="1" applyBorder="1"/>
    <xf numFmtId="165" fontId="0" fillId="0" borderId="8" xfId="1" applyFont="1" applyBorder="1"/>
    <xf numFmtId="165" fontId="0" fillId="0" borderId="9" xfId="1" applyFont="1" applyBorder="1"/>
    <xf numFmtId="0" fontId="0" fillId="5" borderId="5" xfId="0" applyFill="1" applyBorder="1"/>
    <xf numFmtId="164" fontId="8" fillId="3" borderId="12" xfId="0" applyNumberFormat="1" applyFont="1" applyFill="1" applyBorder="1" applyAlignment="1">
      <alignment vertical="top"/>
    </xf>
    <xf numFmtId="0" fontId="4" fillId="3" borderId="10" xfId="0" applyFont="1" applyFill="1" applyBorder="1" applyAlignment="1">
      <alignment horizontal="center" vertical="top"/>
    </xf>
    <xf numFmtId="0" fontId="4" fillId="3" borderId="16" xfId="0" applyFont="1" applyFill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3" borderId="14" xfId="0" applyFont="1" applyFill="1" applyBorder="1" applyAlignment="1">
      <alignment horizontal="left" vertical="top"/>
    </xf>
    <xf numFmtId="0" fontId="5" fillId="3" borderId="15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241735</xdr:colOff>
      <xdr:row>0</xdr:row>
      <xdr:rowOff>120650</xdr:rowOff>
    </xdr:from>
    <xdr:to>
      <xdr:col>5</xdr:col>
      <xdr:colOff>260351</xdr:colOff>
      <xdr:row>18</xdr:row>
      <xdr:rowOff>48035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4FCECAE5-DC5D-7EC1-24F5-167661D80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735" y="120650"/>
          <a:ext cx="3828616" cy="3242085"/>
        </a:xfrm>
        <a:prstGeom prst="rect">
          <a:avLst/>
        </a:prstGeom>
      </xdr:spPr>
    </xdr:pic>
    <xdr:clientData/>
  </xdr:twoCellAnchor>
  <xdr:twoCellAnchor editAs="oneCell">
    <xdr:from>
      <xdr:col>5</xdr:col>
      <xdr:colOff>425450</xdr:colOff>
      <xdr:row>1</xdr:row>
      <xdr:rowOff>56061</xdr:rowOff>
    </xdr:from>
    <xdr:to>
      <xdr:col>10</xdr:col>
      <xdr:colOff>725102</xdr:colOff>
      <xdr:row>17</xdr:row>
      <xdr:rowOff>169169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3F1DF7D-C3F7-E923-C235-D78F6978A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35450" y="240211"/>
          <a:ext cx="4109652" cy="30595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17</xdr:col>
      <xdr:colOff>344756</xdr:colOff>
      <xdr:row>56</xdr:row>
      <xdr:rowOff>146970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7E2FEA3E-FB6D-6332-1140-25ABFF3A9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867150"/>
          <a:ext cx="13298756" cy="6592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O56"/>
  <sheetViews>
    <sheetView tabSelected="1" view="pageBreakPreview" zoomScale="80" zoomScaleNormal="90" zoomScaleSheetLayoutView="80" workbookViewId="0">
      <selection activeCell="L11" sqref="L11"/>
    </sheetView>
  </sheetViews>
  <sheetFormatPr baseColWidth="10" defaultRowHeight="14.25" x14ac:dyDescent="0.45"/>
  <cols>
    <col min="3" max="3" width="5.3984375" bestFit="1" customWidth="1"/>
    <col min="4" max="4" width="32.53125" customWidth="1"/>
    <col min="5" max="6" width="10.6640625" customWidth="1"/>
    <col min="7" max="7" width="13.86328125" customWidth="1"/>
    <col min="8" max="8" width="21.1328125" customWidth="1"/>
    <col min="9" max="11" width="11.59765625" customWidth="1"/>
    <col min="12" max="12" width="19" customWidth="1"/>
    <col min="13" max="13" width="12" customWidth="1"/>
    <col min="14" max="14" width="19" bestFit="1" customWidth="1"/>
    <col min="15" max="15" width="21.86328125" bestFit="1" customWidth="1"/>
  </cols>
  <sheetData>
    <row r="1" spans="3:15" ht="14.65" thickBot="1" x14ac:dyDescent="0.5"/>
    <row r="2" spans="3:15" ht="14.65" thickBot="1" x14ac:dyDescent="0.5">
      <c r="I2" s="53" t="s">
        <v>89</v>
      </c>
      <c r="J2" s="54"/>
      <c r="K2" s="54"/>
      <c r="L2" s="55"/>
      <c r="M2" s="53" t="s">
        <v>90</v>
      </c>
      <c r="N2" s="54"/>
      <c r="O2" s="55"/>
    </row>
    <row r="3" spans="3:15" ht="23.25" x14ac:dyDescent="0.4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33" t="s">
        <v>5</v>
      </c>
      <c r="I3" s="35" t="s">
        <v>91</v>
      </c>
      <c r="J3" s="3" t="s">
        <v>92</v>
      </c>
      <c r="K3" s="3" t="s">
        <v>93</v>
      </c>
      <c r="L3" s="3" t="s">
        <v>94</v>
      </c>
      <c r="M3" s="35" t="s">
        <v>95</v>
      </c>
      <c r="N3" s="3" t="s">
        <v>96</v>
      </c>
      <c r="O3" s="3" t="s">
        <v>97</v>
      </c>
    </row>
    <row r="4" spans="3:15" ht="16.5" customHeight="1" x14ac:dyDescent="0.45">
      <c r="C4" s="4">
        <v>1</v>
      </c>
      <c r="D4" s="5" t="s">
        <v>6</v>
      </c>
      <c r="E4" s="6"/>
      <c r="F4" s="7"/>
      <c r="G4" s="8"/>
      <c r="H4" s="34">
        <f>+H5+H6</f>
        <v>462000</v>
      </c>
      <c r="I4" s="36"/>
      <c r="J4" s="6"/>
      <c r="K4" s="6"/>
      <c r="L4" s="37"/>
      <c r="M4" s="36"/>
      <c r="N4" s="6"/>
      <c r="O4" s="45">
        <f>SUM(O5:O8)</f>
        <v>5034486.0266017616</v>
      </c>
    </row>
    <row r="5" spans="3:15" ht="13.5" customHeight="1" x14ac:dyDescent="0.45">
      <c r="C5" s="9" t="s">
        <v>7</v>
      </c>
      <c r="D5" s="10" t="s">
        <v>8</v>
      </c>
      <c r="E5" s="11" t="s">
        <v>9</v>
      </c>
      <c r="F5" s="12">
        <v>6</v>
      </c>
      <c r="G5" s="13">
        <v>38000</v>
      </c>
      <c r="H5" s="27">
        <f t="shared" ref="H5:H8" si="0">+F5*G5</f>
        <v>228000</v>
      </c>
      <c r="I5" s="38"/>
      <c r="J5" s="28">
        <v>3</v>
      </c>
      <c r="K5" s="28"/>
      <c r="L5" s="39"/>
      <c r="M5" s="41">
        <f t="shared" ref="M5:M6" si="1">+F5+I5-J5+K5</f>
        <v>3</v>
      </c>
      <c r="N5" s="30">
        <f t="shared" ref="N5:N8" si="2">+G5+L5</f>
        <v>38000</v>
      </c>
      <c r="O5" s="40">
        <f t="shared" ref="O5:O8" si="3">+N5*M5</f>
        <v>114000</v>
      </c>
    </row>
    <row r="6" spans="3:15" ht="15" customHeight="1" x14ac:dyDescent="0.45">
      <c r="C6" s="9" t="s">
        <v>10</v>
      </c>
      <c r="D6" s="10" t="s">
        <v>11</v>
      </c>
      <c r="E6" s="11" t="s">
        <v>9</v>
      </c>
      <c r="F6" s="12">
        <v>6</v>
      </c>
      <c r="G6" s="13">
        <v>39000</v>
      </c>
      <c r="H6" s="27">
        <f t="shared" si="0"/>
        <v>234000</v>
      </c>
      <c r="I6" s="38"/>
      <c r="J6" s="28">
        <v>3</v>
      </c>
      <c r="K6" s="28"/>
      <c r="L6" s="39"/>
      <c r="M6" s="41">
        <f t="shared" si="1"/>
        <v>3</v>
      </c>
      <c r="N6" s="30">
        <f t="shared" si="2"/>
        <v>39000</v>
      </c>
      <c r="O6" s="40">
        <f t="shared" si="3"/>
        <v>117000</v>
      </c>
    </row>
    <row r="7" spans="3:15" ht="27.75" customHeight="1" x14ac:dyDescent="0.45">
      <c r="C7" s="31"/>
      <c r="D7" s="10" t="s">
        <v>98</v>
      </c>
      <c r="E7" s="11" t="s">
        <v>23</v>
      </c>
      <c r="F7" s="12"/>
      <c r="G7" s="13"/>
      <c r="H7" s="27">
        <f t="shared" si="0"/>
        <v>0</v>
      </c>
      <c r="I7" s="38"/>
      <c r="J7" s="28"/>
      <c r="K7" s="28">
        <f>6*1.2</f>
        <v>7.1999999999999993</v>
      </c>
      <c r="L7" s="40">
        <v>29791.726931818146</v>
      </c>
      <c r="M7" s="41">
        <f>+F7+I7-J7+K7</f>
        <v>7.1999999999999993</v>
      </c>
      <c r="N7" s="30">
        <f t="shared" si="2"/>
        <v>29791.726931818146</v>
      </c>
      <c r="O7" s="40">
        <f t="shared" si="3"/>
        <v>214500.43390909064</v>
      </c>
    </row>
    <row r="8" spans="3:15" ht="34.9" x14ac:dyDescent="0.45">
      <c r="C8" s="31"/>
      <c r="D8" s="10" t="s">
        <v>99</v>
      </c>
      <c r="E8" s="11" t="s">
        <v>23</v>
      </c>
      <c r="F8" s="12"/>
      <c r="G8" s="13"/>
      <c r="H8" s="27">
        <f t="shared" si="0"/>
        <v>0</v>
      </c>
      <c r="I8" s="38"/>
      <c r="J8" s="28"/>
      <c r="K8" s="28">
        <v>101.6070414</v>
      </c>
      <c r="L8" s="40">
        <v>45164.050930555597</v>
      </c>
      <c r="M8" s="41">
        <f>+F8+I8-J8+K8</f>
        <v>101.6070414</v>
      </c>
      <c r="N8" s="30">
        <f t="shared" si="2"/>
        <v>45164.050930555597</v>
      </c>
      <c r="O8" s="40">
        <f t="shared" si="3"/>
        <v>4588985.5926926713</v>
      </c>
    </row>
    <row r="9" spans="3:15" ht="18.75" customHeight="1" x14ac:dyDescent="0.45">
      <c r="C9" s="4">
        <v>3</v>
      </c>
      <c r="D9" s="5" t="s">
        <v>12</v>
      </c>
      <c r="E9" s="6"/>
      <c r="F9" s="6"/>
      <c r="G9" s="14"/>
      <c r="H9" s="34">
        <f>+H10+H11+H12</f>
        <v>12186603.199999999</v>
      </c>
      <c r="I9" s="36"/>
      <c r="J9" s="6"/>
      <c r="K9" s="6"/>
      <c r="L9" s="37"/>
      <c r="M9" s="36"/>
      <c r="N9" s="6"/>
      <c r="O9" s="45">
        <f>SUM(O10:O12)</f>
        <v>12630964.449999999</v>
      </c>
    </row>
    <row r="10" spans="3:15" ht="48" customHeight="1" x14ac:dyDescent="0.45">
      <c r="C10" s="9" t="s">
        <v>13</v>
      </c>
      <c r="D10" s="10" t="s">
        <v>14</v>
      </c>
      <c r="E10" s="11" t="s">
        <v>15</v>
      </c>
      <c r="F10" s="12">
        <v>20</v>
      </c>
      <c r="G10" s="13">
        <v>253841.16</v>
      </c>
      <c r="H10" s="27">
        <f>+F10*G10</f>
        <v>5076823.2</v>
      </c>
      <c r="I10" s="38"/>
      <c r="J10" s="28"/>
      <c r="K10" s="28"/>
      <c r="L10" s="39"/>
      <c r="M10" s="41">
        <f>+F10+I10-J10+K10</f>
        <v>20</v>
      </c>
      <c r="N10" s="30">
        <f>+G10+L10</f>
        <v>253841.16</v>
      </c>
      <c r="O10" s="40">
        <f>+N10*M10</f>
        <v>5076823.2</v>
      </c>
    </row>
    <row r="11" spans="3:15" ht="40.5" customHeight="1" x14ac:dyDescent="0.45">
      <c r="C11" s="9" t="s">
        <v>16</v>
      </c>
      <c r="D11" s="10" t="s">
        <v>17</v>
      </c>
      <c r="E11" s="11" t="s">
        <v>15</v>
      </c>
      <c r="F11" s="12">
        <v>20</v>
      </c>
      <c r="G11" s="13">
        <v>102489</v>
      </c>
      <c r="H11" s="27">
        <f t="shared" ref="H11:H12" si="4">+F11*G11</f>
        <v>2049780</v>
      </c>
      <c r="I11" s="41">
        <f>(1+6.2+9.15+1.2+2.5+1.2)-F11</f>
        <v>1.25</v>
      </c>
      <c r="J11" s="28"/>
      <c r="K11" s="28"/>
      <c r="L11" s="39"/>
      <c r="M11" s="41">
        <f>+F11+I11-J11+K11</f>
        <v>21.25</v>
      </c>
      <c r="N11" s="30">
        <f>+G11+L11</f>
        <v>102489</v>
      </c>
      <c r="O11" s="40">
        <f>+N11*M11</f>
        <v>2177891.25</v>
      </c>
    </row>
    <row r="12" spans="3:15" ht="24" customHeight="1" x14ac:dyDescent="0.45">
      <c r="C12" s="9" t="s">
        <v>18</v>
      </c>
      <c r="D12" s="10" t="s">
        <v>19</v>
      </c>
      <c r="E12" s="11" t="s">
        <v>15</v>
      </c>
      <c r="F12" s="12">
        <v>20</v>
      </c>
      <c r="G12" s="13">
        <v>253000</v>
      </c>
      <c r="H12" s="27">
        <f t="shared" si="4"/>
        <v>5060000</v>
      </c>
      <c r="I12" s="41">
        <f>(1+6.2+9.15+1.2+2.5+1.2)-F12</f>
        <v>1.25</v>
      </c>
      <c r="J12" s="28"/>
      <c r="K12" s="28"/>
      <c r="L12" s="39"/>
      <c r="M12" s="41">
        <f>+F12+I12-J12+K12</f>
        <v>21.25</v>
      </c>
      <c r="N12" s="30">
        <f>+G12+L12</f>
        <v>253000</v>
      </c>
      <c r="O12" s="40">
        <f>+N12*M12</f>
        <v>5376250</v>
      </c>
    </row>
    <row r="13" spans="3:15" ht="16.5" customHeight="1" x14ac:dyDescent="0.45">
      <c r="C13" s="4">
        <v>4</v>
      </c>
      <c r="D13" s="5" t="s">
        <v>20</v>
      </c>
      <c r="E13" s="6"/>
      <c r="F13" s="6"/>
      <c r="G13" s="14"/>
      <c r="H13" s="34">
        <f>+H14+H15+H16+H17</f>
        <v>16106043.390607096</v>
      </c>
      <c r="I13" s="36"/>
      <c r="J13" s="6"/>
      <c r="K13" s="6"/>
      <c r="L13" s="37"/>
      <c r="M13" s="36"/>
      <c r="N13" s="6"/>
      <c r="O13" s="45">
        <f>SUM(O14:O17)</f>
        <v>17840043.390607096</v>
      </c>
    </row>
    <row r="14" spans="3:15" x14ac:dyDescent="0.45">
      <c r="C14" s="9" t="s">
        <v>21</v>
      </c>
      <c r="D14" s="10" t="s">
        <v>22</v>
      </c>
      <c r="E14" s="11" t="s">
        <v>23</v>
      </c>
      <c r="F14" s="12">
        <v>20</v>
      </c>
      <c r="G14" s="13">
        <v>57800</v>
      </c>
      <c r="H14" s="27">
        <f>+F14*G14</f>
        <v>1156000</v>
      </c>
      <c r="I14" s="38">
        <f>+(20*2.5)-F14</f>
        <v>30</v>
      </c>
      <c r="J14" s="28"/>
      <c r="K14" s="28"/>
      <c r="L14" s="39"/>
      <c r="M14" s="41">
        <f>+F14+I14-J14+K14</f>
        <v>50</v>
      </c>
      <c r="N14" s="30">
        <f>+G14+L14</f>
        <v>57800</v>
      </c>
      <c r="O14" s="40">
        <f>+N14*M14</f>
        <v>2890000</v>
      </c>
    </row>
    <row r="15" spans="3:15" ht="18" customHeight="1" x14ac:dyDescent="0.45">
      <c r="C15" s="9" t="s">
        <v>24</v>
      </c>
      <c r="D15" s="10" t="s">
        <v>25</v>
      </c>
      <c r="E15" s="11" t="s">
        <v>23</v>
      </c>
      <c r="F15" s="12">
        <v>102</v>
      </c>
      <c r="G15" s="13">
        <v>35980</v>
      </c>
      <c r="H15" s="27">
        <f t="shared" ref="H15:H17" si="5">+F15*G15</f>
        <v>3669960</v>
      </c>
      <c r="I15" s="38"/>
      <c r="J15" s="28"/>
      <c r="K15" s="28"/>
      <c r="L15" s="39"/>
      <c r="M15" s="41">
        <f>+F15+I15-J15+K15</f>
        <v>102</v>
      </c>
      <c r="N15" s="30">
        <f>+G15+L15</f>
        <v>35980</v>
      </c>
      <c r="O15" s="40">
        <f>+N15*M15</f>
        <v>3669960</v>
      </c>
    </row>
    <row r="16" spans="3:15" ht="19.5" customHeight="1" x14ac:dyDescent="0.45">
      <c r="C16" s="9" t="s">
        <v>26</v>
      </c>
      <c r="D16" s="10" t="s">
        <v>27</v>
      </c>
      <c r="E16" s="11" t="s">
        <v>23</v>
      </c>
      <c r="F16" s="12">
        <v>240</v>
      </c>
      <c r="G16" s="13">
        <v>19890</v>
      </c>
      <c r="H16" s="27">
        <f t="shared" si="5"/>
        <v>4773600</v>
      </c>
      <c r="I16" s="41"/>
      <c r="J16" s="28"/>
      <c r="K16" s="28"/>
      <c r="L16" s="39"/>
      <c r="M16" s="41">
        <f>+F16+I16-J16+K16</f>
        <v>240</v>
      </c>
      <c r="N16" s="30">
        <f>+G16+L16</f>
        <v>19890</v>
      </c>
      <c r="O16" s="40">
        <f>+N16*M16</f>
        <v>4773600</v>
      </c>
    </row>
    <row r="17" spans="3:15" ht="26.25" customHeight="1" x14ac:dyDescent="0.45">
      <c r="C17" s="9" t="s">
        <v>28</v>
      </c>
      <c r="D17" s="10" t="s">
        <v>29</v>
      </c>
      <c r="E17" s="11" t="s">
        <v>23</v>
      </c>
      <c r="F17" s="12">
        <v>240</v>
      </c>
      <c r="G17" s="13">
        <v>27110.3474608629</v>
      </c>
      <c r="H17" s="27">
        <f t="shared" si="5"/>
        <v>6506483.3906070963</v>
      </c>
      <c r="I17" s="41"/>
      <c r="J17" s="28"/>
      <c r="K17" s="28"/>
      <c r="L17" s="39"/>
      <c r="M17" s="41">
        <f>+F17+I17-J17+K17</f>
        <v>240</v>
      </c>
      <c r="N17" s="30">
        <f>+G17+L17</f>
        <v>27110.3474608629</v>
      </c>
      <c r="O17" s="40">
        <f>+N17*M17</f>
        <v>6506483.3906070963</v>
      </c>
    </row>
    <row r="18" spans="3:15" ht="28.5" customHeight="1" x14ac:dyDescent="0.45">
      <c r="C18" s="4">
        <v>6</v>
      </c>
      <c r="D18" s="5" t="s">
        <v>30</v>
      </c>
      <c r="E18" s="6"/>
      <c r="F18" s="6"/>
      <c r="G18" s="14"/>
      <c r="H18" s="34">
        <f>+H19+H20+H21+H22+H23</f>
        <v>17487800</v>
      </c>
      <c r="I18" s="36"/>
      <c r="J18" s="6"/>
      <c r="K18" s="6"/>
      <c r="L18" s="37"/>
      <c r="M18" s="36"/>
      <c r="N18" s="6"/>
      <c r="O18" s="45">
        <f>SUM(O19:O25)</f>
        <v>13511683.587018589</v>
      </c>
    </row>
    <row r="19" spans="3:15" ht="27.75" customHeight="1" x14ac:dyDescent="0.45">
      <c r="C19" s="9" t="s">
        <v>31</v>
      </c>
      <c r="D19" s="10" t="s">
        <v>32</v>
      </c>
      <c r="E19" s="11" t="s">
        <v>9</v>
      </c>
      <c r="F19" s="12">
        <v>6</v>
      </c>
      <c r="G19" s="13">
        <v>562000</v>
      </c>
      <c r="H19" s="27">
        <f>+F19*G19</f>
        <v>3372000</v>
      </c>
      <c r="I19" s="38"/>
      <c r="J19" s="28">
        <v>3</v>
      </c>
      <c r="K19" s="28"/>
      <c r="L19" s="39"/>
      <c r="M19" s="41">
        <f t="shared" ref="M19:M24" si="6">+F19+I19-J19+K19</f>
        <v>3</v>
      </c>
      <c r="N19" s="30">
        <f t="shared" ref="N19:N24" si="7">+G19+L19</f>
        <v>562000</v>
      </c>
      <c r="O19" s="40">
        <f t="shared" ref="O19:O24" si="8">+N19*M19</f>
        <v>1686000</v>
      </c>
    </row>
    <row r="20" spans="3:15" ht="28.5" customHeight="1" x14ac:dyDescent="0.45">
      <c r="C20" s="9" t="s">
        <v>33</v>
      </c>
      <c r="D20" s="10" t="s">
        <v>34</v>
      </c>
      <c r="E20" s="11" t="s">
        <v>9</v>
      </c>
      <c r="F20" s="12">
        <v>6</v>
      </c>
      <c r="G20" s="13">
        <v>657000</v>
      </c>
      <c r="H20" s="27">
        <f t="shared" ref="H20:H24" si="9">+F20*G20</f>
        <v>3942000</v>
      </c>
      <c r="I20" s="38"/>
      <c r="J20" s="28">
        <v>3</v>
      </c>
      <c r="K20" s="28"/>
      <c r="L20" s="39"/>
      <c r="M20" s="41">
        <f t="shared" si="6"/>
        <v>3</v>
      </c>
      <c r="N20" s="30">
        <f t="shared" si="7"/>
        <v>657000</v>
      </c>
      <c r="O20" s="40">
        <f t="shared" si="8"/>
        <v>1971000</v>
      </c>
    </row>
    <row r="21" spans="3:15" ht="27.75" customHeight="1" x14ac:dyDescent="0.45">
      <c r="C21" s="9" t="s">
        <v>35</v>
      </c>
      <c r="D21" s="10" t="s">
        <v>36</v>
      </c>
      <c r="E21" s="11" t="s">
        <v>9</v>
      </c>
      <c r="F21" s="12">
        <v>3</v>
      </c>
      <c r="G21" s="13">
        <v>370000</v>
      </c>
      <c r="H21" s="27">
        <f t="shared" si="9"/>
        <v>1110000</v>
      </c>
      <c r="I21" s="41">
        <f>5-F21</f>
        <v>2</v>
      </c>
      <c r="J21" s="28"/>
      <c r="K21" s="28"/>
      <c r="L21" s="39"/>
      <c r="M21" s="41">
        <f t="shared" si="6"/>
        <v>5</v>
      </c>
      <c r="N21" s="30">
        <f t="shared" si="7"/>
        <v>370000</v>
      </c>
      <c r="O21" s="40">
        <f t="shared" si="8"/>
        <v>1850000</v>
      </c>
    </row>
    <row r="22" spans="3:15" ht="31.5" customHeight="1" x14ac:dyDescent="0.45">
      <c r="C22" s="9" t="s">
        <v>37</v>
      </c>
      <c r="D22" s="10" t="s">
        <v>38</v>
      </c>
      <c r="E22" s="11" t="s">
        <v>9</v>
      </c>
      <c r="F22" s="12">
        <v>2</v>
      </c>
      <c r="G22" s="13">
        <v>2206900</v>
      </c>
      <c r="H22" s="27">
        <f t="shared" si="9"/>
        <v>4413800</v>
      </c>
      <c r="I22" s="38"/>
      <c r="J22" s="28">
        <v>2</v>
      </c>
      <c r="K22" s="28"/>
      <c r="L22" s="39"/>
      <c r="M22" s="41">
        <f t="shared" si="6"/>
        <v>0</v>
      </c>
      <c r="N22" s="30">
        <f t="shared" si="7"/>
        <v>2206900</v>
      </c>
      <c r="O22" s="40">
        <f t="shared" si="8"/>
        <v>0</v>
      </c>
    </row>
    <row r="23" spans="3:15" ht="21" customHeight="1" x14ac:dyDescent="0.45">
      <c r="C23" s="9" t="s">
        <v>39</v>
      </c>
      <c r="D23" s="10" t="s">
        <v>40</v>
      </c>
      <c r="E23" s="11" t="s">
        <v>15</v>
      </c>
      <c r="F23" s="12">
        <v>50</v>
      </c>
      <c r="G23" s="13">
        <v>93000</v>
      </c>
      <c r="H23" s="27">
        <f t="shared" si="9"/>
        <v>4650000</v>
      </c>
      <c r="I23" s="38"/>
      <c r="J23" s="29">
        <f>+F23-40</f>
        <v>10</v>
      </c>
      <c r="K23" s="28"/>
      <c r="L23" s="39"/>
      <c r="M23" s="41">
        <f t="shared" si="6"/>
        <v>40</v>
      </c>
      <c r="N23" s="30">
        <f t="shared" si="7"/>
        <v>93000</v>
      </c>
      <c r="O23" s="40">
        <f t="shared" si="8"/>
        <v>3720000</v>
      </c>
    </row>
    <row r="24" spans="3:15" ht="26.1" customHeight="1" x14ac:dyDescent="0.45">
      <c r="C24" s="31"/>
      <c r="D24" s="10" t="s">
        <v>100</v>
      </c>
      <c r="E24" s="11" t="s">
        <v>9</v>
      </c>
      <c r="F24" s="12"/>
      <c r="G24" s="13"/>
      <c r="H24" s="27">
        <f t="shared" si="9"/>
        <v>0</v>
      </c>
      <c r="I24" s="38"/>
      <c r="J24" s="28"/>
      <c r="K24" s="28">
        <v>4</v>
      </c>
      <c r="L24" s="40">
        <v>23233.396754647365</v>
      </c>
      <c r="M24" s="41">
        <f t="shared" si="6"/>
        <v>4</v>
      </c>
      <c r="N24" s="30">
        <f t="shared" si="7"/>
        <v>23233.396754647365</v>
      </c>
      <c r="O24" s="40">
        <f t="shared" si="8"/>
        <v>92933.58701858946</v>
      </c>
    </row>
    <row r="25" spans="3:15" ht="39" customHeight="1" x14ac:dyDescent="0.45">
      <c r="C25" s="31"/>
      <c r="D25" s="10" t="s">
        <v>103</v>
      </c>
      <c r="E25" s="11" t="s">
        <v>15</v>
      </c>
      <c r="F25" s="12"/>
      <c r="G25" s="13"/>
      <c r="H25" s="27">
        <f t="shared" ref="H25" si="10">+F25*G25</f>
        <v>0</v>
      </c>
      <c r="I25" s="38"/>
      <c r="J25" s="28"/>
      <c r="K25" s="49">
        <v>40.5</v>
      </c>
      <c r="L25" s="40">
        <f>68500+35000</f>
        <v>103500</v>
      </c>
      <c r="M25" s="41">
        <f t="shared" ref="M25" si="11">+F25+I25-J25+K25</f>
        <v>40.5</v>
      </c>
      <c r="N25" s="30">
        <f t="shared" ref="N25" si="12">+G25+L25</f>
        <v>103500</v>
      </c>
      <c r="O25" s="40">
        <f t="shared" ref="O25" si="13">+N25*M25</f>
        <v>4191750</v>
      </c>
    </row>
    <row r="26" spans="3:15" ht="20.25" customHeight="1" x14ac:dyDescent="0.45">
      <c r="C26" s="4">
        <v>7</v>
      </c>
      <c r="D26" s="5" t="s">
        <v>41</v>
      </c>
      <c r="E26" s="6"/>
      <c r="F26" s="6"/>
      <c r="G26" s="14"/>
      <c r="H26" s="34">
        <f>+H27+H28</f>
        <v>2972482.9744177163</v>
      </c>
      <c r="I26" s="36"/>
      <c r="J26" s="6"/>
      <c r="K26" s="6"/>
      <c r="L26" s="37"/>
      <c r="M26" s="36"/>
      <c r="N26" s="6"/>
      <c r="O26" s="45">
        <f>SUM(O27:O30)</f>
        <v>4011099.3221209487</v>
      </c>
    </row>
    <row r="27" spans="3:15" ht="27.75" customHeight="1" x14ac:dyDescent="0.45">
      <c r="C27" s="9" t="s">
        <v>42</v>
      </c>
      <c r="D27" s="10" t="s">
        <v>43</v>
      </c>
      <c r="E27" s="11" t="s">
        <v>15</v>
      </c>
      <c r="F27" s="12">
        <v>20</v>
      </c>
      <c r="G27" s="13">
        <v>46679.648720885802</v>
      </c>
      <c r="H27" s="27">
        <f>+F27*G27</f>
        <v>933592.97441771603</v>
      </c>
      <c r="I27" s="38"/>
      <c r="J27" s="28">
        <v>20</v>
      </c>
      <c r="K27" s="28"/>
      <c r="L27" s="39"/>
      <c r="M27" s="41">
        <f t="shared" ref="M27:M30" si="14">+F27+I27-J27+K27</f>
        <v>0</v>
      </c>
      <c r="N27" s="30">
        <f t="shared" ref="N27:N30" si="15">+G27+L27</f>
        <v>46679.648720885802</v>
      </c>
      <c r="O27" s="40">
        <f t="shared" ref="O27:O30" si="16">+N27*M27</f>
        <v>0</v>
      </c>
    </row>
    <row r="28" spans="3:15" ht="29.25" customHeight="1" x14ac:dyDescent="0.45">
      <c r="C28" s="9" t="s">
        <v>44</v>
      </c>
      <c r="D28" s="10" t="s">
        <v>45</v>
      </c>
      <c r="E28" s="11" t="s">
        <v>23</v>
      </c>
      <c r="F28" s="12">
        <v>30</v>
      </c>
      <c r="G28" s="13">
        <v>67963</v>
      </c>
      <c r="H28" s="27">
        <f>+F28*G28</f>
        <v>2038890</v>
      </c>
      <c r="I28" s="38"/>
      <c r="J28" s="28">
        <v>30</v>
      </c>
      <c r="K28" s="28"/>
      <c r="L28" s="39"/>
      <c r="M28" s="41">
        <f t="shared" ref="M28:M29" si="17">+F28+I28-J28+K28</f>
        <v>0</v>
      </c>
      <c r="N28" s="30">
        <f t="shared" ref="N28:N29" si="18">+G28+L28</f>
        <v>67963</v>
      </c>
      <c r="O28" s="40">
        <f t="shared" ref="O28:O29" si="19">+N28*M28</f>
        <v>0</v>
      </c>
    </row>
    <row r="29" spans="3:15" ht="29.25" customHeight="1" x14ac:dyDescent="0.45">
      <c r="C29" s="31"/>
      <c r="D29" s="10" t="s">
        <v>101</v>
      </c>
      <c r="E29" s="11" t="s">
        <v>23</v>
      </c>
      <c r="F29" s="12"/>
      <c r="G29" s="13"/>
      <c r="H29" s="27">
        <f>+F29*G29</f>
        <v>0</v>
      </c>
      <c r="I29" s="38"/>
      <c r="J29" s="28"/>
      <c r="K29" s="28">
        <f>6*1.2+40.5*0.3</f>
        <v>19.350000000000001</v>
      </c>
      <c r="L29" s="40">
        <v>112915.08133157363</v>
      </c>
      <c r="M29" s="41">
        <f t="shared" si="17"/>
        <v>19.350000000000001</v>
      </c>
      <c r="N29" s="30">
        <f t="shared" si="18"/>
        <v>112915.08133157363</v>
      </c>
      <c r="O29" s="40">
        <f t="shared" si="19"/>
        <v>2184906.8237659498</v>
      </c>
    </row>
    <row r="30" spans="3:15" ht="29.25" customHeight="1" x14ac:dyDescent="0.45">
      <c r="C30" s="31"/>
      <c r="D30" s="10" t="s">
        <v>102</v>
      </c>
      <c r="E30" s="11" t="s">
        <v>23</v>
      </c>
      <c r="F30" s="12"/>
      <c r="G30" s="13"/>
      <c r="H30" s="27">
        <f>+F30*G30</f>
        <v>0</v>
      </c>
      <c r="I30" s="38"/>
      <c r="J30" s="28"/>
      <c r="K30" s="28">
        <f>6*1.2+40.5*0.3</f>
        <v>19.350000000000001</v>
      </c>
      <c r="L30" s="40">
        <v>94376.873299999948</v>
      </c>
      <c r="M30" s="41">
        <f t="shared" si="14"/>
        <v>19.350000000000001</v>
      </c>
      <c r="N30" s="30">
        <f t="shared" si="15"/>
        <v>94376.873299999948</v>
      </c>
      <c r="O30" s="40">
        <f t="shared" si="16"/>
        <v>1826192.4983549991</v>
      </c>
    </row>
    <row r="31" spans="3:15" ht="19.5" customHeight="1" x14ac:dyDescent="0.45">
      <c r="C31" s="4">
        <v>8</v>
      </c>
      <c r="D31" s="5" t="s">
        <v>46</v>
      </c>
      <c r="E31" s="6"/>
      <c r="F31" s="6"/>
      <c r="G31" s="14"/>
      <c r="H31" s="34">
        <f>+H32+H33+H34</f>
        <v>10159460.119999999</v>
      </c>
      <c r="I31" s="36"/>
      <c r="J31" s="6"/>
      <c r="K31" s="6"/>
      <c r="L31" s="37"/>
      <c r="M31" s="36"/>
      <c r="N31" s="6"/>
      <c r="O31" s="45">
        <f>SUM(O32:O34)</f>
        <v>1460300.0000000002</v>
      </c>
    </row>
    <row r="32" spans="3:15" ht="54.75" customHeight="1" x14ac:dyDescent="0.45">
      <c r="C32" s="9" t="s">
        <v>47</v>
      </c>
      <c r="D32" s="10" t="s">
        <v>48</v>
      </c>
      <c r="E32" s="11" t="s">
        <v>23</v>
      </c>
      <c r="F32" s="12">
        <v>52</v>
      </c>
      <c r="G32" s="13">
        <v>182297.31</v>
      </c>
      <c r="H32" s="27">
        <f>+F32*G32</f>
        <v>9479460.1199999992</v>
      </c>
      <c r="I32" s="38"/>
      <c r="J32" s="28">
        <v>52</v>
      </c>
      <c r="K32" s="28"/>
      <c r="L32" s="39"/>
      <c r="M32" s="41">
        <f t="shared" ref="M32:M34" si="20">+F32+I32-J32+K32</f>
        <v>0</v>
      </c>
      <c r="N32" s="30">
        <f t="shared" ref="N32:N34" si="21">+G32+L32</f>
        <v>182297.31</v>
      </c>
      <c r="O32" s="40">
        <f t="shared" ref="O32:O34" si="22">+N32*M32</f>
        <v>0</v>
      </c>
    </row>
    <row r="33" spans="3:15" ht="30" customHeight="1" x14ac:dyDescent="0.45">
      <c r="C33" s="9" t="s">
        <v>49</v>
      </c>
      <c r="D33" s="10" t="s">
        <v>50</v>
      </c>
      <c r="E33" s="11" t="s">
        <v>15</v>
      </c>
      <c r="F33" s="12">
        <v>20</v>
      </c>
      <c r="G33" s="13">
        <v>29500</v>
      </c>
      <c r="H33" s="27">
        <f t="shared" ref="H33:H34" si="23">+F33*G33</f>
        <v>590000</v>
      </c>
      <c r="I33" s="41">
        <f>+(11.3+14+18.1)-F33</f>
        <v>23.400000000000006</v>
      </c>
      <c r="J33" s="28"/>
      <c r="K33" s="28"/>
      <c r="L33" s="39"/>
      <c r="M33" s="41">
        <f t="shared" si="20"/>
        <v>43.400000000000006</v>
      </c>
      <c r="N33" s="30">
        <f t="shared" si="21"/>
        <v>29500</v>
      </c>
      <c r="O33" s="40">
        <f t="shared" si="22"/>
        <v>1280300.0000000002</v>
      </c>
    </row>
    <row r="34" spans="3:15" ht="33" customHeight="1" x14ac:dyDescent="0.45">
      <c r="C34" s="9" t="s">
        <v>51</v>
      </c>
      <c r="D34" s="10" t="s">
        <v>52</v>
      </c>
      <c r="E34" s="11" t="s">
        <v>9</v>
      </c>
      <c r="F34" s="12">
        <v>6</v>
      </c>
      <c r="G34" s="13">
        <v>15000</v>
      </c>
      <c r="H34" s="27">
        <f t="shared" si="23"/>
        <v>90000</v>
      </c>
      <c r="I34" s="41">
        <f>12-F34</f>
        <v>6</v>
      </c>
      <c r="J34" s="28"/>
      <c r="K34" s="28"/>
      <c r="L34" s="39"/>
      <c r="M34" s="41">
        <f t="shared" si="20"/>
        <v>12</v>
      </c>
      <c r="N34" s="30">
        <f t="shared" si="21"/>
        <v>15000</v>
      </c>
      <c r="O34" s="40">
        <f t="shared" si="22"/>
        <v>180000</v>
      </c>
    </row>
    <row r="35" spans="3:15" ht="18.75" customHeight="1" x14ac:dyDescent="0.45">
      <c r="C35" s="4">
        <v>10</v>
      </c>
      <c r="D35" s="5" t="s">
        <v>53</v>
      </c>
      <c r="E35" s="6"/>
      <c r="F35" s="6"/>
      <c r="G35" s="14"/>
      <c r="H35" s="34">
        <f>+H36+H37</f>
        <v>13217779.923927525</v>
      </c>
      <c r="I35" s="36"/>
      <c r="J35" s="6"/>
      <c r="K35" s="6"/>
      <c r="L35" s="37"/>
      <c r="M35" s="36"/>
      <c r="N35" s="6"/>
      <c r="O35" s="45">
        <f>SUM(O36:O37)</f>
        <v>18103592.829999998</v>
      </c>
    </row>
    <row r="36" spans="3:15" ht="30" customHeight="1" x14ac:dyDescent="0.45">
      <c r="C36" s="9" t="s">
        <v>54</v>
      </c>
      <c r="D36" s="10" t="s">
        <v>55</v>
      </c>
      <c r="E36" s="11" t="s">
        <v>23</v>
      </c>
      <c r="F36" s="12">
        <v>100</v>
      </c>
      <c r="G36" s="13">
        <v>31998</v>
      </c>
      <c r="H36" s="27">
        <f>+F36*G36</f>
        <v>3199800</v>
      </c>
      <c r="I36" s="38"/>
      <c r="J36" s="28"/>
      <c r="K36" s="28"/>
      <c r="L36" s="39"/>
      <c r="M36" s="41">
        <f t="shared" ref="M36" si="24">+F36+I36-J36+K36</f>
        <v>100</v>
      </c>
      <c r="N36" s="30">
        <f t="shared" ref="N36" si="25">+G36+L36</f>
        <v>31998</v>
      </c>
      <c r="O36" s="40">
        <f t="shared" ref="O36" si="26">+N36*M36</f>
        <v>3199800</v>
      </c>
    </row>
    <row r="37" spans="3:15" ht="18" customHeight="1" x14ac:dyDescent="0.45">
      <c r="C37" s="9" t="s">
        <v>56</v>
      </c>
      <c r="D37" s="10" t="s">
        <v>57</v>
      </c>
      <c r="E37" s="11" t="s">
        <v>23</v>
      </c>
      <c r="F37" s="12">
        <v>556.12190096189215</v>
      </c>
      <c r="G37" s="13">
        <v>18014</v>
      </c>
      <c r="H37" s="27">
        <f>+F37*G37</f>
        <v>10017979.923927525</v>
      </c>
      <c r="I37" s="41">
        <f>+(((((2.8+3.15)*2)+((3.35+9.2)*2)+((11.75+7.8)*2))*2.6+(8.04+11.87+1.4+6.51+20)*2.6+(((7+6)*4)+((5.3+7)*4))*2.45+((14.24+1+13.13)*2.5)+(((5.6+6.4)*2)+(10.3*2+5.84)*2.1)+((22.5*2+5.84)*2.1)))-F37</f>
        <v>271.22309903810776</v>
      </c>
      <c r="J37" s="28"/>
      <c r="K37" s="28"/>
      <c r="L37" s="39"/>
      <c r="M37" s="41">
        <f t="shared" ref="M37" si="27">+F37+I37-J37+K37</f>
        <v>827.34499999999991</v>
      </c>
      <c r="N37" s="30">
        <f t="shared" ref="N37" si="28">+G37+L37</f>
        <v>18014</v>
      </c>
      <c r="O37" s="40">
        <f t="shared" ref="O37" si="29">+N37*M37</f>
        <v>14903792.829999998</v>
      </c>
    </row>
    <row r="38" spans="3:15" ht="15" customHeight="1" x14ac:dyDescent="0.45">
      <c r="C38" s="4">
        <v>11</v>
      </c>
      <c r="D38" s="5" t="s">
        <v>58</v>
      </c>
      <c r="E38" s="6"/>
      <c r="F38" s="6"/>
      <c r="G38" s="14"/>
      <c r="H38" s="34">
        <f>+H39+H40+H41+H42+H43+H44+H45+H46+H47+H48+H49+H50</f>
        <v>19671122.698739976</v>
      </c>
      <c r="I38" s="36"/>
      <c r="J38" s="6"/>
      <c r="K38" s="6"/>
      <c r="L38" s="37"/>
      <c r="M38" s="36"/>
      <c r="N38" s="6"/>
      <c r="O38" s="45">
        <f>SUM(O39:O50)</f>
        <v>19671122.698739976</v>
      </c>
    </row>
    <row r="39" spans="3:15" ht="54" customHeight="1" x14ac:dyDescent="0.45">
      <c r="C39" s="9" t="s">
        <v>59</v>
      </c>
      <c r="D39" s="10" t="s">
        <v>60</v>
      </c>
      <c r="E39" s="11" t="s">
        <v>9</v>
      </c>
      <c r="F39" s="12">
        <v>3</v>
      </c>
      <c r="G39" s="13">
        <v>510773</v>
      </c>
      <c r="H39" s="27">
        <f>+F39*G39</f>
        <v>1532319</v>
      </c>
      <c r="I39" s="38"/>
      <c r="J39" s="28"/>
      <c r="K39" s="28"/>
      <c r="L39" s="39"/>
      <c r="M39" s="41">
        <f t="shared" ref="M39:M50" si="30">+F39+I39-J39+K39</f>
        <v>3</v>
      </c>
      <c r="N39" s="30">
        <f t="shared" ref="N39:N50" si="31">+G39+L39</f>
        <v>510773</v>
      </c>
      <c r="O39" s="40">
        <f t="shared" ref="O39:O50" si="32">+N39*M39</f>
        <v>1532319</v>
      </c>
    </row>
    <row r="40" spans="3:15" ht="53.25" customHeight="1" x14ac:dyDescent="0.45">
      <c r="C40" s="9" t="s">
        <v>61</v>
      </c>
      <c r="D40" s="10" t="s">
        <v>62</v>
      </c>
      <c r="E40" s="11" t="s">
        <v>9</v>
      </c>
      <c r="F40" s="12">
        <v>1</v>
      </c>
      <c r="G40" s="13">
        <v>810773</v>
      </c>
      <c r="H40" s="27">
        <f t="shared" ref="H40:H50" si="33">+F40*G40</f>
        <v>810773</v>
      </c>
      <c r="I40" s="38"/>
      <c r="J40" s="28"/>
      <c r="K40" s="28"/>
      <c r="L40" s="39"/>
      <c r="M40" s="41">
        <f t="shared" si="30"/>
        <v>1</v>
      </c>
      <c r="N40" s="30">
        <f t="shared" si="31"/>
        <v>810773</v>
      </c>
      <c r="O40" s="40">
        <f t="shared" si="32"/>
        <v>810773</v>
      </c>
    </row>
    <row r="41" spans="3:15" ht="27.75" customHeight="1" x14ac:dyDescent="0.45">
      <c r="C41" s="9" t="s">
        <v>63</v>
      </c>
      <c r="D41" s="10" t="s">
        <v>64</v>
      </c>
      <c r="E41" s="11" t="s">
        <v>9</v>
      </c>
      <c r="F41" s="12">
        <v>42</v>
      </c>
      <c r="G41" s="13">
        <v>71467.735777014081</v>
      </c>
      <c r="H41" s="27">
        <f t="shared" si="33"/>
        <v>3001644.9026345913</v>
      </c>
      <c r="I41" s="38"/>
      <c r="J41" s="28"/>
      <c r="K41" s="28"/>
      <c r="L41" s="39"/>
      <c r="M41" s="41">
        <f t="shared" si="30"/>
        <v>42</v>
      </c>
      <c r="N41" s="30">
        <f t="shared" si="31"/>
        <v>71467.735777014081</v>
      </c>
      <c r="O41" s="40">
        <f t="shared" si="32"/>
        <v>3001644.9026345913</v>
      </c>
    </row>
    <row r="42" spans="3:15" ht="25.5" customHeight="1" x14ac:dyDescent="0.45">
      <c r="C42" s="9" t="s">
        <v>65</v>
      </c>
      <c r="D42" s="10" t="s">
        <v>66</v>
      </c>
      <c r="E42" s="11" t="s">
        <v>9</v>
      </c>
      <c r="F42" s="12">
        <v>42</v>
      </c>
      <c r="G42" s="13">
        <v>160533.02787323401</v>
      </c>
      <c r="H42" s="27">
        <f t="shared" si="33"/>
        <v>6742387.1706758281</v>
      </c>
      <c r="I42" s="38"/>
      <c r="J42" s="28"/>
      <c r="K42" s="28"/>
      <c r="L42" s="39"/>
      <c r="M42" s="41">
        <f t="shared" si="30"/>
        <v>42</v>
      </c>
      <c r="N42" s="30">
        <f t="shared" si="31"/>
        <v>160533.02787323401</v>
      </c>
      <c r="O42" s="40">
        <f t="shared" si="32"/>
        <v>6742387.1706758281</v>
      </c>
    </row>
    <row r="43" spans="3:15" ht="19.5" customHeight="1" x14ac:dyDescent="0.45">
      <c r="C43" s="9" t="s">
        <v>67</v>
      </c>
      <c r="D43" s="10" t="s">
        <v>68</v>
      </c>
      <c r="E43" s="11" t="s">
        <v>9</v>
      </c>
      <c r="F43" s="12">
        <v>9</v>
      </c>
      <c r="G43" s="13">
        <v>79104.238258877405</v>
      </c>
      <c r="H43" s="27">
        <f t="shared" si="33"/>
        <v>711938.14432989666</v>
      </c>
      <c r="I43" s="38"/>
      <c r="J43" s="28"/>
      <c r="K43" s="28"/>
      <c r="L43" s="39"/>
      <c r="M43" s="41">
        <f t="shared" si="30"/>
        <v>9</v>
      </c>
      <c r="N43" s="30">
        <f t="shared" si="31"/>
        <v>79104.238258877405</v>
      </c>
      <c r="O43" s="40">
        <f t="shared" si="32"/>
        <v>711938.14432989666</v>
      </c>
    </row>
    <row r="44" spans="3:15" ht="26.25" customHeight="1" x14ac:dyDescent="0.45">
      <c r="C44" s="9" t="s">
        <v>69</v>
      </c>
      <c r="D44" s="10" t="s">
        <v>70</v>
      </c>
      <c r="E44" s="11" t="s">
        <v>9</v>
      </c>
      <c r="F44" s="12">
        <v>35</v>
      </c>
      <c r="G44" s="13">
        <v>70225.276823215012</v>
      </c>
      <c r="H44" s="27">
        <f t="shared" si="33"/>
        <v>2457884.6888125255</v>
      </c>
      <c r="I44" s="38"/>
      <c r="J44" s="28"/>
      <c r="K44" s="28"/>
      <c r="L44" s="39"/>
      <c r="M44" s="41">
        <f t="shared" si="30"/>
        <v>35</v>
      </c>
      <c r="N44" s="30">
        <f t="shared" si="31"/>
        <v>70225.276823215012</v>
      </c>
      <c r="O44" s="40">
        <f t="shared" si="32"/>
        <v>2457884.6888125255</v>
      </c>
    </row>
    <row r="45" spans="3:15" ht="29.25" customHeight="1" x14ac:dyDescent="0.45">
      <c r="C45" s="9" t="s">
        <v>71</v>
      </c>
      <c r="D45" s="10" t="s">
        <v>72</v>
      </c>
      <c r="E45" s="11" t="s">
        <v>9</v>
      </c>
      <c r="F45" s="12">
        <v>9</v>
      </c>
      <c r="G45" s="13">
        <v>342701.03092783497</v>
      </c>
      <c r="H45" s="27">
        <f t="shared" si="33"/>
        <v>3084309.2783505148</v>
      </c>
      <c r="I45" s="38"/>
      <c r="J45" s="28"/>
      <c r="K45" s="28"/>
      <c r="L45" s="39"/>
      <c r="M45" s="41">
        <f t="shared" si="30"/>
        <v>9</v>
      </c>
      <c r="N45" s="30">
        <f t="shared" si="31"/>
        <v>342701.03092783497</v>
      </c>
      <c r="O45" s="40">
        <f t="shared" si="32"/>
        <v>3084309.2783505148</v>
      </c>
    </row>
    <row r="46" spans="3:15" ht="31.5" customHeight="1" x14ac:dyDescent="0.45">
      <c r="C46" s="9" t="s">
        <v>73</v>
      </c>
      <c r="D46" s="10" t="s">
        <v>74</v>
      </c>
      <c r="E46" s="11" t="s">
        <v>9</v>
      </c>
      <c r="F46" s="12">
        <v>5</v>
      </c>
      <c r="G46" s="13">
        <v>27202.749140893498</v>
      </c>
      <c r="H46" s="27">
        <f t="shared" si="33"/>
        <v>136013.7457044675</v>
      </c>
      <c r="I46" s="38"/>
      <c r="J46" s="28"/>
      <c r="K46" s="28"/>
      <c r="L46" s="39"/>
      <c r="M46" s="41">
        <f t="shared" si="30"/>
        <v>5</v>
      </c>
      <c r="N46" s="30">
        <f t="shared" si="31"/>
        <v>27202.749140893498</v>
      </c>
      <c r="O46" s="40">
        <f t="shared" si="32"/>
        <v>136013.7457044675</v>
      </c>
    </row>
    <row r="47" spans="3:15" ht="28.5" customHeight="1" x14ac:dyDescent="0.45">
      <c r="C47" s="9" t="s">
        <v>75</v>
      </c>
      <c r="D47" s="10" t="s">
        <v>76</v>
      </c>
      <c r="E47" s="11" t="s">
        <v>9</v>
      </c>
      <c r="F47" s="12">
        <v>8</v>
      </c>
      <c r="G47" s="13">
        <v>30225.276823215001</v>
      </c>
      <c r="H47" s="27">
        <f t="shared" si="33"/>
        <v>241802.21458572001</v>
      </c>
      <c r="I47" s="38"/>
      <c r="J47" s="28"/>
      <c r="K47" s="28"/>
      <c r="L47" s="39"/>
      <c r="M47" s="41">
        <f t="shared" si="30"/>
        <v>8</v>
      </c>
      <c r="N47" s="30">
        <f t="shared" si="31"/>
        <v>30225.276823215001</v>
      </c>
      <c r="O47" s="40">
        <f t="shared" si="32"/>
        <v>241802.21458572001</v>
      </c>
    </row>
    <row r="48" spans="3:15" ht="29.25" customHeight="1" x14ac:dyDescent="0.45">
      <c r="C48" s="9" t="s">
        <v>77</v>
      </c>
      <c r="D48" s="10" t="s">
        <v>78</v>
      </c>
      <c r="E48" s="11" t="s">
        <v>9</v>
      </c>
      <c r="F48" s="12">
        <v>8</v>
      </c>
      <c r="G48" s="13">
        <v>85000</v>
      </c>
      <c r="H48" s="27">
        <f t="shared" si="33"/>
        <v>680000</v>
      </c>
      <c r="I48" s="38"/>
      <c r="J48" s="28"/>
      <c r="K48" s="28"/>
      <c r="L48" s="39"/>
      <c r="M48" s="41">
        <f t="shared" si="30"/>
        <v>8</v>
      </c>
      <c r="N48" s="30">
        <f t="shared" si="31"/>
        <v>85000</v>
      </c>
      <c r="O48" s="40">
        <f t="shared" si="32"/>
        <v>680000</v>
      </c>
    </row>
    <row r="49" spans="3:15" ht="19.5" customHeight="1" x14ac:dyDescent="0.45">
      <c r="C49" s="9" t="s">
        <v>79</v>
      </c>
      <c r="D49" s="10" t="s">
        <v>80</v>
      </c>
      <c r="E49" s="11" t="s">
        <v>9</v>
      </c>
      <c r="F49" s="12">
        <v>2</v>
      </c>
      <c r="G49" s="13">
        <v>70225.276823214997</v>
      </c>
      <c r="H49" s="27">
        <f t="shared" si="33"/>
        <v>140450.55364642999</v>
      </c>
      <c r="I49" s="38"/>
      <c r="J49" s="28"/>
      <c r="K49" s="28"/>
      <c r="L49" s="39"/>
      <c r="M49" s="41">
        <f t="shared" si="30"/>
        <v>2</v>
      </c>
      <c r="N49" s="30">
        <f t="shared" si="31"/>
        <v>70225.276823214997</v>
      </c>
      <c r="O49" s="40">
        <f t="shared" si="32"/>
        <v>140450.55364642999</v>
      </c>
    </row>
    <row r="50" spans="3:15" ht="28.5" customHeight="1" thickBot="1" x14ac:dyDescent="0.5">
      <c r="C50" s="15" t="s">
        <v>81</v>
      </c>
      <c r="D50" s="16" t="s">
        <v>82</v>
      </c>
      <c r="E50" s="17" t="s">
        <v>9</v>
      </c>
      <c r="F50" s="18">
        <v>2</v>
      </c>
      <c r="G50" s="19">
        <v>65800</v>
      </c>
      <c r="H50" s="32">
        <f t="shared" si="33"/>
        <v>131600</v>
      </c>
      <c r="I50" s="42"/>
      <c r="J50" s="43"/>
      <c r="K50" s="43"/>
      <c r="L50" s="44"/>
      <c r="M50" s="46">
        <f t="shared" si="30"/>
        <v>2</v>
      </c>
      <c r="N50" s="47">
        <f t="shared" si="31"/>
        <v>65800</v>
      </c>
      <c r="O50" s="48">
        <f t="shared" si="32"/>
        <v>131600</v>
      </c>
    </row>
    <row r="51" spans="3:15" ht="14.65" thickBot="1" x14ac:dyDescent="0.5">
      <c r="C51" s="58" t="s">
        <v>83</v>
      </c>
      <c r="D51" s="59"/>
      <c r="E51" s="20"/>
      <c r="F51" s="20"/>
      <c r="G51" s="20"/>
      <c r="H51" s="21">
        <f>+H38+H35+H31+H26+H18+H13+H9+H4</f>
        <v>92263292.307692304</v>
      </c>
      <c r="I51" s="20"/>
      <c r="J51" s="20"/>
      <c r="K51" s="20"/>
      <c r="L51" s="50">
        <f>+O51-H51</f>
        <v>-2.6039332151412964E-3</v>
      </c>
      <c r="M51" s="20"/>
      <c r="N51" s="20"/>
      <c r="O51" s="21">
        <f>+O38+O35+O31+O26+O18+O13+O9+O4</f>
        <v>92263292.305088371</v>
      </c>
    </row>
    <row r="52" spans="3:15" ht="14.65" thickBot="1" x14ac:dyDescent="0.5">
      <c r="C52" s="22"/>
      <c r="D52" s="23"/>
      <c r="E52" s="23"/>
      <c r="F52" s="56" t="s">
        <v>84</v>
      </c>
      <c r="G52" s="57"/>
      <c r="H52" s="24">
        <f>+H51*24%</f>
        <v>22143190.153846152</v>
      </c>
      <c r="I52" s="20"/>
      <c r="J52" s="20"/>
      <c r="K52" s="20"/>
      <c r="L52" s="20"/>
      <c r="M52" s="56" t="s">
        <v>84</v>
      </c>
      <c r="N52" s="57"/>
      <c r="O52" s="24">
        <f>+O51*24%</f>
        <v>22143190.153221209</v>
      </c>
    </row>
    <row r="53" spans="3:15" ht="14.65" thickBot="1" x14ac:dyDescent="0.5">
      <c r="C53" s="22"/>
      <c r="D53" s="23"/>
      <c r="E53" s="23"/>
      <c r="F53" s="56" t="s">
        <v>85</v>
      </c>
      <c r="G53" s="57"/>
      <c r="H53" s="24">
        <f>+H51*5%</f>
        <v>4613164.615384615</v>
      </c>
      <c r="I53" s="20"/>
      <c r="J53" s="20"/>
      <c r="K53" s="20"/>
      <c r="L53" s="20"/>
      <c r="M53" s="56" t="s">
        <v>85</v>
      </c>
      <c r="N53" s="57"/>
      <c r="O53" s="24">
        <f>+O51*5%</f>
        <v>4613164.6152544189</v>
      </c>
    </row>
    <row r="54" spans="3:15" ht="14.65" thickBot="1" x14ac:dyDescent="0.5">
      <c r="C54" s="22"/>
      <c r="D54" s="23"/>
      <c r="E54" s="23"/>
      <c r="F54" s="56" t="s">
        <v>86</v>
      </c>
      <c r="G54" s="57"/>
      <c r="H54" s="24">
        <f>+H51*1%</f>
        <v>922632.92307692301</v>
      </c>
      <c r="I54" s="20"/>
      <c r="J54" s="20"/>
      <c r="K54" s="20"/>
      <c r="L54" s="20"/>
      <c r="M54" s="56" t="s">
        <v>86</v>
      </c>
      <c r="N54" s="57"/>
      <c r="O54" s="24">
        <f>+O51*1%</f>
        <v>922632.92305088369</v>
      </c>
    </row>
    <row r="55" spans="3:15" ht="14.65" thickBot="1" x14ac:dyDescent="0.5">
      <c r="C55" s="22"/>
      <c r="D55" s="23"/>
      <c r="E55" s="23"/>
      <c r="F55" s="56" t="s">
        <v>87</v>
      </c>
      <c r="G55" s="57"/>
      <c r="H55" s="24">
        <f>+H52+H53+H54</f>
        <v>27678987.692307692</v>
      </c>
      <c r="I55" s="20"/>
      <c r="J55" s="20"/>
      <c r="K55" s="20"/>
      <c r="L55" s="20"/>
      <c r="M55" s="56" t="s">
        <v>87</v>
      </c>
      <c r="N55" s="57"/>
      <c r="O55" s="24">
        <f>+O52+O53+O54</f>
        <v>27678987.691526514</v>
      </c>
    </row>
    <row r="56" spans="3:15" ht="14.65" thickBot="1" x14ac:dyDescent="0.5">
      <c r="C56" s="22"/>
      <c r="D56" s="23"/>
      <c r="E56" s="25"/>
      <c r="F56" s="51" t="s">
        <v>88</v>
      </c>
      <c r="G56" s="52"/>
      <c r="H56" s="26">
        <f>+H51+H55</f>
        <v>119942280</v>
      </c>
      <c r="I56" s="20"/>
      <c r="J56" s="20"/>
      <c r="K56" s="20"/>
      <c r="L56" s="50">
        <f>+O56-H56</f>
        <v>-3.3851116895675659E-3</v>
      </c>
      <c r="M56" s="51" t="s">
        <v>88</v>
      </c>
      <c r="N56" s="52"/>
      <c r="O56" s="26">
        <f>+O51+O55</f>
        <v>119942279.99661489</v>
      </c>
    </row>
  </sheetData>
  <mergeCells count="13">
    <mergeCell ref="C51:D51"/>
    <mergeCell ref="F52:G52"/>
    <mergeCell ref="F53:G53"/>
    <mergeCell ref="F54:G54"/>
    <mergeCell ref="F55:G55"/>
    <mergeCell ref="F56:G56"/>
    <mergeCell ref="I2:L2"/>
    <mergeCell ref="M2:O2"/>
    <mergeCell ref="M52:N52"/>
    <mergeCell ref="M53:N53"/>
    <mergeCell ref="M54:N54"/>
    <mergeCell ref="M55:N55"/>
    <mergeCell ref="M56:N56"/>
  </mergeCells>
  <pageMargins left="0.7" right="0.7" top="0.75" bottom="0.75" header="0.3" footer="0.3"/>
  <pageSetup scale="4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>
      <selection activeCell="A22" sqref="A22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YCO</vt:lpstr>
      <vt:lpstr>apu tuberia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ROSI</cp:lastModifiedBy>
  <cp:lastPrinted>2025-06-30T19:01:06Z</cp:lastPrinted>
  <dcterms:created xsi:type="dcterms:W3CDTF">2025-06-27T17:49:30Z</dcterms:created>
  <dcterms:modified xsi:type="dcterms:W3CDTF">2025-09-05T21:38:28Z</dcterms:modified>
</cp:coreProperties>
</file>