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ana.cifuentes\OneDrive - Hospital Militar Central\Escritorio\DIANA\46. SUMINISTRO INSUMOS CIRUGIA CARDIO CPA-556 SI-028\"/>
    </mc:Choice>
  </mc:AlternateContent>
  <bookViews>
    <workbookView xWindow="0" yWindow="0" windowWidth="28800" windowHeight="12315"/>
  </bookViews>
  <sheets>
    <sheet name="Hoja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" i="1" l="1"/>
  <c r="V10" i="1"/>
  <c r="R4" i="1"/>
  <c r="V4" i="1"/>
  <c r="V17" i="1" l="1"/>
  <c r="V18" i="1" l="1"/>
  <c r="U18" i="1"/>
  <c r="T18" i="1"/>
  <c r="S18" i="1"/>
  <c r="R18" i="1"/>
  <c r="Q18" i="1"/>
  <c r="P18" i="1"/>
  <c r="T15" i="1"/>
  <c r="S15" i="1"/>
  <c r="R15" i="1"/>
  <c r="U15" i="1" s="1"/>
  <c r="Q15" i="1"/>
  <c r="P15" i="1"/>
  <c r="V15" i="1" s="1"/>
  <c r="T13" i="1"/>
  <c r="S13" i="1"/>
  <c r="R13" i="1"/>
  <c r="Q13" i="1"/>
  <c r="P13" i="1"/>
  <c r="P11" i="1" l="1"/>
  <c r="V11" i="1" s="1"/>
  <c r="Z11" i="1" s="1"/>
  <c r="X11" i="1" s="1"/>
  <c r="Q11" i="1"/>
  <c r="R11" i="1"/>
  <c r="S11" i="1"/>
  <c r="T11" i="1"/>
  <c r="U11" i="1" s="1"/>
  <c r="P12" i="1"/>
  <c r="V12" i="1" s="1"/>
  <c r="Z12" i="1" s="1"/>
  <c r="X12" i="1" s="1"/>
  <c r="Q12" i="1"/>
  <c r="R12" i="1"/>
  <c r="S12" i="1"/>
  <c r="T12" i="1"/>
  <c r="U12" i="1" s="1"/>
  <c r="U13" i="1"/>
  <c r="V13" i="1"/>
  <c r="Z13" i="1" s="1"/>
  <c r="X13" i="1" s="1"/>
  <c r="P14" i="1"/>
  <c r="Q14" i="1"/>
  <c r="R14" i="1"/>
  <c r="S14" i="1"/>
  <c r="T14" i="1"/>
  <c r="U14" i="1"/>
  <c r="V14" i="1"/>
  <c r="Z14" i="1" s="1"/>
  <c r="X14" i="1" s="1"/>
  <c r="Z15" i="1"/>
  <c r="X15" i="1" s="1"/>
  <c r="P16" i="1"/>
  <c r="Q16" i="1"/>
  <c r="R16" i="1"/>
  <c r="S16" i="1"/>
  <c r="T16" i="1"/>
  <c r="U16" i="1" s="1"/>
  <c r="V16" i="1"/>
  <c r="Z16" i="1" s="1"/>
  <c r="X16" i="1" s="1"/>
  <c r="P17" i="1"/>
  <c r="Q17" i="1"/>
  <c r="R17" i="1"/>
  <c r="U17" i="1" s="1"/>
  <c r="S17" i="1"/>
  <c r="T17" i="1"/>
  <c r="Z17" i="1"/>
  <c r="X17" i="1" s="1"/>
  <c r="Z18" i="1"/>
  <c r="X18" i="1" s="1"/>
  <c r="P19" i="1"/>
  <c r="V19" i="1" s="1"/>
  <c r="Z19" i="1" s="1"/>
  <c r="X19" i="1" s="1"/>
  <c r="Q19" i="1"/>
  <c r="R19" i="1"/>
  <c r="S19" i="1"/>
  <c r="T19" i="1"/>
  <c r="U19" i="1" s="1"/>
  <c r="P20" i="1"/>
  <c r="V20" i="1" s="1"/>
  <c r="Z20" i="1" s="1"/>
  <c r="X20" i="1" s="1"/>
  <c r="Q20" i="1"/>
  <c r="R20" i="1"/>
  <c r="S20" i="1"/>
  <c r="T20" i="1"/>
  <c r="U20" i="1" s="1"/>
  <c r="T10" i="1"/>
  <c r="U10" i="1" s="1"/>
  <c r="S10" i="1"/>
  <c r="Q10" i="1"/>
  <c r="P10" i="1"/>
  <c r="X4" i="1"/>
  <c r="Z4" i="1"/>
  <c r="U4" i="1"/>
  <c r="T4" i="1"/>
  <c r="S4" i="1"/>
  <c r="Q4" i="1"/>
  <c r="P4" i="1"/>
  <c r="Z10" i="1" l="1"/>
  <c r="X10" i="1" s="1"/>
  <c r="N17" i="1" l="1"/>
  <c r="O17" i="1" s="1"/>
  <c r="N16" i="1"/>
  <c r="O16" i="1" s="1"/>
  <c r="K17" i="1"/>
  <c r="L17" i="1" s="1"/>
  <c r="K18" i="1"/>
  <c r="L18" i="1" s="1"/>
  <c r="K16" i="1"/>
  <c r="L16" i="1" s="1"/>
  <c r="I20" i="1" l="1"/>
  <c r="I19" i="1"/>
  <c r="I18" i="1"/>
  <c r="I17" i="1"/>
  <c r="I16" i="1"/>
  <c r="I15" i="1"/>
  <c r="I14" i="1"/>
  <c r="I13" i="1"/>
  <c r="I12" i="1"/>
  <c r="I11" i="1"/>
  <c r="I10" i="1"/>
  <c r="I4" i="1"/>
</calcChain>
</file>

<file path=xl/sharedStrings.xml><?xml version="1.0" encoding="utf-8"?>
<sst xmlns="http://schemas.openxmlformats.org/spreadsheetml/2006/main" count="148" uniqueCount="58">
  <si>
    <t xml:space="preserve">ITEM </t>
  </si>
  <si>
    <t>CATETER DE IMPLANTACION PARA QUIMIOTERAPIA ADULTO DE 6.0 FR A 8,5 FR</t>
  </si>
  <si>
    <t xml:space="preserve">DESCRIPCION DEL BIEN Y / SERVICIO </t>
  </si>
  <si>
    <t>ESPECIFICACIÓN TÉCNICA</t>
  </si>
  <si>
    <t>CATETER IMPLANTABLE ADULTO . RADIOPACO DE 6.0 A 8.5 FR CATETER EN POLIURETANO DE TERCERA GENERACION CHRONOFLEX , RESERVORIO EN TITANEO O POLIOXIMETILENO. FLUJO DE 22 HASTA 30 MILILITROS POR MINUTO CON AGUJA DE 18 G. LONGITUD DEL CATETER ENTRE 45 A 60CMS
CATETER COMPUESTO DE: (PUERTO DE ACCESO EN POLIOXIMETILENO , POLIURETANO CON PROTUBERANCIAS DE PALPACION), ANILLO DE CONEXIÓN , ELEVADOR VENOSO. INTRODUCTOR PARA RL CATETER, TUNELIZADOR FLEXIBLE Y PROTECTOR COMPATIBLE CON CATETER, GUIA HIDROFILICA COMPATIBLE CON CATETER, INTRODUCTOR, JERINGA DE 10 CC Y AGUJA RECTA Y ANGULADA PSRA PERMEABILIDAD DEL CATETER.</t>
  </si>
  <si>
    <t>UNIDAD DE MEDIDA</t>
  </si>
  <si>
    <t>Lote No. 1</t>
  </si>
  <si>
    <t>CATETER DE IMPLANTACION PARA ADMINISTRACIÒN DE QUIMIOTERAPIA ADULTO - CIRUGIA VASCULAR</t>
  </si>
  <si>
    <t>Lote No. 2</t>
  </si>
  <si>
    <t>HEMODINAMIA CARDIOLOGIA PEDIATRICA</t>
  </si>
  <si>
    <t>OCLUSORES DE DUCTUS TIPO I</t>
  </si>
  <si>
    <t>OCLUSORES DE DUCTUS TIPO I DISPOSITIVO AUTO EXPANDIBLE PARA CIERRE DE DUCTUS FAMILIA 1 . DIFERENTES TAMAÑOS DESDE 3 MM A 16 MM. UNIDAD 1</t>
  </si>
  <si>
    <t>UNIDAD</t>
  </si>
  <si>
    <t>OCLUSORES DE DUCTUS TIPO II Y MEDIDAS ADICIONALES</t>
  </si>
  <si>
    <t>OCLUSORES DE DUCTUS TIPO II Y MEDIDAS ADICIONALES. DISPOSITIVO AUTO EXPANDIBLE DE LIBERACION CONTROLADA, PARA CIERRE DE DUCTUS FAMILIA II Y MEDIDAS ADICIONALES PARA DEFECTOS DE 2MM A 6MM. DIFERENTES TAMAÑOS DIAMETROS DESDE 3 MM A 6 MM Y LONGITUD DE 2MM A 6 MM. UNIDAD 1</t>
  </si>
  <si>
    <t>OCLUSORES PARA EMBOLIZACION VASCULAR PERIFERICA PLUG VASCULARES</t>
  </si>
  <si>
    <t>OCLUSORES PARA EMBOLIZACION VASCULAR PERIFERICA. DISPOSITIVO AUTO EXPANDIBLE PARA EMBOLIZACION ARTERIAL Y VENOSA PERIFERICA CON DEFECTOS MINIMO DE 2MM DE DIAMETRO Y LONGITUD 13 MM, FAMILIAS I,II,III Y IV. DIFERENTES FORMAS Y TAMAÑOS.</t>
  </si>
  <si>
    <t>SISTEMAS DE LIBERACION PARA OCLUSORES DE DUCTUS</t>
  </si>
  <si>
    <t>SISTEMAS DE LIBERACION CON LOS SIGUIENTES COMPONENTES:*VAINA, *DILATADOR, CARGADOR, VÁLVULA HEMOSTÁTICA Y CABLE DE LIBERACIÓN; COMPATIBLE CON EL DISPOSITIVO QUE SE SELECCIONE, VARIAS MEDIDAS.</t>
  </si>
  <si>
    <t>DISPOSITIVO CIERRE DE DEFECTO DE TABIQUE INTERAURICULAR</t>
  </si>
  <si>
    <t>DISPOSITIVO AUTOEXPANDIBLE PARA CIERRE DE DEFECTO INTERAURICULAR DIFERENTES TAMAÑOS CON OPCION DE BAJOS PERFILES PARA PACIENTES DE MINIMO 14 KG. DIFERENTES TAMAÑOS DESDE 6 MM HASTA 40 MM.</t>
  </si>
  <si>
    <t>SISTEMA DE LIBERACION DE DISPOSITIVO DE CIERRE DE DEFECTO DE TABIQUE INTERAURICULAR</t>
  </si>
  <si>
    <t>SISTEMAS DE LIBERACION CON LOS SIGUIENTES COMPONENTES:*VAINA, *DILATADOR, CARGADOR, VÁLVULA HEMOSTÁTICA Y CABLE DE LIBERACIÓN; COMPATIBLE CON EL DISPOSITIVO QUE SE SELECCIONE, DIFERENTES DIAMETROS DESDE 6FR HASTA 12 FR BAJO PERFIL PARA PACIENTES DE MINIMO 14 KG</t>
  </si>
  <si>
    <t>BALÓN DE MEDICION PARA USO DE CIERRE DE DEFECTO DE TABIQUE INTERAURICULAR</t>
  </si>
  <si>
    <t>BALON DE MEDICION PARA CIERRE DE DEFECTO DE TABIQUE INTERAURICULAR O PRUEBAS DE OCLUSION CON MARCAS DE CALIBRACION RADIOPACAS. DIFERENTES MEDIDAS DESDE 18 MM A 24 MM.</t>
  </si>
  <si>
    <t>GUIA AMPLATZ ALTO SOPORTE 260</t>
  </si>
  <si>
    <t>GUIA DE ALTO SOPORTE 0.035 CON FLEXIBLE 1.5MM EN JOTA, 260 CM
DE ACERO INOXIDABLE Y REVESTIMIENTO PTFE, PARA USO DE CIERRE DE DEFECTO, INTER AURICULAR Y DUCTUS</t>
  </si>
  <si>
    <t>GUIA CUERPO SUAVE 300</t>
  </si>
  <si>
    <t>GUIA DE CUERPO SUAVE 0,035 CON PUNTA FLEXIBLE 6 MM EN JOTA 300 PARA USO DE CIERRE DE DEFECTO INTERVENTRICULA NR</t>
  </si>
  <si>
    <t>DISPOSITIVO PARA CIERRE DE FORAMEN OVAL PERMEABLE PFO</t>
  </si>
  <si>
    <t>DISPOSITIVO AUTOEXPANDIBLE PARA CIERRE DE FORAMEN OVAL, DIFERENTES MEDIDAS DESDE 18 MM A 35 MM DISCOS SIMETRICOS Y ASIMETRICOS.</t>
  </si>
  <si>
    <t>DISPOSITIVOS PARA CIERRE DE CIA MULTI- FENESTRADA</t>
  </si>
  <si>
    <t>DISPOSITIVO AUTOEXPANDIBLE PARA CIERRE DE COMUNICACIÓN INTERAURICULAR FENESTRADA, DIFERENTES MEDIDAS DESDE 18 MM A 35 MM DISCOS SIMETRICOS.</t>
  </si>
  <si>
    <t>VALOR UNITARIO</t>
  </si>
  <si>
    <t>IVA (Si Aplica)</t>
  </si>
  <si>
    <t xml:space="preserve">VALOR UNITARIO INCLUIDO IVA (Si Aplica) </t>
  </si>
  <si>
    <t>434-2023</t>
  </si>
  <si>
    <t>457-2023</t>
  </si>
  <si>
    <t xml:space="preserve">PRECIO HISTORICO </t>
  </si>
  <si>
    <t xml:space="preserve">PRECIO HISTORICO ACTUALIZADO </t>
  </si>
  <si>
    <t xml:space="preserve">CONTRATO No. </t>
  </si>
  <si>
    <t>N/A</t>
  </si>
  <si>
    <t>BBraun Medical SA</t>
  </si>
  <si>
    <t>BECTON DICKINSON</t>
  </si>
  <si>
    <t>ST. JUDE MEDICAL COLOMBIA LTDA.</t>
  </si>
  <si>
    <t>WORLD MEDICAL SAS</t>
  </si>
  <si>
    <t xml:space="preserve">PRECIO DE REFERENCIA </t>
  </si>
  <si>
    <t xml:space="preserve">MIN </t>
  </si>
  <si>
    <t>MAX</t>
  </si>
  <si>
    <t>PROMEDIO</t>
  </si>
  <si>
    <t xml:space="preserve">MEDIA GEOMETRICA </t>
  </si>
  <si>
    <t>DESVIACION ESTANDAR</t>
  </si>
  <si>
    <t xml:space="preserve">PORCENTAJE DE DISPERSION </t>
  </si>
  <si>
    <t xml:space="preserve">METRICA </t>
  </si>
  <si>
    <t>VALOR UNITARIO INCLUIDO IVA (Si Aplica)</t>
  </si>
  <si>
    <t>MEDIA GEOMETRICA</t>
  </si>
  <si>
    <t>MENOR VALOR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</si>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</sst>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164" fontId="4" fillId="4" borderId="1" xfId="1" applyNumberFormat="1" applyFont="1" applyFill="1" applyBorder="1" applyAlignment="1">
      <alignment horizontal="center" vertical="center" wrapText="1"/>
    </xf>
    <xf numFmtId="9" fontId="1" fillId="0" borderId="1" xfId="2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9" fontId="1" fillId="3" borderId="1" xfId="2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0"/>
  <sheetViews>
    <sheetView tabSelected="1" topLeftCell="G1" workbookViewId="0">
      <selection activeCell="V11" sqref="V11"/>
    </sheetView>
  </sheetViews>
  <sheetFormatPr baseColWidth="10" defaultRowHeight="11.25" x14ac:dyDescent="0.15"/>
  <cols>
    <col min="1" max="1" width="11.42578125" style="2"/>
    <col min="2" max="2" width="12.42578125" style="2" hidden="1" customWidth="1"/>
    <col min="3" max="3" width="22.7109375" style="2" customWidth="1"/>
    <col min="4" max="4" width="40.85546875" style="2" customWidth="1"/>
    <col min="5" max="6" width="11.42578125" style="2"/>
    <col min="7" max="7" width="12.7109375" style="2" customWidth="1"/>
    <col min="8" max="8" width="12.42578125" style="2" customWidth="1"/>
    <col min="9" max="9" width="15.28515625" style="2" customWidth="1"/>
    <col min="10" max="18" width="11.42578125" style="2" customWidth="1"/>
    <col min="19" max="19" width="12.5703125" style="2" customWidth="1"/>
    <col min="20" max="20" width="13" style="2" customWidth="1"/>
    <col min="21" max="21" width="13.140625" style="2" customWidth="1"/>
    <col min="22" max="22" width="13.7109375" style="2" customWidth="1"/>
    <col min="23" max="23" width="13.140625" style="2" customWidth="1"/>
    <col min="24" max="16384" width="11.42578125" style="2"/>
  </cols>
  <sheetData>
    <row r="2" spans="1:26" ht="11.25" customHeight="1" x14ac:dyDescent="0.15">
      <c r="A2" s="5" t="s">
        <v>6</v>
      </c>
      <c r="B2" s="5"/>
      <c r="C2" s="18" t="s">
        <v>7</v>
      </c>
      <c r="D2" s="19"/>
      <c r="E2" s="19"/>
      <c r="F2" s="19"/>
      <c r="G2" s="19"/>
      <c r="H2" s="19"/>
      <c r="I2" s="20"/>
      <c r="J2" s="18" t="s">
        <v>42</v>
      </c>
      <c r="K2" s="19"/>
      <c r="L2" s="20"/>
      <c r="M2" s="18" t="s">
        <v>43</v>
      </c>
      <c r="N2" s="19"/>
      <c r="O2" s="20"/>
      <c r="P2" s="9"/>
      <c r="Q2" s="9"/>
      <c r="R2" s="9"/>
      <c r="S2" s="9"/>
      <c r="T2" s="9"/>
      <c r="U2" s="9"/>
      <c r="V2" s="9"/>
      <c r="W2" s="9"/>
      <c r="X2" s="17" t="s">
        <v>46</v>
      </c>
      <c r="Y2" s="17"/>
      <c r="Z2" s="17"/>
    </row>
    <row r="3" spans="1:26" ht="56.25" x14ac:dyDescent="0.15">
      <c r="A3" s="4" t="s">
        <v>0</v>
      </c>
      <c r="B3" s="4"/>
      <c r="C3" s="4" t="s">
        <v>2</v>
      </c>
      <c r="D3" s="4" t="s">
        <v>3</v>
      </c>
      <c r="E3" s="4" t="s">
        <v>5</v>
      </c>
      <c r="F3" s="4" t="s">
        <v>57</v>
      </c>
      <c r="G3" s="4" t="s">
        <v>40</v>
      </c>
      <c r="H3" s="4" t="s">
        <v>38</v>
      </c>
      <c r="I3" s="4" t="s">
        <v>39</v>
      </c>
      <c r="J3" s="4" t="s">
        <v>33</v>
      </c>
      <c r="K3" s="4" t="s">
        <v>34</v>
      </c>
      <c r="L3" s="4" t="s">
        <v>35</v>
      </c>
      <c r="M3" s="4" t="s">
        <v>33</v>
      </c>
      <c r="N3" s="4" t="s">
        <v>34</v>
      </c>
      <c r="O3" s="4" t="s">
        <v>35</v>
      </c>
      <c r="P3" s="10" t="s">
        <v>47</v>
      </c>
      <c r="Q3" s="10" t="s">
        <v>48</v>
      </c>
      <c r="R3" s="10" t="s">
        <v>49</v>
      </c>
      <c r="S3" s="10" t="s">
        <v>50</v>
      </c>
      <c r="T3" s="10" t="s">
        <v>51</v>
      </c>
      <c r="U3" s="10" t="s">
        <v>52</v>
      </c>
      <c r="V3" s="10" t="s">
        <v>46</v>
      </c>
      <c r="W3" s="10" t="s">
        <v>53</v>
      </c>
      <c r="X3" s="10" t="s">
        <v>33</v>
      </c>
      <c r="Y3" s="10" t="s">
        <v>34</v>
      </c>
      <c r="Z3" s="10" t="s">
        <v>54</v>
      </c>
    </row>
    <row r="4" spans="1:26" ht="191.25" customHeight="1" x14ac:dyDescent="0.15">
      <c r="A4" s="12">
        <v>1</v>
      </c>
      <c r="B4" s="12">
        <v>1198010038</v>
      </c>
      <c r="C4" s="12" t="s">
        <v>1</v>
      </c>
      <c r="D4" s="16" t="s">
        <v>4</v>
      </c>
      <c r="E4" s="12" t="s">
        <v>12</v>
      </c>
      <c r="F4" s="12">
        <v>1</v>
      </c>
      <c r="G4" s="12" t="s">
        <v>36</v>
      </c>
      <c r="H4" s="14">
        <v>1128000</v>
      </c>
      <c r="I4" s="14">
        <f>+((H4*1.0928)*1.052)</f>
        <v>1296777.6768</v>
      </c>
      <c r="J4" s="14">
        <v>1962020</v>
      </c>
      <c r="K4" s="12" t="s">
        <v>41</v>
      </c>
      <c r="L4" s="14">
        <v>1962020</v>
      </c>
      <c r="M4" s="14">
        <v>1250000</v>
      </c>
      <c r="N4" s="12" t="s">
        <v>41</v>
      </c>
      <c r="O4" s="14">
        <v>1250000</v>
      </c>
      <c r="P4" s="14">
        <f>+MIN(I4,L4,O4)</f>
        <v>1250000</v>
      </c>
      <c r="Q4" s="14">
        <f>+MAX(I4,L4,O4)</f>
        <v>1962020</v>
      </c>
      <c r="R4" s="14">
        <f>+AVERAGE(I4,L4,O4)</f>
        <v>1502932.5589333333</v>
      </c>
      <c r="S4" s="14">
        <f>+GEOMEAN(I4,L4,O4)</f>
        <v>1470594.6769136984</v>
      </c>
      <c r="T4" s="14">
        <f>+STDEVA(I4,L4,O4)</f>
        <v>398268.74930197216</v>
      </c>
      <c r="U4" s="15">
        <f>+T4/R4</f>
        <v>0.26499442502239284</v>
      </c>
      <c r="V4" s="14">
        <f>+R4</f>
        <v>1502932.5589333333</v>
      </c>
      <c r="W4" s="12" t="s">
        <v>49</v>
      </c>
      <c r="X4" s="14">
        <f>+Z4</f>
        <v>1502932.5589333333</v>
      </c>
      <c r="Y4" s="12" t="s">
        <v>41</v>
      </c>
      <c r="Z4" s="14">
        <f>+V4</f>
        <v>1502932.5589333333</v>
      </c>
    </row>
    <row r="8" spans="1:26" ht="11.25" customHeight="1" x14ac:dyDescent="0.15">
      <c r="A8" s="6" t="s">
        <v>8</v>
      </c>
      <c r="B8" s="7"/>
      <c r="C8" s="18" t="s">
        <v>9</v>
      </c>
      <c r="D8" s="19"/>
      <c r="E8" s="19"/>
      <c r="F8" s="19"/>
      <c r="G8" s="19"/>
      <c r="H8" s="19"/>
      <c r="I8" s="20"/>
      <c r="J8" s="18" t="s">
        <v>44</v>
      </c>
      <c r="K8" s="19"/>
      <c r="L8" s="20"/>
      <c r="M8" s="18" t="s">
        <v>45</v>
      </c>
      <c r="N8" s="19"/>
      <c r="O8" s="20"/>
      <c r="P8" s="9"/>
      <c r="Q8" s="9"/>
      <c r="R8" s="9"/>
      <c r="S8" s="9"/>
      <c r="T8" s="9"/>
      <c r="U8" s="9"/>
      <c r="V8" s="9"/>
      <c r="W8" s="9"/>
      <c r="X8" s="17" t="s">
        <v>46</v>
      </c>
      <c r="Y8" s="17"/>
      <c r="Z8" s="17"/>
    </row>
    <row r="9" spans="1:26" ht="56.25" x14ac:dyDescent="0.15">
      <c r="A9" s="4" t="s">
        <v>0</v>
      </c>
      <c r="B9" s="4"/>
      <c r="C9" s="4" t="s">
        <v>2</v>
      </c>
      <c r="D9" s="4" t="s">
        <v>3</v>
      </c>
      <c r="E9" s="4" t="s">
        <v>5</v>
      </c>
      <c r="F9" s="4" t="s">
        <v>57</v>
      </c>
      <c r="G9" s="4" t="s">
        <v>40</v>
      </c>
      <c r="H9" s="4" t="s">
        <v>38</v>
      </c>
      <c r="I9" s="4" t="s">
        <v>39</v>
      </c>
      <c r="J9" s="4" t="s">
        <v>33</v>
      </c>
      <c r="K9" s="4" t="s">
        <v>34</v>
      </c>
      <c r="L9" s="4" t="s">
        <v>35</v>
      </c>
      <c r="M9" s="4" t="s">
        <v>33</v>
      </c>
      <c r="N9" s="4" t="s">
        <v>34</v>
      </c>
      <c r="O9" s="4" t="s">
        <v>35</v>
      </c>
      <c r="P9" s="10" t="s">
        <v>47</v>
      </c>
      <c r="Q9" s="10" t="s">
        <v>48</v>
      </c>
      <c r="R9" s="10" t="s">
        <v>49</v>
      </c>
      <c r="S9" s="10" t="s">
        <v>50</v>
      </c>
      <c r="T9" s="10" t="s">
        <v>51</v>
      </c>
      <c r="U9" s="10" t="s">
        <v>52</v>
      </c>
      <c r="V9" s="10" t="s">
        <v>46</v>
      </c>
      <c r="W9" s="10" t="s">
        <v>53</v>
      </c>
      <c r="X9" s="10" t="s">
        <v>33</v>
      </c>
      <c r="Y9" s="10" t="s">
        <v>34</v>
      </c>
      <c r="Z9" s="10" t="s">
        <v>54</v>
      </c>
    </row>
    <row r="10" spans="1:26" ht="56.25" x14ac:dyDescent="0.15">
      <c r="A10" s="12">
        <v>1</v>
      </c>
      <c r="B10" s="12">
        <v>1186220012</v>
      </c>
      <c r="C10" s="12" t="s">
        <v>10</v>
      </c>
      <c r="D10" s="13" t="s">
        <v>11</v>
      </c>
      <c r="E10" s="12" t="s">
        <v>12</v>
      </c>
      <c r="F10" s="12">
        <v>1</v>
      </c>
      <c r="G10" s="12" t="s">
        <v>37</v>
      </c>
      <c r="H10" s="14">
        <v>6500000</v>
      </c>
      <c r="I10" s="14">
        <f t="shared" ref="I10:I20" si="0">+((H10*1.0928)*1.052)</f>
        <v>7472566.4000000004</v>
      </c>
      <c r="J10" s="14">
        <v>7200000</v>
      </c>
      <c r="K10" s="12" t="s">
        <v>41</v>
      </c>
      <c r="L10" s="14">
        <v>7200000</v>
      </c>
      <c r="M10" s="14">
        <v>7454500</v>
      </c>
      <c r="N10" s="12" t="s">
        <v>41</v>
      </c>
      <c r="O10" s="14">
        <v>7454500</v>
      </c>
      <c r="P10" s="14">
        <f>+MIN(I10,L10,O10)</f>
        <v>7200000</v>
      </c>
      <c r="Q10" s="14">
        <f>+MAX(I10,L10,O10)</f>
        <v>7472566.4000000004</v>
      </c>
      <c r="R10" s="14">
        <f>+AVERAGE(I10,L10,O10)</f>
        <v>7375688.7999999998</v>
      </c>
      <c r="S10" s="14">
        <f>+GEOMEAN(I10,L10,O10)</f>
        <v>7374630.5150745185</v>
      </c>
      <c r="T10" s="14">
        <f>+STDEVA(I10,L10,O10)</f>
        <v>152418.87854304674</v>
      </c>
      <c r="U10" s="15">
        <f>+T10/R10</f>
        <v>2.066503653774638E-2</v>
      </c>
      <c r="V10" s="14">
        <f>+R10</f>
        <v>7375688.7999999998</v>
      </c>
      <c r="W10" s="12" t="s">
        <v>56</v>
      </c>
      <c r="X10" s="14">
        <f>+Z10</f>
        <v>7375688.7999999998</v>
      </c>
      <c r="Y10" s="12" t="s">
        <v>41</v>
      </c>
      <c r="Z10" s="14">
        <f>+V10</f>
        <v>7375688.7999999998</v>
      </c>
    </row>
    <row r="11" spans="1:26" ht="90" x14ac:dyDescent="0.15">
      <c r="A11" s="3">
        <v>2</v>
      </c>
      <c r="B11" s="3">
        <v>1186220679</v>
      </c>
      <c r="C11" s="3" t="s">
        <v>13</v>
      </c>
      <c r="D11" s="1" t="s">
        <v>14</v>
      </c>
      <c r="E11" s="3" t="s">
        <v>12</v>
      </c>
      <c r="F11" s="3">
        <v>1</v>
      </c>
      <c r="G11" s="3" t="s">
        <v>37</v>
      </c>
      <c r="H11" s="8">
        <v>6500000</v>
      </c>
      <c r="I11" s="8">
        <f t="shared" si="0"/>
        <v>7472566.4000000004</v>
      </c>
      <c r="J11" s="8">
        <v>7800000</v>
      </c>
      <c r="K11" s="3" t="s">
        <v>41</v>
      </c>
      <c r="L11" s="8">
        <v>7800000</v>
      </c>
      <c r="M11" s="8">
        <v>7454500</v>
      </c>
      <c r="N11" s="3" t="s">
        <v>41</v>
      </c>
      <c r="O11" s="8">
        <v>7454500</v>
      </c>
      <c r="P11" s="8">
        <f t="shared" ref="P11:P20" si="1">+MIN(I11,L11,O11)</f>
        <v>7454500</v>
      </c>
      <c r="Q11" s="8">
        <f t="shared" ref="Q11:Q20" si="2">+MAX(I11,L11,O11)</f>
        <v>7800000</v>
      </c>
      <c r="R11" s="8">
        <f t="shared" ref="R11:R20" si="3">+AVERAGE(I11,L11,O11)</f>
        <v>7575688.7999999998</v>
      </c>
      <c r="S11" s="8">
        <f t="shared" ref="S11:S20" si="4">+GEOMEAN(I11,L11,O11)</f>
        <v>7574040.705801229</v>
      </c>
      <c r="T11" s="8">
        <f t="shared" ref="T11:T20" si="5">+STDEVA(I11,L11,O11)</f>
        <v>194469.10946553943</v>
      </c>
      <c r="U11" s="11">
        <f t="shared" ref="U11:U20" si="6">+T11/R11</f>
        <v>2.5670155493390835E-2</v>
      </c>
      <c r="V11" s="8">
        <f t="shared" ref="V11:V20" si="7">+P11</f>
        <v>7454500</v>
      </c>
      <c r="W11" s="3" t="s">
        <v>56</v>
      </c>
      <c r="X11" s="8">
        <f t="shared" ref="X11:X20" si="8">+Z11</f>
        <v>7454500</v>
      </c>
      <c r="Y11" s="3" t="s">
        <v>41</v>
      </c>
      <c r="Z11" s="8">
        <f t="shared" ref="Z11:Z20" si="9">+V11</f>
        <v>7454500</v>
      </c>
    </row>
    <row r="12" spans="1:26" ht="78.75" x14ac:dyDescent="0.15">
      <c r="A12" s="3">
        <v>3</v>
      </c>
      <c r="B12" s="3">
        <v>1186220933</v>
      </c>
      <c r="C12" s="3" t="s">
        <v>15</v>
      </c>
      <c r="D12" s="1" t="s">
        <v>16</v>
      </c>
      <c r="E12" s="3" t="s">
        <v>12</v>
      </c>
      <c r="F12" s="3">
        <v>1</v>
      </c>
      <c r="G12" s="3" t="s">
        <v>37</v>
      </c>
      <c r="H12" s="8">
        <v>4200000</v>
      </c>
      <c r="I12" s="8">
        <f t="shared" si="0"/>
        <v>4828427.5200000005</v>
      </c>
      <c r="J12" s="8">
        <v>4639324</v>
      </c>
      <c r="K12" s="3" t="s">
        <v>41</v>
      </c>
      <c r="L12" s="8">
        <v>4639324</v>
      </c>
      <c r="M12" s="8">
        <v>3800000</v>
      </c>
      <c r="N12" s="3" t="s">
        <v>41</v>
      </c>
      <c r="O12" s="8">
        <v>3800000</v>
      </c>
      <c r="P12" s="8">
        <f t="shared" si="1"/>
        <v>3800000</v>
      </c>
      <c r="Q12" s="8">
        <f t="shared" si="2"/>
        <v>4828427.5200000005</v>
      </c>
      <c r="R12" s="8">
        <f t="shared" si="3"/>
        <v>4422583.84</v>
      </c>
      <c r="S12" s="8">
        <f t="shared" si="4"/>
        <v>4398939.66818891</v>
      </c>
      <c r="T12" s="8">
        <f t="shared" si="5"/>
        <v>547401.1451312108</v>
      </c>
      <c r="U12" s="11">
        <f t="shared" si="6"/>
        <v>0.12377405718807376</v>
      </c>
      <c r="V12" s="8">
        <f t="shared" si="7"/>
        <v>3800000</v>
      </c>
      <c r="W12" s="3" t="s">
        <v>56</v>
      </c>
      <c r="X12" s="8">
        <f t="shared" si="8"/>
        <v>3800000</v>
      </c>
      <c r="Y12" s="3" t="s">
        <v>41</v>
      </c>
      <c r="Z12" s="8">
        <f t="shared" si="9"/>
        <v>3800000</v>
      </c>
    </row>
    <row r="13" spans="1:26" ht="67.5" x14ac:dyDescent="0.15">
      <c r="A13" s="3">
        <v>4</v>
      </c>
      <c r="B13" s="3">
        <v>1186220024</v>
      </c>
      <c r="C13" s="3" t="s">
        <v>17</v>
      </c>
      <c r="D13" s="1" t="s">
        <v>18</v>
      </c>
      <c r="E13" s="3" t="s">
        <v>12</v>
      </c>
      <c r="F13" s="3">
        <v>1</v>
      </c>
      <c r="G13" s="3" t="s">
        <v>37</v>
      </c>
      <c r="H13" s="8">
        <v>1449228</v>
      </c>
      <c r="I13" s="8">
        <f t="shared" si="0"/>
        <v>1666069.6090368</v>
      </c>
      <c r="J13" s="8">
        <v>1800000</v>
      </c>
      <c r="K13" s="3" t="s">
        <v>41</v>
      </c>
      <c r="L13" s="8">
        <v>1800000</v>
      </c>
      <c r="M13" s="8"/>
      <c r="N13" s="3"/>
      <c r="O13" s="8"/>
      <c r="P13" s="8">
        <f>+MIN(I13,L13)</f>
        <v>1666069.6090368</v>
      </c>
      <c r="Q13" s="8">
        <f>+MAX(I13,L13)</f>
        <v>1800000</v>
      </c>
      <c r="R13" s="8">
        <f>+AVERAGE(I13,L13)</f>
        <v>1733034.8045184</v>
      </c>
      <c r="S13" s="8">
        <f>+GEOMEAN(I13,L13)</f>
        <v>1731740.5395342109</v>
      </c>
      <c r="T13" s="8">
        <f>+STDEVA(I13,L13)</f>
        <v>94703.087657044234</v>
      </c>
      <c r="U13" s="11">
        <f t="shared" si="6"/>
        <v>5.4645808272362803E-2</v>
      </c>
      <c r="V13" s="8">
        <f t="shared" si="7"/>
        <v>1666069.6090368</v>
      </c>
      <c r="W13" s="3" t="s">
        <v>56</v>
      </c>
      <c r="X13" s="8">
        <f t="shared" si="8"/>
        <v>1666069.6090368</v>
      </c>
      <c r="Y13" s="3" t="s">
        <v>41</v>
      </c>
      <c r="Z13" s="8">
        <f t="shared" si="9"/>
        <v>1666069.6090368</v>
      </c>
    </row>
    <row r="14" spans="1:26" ht="67.5" x14ac:dyDescent="0.15">
      <c r="A14" s="3">
        <v>5</v>
      </c>
      <c r="B14" s="3">
        <v>1186220912</v>
      </c>
      <c r="C14" s="3" t="s">
        <v>19</v>
      </c>
      <c r="D14" s="1" t="s">
        <v>20</v>
      </c>
      <c r="E14" s="3" t="s">
        <v>12</v>
      </c>
      <c r="F14" s="3">
        <v>1</v>
      </c>
      <c r="G14" s="3" t="s">
        <v>37</v>
      </c>
      <c r="H14" s="8">
        <v>12000000</v>
      </c>
      <c r="I14" s="8">
        <f t="shared" si="0"/>
        <v>13795507.200000001</v>
      </c>
      <c r="J14" s="8">
        <v>13255212</v>
      </c>
      <c r="K14" s="3" t="s">
        <v>41</v>
      </c>
      <c r="L14" s="8">
        <v>13255212</v>
      </c>
      <c r="M14" s="8">
        <v>10600000</v>
      </c>
      <c r="N14" s="3" t="s">
        <v>41</v>
      </c>
      <c r="O14" s="8">
        <v>10600000</v>
      </c>
      <c r="P14" s="8">
        <f t="shared" si="1"/>
        <v>10600000</v>
      </c>
      <c r="Q14" s="8">
        <f t="shared" si="2"/>
        <v>13795507.200000001</v>
      </c>
      <c r="R14" s="8">
        <f t="shared" si="3"/>
        <v>12550239.733333334</v>
      </c>
      <c r="S14" s="8">
        <f t="shared" si="4"/>
        <v>12468381.206275921</v>
      </c>
      <c r="T14" s="8">
        <f t="shared" si="5"/>
        <v>1710425.6747633943</v>
      </c>
      <c r="U14" s="11">
        <f t="shared" si="6"/>
        <v>0.13628629501160186</v>
      </c>
      <c r="V14" s="8">
        <f t="shared" si="7"/>
        <v>10600000</v>
      </c>
      <c r="W14" s="3" t="s">
        <v>56</v>
      </c>
      <c r="X14" s="8">
        <f t="shared" si="8"/>
        <v>10600000</v>
      </c>
      <c r="Y14" s="3" t="s">
        <v>41</v>
      </c>
      <c r="Z14" s="8">
        <f t="shared" si="9"/>
        <v>10600000</v>
      </c>
    </row>
    <row r="15" spans="1:26" ht="90" x14ac:dyDescent="0.15">
      <c r="A15" s="3">
        <v>6</v>
      </c>
      <c r="B15" s="3">
        <v>1186220392</v>
      </c>
      <c r="C15" s="3" t="s">
        <v>21</v>
      </c>
      <c r="D15" s="1" t="s">
        <v>22</v>
      </c>
      <c r="E15" s="3" t="s">
        <v>12</v>
      </c>
      <c r="F15" s="3">
        <v>1</v>
      </c>
      <c r="G15" s="3" t="s">
        <v>37</v>
      </c>
      <c r="H15" s="8">
        <v>1449228</v>
      </c>
      <c r="I15" s="8">
        <f t="shared" si="0"/>
        <v>1666069.6090368</v>
      </c>
      <c r="J15" s="8">
        <v>1800000</v>
      </c>
      <c r="K15" s="3" t="s">
        <v>41</v>
      </c>
      <c r="L15" s="8">
        <v>1800000</v>
      </c>
      <c r="M15" s="8"/>
      <c r="N15" s="3"/>
      <c r="O15" s="8"/>
      <c r="P15" s="8">
        <f>+MIN(I15,L15)</f>
        <v>1666069.6090368</v>
      </c>
      <c r="Q15" s="8">
        <f>+MAX(I15,L15)</f>
        <v>1800000</v>
      </c>
      <c r="R15" s="8">
        <f>+AVERAGE(I15,L15)</f>
        <v>1733034.8045184</v>
      </c>
      <c r="S15" s="8">
        <f>+GEOMEAN(I15,L15)</f>
        <v>1731740.5395342109</v>
      </c>
      <c r="T15" s="8">
        <f>+STDEVA(I15,L15)</f>
        <v>94703.087657044234</v>
      </c>
      <c r="U15" s="11">
        <f t="shared" ref="U15" si="10">+T15/R15</f>
        <v>5.4645808272362803E-2</v>
      </c>
      <c r="V15" s="8">
        <f t="shared" ref="V15" si="11">+P15</f>
        <v>1666069.6090368</v>
      </c>
      <c r="W15" s="3" t="s">
        <v>56</v>
      </c>
      <c r="X15" s="8">
        <f t="shared" si="8"/>
        <v>1666069.6090368</v>
      </c>
      <c r="Y15" s="3" t="s">
        <v>41</v>
      </c>
      <c r="Z15" s="8">
        <f t="shared" si="9"/>
        <v>1666069.6090368</v>
      </c>
    </row>
    <row r="16" spans="1:26" ht="56.25" x14ac:dyDescent="0.15">
      <c r="A16" s="3">
        <v>7</v>
      </c>
      <c r="B16" s="3">
        <v>1186220393</v>
      </c>
      <c r="C16" s="3" t="s">
        <v>23</v>
      </c>
      <c r="D16" s="1" t="s">
        <v>24</v>
      </c>
      <c r="E16" s="3" t="s">
        <v>12</v>
      </c>
      <c r="F16" s="3">
        <v>1</v>
      </c>
      <c r="G16" s="3" t="s">
        <v>37</v>
      </c>
      <c r="H16" s="8">
        <v>1428000</v>
      </c>
      <c r="I16" s="8">
        <f t="shared" si="0"/>
        <v>1641665.3568</v>
      </c>
      <c r="J16" s="8">
        <v>1325521</v>
      </c>
      <c r="K16" s="8">
        <f>+J16*19%</f>
        <v>251848.99</v>
      </c>
      <c r="L16" s="8">
        <f>+J16+K16</f>
        <v>1577369.99</v>
      </c>
      <c r="M16" s="8">
        <v>1200000</v>
      </c>
      <c r="N16" s="8">
        <f>+M16*19%</f>
        <v>228000</v>
      </c>
      <c r="O16" s="8">
        <f>+M16+N16</f>
        <v>1428000</v>
      </c>
      <c r="P16" s="8">
        <f t="shared" si="1"/>
        <v>1428000</v>
      </c>
      <c r="Q16" s="8">
        <f t="shared" si="2"/>
        <v>1641665.3568</v>
      </c>
      <c r="R16" s="8">
        <f t="shared" si="3"/>
        <v>1549011.7822666664</v>
      </c>
      <c r="S16" s="8">
        <f t="shared" si="4"/>
        <v>1546377.3207008687</v>
      </c>
      <c r="T16" s="8">
        <f t="shared" si="5"/>
        <v>109619.16864081295</v>
      </c>
      <c r="U16" s="11">
        <f t="shared" si="6"/>
        <v>7.0767162584397775E-2</v>
      </c>
      <c r="V16" s="8">
        <f t="shared" si="7"/>
        <v>1428000</v>
      </c>
      <c r="W16" s="3" t="s">
        <v>56</v>
      </c>
      <c r="X16" s="8">
        <f t="shared" si="8"/>
        <v>1428000</v>
      </c>
      <c r="Y16" s="3" t="s">
        <v>41</v>
      </c>
      <c r="Z16" s="8">
        <f t="shared" si="9"/>
        <v>1428000</v>
      </c>
    </row>
    <row r="17" spans="1:26" ht="56.25" x14ac:dyDescent="0.15">
      <c r="A17" s="3">
        <v>8</v>
      </c>
      <c r="B17" s="3">
        <v>1186220394</v>
      </c>
      <c r="C17" s="3" t="s">
        <v>25</v>
      </c>
      <c r="D17" s="1" t="s">
        <v>26</v>
      </c>
      <c r="E17" s="3" t="s">
        <v>12</v>
      </c>
      <c r="F17" s="3">
        <v>1</v>
      </c>
      <c r="G17" s="3" t="s">
        <v>37</v>
      </c>
      <c r="H17" s="8">
        <v>376775</v>
      </c>
      <c r="I17" s="8">
        <f t="shared" si="0"/>
        <v>433150.18543999997</v>
      </c>
      <c r="J17" s="8">
        <v>435117</v>
      </c>
      <c r="K17" s="8">
        <f t="shared" ref="K17:K18" si="12">+J17*19%</f>
        <v>82672.23</v>
      </c>
      <c r="L17" s="8">
        <f t="shared" ref="L17:L18" si="13">+J17+K17</f>
        <v>517789.23</v>
      </c>
      <c r="M17" s="8">
        <v>260000</v>
      </c>
      <c r="N17" s="8">
        <f t="shared" ref="N17" si="14">+M17*19%</f>
        <v>49400</v>
      </c>
      <c r="O17" s="8">
        <f t="shared" ref="O17" si="15">+M17+N17</f>
        <v>309400</v>
      </c>
      <c r="P17" s="8">
        <f t="shared" si="1"/>
        <v>309400</v>
      </c>
      <c r="Q17" s="8">
        <f t="shared" si="2"/>
        <v>517789.23</v>
      </c>
      <c r="R17" s="8">
        <f t="shared" si="3"/>
        <v>420113.13847999997</v>
      </c>
      <c r="S17" s="8">
        <f t="shared" si="4"/>
        <v>410932.61230292142</v>
      </c>
      <c r="T17" s="8">
        <f t="shared" si="5"/>
        <v>104804.53826087958</v>
      </c>
      <c r="U17" s="11">
        <f t="shared" si="6"/>
        <v>0.24946741404010847</v>
      </c>
      <c r="V17" s="8">
        <f>+S17</f>
        <v>410932.61230292142</v>
      </c>
      <c r="W17" s="3" t="s">
        <v>55</v>
      </c>
      <c r="X17" s="8">
        <f t="shared" si="8"/>
        <v>410932.61230292142</v>
      </c>
      <c r="Y17" s="3" t="s">
        <v>41</v>
      </c>
      <c r="Z17" s="8">
        <f t="shared" si="9"/>
        <v>410932.61230292142</v>
      </c>
    </row>
    <row r="18" spans="1:26" ht="33.75" x14ac:dyDescent="0.15">
      <c r="A18" s="3">
        <v>9</v>
      </c>
      <c r="B18" s="3">
        <v>1186220680</v>
      </c>
      <c r="C18" s="3" t="s">
        <v>27</v>
      </c>
      <c r="D18" s="1" t="s">
        <v>28</v>
      </c>
      <c r="E18" s="3" t="s">
        <v>12</v>
      </c>
      <c r="F18" s="3">
        <v>1</v>
      </c>
      <c r="G18" s="3" t="s">
        <v>37</v>
      </c>
      <c r="H18" s="8">
        <v>468756</v>
      </c>
      <c r="I18" s="8">
        <f t="shared" si="0"/>
        <v>538893.89775360003</v>
      </c>
      <c r="J18" s="8">
        <v>435117</v>
      </c>
      <c r="K18" s="8">
        <f t="shared" si="12"/>
        <v>82672.23</v>
      </c>
      <c r="L18" s="8">
        <f t="shared" si="13"/>
        <v>517789.23</v>
      </c>
      <c r="M18" s="8"/>
      <c r="N18" s="8"/>
      <c r="O18" s="8"/>
      <c r="P18" s="8">
        <f>+MIN(I18,L18)</f>
        <v>517789.23</v>
      </c>
      <c r="Q18" s="8">
        <f>+MAX(I18,L18)</f>
        <v>538893.89775360003</v>
      </c>
      <c r="R18" s="8">
        <f>+AVERAGE(I18,L18)</f>
        <v>528341.56387680001</v>
      </c>
      <c r="S18" s="8">
        <f>+GEOMEAN(I18,L18)</f>
        <v>528236.17480208154</v>
      </c>
      <c r="T18" s="8">
        <f>+STDEVA(I18,L18)</f>
        <v>14923.253683259656</v>
      </c>
      <c r="U18" s="11">
        <f t="shared" ref="U18" si="16">+T18/R18</f>
        <v>2.8245466008310294E-2</v>
      </c>
      <c r="V18" s="8">
        <f t="shared" ref="V18" si="17">+P18</f>
        <v>517789.23</v>
      </c>
      <c r="W18" s="3" t="s">
        <v>56</v>
      </c>
      <c r="X18" s="8">
        <f t="shared" si="8"/>
        <v>517789.23</v>
      </c>
      <c r="Y18" s="3" t="s">
        <v>41</v>
      </c>
      <c r="Z18" s="8">
        <f t="shared" si="9"/>
        <v>517789.23</v>
      </c>
    </row>
    <row r="19" spans="1:26" ht="45" x14ac:dyDescent="0.15">
      <c r="A19" s="3">
        <v>10</v>
      </c>
      <c r="B19" s="3">
        <v>1186220396</v>
      </c>
      <c r="C19" s="3" t="s">
        <v>29</v>
      </c>
      <c r="D19" s="1" t="s">
        <v>30</v>
      </c>
      <c r="E19" s="3" t="s">
        <v>12</v>
      </c>
      <c r="F19" s="3">
        <v>1</v>
      </c>
      <c r="G19" s="3" t="s">
        <v>37</v>
      </c>
      <c r="H19" s="8">
        <v>12000000</v>
      </c>
      <c r="I19" s="8">
        <f t="shared" si="0"/>
        <v>13795507.200000001</v>
      </c>
      <c r="J19" s="8">
        <v>13255212</v>
      </c>
      <c r="K19" s="3" t="s">
        <v>41</v>
      </c>
      <c r="L19" s="8">
        <v>13255212</v>
      </c>
      <c r="M19" s="8">
        <v>10600000</v>
      </c>
      <c r="N19" s="3" t="s">
        <v>41</v>
      </c>
      <c r="O19" s="8">
        <v>10600000</v>
      </c>
      <c r="P19" s="8">
        <f t="shared" si="1"/>
        <v>10600000</v>
      </c>
      <c r="Q19" s="8">
        <f t="shared" si="2"/>
        <v>13795507.200000001</v>
      </c>
      <c r="R19" s="8">
        <f t="shared" si="3"/>
        <v>12550239.733333334</v>
      </c>
      <c r="S19" s="8">
        <f t="shared" si="4"/>
        <v>12468381.206275921</v>
      </c>
      <c r="T19" s="8">
        <f t="shared" si="5"/>
        <v>1710425.6747633943</v>
      </c>
      <c r="U19" s="11">
        <f t="shared" si="6"/>
        <v>0.13628629501160186</v>
      </c>
      <c r="V19" s="8">
        <f t="shared" si="7"/>
        <v>10600000</v>
      </c>
      <c r="W19" s="3" t="s">
        <v>56</v>
      </c>
      <c r="X19" s="8">
        <f t="shared" si="8"/>
        <v>10600000</v>
      </c>
      <c r="Y19" s="3" t="s">
        <v>41</v>
      </c>
      <c r="Z19" s="8">
        <f t="shared" si="9"/>
        <v>10600000</v>
      </c>
    </row>
    <row r="20" spans="1:26" ht="56.25" x14ac:dyDescent="0.15">
      <c r="A20" s="3">
        <v>11</v>
      </c>
      <c r="B20" s="3">
        <v>1186220397</v>
      </c>
      <c r="C20" s="3" t="s">
        <v>31</v>
      </c>
      <c r="D20" s="1" t="s">
        <v>32</v>
      </c>
      <c r="E20" s="3" t="s">
        <v>12</v>
      </c>
      <c r="F20" s="3">
        <v>1</v>
      </c>
      <c r="G20" s="3" t="s">
        <v>37</v>
      </c>
      <c r="H20" s="8">
        <v>12000000</v>
      </c>
      <c r="I20" s="8">
        <f t="shared" si="0"/>
        <v>13795507.200000001</v>
      </c>
      <c r="J20" s="8">
        <v>13255212</v>
      </c>
      <c r="K20" s="3" t="s">
        <v>41</v>
      </c>
      <c r="L20" s="8">
        <v>13255212</v>
      </c>
      <c r="M20" s="8">
        <v>10600000</v>
      </c>
      <c r="N20" s="3" t="s">
        <v>41</v>
      </c>
      <c r="O20" s="8">
        <v>10600000</v>
      </c>
      <c r="P20" s="8">
        <f t="shared" si="1"/>
        <v>10600000</v>
      </c>
      <c r="Q20" s="8">
        <f t="shared" si="2"/>
        <v>13795507.200000001</v>
      </c>
      <c r="R20" s="8">
        <f t="shared" si="3"/>
        <v>12550239.733333334</v>
      </c>
      <c r="S20" s="8">
        <f t="shared" si="4"/>
        <v>12468381.206275921</v>
      </c>
      <c r="T20" s="8">
        <f t="shared" si="5"/>
        <v>1710425.6747633943</v>
      </c>
      <c r="U20" s="11">
        <f t="shared" si="6"/>
        <v>0.13628629501160186</v>
      </c>
      <c r="V20" s="8">
        <f t="shared" si="7"/>
        <v>10600000</v>
      </c>
      <c r="W20" s="3" t="s">
        <v>56</v>
      </c>
      <c r="X20" s="8">
        <f t="shared" si="8"/>
        <v>10600000</v>
      </c>
      <c r="Y20" s="3" t="s">
        <v>41</v>
      </c>
      <c r="Z20" s="8">
        <f t="shared" si="9"/>
        <v>10600000</v>
      </c>
    </row>
  </sheetData>
  <mergeCells count="8">
    <mergeCell ref="X8:Z8"/>
    <mergeCell ref="X2:Z2"/>
    <mergeCell ref="C2:I2"/>
    <mergeCell ref="C8:I8"/>
    <mergeCell ref="J2:L2"/>
    <mergeCell ref="M2:O2"/>
    <mergeCell ref="J8:L8"/>
    <mergeCell ref="M8:O8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Diana Cifuentes</cp:lastModifiedBy>
  <dcterms:created xsi:type="dcterms:W3CDTF">2025-05-19T16:42:13Z</dcterms:created>
  <dcterms:modified xsi:type="dcterms:W3CDTF">2025-08-25T20:26:02Z</dcterms:modified>
</cp:coreProperties>
</file>