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fiscaliagovco-my.sharepoint.com/personal/rosana_llinas_fiscalia_gov_co/Documents/WONDER OFICINA/CONTRATACIÓN  REGIONAL CARIBE/2025/MÍNIMA/MTTO UPS/"/>
    </mc:Choice>
  </mc:AlternateContent>
  <xr:revisionPtr revIDLastSave="213" documentId="13_ncr:1_{BE5C4CCF-7FF3-4AA3-B65E-A279BA8E5F1A}" xr6:coauthVersionLast="47" xr6:coauthVersionMax="47" xr10:uidLastSave="{D0207286-E53B-40DC-9A17-7CF5E9C6DAE2}"/>
  <bookViews>
    <workbookView xWindow="-120" yWindow="-120" windowWidth="29040" windowHeight="15720" activeTab="1" xr2:uid="{00000000-000D-0000-FFFF-FFFF00000000}"/>
  </bookViews>
  <sheets>
    <sheet name="ANEXO 1 - COTIZACIONES" sheetId="18" r:id="rId1"/>
    <sheet name="ANEXO 2 - PROY COSTOS" sheetId="19" r:id="rId2"/>
  </sheets>
  <definedNames>
    <definedName name="_xlnm._FilterDatabase" localSheetId="0" hidden="1">'ANEXO 1 - COTIZACIONES'!$A$4:$AR$49</definedName>
    <definedName name="_xlnm._FilterDatabase" localSheetId="1" hidden="1">'ANEXO 2 - PROY COSTOS'!$A$6:$K$6</definedName>
    <definedName name="_xlnm.Print_Area" localSheetId="0">'ANEXO 1 - COTIZACIONES'!$A$1:$AB$5</definedName>
    <definedName name="_xlnm.Print_Area" localSheetId="1">'ANEXO 2 - PROY COSTOS'!$A$1:$N$6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7" i="19" l="1"/>
  <c r="N8" i="19"/>
  <c r="N9" i="19"/>
  <c r="N10" i="19"/>
  <c r="N11" i="19"/>
  <c r="N12" i="19"/>
  <c r="N13" i="19"/>
  <c r="N14" i="19"/>
  <c r="N15" i="19"/>
  <c r="N16" i="19"/>
  <c r="N17" i="19"/>
  <c r="N18" i="19"/>
  <c r="N19" i="19"/>
  <c r="N20" i="19"/>
  <c r="N21" i="19"/>
  <c r="N22" i="19"/>
  <c r="N23" i="19"/>
  <c r="N24" i="19"/>
  <c r="N25" i="19"/>
  <c r="N26" i="19"/>
  <c r="N27" i="19"/>
  <c r="N28" i="19"/>
  <c r="N29" i="19"/>
  <c r="N30" i="19"/>
  <c r="N31" i="19"/>
  <c r="N32" i="19"/>
  <c r="N33" i="19"/>
  <c r="N34" i="19"/>
  <c r="N35" i="19"/>
  <c r="N36" i="19"/>
  <c r="N37" i="19"/>
  <c r="N38" i="19"/>
  <c r="N39" i="19"/>
  <c r="N40" i="19"/>
  <c r="N41" i="19"/>
  <c r="N42" i="19"/>
  <c r="N43" i="19"/>
  <c r="N44" i="19"/>
  <c r="N45" i="19"/>
  <c r="N46" i="19"/>
  <c r="N47" i="19"/>
  <c r="N48" i="19"/>
  <c r="N49" i="19"/>
  <c r="N6" i="19"/>
  <c r="N55" i="19"/>
  <c r="N56" i="19"/>
  <c r="N57" i="19"/>
  <c r="N58" i="19"/>
  <c r="N59" i="19"/>
  <c r="N60" i="19"/>
  <c r="N61" i="19"/>
  <c r="N54" i="19"/>
  <c r="K55" i="19"/>
  <c r="K56" i="19"/>
  <c r="K57" i="19"/>
  <c r="K58" i="19"/>
  <c r="K59" i="19"/>
  <c r="K60" i="19"/>
  <c r="K61" i="19"/>
  <c r="K54" i="19"/>
  <c r="C7" i="19"/>
  <c r="D7" i="19"/>
  <c r="E7" i="19"/>
  <c r="F7" i="19"/>
  <c r="G7" i="19"/>
  <c r="C8" i="19"/>
  <c r="D8" i="19"/>
  <c r="E8" i="19"/>
  <c r="F8" i="19"/>
  <c r="G8" i="19"/>
  <c r="C9" i="19"/>
  <c r="D9" i="19"/>
  <c r="E9" i="19"/>
  <c r="F9" i="19"/>
  <c r="G9" i="19"/>
  <c r="C10" i="19"/>
  <c r="D10" i="19"/>
  <c r="E10" i="19"/>
  <c r="F10" i="19"/>
  <c r="G10" i="19"/>
  <c r="C11" i="19"/>
  <c r="D11" i="19"/>
  <c r="E11" i="19"/>
  <c r="F11" i="19"/>
  <c r="G11" i="19"/>
  <c r="C12" i="19"/>
  <c r="D12" i="19"/>
  <c r="E12" i="19"/>
  <c r="F12" i="19"/>
  <c r="G12" i="19"/>
  <c r="C13" i="19"/>
  <c r="D13" i="19"/>
  <c r="E13" i="19"/>
  <c r="F13" i="19"/>
  <c r="G13" i="19"/>
  <c r="C14" i="19"/>
  <c r="D14" i="19"/>
  <c r="E14" i="19"/>
  <c r="F14" i="19"/>
  <c r="G14" i="19"/>
  <c r="C15" i="19"/>
  <c r="D15" i="19"/>
  <c r="E15" i="19"/>
  <c r="F15" i="19"/>
  <c r="G15" i="19"/>
  <c r="C16" i="19"/>
  <c r="D16" i="19"/>
  <c r="E16" i="19"/>
  <c r="F16" i="19"/>
  <c r="G16" i="19"/>
  <c r="C17" i="19"/>
  <c r="D17" i="19"/>
  <c r="E17" i="19"/>
  <c r="F17" i="19"/>
  <c r="G17" i="19"/>
  <c r="C18" i="19"/>
  <c r="D18" i="19"/>
  <c r="E18" i="19"/>
  <c r="F18" i="19"/>
  <c r="G18" i="19"/>
  <c r="C19" i="19"/>
  <c r="D19" i="19"/>
  <c r="E19" i="19"/>
  <c r="F19" i="19"/>
  <c r="G19" i="19"/>
  <c r="C20" i="19"/>
  <c r="D20" i="19"/>
  <c r="E20" i="19"/>
  <c r="F20" i="19"/>
  <c r="G20" i="19"/>
  <c r="C21" i="19"/>
  <c r="D21" i="19"/>
  <c r="E21" i="19"/>
  <c r="F21" i="19"/>
  <c r="G21" i="19"/>
  <c r="C22" i="19"/>
  <c r="D22" i="19"/>
  <c r="E22" i="19"/>
  <c r="F22" i="19"/>
  <c r="G22" i="19"/>
  <c r="C23" i="19"/>
  <c r="D23" i="19"/>
  <c r="E23" i="19"/>
  <c r="F23" i="19"/>
  <c r="G23" i="19"/>
  <c r="C24" i="19"/>
  <c r="D24" i="19"/>
  <c r="E24" i="19"/>
  <c r="F24" i="19"/>
  <c r="G24" i="19"/>
  <c r="C25" i="19"/>
  <c r="D25" i="19"/>
  <c r="E25" i="19"/>
  <c r="F25" i="19"/>
  <c r="G25" i="19"/>
  <c r="C26" i="19"/>
  <c r="D26" i="19"/>
  <c r="E26" i="19"/>
  <c r="F26" i="19"/>
  <c r="G26" i="19"/>
  <c r="C27" i="19"/>
  <c r="D27" i="19"/>
  <c r="E27" i="19"/>
  <c r="F27" i="19"/>
  <c r="G27" i="19"/>
  <c r="C28" i="19"/>
  <c r="D28" i="19"/>
  <c r="E28" i="19"/>
  <c r="F28" i="19"/>
  <c r="G28" i="19"/>
  <c r="C29" i="19"/>
  <c r="D29" i="19"/>
  <c r="E29" i="19"/>
  <c r="F29" i="19"/>
  <c r="G29" i="19"/>
  <c r="C30" i="19"/>
  <c r="D30" i="19"/>
  <c r="E30" i="19"/>
  <c r="F30" i="19"/>
  <c r="G30" i="19"/>
  <c r="C31" i="19"/>
  <c r="D31" i="19"/>
  <c r="E31" i="19"/>
  <c r="F31" i="19"/>
  <c r="G31" i="19"/>
  <c r="C32" i="19"/>
  <c r="D32" i="19"/>
  <c r="E32" i="19"/>
  <c r="F32" i="19"/>
  <c r="G32" i="19"/>
  <c r="C33" i="19"/>
  <c r="D33" i="19"/>
  <c r="E33" i="19"/>
  <c r="F33" i="19"/>
  <c r="G33" i="19"/>
  <c r="C34" i="19"/>
  <c r="D34" i="19"/>
  <c r="E34" i="19"/>
  <c r="F34" i="19"/>
  <c r="G34" i="19"/>
  <c r="C35" i="19"/>
  <c r="D35" i="19"/>
  <c r="E35" i="19"/>
  <c r="F35" i="19"/>
  <c r="G35" i="19"/>
  <c r="C36" i="19"/>
  <c r="D36" i="19"/>
  <c r="E36" i="19"/>
  <c r="F36" i="19"/>
  <c r="G36" i="19"/>
  <c r="C37" i="19"/>
  <c r="D37" i="19"/>
  <c r="E37" i="19"/>
  <c r="F37" i="19"/>
  <c r="G37" i="19"/>
  <c r="C38" i="19"/>
  <c r="D38" i="19"/>
  <c r="E38" i="19"/>
  <c r="F38" i="19"/>
  <c r="G38" i="19"/>
  <c r="C39" i="19"/>
  <c r="D39" i="19"/>
  <c r="E39" i="19"/>
  <c r="F39" i="19"/>
  <c r="G39" i="19"/>
  <c r="C40" i="19"/>
  <c r="D40" i="19"/>
  <c r="E40" i="19"/>
  <c r="F40" i="19"/>
  <c r="G40" i="19"/>
  <c r="C41" i="19"/>
  <c r="D41" i="19"/>
  <c r="E41" i="19"/>
  <c r="F41" i="19"/>
  <c r="G41" i="19"/>
  <c r="C42" i="19"/>
  <c r="D42" i="19"/>
  <c r="E42" i="19"/>
  <c r="F42" i="19"/>
  <c r="G42" i="19"/>
  <c r="C43" i="19"/>
  <c r="D43" i="19"/>
  <c r="E43" i="19"/>
  <c r="F43" i="19"/>
  <c r="G43" i="19"/>
  <c r="C44" i="19"/>
  <c r="D44" i="19"/>
  <c r="E44" i="19"/>
  <c r="F44" i="19"/>
  <c r="G44" i="19"/>
  <c r="C45" i="19"/>
  <c r="D45" i="19"/>
  <c r="E45" i="19"/>
  <c r="F45" i="19"/>
  <c r="G45" i="19"/>
  <c r="C46" i="19"/>
  <c r="D46" i="19"/>
  <c r="E46" i="19"/>
  <c r="F46" i="19"/>
  <c r="G46" i="19"/>
  <c r="C47" i="19"/>
  <c r="D47" i="19"/>
  <c r="E47" i="19"/>
  <c r="F47" i="19"/>
  <c r="G47" i="19"/>
  <c r="C48" i="19"/>
  <c r="D48" i="19"/>
  <c r="E48" i="19"/>
  <c r="F48" i="19"/>
  <c r="G48" i="19"/>
  <c r="C49" i="19"/>
  <c r="D49" i="19"/>
  <c r="E49" i="19"/>
  <c r="F49" i="19"/>
  <c r="G49" i="19"/>
  <c r="G6" i="19"/>
  <c r="D6" i="19"/>
  <c r="E6" i="19"/>
  <c r="F6" i="19"/>
  <c r="K7" i="19"/>
  <c r="K8" i="19"/>
  <c r="K9" i="19"/>
  <c r="K10" i="19"/>
  <c r="K11" i="19"/>
  <c r="K12" i="19"/>
  <c r="K13" i="19"/>
  <c r="K14"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K44" i="19"/>
  <c r="K45" i="19"/>
  <c r="K46" i="19"/>
  <c r="K47" i="19"/>
  <c r="K48" i="19"/>
  <c r="K49" i="19"/>
  <c r="K6" i="19"/>
  <c r="AM41" i="18"/>
  <c r="T41" i="18"/>
  <c r="S41" i="18"/>
  <c r="AM6" i="18"/>
  <c r="T6" i="18"/>
  <c r="S6" i="18"/>
  <c r="AN40" i="18"/>
  <c r="AM40" i="18"/>
  <c r="AI40" i="18"/>
  <c r="T40" i="18"/>
  <c r="S40" i="18"/>
  <c r="AN42" i="18"/>
  <c r="AN34" i="18"/>
  <c r="AM42" i="18"/>
  <c r="AM34" i="18"/>
  <c r="AI42" i="18"/>
  <c r="AI34" i="18"/>
  <c r="T42" i="18"/>
  <c r="S42" i="18"/>
  <c r="T34" i="18"/>
  <c r="S34" i="18"/>
  <c r="AM22" i="18" l="1"/>
  <c r="AM12" i="18"/>
  <c r="AI12" i="18"/>
  <c r="T12" i="18"/>
  <c r="S12" i="18"/>
  <c r="AN22" i="18"/>
  <c r="AI22" i="18"/>
  <c r="T22" i="18"/>
  <c r="S22" i="18"/>
  <c r="AM25" i="18"/>
  <c r="AN25" i="18"/>
  <c r="AN24" i="18"/>
  <c r="AM24" i="18"/>
  <c r="T25" i="18"/>
  <c r="S25" i="18"/>
  <c r="T24" i="18"/>
  <c r="S24" i="18"/>
  <c r="AM21" i="18"/>
  <c r="T21" i="18"/>
  <c r="S21" i="18"/>
  <c r="AN20" i="18"/>
  <c r="AM20" i="18"/>
  <c r="AI20" i="18"/>
  <c r="T20" i="18"/>
  <c r="S20" i="18"/>
  <c r="AM30" i="18"/>
  <c r="AM29" i="18"/>
  <c r="AM28" i="18"/>
  <c r="AM27" i="18"/>
  <c r="T28" i="18"/>
  <c r="S28" i="18"/>
  <c r="T27" i="18"/>
  <c r="S27" i="18"/>
  <c r="T19" i="18" l="1"/>
  <c r="AM15" i="18"/>
  <c r="AM14" i="18"/>
  <c r="AM13" i="18"/>
  <c r="AN30" i="18"/>
  <c r="AN29" i="18"/>
  <c r="AM18" i="18"/>
  <c r="AN18" i="18"/>
  <c r="AM19" i="18"/>
  <c r="AN19" i="18"/>
  <c r="AN17" i="18"/>
  <c r="AM17" i="18"/>
  <c r="AN12" i="18"/>
  <c r="AN10" i="18"/>
  <c r="AM10" i="18"/>
  <c r="AN6" i="18"/>
  <c r="AM7" i="18"/>
  <c r="AN7" i="18"/>
  <c r="AN5" i="18"/>
  <c r="AM5" i="18"/>
  <c r="AM8" i="18"/>
  <c r="AN8" i="18"/>
  <c r="AM9" i="18"/>
  <c r="AN9" i="18"/>
  <c r="AM11" i="18"/>
  <c r="AN11" i="18"/>
  <c r="AN13" i="18"/>
  <c r="AN14" i="18"/>
  <c r="AN15" i="18"/>
  <c r="AM16" i="18"/>
  <c r="AN16" i="18"/>
  <c r="AN21" i="18"/>
  <c r="AM23" i="18"/>
  <c r="AN23" i="18"/>
  <c r="AM26" i="18"/>
  <c r="AN26" i="18"/>
  <c r="AN27" i="18"/>
  <c r="AN28" i="18"/>
  <c r="AM31" i="18"/>
  <c r="AN31" i="18"/>
  <c r="AM32" i="18"/>
  <c r="AN32" i="18"/>
  <c r="AM33" i="18"/>
  <c r="AN33" i="18"/>
  <c r="AM35" i="18"/>
  <c r="AN35" i="18"/>
  <c r="AM36" i="18"/>
  <c r="AN36" i="18"/>
  <c r="AM37" i="18"/>
  <c r="AN37" i="18"/>
  <c r="AM38" i="18"/>
  <c r="AN38" i="18"/>
  <c r="AM39" i="18"/>
  <c r="AN39" i="18"/>
  <c r="AN41" i="18"/>
  <c r="AM43" i="18"/>
  <c r="AN43" i="18"/>
  <c r="AM44" i="18"/>
  <c r="AN44" i="18"/>
  <c r="AM45" i="18"/>
  <c r="AN45" i="18"/>
  <c r="AM46" i="18"/>
  <c r="AN46" i="18"/>
  <c r="AM47" i="18"/>
  <c r="AN47" i="18"/>
  <c r="AM48" i="18"/>
  <c r="AN48" i="18"/>
  <c r="S30" i="18"/>
  <c r="T30" i="18"/>
  <c r="T29" i="18"/>
  <c r="S29" i="18"/>
  <c r="AI6" i="18"/>
  <c r="AI7" i="18"/>
  <c r="AI8" i="18"/>
  <c r="AI9" i="18"/>
  <c r="AI10" i="18"/>
  <c r="AI11" i="18"/>
  <c r="AI13" i="18"/>
  <c r="AI14" i="18"/>
  <c r="AI15" i="18"/>
  <c r="AI16" i="18"/>
  <c r="AI17" i="18"/>
  <c r="AI18" i="18"/>
  <c r="AI19" i="18"/>
  <c r="AI21" i="18"/>
  <c r="AI23" i="18"/>
  <c r="AI24" i="18"/>
  <c r="AI25" i="18"/>
  <c r="AI26" i="18"/>
  <c r="AI27" i="18"/>
  <c r="AI28" i="18"/>
  <c r="AI29" i="18"/>
  <c r="AI30" i="18"/>
  <c r="AI31" i="18"/>
  <c r="AI32" i="18"/>
  <c r="AI33" i="18"/>
  <c r="AI35" i="18"/>
  <c r="AI36" i="18"/>
  <c r="AI37" i="18"/>
  <c r="AI38" i="18"/>
  <c r="AI39" i="18"/>
  <c r="AI41" i="18"/>
  <c r="AI43" i="18"/>
  <c r="AI44" i="18"/>
  <c r="AI45" i="18"/>
  <c r="AI46" i="18"/>
  <c r="AI47" i="18"/>
  <c r="AI48" i="18"/>
  <c r="AI5" i="18"/>
  <c r="T48" i="18"/>
  <c r="S48" i="18"/>
  <c r="T47" i="18"/>
  <c r="S47" i="18"/>
  <c r="T46" i="18"/>
  <c r="S46" i="18"/>
  <c r="T45" i="18"/>
  <c r="S45" i="18"/>
  <c r="T44" i="18"/>
  <c r="S44" i="18"/>
  <c r="T43" i="18"/>
  <c r="S43" i="18"/>
  <c r="AH42" i="18"/>
  <c r="AF42" i="18" s="1"/>
  <c r="AH41" i="18"/>
  <c r="AF41" i="18" s="1"/>
  <c r="AH40" i="18"/>
  <c r="AF40" i="18" s="1"/>
  <c r="T39" i="18"/>
  <c r="S39" i="18"/>
  <c r="T38" i="18"/>
  <c r="S38" i="18"/>
  <c r="T37" i="18"/>
  <c r="S37" i="18"/>
  <c r="T36" i="18"/>
  <c r="S36" i="18"/>
  <c r="T35" i="18"/>
  <c r="S35" i="18"/>
  <c r="AH35" i="18" s="1"/>
  <c r="AF35" i="18" s="1"/>
  <c r="T33" i="18"/>
  <c r="S33" i="18"/>
  <c r="T32" i="18"/>
  <c r="S32" i="18"/>
  <c r="T31" i="18"/>
  <c r="S31" i="18"/>
  <c r="AH31" i="18" s="1"/>
  <c r="AF31" i="18" s="1"/>
  <c r="T26" i="18"/>
  <c r="S26" i="18"/>
  <c r="AH26" i="18" s="1"/>
  <c r="AF26" i="18" s="1"/>
  <c r="T23" i="18"/>
  <c r="S23" i="18"/>
  <c r="AH23" i="18" s="1"/>
  <c r="AF23" i="18" s="1"/>
  <c r="AH20" i="18"/>
  <c r="AF20" i="18" s="1"/>
  <c r="S19" i="18"/>
  <c r="T18" i="18"/>
  <c r="S18" i="18"/>
  <c r="T17" i="18"/>
  <c r="S17" i="18"/>
  <c r="T16" i="18"/>
  <c r="S16" i="18"/>
  <c r="T15" i="18"/>
  <c r="S15" i="18"/>
  <c r="T14" i="18"/>
  <c r="S14" i="18"/>
  <c r="T13" i="18"/>
  <c r="S13" i="18"/>
  <c r="T11" i="18"/>
  <c r="S11" i="18"/>
  <c r="T10" i="18"/>
  <c r="S10" i="18"/>
  <c r="T9" i="18"/>
  <c r="S9" i="18"/>
  <c r="AH9" i="18" s="1"/>
  <c r="AF9" i="18" s="1"/>
  <c r="T8" i="18"/>
  <c r="S8" i="18"/>
  <c r="AH8" i="18" s="1"/>
  <c r="T7" i="18"/>
  <c r="S7" i="18"/>
  <c r="T5" i="18"/>
  <c r="S5" i="18"/>
  <c r="U31" i="18"/>
  <c r="U26" i="18"/>
  <c r="U23" i="18"/>
  <c r="AI49" i="18" l="1"/>
  <c r="AF8" i="18"/>
  <c r="W23" i="18"/>
  <c r="W26" i="18"/>
  <c r="V23" i="18"/>
  <c r="V31" i="18"/>
  <c r="V26" i="18"/>
  <c r="W31" i="18"/>
  <c r="U35" i="18" l="1"/>
  <c r="U34" i="18"/>
  <c r="AH34" i="18"/>
  <c r="AF34" i="18" s="1"/>
  <c r="AH30" i="18"/>
  <c r="AF30" i="18" s="1"/>
  <c r="U30" i="18"/>
  <c r="U29" i="18"/>
  <c r="AH29" i="18"/>
  <c r="AF29" i="18" s="1"/>
  <c r="U27" i="18"/>
  <c r="AH27" i="18"/>
  <c r="AF27" i="18" s="1"/>
  <c r="AH25" i="18"/>
  <c r="AF25" i="18" s="1"/>
  <c r="U25" i="18"/>
  <c r="U24" i="18"/>
  <c r="AH24" i="18"/>
  <c r="AF24" i="18" s="1"/>
  <c r="AH22" i="18"/>
  <c r="AF22" i="18" s="1"/>
  <c r="AH21" i="18"/>
  <c r="AF21" i="18" s="1"/>
  <c r="AH19" i="18"/>
  <c r="AF19" i="18" s="1"/>
  <c r="U18" i="18"/>
  <c r="V18" i="18"/>
  <c r="AH18" i="18"/>
  <c r="AF18" i="18" s="1"/>
  <c r="U17" i="18"/>
  <c r="AH17" i="18"/>
  <c r="AF17" i="18" s="1"/>
  <c r="U12" i="18"/>
  <c r="AH12" i="18"/>
  <c r="AF12" i="18" s="1"/>
  <c r="AH10" i="18"/>
  <c r="AF10" i="18" s="1"/>
  <c r="AH11" i="18"/>
  <c r="AF11" i="18" s="1"/>
  <c r="AH7" i="18"/>
  <c r="AF7" i="18" s="1"/>
  <c r="AH6" i="18"/>
  <c r="AF6" i="18" s="1"/>
  <c r="W34" i="18" l="1"/>
  <c r="V30" i="18"/>
  <c r="V27" i="18"/>
  <c r="W30" i="18"/>
  <c r="V25" i="18"/>
  <c r="W29" i="18"/>
  <c r="V12" i="18"/>
  <c r="V24" i="18"/>
  <c r="W17" i="18"/>
  <c r="W25" i="18"/>
  <c r="V35" i="18"/>
  <c r="W12" i="18"/>
  <c r="W24" i="18"/>
  <c r="W27" i="18"/>
  <c r="V17" i="18"/>
  <c r="V29" i="18"/>
  <c r="V34" i="18"/>
  <c r="W35" i="18"/>
  <c r="B53" i="19" l="1"/>
  <c r="B49" i="19"/>
  <c r="B46" i="19"/>
  <c r="B47" i="19"/>
  <c r="B48" i="19"/>
  <c r="B36" i="19"/>
  <c r="B37" i="19"/>
  <c r="B38" i="19"/>
  <c r="B39" i="19"/>
  <c r="B40" i="19"/>
  <c r="B41" i="19"/>
  <c r="B42" i="19"/>
  <c r="B43" i="19"/>
  <c r="B44" i="19"/>
  <c r="B45" i="19"/>
  <c r="B24" i="19"/>
  <c r="B25" i="19"/>
  <c r="B26" i="19"/>
  <c r="B27" i="19"/>
  <c r="B28" i="19"/>
  <c r="B29" i="19"/>
  <c r="B30" i="19"/>
  <c r="B31" i="19"/>
  <c r="B32" i="19"/>
  <c r="B33" i="19"/>
  <c r="B34" i="19"/>
  <c r="B35" i="19"/>
  <c r="B7" i="19"/>
  <c r="B8" i="19"/>
  <c r="B9" i="19"/>
  <c r="B10" i="19"/>
  <c r="B11" i="19"/>
  <c r="B12" i="19"/>
  <c r="B13" i="19"/>
  <c r="B14" i="19"/>
  <c r="B15" i="19"/>
  <c r="B16" i="19"/>
  <c r="B17" i="19"/>
  <c r="B18" i="19"/>
  <c r="B19" i="19"/>
  <c r="B20" i="19"/>
  <c r="B21" i="19"/>
  <c r="B22" i="19"/>
  <c r="B23" i="19"/>
  <c r="AO20" i="18" l="1"/>
  <c r="AP20" i="18" s="1"/>
  <c r="AM54" i="18"/>
  <c r="AM55" i="18"/>
  <c r="AM56" i="18"/>
  <c r="AM57" i="18"/>
  <c r="AM58" i="18"/>
  <c r="AM59" i="18"/>
  <c r="AM60" i="18"/>
  <c r="AM53" i="18"/>
  <c r="AN60" i="18"/>
  <c r="AN59" i="18"/>
  <c r="AN58" i="18"/>
  <c r="AN57" i="18"/>
  <c r="AN56" i="18"/>
  <c r="AO56" i="18" s="1"/>
  <c r="AP56" i="18" s="1"/>
  <c r="AN55" i="18"/>
  <c r="AN54" i="18"/>
  <c r="AN53" i="18"/>
  <c r="U60" i="18"/>
  <c r="T60" i="18"/>
  <c r="S60" i="18"/>
  <c r="U59" i="18"/>
  <c r="T59" i="18"/>
  <c r="S59" i="18"/>
  <c r="U58" i="18"/>
  <c r="T58" i="18"/>
  <c r="S58" i="18"/>
  <c r="U57" i="18"/>
  <c r="T57" i="18"/>
  <c r="S57" i="18"/>
  <c r="U56" i="18"/>
  <c r="T56" i="18"/>
  <c r="S56" i="18"/>
  <c r="U55" i="18"/>
  <c r="T55" i="18"/>
  <c r="S55" i="18"/>
  <c r="U54" i="18"/>
  <c r="T54" i="18"/>
  <c r="S54" i="18"/>
  <c r="U53" i="18"/>
  <c r="T53" i="18"/>
  <c r="S53" i="18"/>
  <c r="AO58" i="18" l="1"/>
  <c r="AP58" i="18" s="1"/>
  <c r="AO57" i="18"/>
  <c r="AP57" i="18" s="1"/>
  <c r="V54" i="18"/>
  <c r="W56" i="18"/>
  <c r="Y56" i="18" s="1"/>
  <c r="H57" i="19" s="1"/>
  <c r="L57" i="19" s="1"/>
  <c r="M57" i="19" s="1"/>
  <c r="V58" i="18"/>
  <c r="W53" i="18"/>
  <c r="Y53" i="18" s="1"/>
  <c r="H54" i="19" s="1"/>
  <c r="L54" i="19" s="1"/>
  <c r="M54" i="19" s="1"/>
  <c r="W58" i="18"/>
  <c r="Y58" i="18" s="1"/>
  <c r="Z58" i="18" s="1"/>
  <c r="AA58" i="18" s="1"/>
  <c r="AB58" i="18" s="1"/>
  <c r="W59" i="18"/>
  <c r="Y59" i="18" s="1"/>
  <c r="Z59" i="18" s="1"/>
  <c r="AA59" i="18" s="1"/>
  <c r="AB59" i="18" s="1"/>
  <c r="AO48" i="18"/>
  <c r="AP48" i="18" s="1"/>
  <c r="AO46" i="18"/>
  <c r="AP46" i="18" s="1"/>
  <c r="AO44" i="18"/>
  <c r="AP44" i="18" s="1"/>
  <c r="AO42" i="18"/>
  <c r="AP42" i="18" s="1"/>
  <c r="AO40" i="18"/>
  <c r="AP40" i="18" s="1"/>
  <c r="AO38" i="18"/>
  <c r="AP38" i="18" s="1"/>
  <c r="AO36" i="18"/>
  <c r="AP36" i="18" s="1"/>
  <c r="AO34" i="18"/>
  <c r="AP34" i="18" s="1"/>
  <c r="AO32" i="18"/>
  <c r="AP32" i="18" s="1"/>
  <c r="AO30" i="18"/>
  <c r="AP30" i="18" s="1"/>
  <c r="AO28" i="18"/>
  <c r="AP28" i="18" s="1"/>
  <c r="AO26" i="18"/>
  <c r="AP26" i="18" s="1"/>
  <c r="AO24" i="18"/>
  <c r="AP24" i="18" s="1"/>
  <c r="AO22" i="18"/>
  <c r="AP22" i="18" s="1"/>
  <c r="AO18" i="18"/>
  <c r="AP18" i="18" s="1"/>
  <c r="AO16" i="18"/>
  <c r="AP16" i="18" s="1"/>
  <c r="AO14" i="18"/>
  <c r="AP14" i="18" s="1"/>
  <c r="AO12" i="18"/>
  <c r="AP12" i="18" s="1"/>
  <c r="AO10" i="18"/>
  <c r="AP10" i="18" s="1"/>
  <c r="AO8" i="18"/>
  <c r="AP8" i="18" s="1"/>
  <c r="AO6" i="18"/>
  <c r="AP6" i="18" s="1"/>
  <c r="AO54" i="18"/>
  <c r="AP54" i="18" s="1"/>
  <c r="V56" i="18"/>
  <c r="AO47" i="18"/>
  <c r="AP47" i="18" s="1"/>
  <c r="AO45" i="18"/>
  <c r="AP45" i="18" s="1"/>
  <c r="AO43" i="18"/>
  <c r="AP43" i="18" s="1"/>
  <c r="AO41" i="18"/>
  <c r="AP41" i="18" s="1"/>
  <c r="AO39" i="18"/>
  <c r="AP39" i="18" s="1"/>
  <c r="AO37" i="18"/>
  <c r="AP37" i="18" s="1"/>
  <c r="AO35" i="18"/>
  <c r="AP35" i="18" s="1"/>
  <c r="AO33" i="18"/>
  <c r="AP33" i="18" s="1"/>
  <c r="AO31" i="18"/>
  <c r="AP31" i="18" s="1"/>
  <c r="AO29" i="18"/>
  <c r="AP29" i="18" s="1"/>
  <c r="AO27" i="18"/>
  <c r="AP27" i="18" s="1"/>
  <c r="AO25" i="18"/>
  <c r="AP25" i="18" s="1"/>
  <c r="AO23" i="18"/>
  <c r="AP23" i="18" s="1"/>
  <c r="AO21" i="18"/>
  <c r="AP21" i="18" s="1"/>
  <c r="AO19" i="18"/>
  <c r="AP19" i="18" s="1"/>
  <c r="AO17" i="18"/>
  <c r="AP17" i="18" s="1"/>
  <c r="AO15" i="18"/>
  <c r="AP15" i="18" s="1"/>
  <c r="AO13" i="18"/>
  <c r="AP13" i="18" s="1"/>
  <c r="AO11" i="18"/>
  <c r="AP11" i="18" s="1"/>
  <c r="AO9" i="18"/>
  <c r="AP9" i="18" s="1"/>
  <c r="AO7" i="18"/>
  <c r="AP7" i="18" s="1"/>
  <c r="AO60" i="18"/>
  <c r="AP60" i="18" s="1"/>
  <c r="Z53" i="18"/>
  <c r="AA53" i="18" s="1"/>
  <c r="AB53" i="18" s="1"/>
  <c r="V55" i="18"/>
  <c r="W57" i="18"/>
  <c r="Y57" i="18" s="1"/>
  <c r="V60" i="18"/>
  <c r="AO53" i="18"/>
  <c r="AP53" i="18" s="1"/>
  <c r="V59" i="18"/>
  <c r="V53" i="18"/>
  <c r="W54" i="18"/>
  <c r="Y54" i="18" s="1"/>
  <c r="W55" i="18"/>
  <c r="Y55" i="18" s="1"/>
  <c r="V57" i="18"/>
  <c r="W60" i="18"/>
  <c r="Y60" i="18" s="1"/>
  <c r="AO59" i="18"/>
  <c r="AP59" i="18" s="1"/>
  <c r="AO55" i="18"/>
  <c r="AP55" i="18" s="1"/>
  <c r="U6" i="18"/>
  <c r="U7" i="18"/>
  <c r="U8" i="18"/>
  <c r="U9" i="18"/>
  <c r="W10" i="18"/>
  <c r="U10" i="18"/>
  <c r="U11" i="18"/>
  <c r="AH13" i="18"/>
  <c r="AF13" i="18" s="1"/>
  <c r="U13" i="18"/>
  <c r="AH14" i="18"/>
  <c r="AF14" i="18" s="1"/>
  <c r="U14" i="18"/>
  <c r="AH15" i="18"/>
  <c r="AF15" i="18" s="1"/>
  <c r="U15" i="18"/>
  <c r="AH16" i="18"/>
  <c r="AF16" i="18" s="1"/>
  <c r="U16" i="18"/>
  <c r="W18" i="18"/>
  <c r="U19" i="18"/>
  <c r="U20" i="18"/>
  <c r="U21" i="18"/>
  <c r="W22" i="18"/>
  <c r="U22" i="18"/>
  <c r="AH28" i="18"/>
  <c r="AF28" i="18" s="1"/>
  <c r="U28" i="18"/>
  <c r="AH32" i="18"/>
  <c r="AF32" i="18" s="1"/>
  <c r="U32" i="18"/>
  <c r="AH33" i="18"/>
  <c r="AF33" i="18" s="1"/>
  <c r="U33" i="18"/>
  <c r="AH36" i="18"/>
  <c r="AF36" i="18" s="1"/>
  <c r="U36" i="18"/>
  <c r="AH37" i="18"/>
  <c r="AF37" i="18" s="1"/>
  <c r="U37" i="18"/>
  <c r="AH38" i="18"/>
  <c r="AF38" i="18" s="1"/>
  <c r="U38" i="18"/>
  <c r="AH39" i="18"/>
  <c r="AF39" i="18" s="1"/>
  <c r="U39" i="18"/>
  <c r="U40" i="18"/>
  <c r="U41" i="18"/>
  <c r="U42" i="18"/>
  <c r="AH43" i="18"/>
  <c r="AF43" i="18" s="1"/>
  <c r="U43" i="18"/>
  <c r="AH44" i="18"/>
  <c r="AF44" i="18" s="1"/>
  <c r="U44" i="18"/>
  <c r="AH45" i="18"/>
  <c r="AF45" i="18" s="1"/>
  <c r="U45" i="18"/>
  <c r="AH46" i="18"/>
  <c r="AF46" i="18" s="1"/>
  <c r="U46" i="18"/>
  <c r="AH47" i="18"/>
  <c r="AF47" i="18" s="1"/>
  <c r="U47" i="18"/>
  <c r="AH48" i="18"/>
  <c r="AF48" i="18" s="1"/>
  <c r="U48" i="18"/>
  <c r="Z56" i="18" l="1"/>
  <c r="AA56" i="18" s="1"/>
  <c r="AB56" i="18" s="1"/>
  <c r="H60" i="19"/>
  <c r="L60" i="19" s="1"/>
  <c r="M60" i="19" s="1"/>
  <c r="H59" i="19"/>
  <c r="L59" i="19" s="1"/>
  <c r="M59" i="19" s="1"/>
  <c r="AP61" i="18"/>
  <c r="Z55" i="18"/>
  <c r="AA55" i="18" s="1"/>
  <c r="AB55" i="18" s="1"/>
  <c r="H56" i="19"/>
  <c r="L56" i="19" s="1"/>
  <c r="M56" i="19" s="1"/>
  <c r="Z54" i="18"/>
  <c r="AA54" i="18" s="1"/>
  <c r="AB54" i="18" s="1"/>
  <c r="H55" i="19"/>
  <c r="L55" i="19" s="1"/>
  <c r="M55" i="19" s="1"/>
  <c r="V43" i="18"/>
  <c r="W14" i="18"/>
  <c r="Y14" i="18" s="1"/>
  <c r="Z60" i="18"/>
  <c r="AA60" i="18" s="1"/>
  <c r="AB60" i="18" s="1"/>
  <c r="H61" i="19"/>
  <c r="L61" i="19" s="1"/>
  <c r="M61" i="19" s="1"/>
  <c r="Z57" i="18"/>
  <c r="AA57" i="18" s="1"/>
  <c r="AB57" i="18" s="1"/>
  <c r="H58" i="19"/>
  <c r="L58" i="19" s="1"/>
  <c r="M58" i="19" s="1"/>
  <c r="V9" i="18"/>
  <c r="V42" i="18"/>
  <c r="V38" i="18"/>
  <c r="V32" i="18"/>
  <c r="V22" i="18"/>
  <c r="V16" i="18"/>
  <c r="V14" i="18"/>
  <c r="W46" i="18"/>
  <c r="Y46" i="18" s="1"/>
  <c r="W38" i="18"/>
  <c r="Y34" i="18"/>
  <c r="Y35" i="18"/>
  <c r="Y31" i="18"/>
  <c r="Y27" i="18"/>
  <c r="V10" i="18"/>
  <c r="V28" i="18"/>
  <c r="Y23" i="18"/>
  <c r="V46" i="18"/>
  <c r="V44" i="18"/>
  <c r="V41" i="18"/>
  <c r="W40" i="18"/>
  <c r="Y40" i="18" s="1"/>
  <c r="W36" i="18"/>
  <c r="W45" i="18"/>
  <c r="Y45" i="18" s="1"/>
  <c r="Y17" i="18"/>
  <c r="W13" i="18"/>
  <c r="Y13" i="18" s="1"/>
  <c r="V48" i="18"/>
  <c r="V39" i="18"/>
  <c r="W33" i="18"/>
  <c r="Y33" i="18" s="1"/>
  <c r="Y29" i="18"/>
  <c r="V20" i="18"/>
  <c r="V6" i="18"/>
  <c r="W48" i="18"/>
  <c r="Y48" i="18" s="1"/>
  <c r="W47" i="18"/>
  <c r="Y47" i="18" s="1"/>
  <c r="W43" i="18"/>
  <c r="Y43" i="18" s="1"/>
  <c r="V40" i="18"/>
  <c r="W39" i="18"/>
  <c r="V36" i="18"/>
  <c r="Y24" i="18"/>
  <c r="W20" i="18"/>
  <c r="Y20" i="18" s="1"/>
  <c r="H21" i="19" s="1"/>
  <c r="M21" i="19" s="1"/>
  <c r="W19" i="18"/>
  <c r="Y19" i="18" s="1"/>
  <c r="W15" i="18"/>
  <c r="Y15" i="18" s="1"/>
  <c r="W11" i="18"/>
  <c r="Y11" i="18" s="1"/>
  <c r="W7" i="18"/>
  <c r="Y7" i="18" s="1"/>
  <c r="W21" i="18"/>
  <c r="Y21" i="18" s="1"/>
  <c r="W6" i="18"/>
  <c r="Y6" i="18" s="1"/>
  <c r="V45" i="18"/>
  <c r="W42" i="18"/>
  <c r="Y42" i="18" s="1"/>
  <c r="W41" i="18"/>
  <c r="Y41" i="18" s="1"/>
  <c r="V33" i="18"/>
  <c r="W28" i="18"/>
  <c r="Y28" i="18" s="1"/>
  <c r="Y26" i="18"/>
  <c r="Y25" i="18"/>
  <c r="V15" i="18"/>
  <c r="V11" i="18"/>
  <c r="W9" i="18"/>
  <c r="Y9" i="18" s="1"/>
  <c r="V8" i="18"/>
  <c r="V7" i="18"/>
  <c r="W37" i="18"/>
  <c r="V47" i="18"/>
  <c r="W44" i="18"/>
  <c r="Y44" i="18" s="1"/>
  <c r="V37" i="18"/>
  <c r="W32" i="18"/>
  <c r="Y32" i="18" s="1"/>
  <c r="Y30" i="18"/>
  <c r="V21" i="18"/>
  <c r="V19" i="18"/>
  <c r="W16" i="18"/>
  <c r="Y16" i="18" s="1"/>
  <c r="V13" i="18"/>
  <c r="Y12" i="18"/>
  <c r="W8" i="18"/>
  <c r="Y8" i="18" s="1"/>
  <c r="AR9" i="18"/>
  <c r="AR49" i="18" s="1"/>
  <c r="Y10" i="18"/>
  <c r="Y18" i="18"/>
  <c r="Y22" i="18"/>
  <c r="AB61" i="18" l="1"/>
  <c r="AI51" i="18" s="1"/>
  <c r="N62" i="19"/>
  <c r="Z15" i="18"/>
  <c r="AA15" i="18" s="1"/>
  <c r="AB15" i="18" s="1"/>
  <c r="H16" i="19"/>
  <c r="L16" i="19" s="1"/>
  <c r="M16" i="19" s="1"/>
  <c r="Z47" i="18"/>
  <c r="AA47" i="18" s="1"/>
  <c r="AB47" i="18" s="1"/>
  <c r="H48" i="19"/>
  <c r="L48" i="19" s="1"/>
  <c r="M48" i="19" s="1"/>
  <c r="Z13" i="18"/>
  <c r="AA13" i="18" s="1"/>
  <c r="AB13" i="18" s="1"/>
  <c r="H14" i="19"/>
  <c r="L14" i="19" s="1"/>
  <c r="M14" i="19" s="1"/>
  <c r="Z46" i="18"/>
  <c r="AA46" i="18" s="1"/>
  <c r="AB46" i="18" s="1"/>
  <c r="H47" i="19"/>
  <c r="L47" i="19" s="1"/>
  <c r="M47" i="19" s="1"/>
  <c r="Z14" i="18"/>
  <c r="AA14" i="18" s="1"/>
  <c r="AB14" i="18" s="1"/>
  <c r="H15" i="19"/>
  <c r="L15" i="19" s="1"/>
  <c r="M15" i="19" s="1"/>
  <c r="Z44" i="18"/>
  <c r="AA44" i="18" s="1"/>
  <c r="AB44" i="18" s="1"/>
  <c r="H45" i="19"/>
  <c r="L45" i="19" s="1"/>
  <c r="M45" i="19" s="1"/>
  <c r="Z48" i="18"/>
  <c r="AA48" i="18" s="1"/>
  <c r="AB48" i="18" s="1"/>
  <c r="H49" i="19"/>
  <c r="L49" i="19" s="1"/>
  <c r="M49" i="19" s="1"/>
  <c r="Z33" i="18"/>
  <c r="AA33" i="18" s="1"/>
  <c r="AB33" i="18" s="1"/>
  <c r="H34" i="19"/>
  <c r="L34" i="19" s="1"/>
  <c r="M34" i="19" s="1"/>
  <c r="Z45" i="18"/>
  <c r="AA45" i="18" s="1"/>
  <c r="AB45" i="18" s="1"/>
  <c r="H46" i="19"/>
  <c r="L46" i="19" s="1"/>
  <c r="M46" i="19" s="1"/>
  <c r="Z16" i="18"/>
  <c r="AA16" i="18" s="1"/>
  <c r="AB16" i="18" s="1"/>
  <c r="H17" i="19"/>
  <c r="L17" i="19" s="1"/>
  <c r="M17" i="19" s="1"/>
  <c r="Z32" i="18"/>
  <c r="AA32" i="18" s="1"/>
  <c r="AB32" i="18" s="1"/>
  <c r="H33" i="19"/>
  <c r="L33" i="19" s="1"/>
  <c r="M33" i="19" s="1"/>
  <c r="Z28" i="18"/>
  <c r="AA28" i="18" s="1"/>
  <c r="AB28" i="18" s="1"/>
  <c r="AQ28" i="18" s="1"/>
  <c r="H29" i="19"/>
  <c r="L29" i="19" s="1"/>
  <c r="M29" i="19" s="1"/>
  <c r="Z43" i="18"/>
  <c r="AA43" i="18" s="1"/>
  <c r="AB43" i="18" s="1"/>
  <c r="H44" i="19"/>
  <c r="L44" i="19" s="1"/>
  <c r="M44" i="19" s="1"/>
  <c r="Z42" i="18"/>
  <c r="AA42" i="18" s="1"/>
  <c r="AB42" i="18" s="1"/>
  <c r="H43" i="19"/>
  <c r="L43" i="19" s="1"/>
  <c r="M43" i="19" s="1"/>
  <c r="Z41" i="18"/>
  <c r="AA41" i="18" s="1"/>
  <c r="AB41" i="18" s="1"/>
  <c r="H42" i="19"/>
  <c r="L42" i="19" s="1"/>
  <c r="M42" i="19" s="1"/>
  <c r="Z40" i="18"/>
  <c r="AA40" i="18" s="1"/>
  <c r="AB40" i="18" s="1"/>
  <c r="H41" i="19"/>
  <c r="L41" i="19" s="1"/>
  <c r="M41" i="19" s="1"/>
  <c r="Z35" i="18"/>
  <c r="AA35" i="18" s="1"/>
  <c r="AB35" i="18" s="1"/>
  <c r="H36" i="19"/>
  <c r="L36" i="19" s="1"/>
  <c r="M36" i="19" s="1"/>
  <c r="Z34" i="18"/>
  <c r="AA34" i="18" s="1"/>
  <c r="AB34" i="18" s="1"/>
  <c r="H35" i="19"/>
  <c r="L35" i="19" s="1"/>
  <c r="M35" i="19" s="1"/>
  <c r="Z31" i="18"/>
  <c r="AA31" i="18" s="1"/>
  <c r="AB31" i="18" s="1"/>
  <c r="H32" i="19"/>
  <c r="L32" i="19" s="1"/>
  <c r="M32" i="19" s="1"/>
  <c r="Z30" i="18"/>
  <c r="AA30" i="18" s="1"/>
  <c r="AB30" i="18" s="1"/>
  <c r="H31" i="19"/>
  <c r="L31" i="19" s="1"/>
  <c r="M31" i="19" s="1"/>
  <c r="Z29" i="18"/>
  <c r="AA29" i="18" s="1"/>
  <c r="AB29" i="18" s="1"/>
  <c r="H30" i="19"/>
  <c r="L30" i="19" s="1"/>
  <c r="M30" i="19" s="1"/>
  <c r="Z27" i="18"/>
  <c r="AA27" i="18" s="1"/>
  <c r="AB27" i="18" s="1"/>
  <c r="H28" i="19"/>
  <c r="L28" i="19" s="1"/>
  <c r="M28" i="19" s="1"/>
  <c r="Z26" i="18"/>
  <c r="AA26" i="18" s="1"/>
  <c r="AB26" i="18" s="1"/>
  <c r="H27" i="19"/>
  <c r="L27" i="19" s="1"/>
  <c r="M27" i="19" s="1"/>
  <c r="Z25" i="18"/>
  <c r="AA25" i="18" s="1"/>
  <c r="AB25" i="18" s="1"/>
  <c r="H26" i="19"/>
  <c r="L26" i="19" s="1"/>
  <c r="M26" i="19" s="1"/>
  <c r="Z24" i="18"/>
  <c r="AA24" i="18" s="1"/>
  <c r="AB24" i="18" s="1"/>
  <c r="H25" i="19"/>
  <c r="L25" i="19" s="1"/>
  <c r="M25" i="19" s="1"/>
  <c r="Z23" i="18"/>
  <c r="AA23" i="18" s="1"/>
  <c r="AB23" i="18" s="1"/>
  <c r="H24" i="19"/>
  <c r="L24" i="19" s="1"/>
  <c r="M24" i="19" s="1"/>
  <c r="Z22" i="18"/>
  <c r="AA22" i="18" s="1"/>
  <c r="AB22" i="18" s="1"/>
  <c r="H23" i="19"/>
  <c r="L23" i="19" s="1"/>
  <c r="M23" i="19" s="1"/>
  <c r="Z21" i="18"/>
  <c r="AA21" i="18" s="1"/>
  <c r="AB21" i="18" s="1"/>
  <c r="H22" i="19"/>
  <c r="L22" i="19" s="1"/>
  <c r="M22" i="19" s="1"/>
  <c r="Z19" i="18"/>
  <c r="AA19" i="18" s="1"/>
  <c r="AB19" i="18" s="1"/>
  <c r="H20" i="19"/>
  <c r="L20" i="19" s="1"/>
  <c r="M20" i="19" s="1"/>
  <c r="Z18" i="18"/>
  <c r="AA18" i="18" s="1"/>
  <c r="AB18" i="18" s="1"/>
  <c r="H19" i="19"/>
  <c r="L19" i="19" s="1"/>
  <c r="M19" i="19" s="1"/>
  <c r="Z17" i="18"/>
  <c r="AA17" i="18" s="1"/>
  <c r="AB17" i="18" s="1"/>
  <c r="H18" i="19"/>
  <c r="L18" i="19" s="1"/>
  <c r="M18" i="19" s="1"/>
  <c r="Z12" i="18"/>
  <c r="AA12" i="18" s="1"/>
  <c r="AB12" i="18" s="1"/>
  <c r="H13" i="19"/>
  <c r="L13" i="19" s="1"/>
  <c r="M13" i="19" s="1"/>
  <c r="Z10" i="18"/>
  <c r="AA10" i="18" s="1"/>
  <c r="AB10" i="18" s="1"/>
  <c r="H11" i="19"/>
  <c r="L11" i="19" s="1"/>
  <c r="M11" i="19" s="1"/>
  <c r="Z11" i="18"/>
  <c r="AA11" i="18" s="1"/>
  <c r="AB11" i="18" s="1"/>
  <c r="H12" i="19"/>
  <c r="L12" i="19" s="1"/>
  <c r="M12" i="19" s="1"/>
  <c r="Z9" i="18"/>
  <c r="AA9" i="18" s="1"/>
  <c r="AB9" i="18" s="1"/>
  <c r="H10" i="19"/>
  <c r="Z8" i="18"/>
  <c r="AA8" i="18" s="1"/>
  <c r="AB8" i="18" s="1"/>
  <c r="H9" i="19"/>
  <c r="Z7" i="18"/>
  <c r="AA7" i="18" s="1"/>
  <c r="AB7" i="18" s="1"/>
  <c r="H8" i="19"/>
  <c r="Z6" i="18"/>
  <c r="AA6" i="18" s="1"/>
  <c r="AB6" i="18" s="1"/>
  <c r="H7" i="19"/>
  <c r="AA20" i="18"/>
  <c r="AB20" i="18" s="1"/>
  <c r="AQ20" i="18" s="1"/>
  <c r="AD6" i="18" l="1"/>
  <c r="AQ6" i="18"/>
  <c r="AD11" i="18"/>
  <c r="AQ11" i="18"/>
  <c r="AD12" i="18"/>
  <c r="AQ12" i="18"/>
  <c r="AD18" i="18"/>
  <c r="AQ18" i="18"/>
  <c r="AD21" i="18"/>
  <c r="AQ21" i="18"/>
  <c r="AD23" i="18"/>
  <c r="AQ23" i="18"/>
  <c r="AD25" i="18"/>
  <c r="AQ25" i="18"/>
  <c r="AD27" i="18"/>
  <c r="AQ27" i="18"/>
  <c r="AD30" i="18"/>
  <c r="AQ30" i="18"/>
  <c r="AD34" i="18"/>
  <c r="AQ34" i="18"/>
  <c r="AD40" i="18"/>
  <c r="AQ40" i="18"/>
  <c r="AD42" i="18"/>
  <c r="AQ42" i="18"/>
  <c r="AD16" i="18"/>
  <c r="AQ16" i="18"/>
  <c r="AD33" i="18"/>
  <c r="AQ33" i="18"/>
  <c r="AD44" i="18"/>
  <c r="AQ44" i="18"/>
  <c r="AD46" i="18"/>
  <c r="AQ46" i="18"/>
  <c r="AD47" i="18"/>
  <c r="AQ47" i="18"/>
  <c r="AD7" i="18"/>
  <c r="AQ7" i="18"/>
  <c r="AD10" i="18"/>
  <c r="AQ10" i="18"/>
  <c r="AD17" i="18"/>
  <c r="AQ17" i="18"/>
  <c r="AD19" i="18"/>
  <c r="AQ19" i="18"/>
  <c r="AD22" i="18"/>
  <c r="AQ22" i="18"/>
  <c r="AD24" i="18"/>
  <c r="AQ24" i="18"/>
  <c r="AD26" i="18"/>
  <c r="AQ26" i="18"/>
  <c r="AD29" i="18"/>
  <c r="AQ29" i="18"/>
  <c r="AD31" i="18"/>
  <c r="AQ31" i="18"/>
  <c r="AD41" i="18"/>
  <c r="AQ41" i="18"/>
  <c r="AD43" i="18"/>
  <c r="AQ43" i="18"/>
  <c r="AD32" i="18"/>
  <c r="AQ32" i="18"/>
  <c r="AD45" i="18"/>
  <c r="AQ45" i="18"/>
  <c r="AD48" i="18"/>
  <c r="AQ48" i="18"/>
  <c r="AD14" i="18"/>
  <c r="AQ14" i="18"/>
  <c r="AD13" i="18"/>
  <c r="AQ13" i="18"/>
  <c r="AD15" i="18"/>
  <c r="AQ15" i="18"/>
  <c r="AD35" i="18"/>
  <c r="AQ35" i="18"/>
  <c r="AD9" i="18"/>
  <c r="AQ9" i="18"/>
  <c r="AD8" i="18"/>
  <c r="AQ8" i="18"/>
  <c r="Y37" i="18" l="1"/>
  <c r="AO5" i="18"/>
  <c r="AP5" i="18" s="1"/>
  <c r="AP49" i="18" s="1"/>
  <c r="Z37" i="18" l="1"/>
  <c r="AA37" i="18" s="1"/>
  <c r="AB37" i="18" s="1"/>
  <c r="H38" i="19"/>
  <c r="L38" i="19" s="1"/>
  <c r="M38" i="19" s="1"/>
  <c r="Y39" i="18"/>
  <c r="U5" i="18"/>
  <c r="AH5" i="18"/>
  <c r="AF5" i="18" l="1"/>
  <c r="AH49" i="18"/>
  <c r="AI50" i="18" s="1"/>
  <c r="AD37" i="18"/>
  <c r="AQ37" i="18"/>
  <c r="Z39" i="18"/>
  <c r="AA39" i="18" s="1"/>
  <c r="AB39" i="18" s="1"/>
  <c r="H40" i="19"/>
  <c r="L40" i="19" s="1"/>
  <c r="M40" i="19" s="1"/>
  <c r="Y38" i="18"/>
  <c r="Y36" i="18"/>
  <c r="W5" i="18"/>
  <c r="AD39" i="18" l="1"/>
  <c r="AQ39" i="18"/>
  <c r="Z36" i="18"/>
  <c r="AA36" i="18" s="1"/>
  <c r="AB36" i="18" s="1"/>
  <c r="H37" i="19"/>
  <c r="L37" i="19" s="1"/>
  <c r="M37" i="19" s="1"/>
  <c r="Z38" i="18"/>
  <c r="AA38" i="18" s="1"/>
  <c r="AB38" i="18" s="1"/>
  <c r="H39" i="19"/>
  <c r="L39" i="19" s="1"/>
  <c r="M39" i="19" s="1"/>
  <c r="P10" i="19"/>
  <c r="Y5" i="18"/>
  <c r="V5" i="18"/>
  <c r="AD36" i="18" l="1"/>
  <c r="AQ36" i="18"/>
  <c r="AD38" i="18"/>
  <c r="AQ38" i="18"/>
  <c r="Z5" i="18"/>
  <c r="H6" i="19"/>
  <c r="Q10" i="19"/>
  <c r="R10" i="19"/>
  <c r="S10" i="19" s="1"/>
  <c r="L10" i="19"/>
  <c r="M10" i="19" s="1"/>
  <c r="C6" i="19"/>
  <c r="B6" i="19"/>
  <c r="P8" i="19" l="1"/>
  <c r="Q8" i="19" s="1"/>
  <c r="L8" i="19"/>
  <c r="M8" i="19" s="1"/>
  <c r="R8" i="19"/>
  <c r="S8" i="19" s="1"/>
  <c r="AA5" i="18"/>
  <c r="AB5" i="18" s="1"/>
  <c r="AQ5" i="18" s="1"/>
  <c r="AB49" i="18" l="1"/>
  <c r="AD5" i="18"/>
  <c r="P7" i="19"/>
  <c r="Q7" i="19" s="1"/>
  <c r="L7" i="19"/>
  <c r="M7" i="19" s="1"/>
  <c r="P9" i="19"/>
  <c r="Q9" i="19" s="1"/>
  <c r="L9" i="19"/>
  <c r="M9" i="19" s="1"/>
  <c r="AP50" i="18" l="1"/>
  <c r="AB63" i="18"/>
  <c r="R7" i="19"/>
  <c r="S7" i="19" s="1"/>
  <c r="R9" i="19"/>
  <c r="S9" i="19" s="1"/>
  <c r="P6" i="19" l="1"/>
  <c r="Q6" i="19" s="1"/>
  <c r="Q50" i="19" s="1"/>
  <c r="L6" i="19"/>
  <c r="M6" i="19" s="1"/>
  <c r="N50" i="19" s="1"/>
  <c r="N64" i="19" s="1"/>
  <c r="R6" i="19"/>
  <c r="S6" i="19" s="1"/>
  <c r="S50" i="19" s="1"/>
  <c r="S51" i="19" l="1"/>
</calcChain>
</file>

<file path=xl/sharedStrings.xml><?xml version="1.0" encoding="utf-8"?>
<sst xmlns="http://schemas.openxmlformats.org/spreadsheetml/2006/main" count="271" uniqueCount="111">
  <si>
    <t>VALOR UNITARIO SIN IVA</t>
  </si>
  <si>
    <t xml:space="preserve">TOTAL </t>
  </si>
  <si>
    <t>ÍTEM</t>
  </si>
  <si>
    <t>UNIDAD DE MEDIDA</t>
  </si>
  <si>
    <t xml:space="preserve"> </t>
  </si>
  <si>
    <t>VALOR UNITARIO
SIN IVA</t>
  </si>
  <si>
    <t>VALOR TOTAL
INCLUIDO IVA</t>
  </si>
  <si>
    <t>VALOR IVA</t>
  </si>
  <si>
    <t>VALOR UNITARIO
INCLUIDO IVA</t>
  </si>
  <si>
    <t>DESCRIPCION</t>
  </si>
  <si>
    <t>NOTAS:</t>
  </si>
  <si>
    <t>ANEXO 1 - ANALISIS DE COTIZACIONES</t>
  </si>
  <si>
    <t>ANALISIS DE COTIZACIONES</t>
  </si>
  <si>
    <t>COTIZACION 1</t>
  </si>
  <si>
    <t xml:space="preserve">     </t>
  </si>
  <si>
    <t>COTIZACION 2</t>
  </si>
  <si>
    <t xml:space="preserve">VALOR COTIZACIÓN HÁBIL MÁS BAJA                                                                                                    </t>
  </si>
  <si>
    <t xml:space="preserve">PROMEDIO                                                                                </t>
  </si>
  <si>
    <t xml:space="preserve">VALOR COTIZACIÓN  HÁBIL MÁS ALTA                                                                                                   </t>
  </si>
  <si>
    <t>PORCENTAJE DIFERENCIAL (BAJA/PROMEDIO)</t>
  </si>
  <si>
    <t>MEDIA ARITMETICA BAJA</t>
  </si>
  <si>
    <t>40% &gt; / &lt;</t>
  </si>
  <si>
    <t>COTIZACION 3</t>
  </si>
  <si>
    <t>COTIZACION 4</t>
  </si>
  <si>
    <t>COTIZACION 5</t>
  </si>
  <si>
    <t>Estudio del Sector: No: 219</t>
  </si>
  <si>
    <t>Fecha de elaboración: 27/08/2024</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</si>
  <si>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</si>
  <si>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Unidad</t>
  </si>
  <si>
    <t xml:space="preserve">UBICACIÓN </t>
  </si>
  <si>
    <t xml:space="preserve">CANTIDAD </t>
  </si>
  <si>
    <t>NETION 20KVA</t>
  </si>
  <si>
    <t>LIEBERT EXM 60 KVA</t>
  </si>
  <si>
    <t>MTEK JAL33030XL 30 KVA</t>
  </si>
  <si>
    <t>LIEBERT 10 KVA</t>
  </si>
  <si>
    <t>TITÁN BIFÁSICA 3KVA</t>
  </si>
  <si>
    <t xml:space="preserve"> MICRO NET BIFASICA1 KVA</t>
  </si>
  <si>
    <t xml:space="preserve"> TITÁN TRIFÁSICA 30 KVA</t>
  </si>
  <si>
    <t>MICRONET 2000 VA MONOFASICA</t>
  </si>
  <si>
    <t>APC BACK-UPS PRO TOWER 1500VA (BR1500G)</t>
  </si>
  <si>
    <t>1.5</t>
  </si>
  <si>
    <t xml:space="preserve"> LIEBERT GXT4 MONOFASICA 1,5 KVA</t>
  </si>
  <si>
    <t xml:space="preserve">PEI BIFÁSICA DE 10 KVA </t>
  </si>
  <si>
    <t>EATON DE 30 KVA</t>
  </si>
  <si>
    <t>EATON 9130 DE 3 KVA</t>
  </si>
  <si>
    <t>ROBOTEC UX2-2B 3,000 V</t>
  </si>
  <si>
    <t xml:space="preserve">TITAN 6  KVA </t>
  </si>
  <si>
    <t>UPS ENERGEX GALLEON 10 KVA</t>
  </si>
  <si>
    <t>UPS Liebert GXT4 DE 10 KVA</t>
  </si>
  <si>
    <t xml:space="preserve">UPS  MTEK JAL33024  24 KVA </t>
  </si>
  <si>
    <t>UPS ROBOTEC MONOFASICA 3 KVA</t>
  </si>
  <si>
    <t xml:space="preserve">MGO DE 3 KVA </t>
  </si>
  <si>
    <t>TITAN 40 KVA</t>
  </si>
  <si>
    <t>TITAN 10 KVA</t>
  </si>
  <si>
    <t>APC - MODELO SRT5KXLT</t>
  </si>
  <si>
    <t>LIEBERT 20 KVA</t>
  </si>
  <si>
    <t>KEHUA TECH 10 KVA</t>
  </si>
  <si>
    <t>POWERCOM 3 KVA</t>
  </si>
  <si>
    <t>LIEBERT GXT2 1 KVA</t>
  </si>
  <si>
    <t>KEHUA TECH 15 KVA</t>
  </si>
  <si>
    <t xml:space="preserve">ROBOTEC UX2-2B 3 KVA </t>
  </si>
  <si>
    <t>KEHUA TECH 30 KVA</t>
  </si>
  <si>
    <t>PEI 6 KVA</t>
  </si>
  <si>
    <t xml:space="preserve"> EATON POWERWARE 3 KVA</t>
  </si>
  <si>
    <t>MTEK 2 KVA</t>
  </si>
  <si>
    <t>J&amp;R 750 VA</t>
  </si>
  <si>
    <t>750 VA</t>
  </si>
  <si>
    <t>PEI 1000 VA</t>
  </si>
  <si>
    <t xml:space="preserve">UPS LIEBERT 40 KVA </t>
  </si>
  <si>
    <t>APC 1300 VA</t>
  </si>
  <si>
    <t>1300 VA</t>
  </si>
  <si>
    <t>PEI 7 KVA</t>
  </si>
  <si>
    <t>TITAN – TIPO RACK 3 KVA</t>
  </si>
  <si>
    <t xml:space="preserve"> NETION 10 KVA</t>
  </si>
  <si>
    <t xml:space="preserve"> PEI 6 KVA</t>
  </si>
  <si>
    <t xml:space="preserve">BARRANQUILLA </t>
  </si>
  <si>
    <t>SOLEDAD</t>
  </si>
  <si>
    <t>PUERTO COLOMBIA</t>
  </si>
  <si>
    <t>SABANALARGA</t>
  </si>
  <si>
    <t>CARTAGENA</t>
  </si>
  <si>
    <t>CARMEN_DE_BOLIVAR</t>
  </si>
  <si>
    <t>SAN ANDRES</t>
  </si>
  <si>
    <t xml:space="preserve">VALLEDUPAR </t>
  </si>
  <si>
    <t>VALLEDUPAR</t>
  </si>
  <si>
    <t>EL PASO</t>
  </si>
  <si>
    <t>RIOHACHA</t>
  </si>
  <si>
    <t xml:space="preserve">FONSECA </t>
  </si>
  <si>
    <t>MAICAO</t>
  </si>
  <si>
    <t>SANTA MARTA</t>
  </si>
  <si>
    <t>CIENAGA</t>
  </si>
  <si>
    <t>FUNDACIÓN</t>
  </si>
  <si>
    <t xml:space="preserve">PLATO </t>
  </si>
  <si>
    <t xml:space="preserve">CAPACIDAD (KVA) UPS </t>
  </si>
  <si>
    <t>N/A</t>
  </si>
  <si>
    <t>Suministro e instalación de Batería 12 voltios – 7 amperios</t>
  </si>
  <si>
    <t>Suministro e instalación de Batería 12 voltios – 9 amperios</t>
  </si>
  <si>
    <t>Suministro e instalación de Batería 12 voltios – 12 amperios</t>
  </si>
  <si>
    <t>Suministro e instalación de Batería 12 voltios – 18 amperios</t>
  </si>
  <si>
    <t>Suministro e instalación de Batería 12 voltios – 23 amperios</t>
  </si>
  <si>
    <t>Suministro e instalación de Batería 12 voltios – 30 amperios</t>
  </si>
  <si>
    <t>Suministro e instalación de Batería 12 voltios – 55 amperios</t>
  </si>
  <si>
    <t>Suministro e instalación de Batería 12 voltios – 80 amperios</t>
  </si>
  <si>
    <t>MANTENIMIENTO PREVENTIVO</t>
  </si>
  <si>
    <t>MANTENIMIENTO CORRECTIVO</t>
  </si>
  <si>
    <t xml:space="preserve">MANTENIMIENTO PREVENTIVO </t>
  </si>
  <si>
    <t>MENOR</t>
  </si>
  <si>
    <t>1) Se realizó el estudio con 4 cotizaciones.</t>
  </si>
  <si>
    <t>2) Para establecer el valor del mercado se  utilizó la formula media aritmética baja de los valores comparables</t>
  </si>
  <si>
    <t>Contratar el servicio de mantenimiento preventivo y correctivo de las UPS, que se en-cuentran ubicadas en las distintas sedes de las Seccionales que conforman la Regional Caribe de la Fiscalía General de la Nación</t>
  </si>
  <si>
    <t>ANEXO 2- PROYECCION COSTOS 2025</t>
  </si>
  <si>
    <t>VALORES ESTUDIO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</si>
</sst>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0.00_-;\-&quot;$&quot;* #,##0.00_-;_-&quot;$&quot;* &quot;-&quot;??_-;_-@_-"/>
    <numFmt numFmtId="165" formatCode="&quot;$&quot;\ #,##0"/>
    <numFmt numFmtId="166" formatCode="&quot;$&quot;#,##0"/>
    <numFmt numFmtId="167" formatCode="&quot;$&quot;\ #,##0.00"/>
    <numFmt numFmtId="169" formatCode="_-* #,##0_-;\-* #,##0_-;_-* &quot;-&quot;??_-;_-@_-"/>
    <numFmt numFmtId="170" formatCode="#,###\ &quot;COP&quot;"/>
  </numFmts>
  <fonts count="26" x14ac:knownFonts="1">
    <font>
      <sz val="11"/>
      <color theme="1"/>
      <name val="Calibri"/>
      <family val="2"/>
      <scheme val="minor"/>
    </font>
    <font>
      <sz val="11"/>
      <color theme="1"/>
      <name val="Calibri"/>
      <family val="2"/>
      <scheme val="minor"/>
    </font>
    <font>
      <sz val="10"/>
      <name val="Arial"/>
      <family val="2"/>
    </font>
    <font>
      <b/>
      <sz val="11"/>
      <name val="Arial Narrow"/>
      <family val="2"/>
    </font>
    <font>
      <sz val="11"/>
      <name val="Arial Narrow"/>
      <family val="2"/>
    </font>
    <font>
      <b/>
      <sz val="10"/>
      <name val="Arial Narrow"/>
      <family val="2"/>
    </font>
    <font>
      <sz val="10"/>
      <name val="Arial Narrow"/>
      <family val="2"/>
    </font>
    <font>
      <sz val="11"/>
      <color theme="1"/>
      <name val="Arial"/>
      <family val="2"/>
    </font>
    <font>
      <sz val="10"/>
      <color rgb="FF000000"/>
      <name val="Times New Roman"/>
      <family val="1"/>
    </font>
    <font>
      <b/>
      <sz val="11"/>
      <color theme="1"/>
      <name val="Arial Narrow"/>
      <family val="2"/>
    </font>
    <font>
      <b/>
      <sz val="10"/>
      <color rgb="FF000000"/>
      <name val="Arial Narrow"/>
      <family val="2"/>
    </font>
    <font>
      <sz val="10"/>
      <color theme="1"/>
      <name val="Arial"/>
      <family val="2"/>
    </font>
    <font>
      <b/>
      <sz val="10"/>
      <color theme="1"/>
      <name val="Arial Narrow"/>
      <family val="2"/>
    </font>
    <font>
      <sz val="11"/>
      <color rgb="FF000000"/>
      <name val="Arial Narrow"/>
      <family val="2"/>
    </font>
    <font>
      <sz val="11"/>
      <color theme="1"/>
      <name val="Arial Narrow"/>
      <family val="2"/>
    </font>
    <font>
      <b/>
      <sz val="11"/>
      <color theme="1"/>
      <name val="Arial"/>
      <family val="2"/>
    </font>
    <font>
      <sz val="9"/>
      <name val="Arial Narrow"/>
      <family val="2"/>
    </font>
    <font>
      <b/>
      <sz val="9"/>
      <name val="Arial Narrow"/>
      <family val="2"/>
    </font>
    <font>
      <b/>
      <sz val="8"/>
      <name val="Arial Narrow"/>
      <family val="2"/>
    </font>
    <font>
      <sz val="8"/>
      <name val="Arial Narrow"/>
      <family val="2"/>
    </font>
    <font>
      <b/>
      <sz val="11"/>
      <color rgb="FF000000"/>
      <name val="Arial Narrow"/>
      <family val="2"/>
    </font>
    <font>
      <sz val="10"/>
      <color rgb="FF000000"/>
      <name val="Arial Narrow"/>
      <family val="2"/>
    </font>
    <font>
      <sz val="10"/>
      <color rgb="FF000000"/>
      <name val="Arial"/>
      <family val="2"/>
    </font>
    <font>
      <b/>
      <sz val="10"/>
      <color rgb="FFFF0000"/>
      <name val="Arial Narrow"/>
      <family val="2"/>
    </font>
    <font>
      <b/>
      <sz val="9"/>
      <color theme="1"/>
      <name val="Arial"/>
      <family val="2"/>
    </font>
    <font>
      <sz val="11"/>
      <name val="Arial"/>
      <family val="2"/>
    </font>
  </fonts>
  <fills count="10">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164" fontId="1" fillId="0" borderId="0" applyFont="0" applyFill="0" applyBorder="0" applyAlignment="0" applyProtection="0"/>
    <xf numFmtId="0" fontId="8" fillId="0" borderId="0"/>
    <xf numFmtId="0" fontId="2" fillId="0" borderId="0"/>
    <xf numFmtId="9" fontId="1" fillId="0" borderId="0" applyFont="0" applyFill="0" applyBorder="0" applyAlignment="0" applyProtection="0"/>
    <xf numFmtId="43" fontId="1" fillId="0" borderId="0" applyFont="0" applyFill="0" applyBorder="0" applyAlignment="0" applyProtection="0"/>
    <xf numFmtId="170" fontId="11" fillId="0" borderId="0" applyFont="0" applyFill="0" applyBorder="0" applyAlignment="0" applyProtection="0"/>
  </cellStyleXfs>
  <cellXfs count="119">
    <xf numFmtId="0" fontId="0" fillId="0" borderId="0" xfId="0"/>
    <xf numFmtId="0" fontId="7" fillId="0" borderId="0" xfId="0" applyFont="1" applyAlignment="1">
      <alignment vertical="center" wrapText="1"/>
    </xf>
    <xf numFmtId="0" fontId="11" fillId="0" borderId="0" xfId="0" applyFont="1" applyAlignment="1">
      <alignment vertical="center" wrapText="1"/>
    </xf>
    <xf numFmtId="0" fontId="10"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4"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3" fillId="0" borderId="1" xfId="0" applyFont="1" applyBorder="1" applyAlignment="1">
      <alignment horizontal="center" vertical="center" wrapText="1"/>
    </xf>
    <xf numFmtId="0" fontId="14" fillId="0" borderId="0" xfId="0" applyFont="1"/>
    <xf numFmtId="0" fontId="7" fillId="0" borderId="0" xfId="0" applyFont="1"/>
    <xf numFmtId="0" fontId="9" fillId="0" borderId="0" xfId="0" applyFont="1"/>
    <xf numFmtId="0" fontId="14" fillId="0" borderId="0" xfId="0" applyFont="1" applyAlignment="1">
      <alignment horizontal="center" vertical="center"/>
    </xf>
    <xf numFmtId="0" fontId="15" fillId="0" borderId="0" xfId="0" applyFont="1"/>
    <xf numFmtId="0" fontId="7" fillId="0" borderId="0" xfId="0" applyFont="1" applyAlignment="1">
      <alignment horizontal="center" vertical="center"/>
    </xf>
    <xf numFmtId="0" fontId="4" fillId="0" borderId="0" xfId="0" applyFont="1" applyAlignment="1">
      <alignment horizontal="center" vertical="center" wrapText="1"/>
    </xf>
    <xf numFmtId="0" fontId="16" fillId="0" borderId="0" xfId="0" applyFont="1"/>
    <xf numFmtId="0" fontId="17" fillId="4" borderId="1" xfId="0" applyFont="1" applyFill="1" applyBorder="1" applyAlignment="1">
      <alignment horizontal="center" vertical="center" wrapText="1"/>
    </xf>
    <xf numFmtId="0" fontId="18" fillId="0" borderId="0" xfId="0" applyFont="1" applyAlignment="1">
      <alignment vertical="center"/>
    </xf>
    <xf numFmtId="0" fontId="19" fillId="0" borderId="0" xfId="0" applyFont="1" applyAlignment="1">
      <alignment vertical="center"/>
    </xf>
    <xf numFmtId="0" fontId="19" fillId="0" borderId="0" xfId="0" applyFont="1"/>
    <xf numFmtId="0" fontId="16" fillId="0" borderId="0" xfId="0" applyFont="1" applyAlignment="1">
      <alignment vertical="center"/>
    </xf>
    <xf numFmtId="0" fontId="17" fillId="0" borderId="0" xfId="0" applyFont="1"/>
    <xf numFmtId="165" fontId="11" fillId="0" borderId="1" xfId="0" applyNumberFormat="1" applyFont="1" applyBorder="1" applyAlignment="1">
      <alignment horizontal="center" vertical="center" wrapText="1"/>
    </xf>
    <xf numFmtId="0" fontId="5" fillId="5" borderId="2" xfId="0" applyFont="1" applyFill="1" applyBorder="1" applyAlignment="1">
      <alignment horizontal="center" vertical="center" wrapText="1"/>
    </xf>
    <xf numFmtId="0" fontId="6" fillId="0" borderId="0" xfId="0" applyFont="1" applyAlignment="1">
      <alignment vertical="center" wrapText="1"/>
    </xf>
    <xf numFmtId="0" fontId="18" fillId="3" borderId="1" xfId="2" applyFont="1" applyFill="1" applyBorder="1" applyAlignment="1">
      <alignment horizontal="center" vertical="center" wrapText="1"/>
    </xf>
    <xf numFmtId="165" fontId="14" fillId="0" borderId="0" xfId="0" applyNumberFormat="1" applyFont="1"/>
    <xf numFmtId="165" fontId="11" fillId="4" borderId="1" xfId="0" applyNumberFormat="1" applyFont="1" applyFill="1" applyBorder="1" applyAlignment="1">
      <alignment horizontal="center" vertical="center" wrapText="1"/>
    </xf>
    <xf numFmtId="0" fontId="17" fillId="0" borderId="0" xfId="0" applyFont="1" applyAlignment="1">
      <alignment wrapText="1"/>
    </xf>
    <xf numFmtId="0" fontId="17" fillId="0" borderId="0" xfId="0" applyFont="1" applyAlignment="1">
      <alignment horizontal="left" vertical="justify" wrapText="1"/>
    </xf>
    <xf numFmtId="0" fontId="17" fillId="0" borderId="0" xfId="0" applyFont="1" applyAlignment="1">
      <alignment horizontal="left" wrapText="1"/>
    </xf>
    <xf numFmtId="167" fontId="7" fillId="0" borderId="0" xfId="0" applyNumberFormat="1" applyFont="1"/>
    <xf numFmtId="167" fontId="7" fillId="0" borderId="0" xfId="0" applyNumberFormat="1" applyFont="1" applyAlignment="1">
      <alignment vertical="center" wrapText="1"/>
    </xf>
    <xf numFmtId="43" fontId="7" fillId="0" borderId="0" xfId="7" applyFont="1" applyFill="1" applyAlignment="1">
      <alignment vertical="center" wrapText="1"/>
    </xf>
    <xf numFmtId="165" fontId="7" fillId="0" borderId="0" xfId="0" applyNumberFormat="1" applyFont="1" applyAlignment="1">
      <alignment vertical="center" wrapText="1"/>
    </xf>
    <xf numFmtId="43" fontId="7" fillId="0" borderId="0" xfId="7" applyFont="1" applyFill="1"/>
    <xf numFmtId="0" fontId="13" fillId="0" borderId="1" xfId="0" applyFont="1" applyBorder="1" applyAlignment="1">
      <alignment horizontal="justify" vertical="center" wrapText="1"/>
    </xf>
    <xf numFmtId="0" fontId="20" fillId="0" borderId="1" xfId="0" applyFont="1" applyBorder="1" applyAlignment="1">
      <alignment horizontal="center" vertical="center"/>
    </xf>
    <xf numFmtId="0" fontId="6" fillId="0" borderId="0" xfId="0" applyFont="1" applyAlignment="1">
      <alignment vertical="center" wrapText="1"/>
    </xf>
    <xf numFmtId="165" fontId="4" fillId="0" borderId="1" xfId="1" applyNumberFormat="1" applyFont="1" applyFill="1" applyBorder="1" applyAlignment="1">
      <alignment horizontal="center" vertical="center"/>
    </xf>
    <xf numFmtId="165" fontId="7" fillId="0" borderId="0" xfId="0" applyNumberFormat="1" applyFont="1"/>
    <xf numFmtId="165" fontId="9" fillId="4" borderId="1" xfId="0" applyNumberFormat="1" applyFont="1" applyFill="1" applyBorder="1" applyAlignment="1">
      <alignment horizontal="center" vertical="center"/>
    </xf>
    <xf numFmtId="165" fontId="11" fillId="0" borderId="0" xfId="0" applyNumberFormat="1" applyFont="1" applyAlignment="1">
      <alignment vertical="center" wrapText="1"/>
    </xf>
    <xf numFmtId="0" fontId="21" fillId="0" borderId="1" xfId="0" applyFont="1" applyBorder="1" applyAlignment="1">
      <alignment horizontal="center" vertical="center"/>
    </xf>
    <xf numFmtId="0" fontId="22" fillId="2" borderId="1" xfId="0" applyFont="1" applyFill="1" applyBorder="1" applyAlignment="1">
      <alignment horizontal="left" vertical="center" wrapText="1"/>
    </xf>
    <xf numFmtId="0" fontId="22"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2" borderId="4" xfId="0" applyFont="1" applyFill="1" applyBorder="1" applyAlignment="1">
      <alignment horizontal="center" vertical="center"/>
    </xf>
    <xf numFmtId="0" fontId="11" fillId="2" borderId="13" xfId="0" applyFont="1" applyFill="1" applyBorder="1" applyAlignment="1">
      <alignment horizontal="center" vertical="center"/>
    </xf>
    <xf numFmtId="166" fontId="23" fillId="2" borderId="1" xfId="2" applyNumberFormat="1" applyFont="1" applyFill="1" applyBorder="1" applyAlignment="1">
      <alignment horizontal="center" vertical="center" wrapText="1"/>
    </xf>
    <xf numFmtId="10" fontId="23" fillId="0" borderId="1" xfId="6" applyNumberFormat="1" applyFont="1" applyFill="1" applyBorder="1" applyAlignment="1">
      <alignment horizontal="center" vertical="center" wrapText="1"/>
    </xf>
    <xf numFmtId="165" fontId="6" fillId="0" borderId="1" xfId="1" applyNumberFormat="1" applyFont="1" applyFill="1" applyBorder="1" applyAlignment="1">
      <alignment horizontal="center"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14" fontId="11" fillId="0" borderId="0" xfId="0" applyNumberFormat="1" applyFont="1" applyAlignment="1">
      <alignment vertical="center" wrapText="1"/>
    </xf>
    <xf numFmtId="0" fontId="17" fillId="4" borderId="1" xfId="0" applyFont="1" applyFill="1" applyBorder="1" applyAlignment="1">
      <alignment horizontal="center" vertical="center" wrapText="1"/>
    </xf>
    <xf numFmtId="43" fontId="11" fillId="0" borderId="0" xfId="7" applyFont="1" applyAlignment="1">
      <alignment vertical="center" wrapText="1"/>
    </xf>
    <xf numFmtId="165" fontId="6" fillId="5" borderId="1" xfId="1" applyNumberFormat="1" applyFont="1" applyFill="1" applyBorder="1" applyAlignment="1">
      <alignment horizontal="center" vertical="center"/>
    </xf>
    <xf numFmtId="0" fontId="24" fillId="2" borderId="14" xfId="0" applyFont="1" applyFill="1" applyBorder="1" applyAlignment="1">
      <alignment horizontal="center" vertical="center"/>
    </xf>
    <xf numFmtId="169" fontId="11" fillId="0" borderId="0" xfId="7" applyNumberFormat="1" applyFont="1" applyFill="1" applyAlignment="1">
      <alignment vertical="center" wrapText="1"/>
    </xf>
    <xf numFmtId="169" fontId="11" fillId="0" borderId="0" xfId="7" applyNumberFormat="1" applyFont="1" applyAlignment="1">
      <alignment vertical="center" wrapText="1"/>
    </xf>
    <xf numFmtId="0" fontId="3" fillId="4" borderId="0" xfId="0" applyFont="1" applyFill="1" applyBorder="1" applyAlignment="1">
      <alignment horizontal="center" vertical="center"/>
    </xf>
    <xf numFmtId="165" fontId="4" fillId="7" borderId="1" xfId="1" applyNumberFormat="1" applyFont="1" applyFill="1" applyBorder="1" applyAlignment="1">
      <alignment horizontal="center" vertical="center"/>
    </xf>
    <xf numFmtId="165" fontId="2" fillId="0" borderId="1" xfId="0" applyNumberFormat="1" applyFont="1" applyBorder="1" applyAlignment="1">
      <alignment horizontal="center" vertical="center" wrapText="1"/>
    </xf>
    <xf numFmtId="9" fontId="11" fillId="0" borderId="0" xfId="6" applyFont="1" applyAlignment="1">
      <alignment vertical="center" wrapText="1"/>
    </xf>
    <xf numFmtId="0" fontId="4" fillId="0" borderId="0" xfId="0" applyFont="1" applyBorder="1" applyAlignment="1">
      <alignment horizontal="center" vertical="center"/>
    </xf>
    <xf numFmtId="0" fontId="3" fillId="5" borderId="0" xfId="0" applyFont="1" applyFill="1" applyBorder="1" applyAlignment="1">
      <alignment horizontal="center" vertical="center" wrapText="1"/>
    </xf>
    <xf numFmtId="0" fontId="12" fillId="4" borderId="0" xfId="0" applyFont="1" applyFill="1" applyBorder="1" applyAlignment="1">
      <alignment horizontal="center" vertical="center" wrapText="1"/>
    </xf>
    <xf numFmtId="165" fontId="6" fillId="0" borderId="0" xfId="1" applyNumberFormat="1" applyFont="1" applyFill="1" applyBorder="1" applyAlignment="1">
      <alignment horizontal="center" vertical="center"/>
    </xf>
    <xf numFmtId="165" fontId="9" fillId="4" borderId="0" xfId="0" applyNumberFormat="1" applyFont="1" applyFill="1" applyBorder="1" applyAlignment="1">
      <alignment horizontal="center" vertical="center"/>
    </xf>
    <xf numFmtId="170" fontId="0" fillId="6" borderId="0" xfId="8" applyFont="1" applyFill="1" applyProtection="1">
      <protection locked="0"/>
    </xf>
    <xf numFmtId="43" fontId="0" fillId="0" borderId="0" xfId="0" applyNumberFormat="1"/>
    <xf numFmtId="165" fontId="11" fillId="0" borderId="0" xfId="7" applyNumberFormat="1" applyFont="1" applyFill="1" applyAlignment="1">
      <alignment vertical="center" wrapText="1"/>
    </xf>
    <xf numFmtId="169" fontId="11" fillId="0" borderId="0" xfId="0" applyNumberFormat="1" applyFont="1" applyAlignment="1">
      <alignment vertical="center" wrapText="1"/>
    </xf>
    <xf numFmtId="0" fontId="10" fillId="4"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43" fontId="7" fillId="0" borderId="0" xfId="0" applyNumberFormat="1" applyFont="1"/>
    <xf numFmtId="166" fontId="11" fillId="0" borderId="0" xfId="7" applyNumberFormat="1" applyFont="1" applyAlignment="1">
      <alignment vertical="center" wrapText="1"/>
    </xf>
    <xf numFmtId="165" fontId="7" fillId="8" borderId="0" xfId="0" applyNumberFormat="1" applyFont="1" applyFill="1"/>
    <xf numFmtId="0" fontId="9" fillId="0" borderId="1" xfId="0" applyFont="1" applyBorder="1" applyAlignment="1">
      <alignment horizontal="center"/>
    </xf>
    <xf numFmtId="0" fontId="10"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0" borderId="1" xfId="0" applyFont="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5" xfId="0" applyFont="1" applyFill="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5" xfId="0" applyFont="1" applyBorder="1" applyAlignment="1">
      <alignment horizontal="center" vertical="center"/>
    </xf>
    <xf numFmtId="0" fontId="6" fillId="0" borderId="0" xfId="0" applyFont="1" applyFill="1" applyAlignment="1">
      <alignment vertical="center" wrapText="1"/>
    </xf>
    <xf numFmtId="0" fontId="3" fillId="4" borderId="6" xfId="0" applyFont="1" applyFill="1" applyBorder="1" applyAlignment="1">
      <alignment horizontal="center" vertical="center"/>
    </xf>
    <xf numFmtId="0" fontId="3" fillId="4" borderId="11" xfId="0" applyFont="1" applyFill="1" applyBorder="1" applyAlignment="1">
      <alignment horizontal="center" vertical="center"/>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lignment horizontal="left" vertical="center" wrapText="1"/>
    </xf>
    <xf numFmtId="0" fontId="5" fillId="4" borderId="2"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0" borderId="0" xfId="0" applyFont="1" applyAlignment="1">
      <alignment horizontal="left" vertical="center" wrapText="1"/>
    </xf>
    <xf numFmtId="0" fontId="17" fillId="0" borderId="0" xfId="0" applyFont="1" applyAlignment="1">
      <alignment horizontal="left" wrapText="1"/>
    </xf>
    <xf numFmtId="0" fontId="17" fillId="0" borderId="0" xfId="0" applyFont="1" applyAlignment="1">
      <alignment horizontal="left" vertical="justify" wrapText="1"/>
    </xf>
    <xf numFmtId="0" fontId="3" fillId="4" borderId="12" xfId="0" applyFont="1" applyFill="1" applyBorder="1" applyAlignment="1">
      <alignment horizontal="center" vertical="center"/>
    </xf>
    <xf numFmtId="0" fontId="9" fillId="0" borderId="1" xfId="0" applyFont="1" applyBorder="1"/>
    <xf numFmtId="165" fontId="9" fillId="9" borderId="15" xfId="0" applyNumberFormat="1" applyFont="1" applyFill="1" applyBorder="1"/>
    <xf numFmtId="0" fontId="2" fillId="0" borderId="0" xfId="0" applyFont="1" applyAlignment="1">
      <alignment vertical="center" wrapText="1"/>
    </xf>
    <xf numFmtId="165" fontId="2" fillId="0" borderId="1" xfId="0" applyNumberFormat="1" applyFont="1" applyFill="1" applyBorder="1" applyAlignment="1">
      <alignment horizontal="center" vertical="center" wrapText="1"/>
    </xf>
    <xf numFmtId="0" fontId="25" fillId="0" borderId="0" xfId="0" applyFont="1"/>
    <xf numFmtId="0" fontId="25" fillId="0" borderId="0" xfId="0" applyFont="1" applyAlignment="1">
      <alignment horizontal="center" vertical="center"/>
    </xf>
  </cellXfs>
  <cellStyles count="9">
    <cellStyle name="Currency" xfId="8" xr:uid="{F09B1AEF-5D04-4285-9DE3-445A79AA14E7}"/>
    <cellStyle name="Millares" xfId="7" builtinId="3"/>
    <cellStyle name="Moneda" xfId="1" builtinId="4"/>
    <cellStyle name="Moneda 2" xfId="3" xr:uid="{00000000-0005-0000-0000-000002000000}"/>
    <cellStyle name="Normal" xfId="0" builtinId="0"/>
    <cellStyle name="Normal 2" xfId="4" xr:uid="{00000000-0005-0000-0000-000004000000}"/>
    <cellStyle name="Normal 2 2" xfId="5" xr:uid="{00000000-0005-0000-0000-000005000000}"/>
    <cellStyle name="Normal_HERRAMIENTAS PARA TRANSPORTE" xfId="2" xr:uid="{00000000-0005-0000-0000-000006000000}"/>
    <cellStyle name="Porcentaje" xfId="6"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138086</xdr:colOff>
      <xdr:row>1</xdr:row>
      <xdr:rowOff>133756</xdr:rowOff>
    </xdr:from>
    <xdr:to>
      <xdr:col>2</xdr:col>
      <xdr:colOff>2185677</xdr:colOff>
      <xdr:row>1</xdr:row>
      <xdr:rowOff>590549</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9061" y="495706"/>
          <a:ext cx="2552416" cy="4567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2</xdr:col>
      <xdr:colOff>2052913</xdr:colOff>
      <xdr:row>1</xdr:row>
      <xdr:rowOff>581025</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R76"/>
  <sheetViews>
    <sheetView topLeftCell="A45" zoomScaleNormal="100" workbookViewId="0">
      <selection activeCell="AU3" sqref="AU3"/>
    </sheetView>
  </sheetViews>
  <sheetFormatPr baseColWidth="10" defaultColWidth="11.42578125" defaultRowHeight="15" outlineLevelCol="1" x14ac:dyDescent="0.25"/>
  <cols>
    <col min="1" max="1" width="2.7109375" style="10" customWidth="1"/>
    <col min="2" max="2" width="7.5703125" style="13" customWidth="1"/>
    <col min="3" max="3" width="26.7109375" style="13" customWidth="1"/>
    <col min="4" max="4" width="11" style="13" customWidth="1"/>
    <col min="5" max="5" width="15.7109375" style="13" customWidth="1"/>
    <col min="6" max="6" width="14.85546875" style="13" customWidth="1"/>
    <col min="7" max="7" width="9.42578125" style="14" customWidth="1"/>
    <col min="8" max="8" width="2.7109375" style="10" customWidth="1"/>
    <col min="9" max="9" width="14.7109375" style="117" customWidth="1"/>
    <col min="10" max="10" width="2.7109375" style="117" customWidth="1"/>
    <col min="11" max="11" width="14.7109375" style="117" customWidth="1"/>
    <col min="12" max="12" width="2.7109375" style="117" customWidth="1"/>
    <col min="13" max="13" width="14.7109375" style="117" customWidth="1"/>
    <col min="14" max="14" width="2.7109375" style="117" customWidth="1"/>
    <col min="15" max="15" width="14.28515625" style="117" customWidth="1"/>
    <col min="16" max="16" width="2.7109375" style="10" customWidth="1"/>
    <col min="17" max="17" width="14.28515625" style="10" hidden="1" customWidth="1"/>
    <col min="18" max="18" width="2.7109375" style="10" customWidth="1"/>
    <col min="19" max="19" width="14.42578125" style="10" hidden="1" customWidth="1" outlineLevel="1"/>
    <col min="20" max="23" width="11.42578125" style="10" hidden="1" customWidth="1" outlineLevel="1"/>
    <col min="24" max="24" width="2.7109375" style="10" customWidth="1" outlineLevel="1"/>
    <col min="25" max="25" width="13.42578125" style="10" customWidth="1"/>
    <col min="26" max="26" width="15.7109375" style="10" customWidth="1"/>
    <col min="27" max="27" width="13.28515625" style="10" customWidth="1"/>
    <col min="28" max="28" width="14.5703125" style="10" customWidth="1"/>
    <col min="29" max="29" width="17" style="10" hidden="1" customWidth="1"/>
    <col min="30" max="33" width="0" style="10" hidden="1" customWidth="1"/>
    <col min="34" max="34" width="14.140625" hidden="1" customWidth="1"/>
    <col min="35" max="35" width="18.140625" style="10" hidden="1" customWidth="1"/>
    <col min="36" max="37" width="0" style="10" hidden="1" customWidth="1"/>
    <col min="38" max="38" width="0" style="71" hidden="1" customWidth="1"/>
    <col min="39" max="39" width="14.140625" style="10" hidden="1" customWidth="1"/>
    <col min="40" max="40" width="11.85546875" style="10" hidden="1" customWidth="1"/>
    <col min="41" max="41" width="14.140625" style="10" hidden="1" customWidth="1"/>
    <col min="42" max="42" width="15.5703125" style="10" hidden="1" customWidth="1"/>
    <col min="43" max="43" width="13.85546875" style="10" hidden="1" customWidth="1"/>
    <col min="44" max="44" width="0" style="10" hidden="1" customWidth="1"/>
    <col min="45" max="16384" width="11.42578125" style="10"/>
  </cols>
  <sheetData>
    <row r="1" spans="1:44" s="6" customFormat="1" ht="28.5" customHeight="1" x14ac:dyDescent="0.25">
      <c r="A1" s="5"/>
      <c r="B1" s="84" t="s">
        <v>11</v>
      </c>
      <c r="C1" s="84"/>
      <c r="D1" s="84"/>
      <c r="E1" s="84"/>
      <c r="F1" s="84"/>
      <c r="G1" s="84"/>
      <c r="H1" s="84"/>
      <c r="I1" s="84"/>
      <c r="J1" s="84"/>
      <c r="K1" s="84"/>
      <c r="L1" s="84"/>
      <c r="M1" s="84"/>
      <c r="N1" s="84"/>
      <c r="O1" s="84"/>
      <c r="P1" s="84"/>
      <c r="Q1" s="84"/>
      <c r="R1" s="84"/>
      <c r="S1" s="84"/>
      <c r="T1" s="84"/>
      <c r="U1" s="84"/>
      <c r="V1" s="84"/>
      <c r="W1" s="84"/>
      <c r="X1" s="84"/>
      <c r="Y1" s="84"/>
      <c r="Z1" s="84"/>
      <c r="AA1" s="84"/>
      <c r="AB1" s="84"/>
      <c r="AC1" s="62"/>
      <c r="AL1" s="71"/>
    </row>
    <row r="2" spans="1:44" s="5" customFormat="1" ht="54" customHeight="1" x14ac:dyDescent="0.25">
      <c r="B2" s="85"/>
      <c r="C2" s="85"/>
      <c r="D2" s="92" t="s">
        <v>108</v>
      </c>
      <c r="E2" s="93"/>
      <c r="F2" s="93"/>
      <c r="G2" s="93"/>
      <c r="H2" s="93"/>
      <c r="I2" s="93"/>
      <c r="J2" s="93"/>
      <c r="K2" s="93"/>
      <c r="L2" s="93"/>
      <c r="M2" s="93"/>
      <c r="N2" s="93"/>
      <c r="O2" s="93"/>
      <c r="P2" s="93"/>
      <c r="Q2" s="93"/>
      <c r="R2" s="93"/>
      <c r="S2" s="93"/>
      <c r="T2" s="93"/>
      <c r="U2" s="93"/>
      <c r="V2" s="93"/>
      <c r="W2" s="93"/>
      <c r="X2" s="93"/>
      <c r="Y2" s="93"/>
      <c r="Z2" s="93"/>
      <c r="AA2" s="93"/>
      <c r="AB2" s="94"/>
      <c r="AC2" s="66"/>
      <c r="AL2" s="71"/>
    </row>
    <row r="3" spans="1:44" s="5" customFormat="1" ht="32.25" customHeight="1" x14ac:dyDescent="0.25">
      <c r="B3" s="86" t="s">
        <v>102</v>
      </c>
      <c r="C3" s="87"/>
      <c r="D3" s="87"/>
      <c r="E3" s="87"/>
      <c r="F3" s="87"/>
      <c r="G3" s="88"/>
      <c r="H3" s="15"/>
      <c r="I3" s="77" t="s">
        <v>13</v>
      </c>
      <c r="J3" s="16"/>
      <c r="K3" s="77" t="s">
        <v>15</v>
      </c>
      <c r="L3" s="16"/>
      <c r="M3" s="77" t="s">
        <v>22</v>
      </c>
      <c r="N3" s="16"/>
      <c r="O3" s="77" t="s">
        <v>23</v>
      </c>
      <c r="P3" s="16"/>
      <c r="Q3" s="24" t="s">
        <v>24</v>
      </c>
      <c r="R3" s="16"/>
      <c r="S3" s="26" t="s">
        <v>16</v>
      </c>
      <c r="T3" s="26" t="s">
        <v>17</v>
      </c>
      <c r="U3" s="26" t="s">
        <v>18</v>
      </c>
      <c r="V3" s="26" t="s">
        <v>19</v>
      </c>
      <c r="W3" s="26" t="s">
        <v>20</v>
      </c>
      <c r="X3" s="16"/>
      <c r="Y3" s="83" t="s">
        <v>12</v>
      </c>
      <c r="Z3" s="83"/>
      <c r="AA3" s="83"/>
      <c r="AB3" s="83"/>
      <c r="AC3" s="67"/>
      <c r="AL3" s="71"/>
    </row>
    <row r="4" spans="1:44" s="1" customFormat="1" ht="49.5" customHeight="1" x14ac:dyDescent="0.25">
      <c r="A4" s="7"/>
      <c r="B4" s="3" t="s">
        <v>2</v>
      </c>
      <c r="C4" s="3" t="s">
        <v>9</v>
      </c>
      <c r="D4" s="3" t="s">
        <v>92</v>
      </c>
      <c r="E4" s="3" t="s">
        <v>29</v>
      </c>
      <c r="F4" s="3" t="s">
        <v>3</v>
      </c>
      <c r="G4" s="3" t="s">
        <v>30</v>
      </c>
      <c r="H4" s="2"/>
      <c r="I4" s="76" t="s">
        <v>5</v>
      </c>
      <c r="J4" s="16"/>
      <c r="K4" s="76" t="s">
        <v>5</v>
      </c>
      <c r="L4" s="16"/>
      <c r="M4" s="76" t="s">
        <v>5</v>
      </c>
      <c r="N4" s="16"/>
      <c r="O4" s="76" t="s">
        <v>5</v>
      </c>
      <c r="P4" s="16"/>
      <c r="Q4" s="17" t="s">
        <v>5</v>
      </c>
      <c r="R4" s="16"/>
      <c r="S4" s="26" t="s">
        <v>0</v>
      </c>
      <c r="T4" s="26" t="s">
        <v>0</v>
      </c>
      <c r="U4" s="26" t="s">
        <v>0</v>
      </c>
      <c r="V4" s="26" t="s">
        <v>21</v>
      </c>
      <c r="W4" s="26" t="s">
        <v>0</v>
      </c>
      <c r="X4" s="16"/>
      <c r="Y4" s="4" t="s">
        <v>5</v>
      </c>
      <c r="Z4" s="4" t="s">
        <v>7</v>
      </c>
      <c r="AA4" s="4" t="s">
        <v>8</v>
      </c>
      <c r="AB4" s="4" t="s">
        <v>6</v>
      </c>
      <c r="AC4" s="68"/>
      <c r="AD4" s="1" t="s">
        <v>4</v>
      </c>
      <c r="AH4" s="1" t="s">
        <v>105</v>
      </c>
      <c r="AI4" s="1" t="s">
        <v>105</v>
      </c>
      <c r="AL4" s="71"/>
    </row>
    <row r="5" spans="1:44" s="2" customFormat="1" ht="49.5" customHeight="1" x14ac:dyDescent="0.25">
      <c r="A5" s="39"/>
      <c r="B5" s="44">
        <v>1</v>
      </c>
      <c r="C5" s="45" t="s">
        <v>31</v>
      </c>
      <c r="D5" s="46">
        <v>20</v>
      </c>
      <c r="E5" s="47" t="s">
        <v>75</v>
      </c>
      <c r="F5" s="48" t="s">
        <v>28</v>
      </c>
      <c r="G5" s="49">
        <v>1</v>
      </c>
      <c r="I5" s="64">
        <v>800000</v>
      </c>
      <c r="J5" s="115"/>
      <c r="K5" s="64">
        <v>673300</v>
      </c>
      <c r="L5" s="115"/>
      <c r="M5" s="64">
        <v>560000</v>
      </c>
      <c r="N5" s="115"/>
      <c r="O5" s="64">
        <v>400000</v>
      </c>
      <c r="Q5" s="28"/>
      <c r="S5" s="50">
        <f>ROUND(MIN(K5,M5,O5),2)</f>
        <v>400000</v>
      </c>
      <c r="T5" s="50">
        <f>ROUND(AVERAGE(K5,M5,O5),2)</f>
        <v>544433.32999999996</v>
      </c>
      <c r="U5" s="50">
        <f>+MAX(I5,K5,M5)</f>
        <v>800000</v>
      </c>
      <c r="V5" s="51">
        <f t="shared" ref="V5" si="0">+(U5/S5)-1</f>
        <v>1</v>
      </c>
      <c r="W5" s="50">
        <f>+ROUND(AVERAGE(S5,T5),2)</f>
        <v>472216.67</v>
      </c>
      <c r="Y5" s="52">
        <f>+W5</f>
        <v>472216.67</v>
      </c>
      <c r="Z5" s="52">
        <f>ROUND(Y5*19%,2)</f>
        <v>89721.17</v>
      </c>
      <c r="AA5" s="52">
        <f t="shared" ref="AA5" si="1">+Z5+Y5</f>
        <v>561937.84</v>
      </c>
      <c r="AB5" s="52">
        <f t="shared" ref="AB5" si="2">+AA5*G5</f>
        <v>561937.84</v>
      </c>
      <c r="AC5" s="69">
        <v>516087</v>
      </c>
      <c r="AD5" s="65">
        <f>+AB5/AC5-1</f>
        <v>8.8843237671167863E-2</v>
      </c>
      <c r="AF5" s="65">
        <f>+AH5/AC5-1</f>
        <v>-7.7674888148703602E-2</v>
      </c>
      <c r="AH5" s="57">
        <f>+S5*1.19</f>
        <v>476000</v>
      </c>
      <c r="AI5" s="43">
        <f>+MIN(I5:O5)*1.19</f>
        <v>476000</v>
      </c>
      <c r="AL5" s="71"/>
      <c r="AM5" s="73">
        <f>+AVERAGE(K5:O5)</f>
        <v>544433.33333333337</v>
      </c>
      <c r="AN5" s="61">
        <f>+MIN(K5:O5)</f>
        <v>400000</v>
      </c>
      <c r="AO5" s="61">
        <f>+AVERAGE(AM5:AN5)</f>
        <v>472216.66666666669</v>
      </c>
      <c r="AP5" s="61">
        <f t="shared" ref="AP5:AP19" si="3">+AO5*G5*1.19</f>
        <v>561937.83333333337</v>
      </c>
      <c r="AQ5" s="74">
        <f t="shared" ref="AQ5:AQ48" si="4">+AB5-AP5</f>
        <v>6.6666665952652693E-3</v>
      </c>
    </row>
    <row r="6" spans="1:44" s="2" customFormat="1" ht="49.5" customHeight="1" x14ac:dyDescent="0.25">
      <c r="A6" s="39"/>
      <c r="B6" s="44">
        <v>2</v>
      </c>
      <c r="C6" s="45" t="s">
        <v>32</v>
      </c>
      <c r="D6" s="46">
        <v>60</v>
      </c>
      <c r="E6" s="47" t="s">
        <v>75</v>
      </c>
      <c r="F6" s="48" t="s">
        <v>28</v>
      </c>
      <c r="G6" s="49">
        <v>1</v>
      </c>
      <c r="I6" s="64">
        <v>1200000</v>
      </c>
      <c r="J6" s="115"/>
      <c r="K6" s="64">
        <v>835100</v>
      </c>
      <c r="L6" s="115"/>
      <c r="M6" s="64">
        <v>720000</v>
      </c>
      <c r="N6" s="115"/>
      <c r="O6" s="64">
        <v>750000</v>
      </c>
      <c r="Q6" s="28"/>
      <c r="S6" s="50">
        <f>ROUND(MIN(M6,O6),2)</f>
        <v>720000</v>
      </c>
      <c r="T6" s="50">
        <f>ROUND(AVERAGE(M6,O6),2)</f>
        <v>735000</v>
      </c>
      <c r="U6" s="50">
        <f t="shared" ref="U6:U48" si="5">+MAX(I6,K6,M6)</f>
        <v>1200000</v>
      </c>
      <c r="V6" s="51">
        <f t="shared" ref="V6:V48" si="6">+(U6/S6)-1</f>
        <v>0.66666666666666674</v>
      </c>
      <c r="W6" s="50">
        <f t="shared" ref="W6:W48" si="7">+ROUND(AVERAGE(S6,T6),2)</f>
        <v>727500</v>
      </c>
      <c r="Y6" s="52">
        <f t="shared" ref="Y6:Y48" si="8">+W6</f>
        <v>727500</v>
      </c>
      <c r="Z6" s="52">
        <f t="shared" ref="Z6:Z48" si="9">ROUND(Y6*19%,2)</f>
        <v>138225</v>
      </c>
      <c r="AA6" s="52">
        <f t="shared" ref="AA6:AA48" si="10">+Z6+Y6</f>
        <v>865725</v>
      </c>
      <c r="AB6" s="52">
        <f t="shared" ref="AB6:AB48" si="11">+AA6*G6</f>
        <v>865725</v>
      </c>
      <c r="AC6" s="69">
        <v>921891</v>
      </c>
      <c r="AD6" s="65">
        <f t="shared" ref="AD6:AD48" si="12">+AB6/AC6-1</f>
        <v>-6.0924773102243091E-2</v>
      </c>
      <c r="AF6" s="65">
        <f t="shared" ref="AF6:AF48" si="13">+AH6/AC6-1</f>
        <v>-7.0605961008405549E-2</v>
      </c>
      <c r="AH6" s="57">
        <f t="shared" ref="AH6:AH48" si="14">+S6*1.19</f>
        <v>856800</v>
      </c>
      <c r="AI6" s="43">
        <f t="shared" ref="AI6:AI48" si="15">+MIN(I6:O6)*1.19</f>
        <v>856800</v>
      </c>
      <c r="AL6" s="71"/>
      <c r="AM6" s="73">
        <f>+AVERAGE(M6:O6)</f>
        <v>735000</v>
      </c>
      <c r="AN6" s="61">
        <f t="shared" ref="AN6:AN7" si="16">+MIN(K6:O6)</f>
        <v>720000</v>
      </c>
      <c r="AO6" s="61">
        <f t="shared" ref="AO6:AO48" si="17">+AVERAGE(AM6:AN6)</f>
        <v>727500</v>
      </c>
      <c r="AP6" s="61">
        <f t="shared" si="3"/>
        <v>865725</v>
      </c>
      <c r="AQ6" s="74">
        <f t="shared" si="4"/>
        <v>0</v>
      </c>
    </row>
    <row r="7" spans="1:44" s="2" customFormat="1" ht="49.5" customHeight="1" x14ac:dyDescent="0.25">
      <c r="A7" s="39"/>
      <c r="B7" s="44">
        <v>3</v>
      </c>
      <c r="C7" s="45" t="s">
        <v>33</v>
      </c>
      <c r="D7" s="46">
        <v>30</v>
      </c>
      <c r="E7" s="47" t="s">
        <v>76</v>
      </c>
      <c r="F7" s="48" t="s">
        <v>28</v>
      </c>
      <c r="G7" s="49">
        <v>1</v>
      </c>
      <c r="I7" s="64">
        <v>900000</v>
      </c>
      <c r="J7" s="115"/>
      <c r="K7" s="64">
        <v>673300</v>
      </c>
      <c r="L7" s="115"/>
      <c r="M7" s="64">
        <v>590000</v>
      </c>
      <c r="N7" s="115"/>
      <c r="O7" s="64">
        <v>450000</v>
      </c>
      <c r="Q7" s="28"/>
      <c r="S7" s="50">
        <f>ROUND(MIN(K7,M7,O7),2)</f>
        <v>450000</v>
      </c>
      <c r="T7" s="50">
        <f>ROUND(AVERAGE(K7,M7,O7),2)</f>
        <v>571100</v>
      </c>
      <c r="U7" s="50">
        <f t="shared" si="5"/>
        <v>900000</v>
      </c>
      <c r="V7" s="51">
        <f t="shared" si="6"/>
        <v>1</v>
      </c>
      <c r="W7" s="50">
        <f t="shared" si="7"/>
        <v>510550</v>
      </c>
      <c r="Y7" s="52">
        <f t="shared" si="8"/>
        <v>510550</v>
      </c>
      <c r="Z7" s="52">
        <f t="shared" si="9"/>
        <v>97004.5</v>
      </c>
      <c r="AA7" s="52">
        <f t="shared" si="10"/>
        <v>607554.5</v>
      </c>
      <c r="AB7" s="52">
        <f t="shared" si="11"/>
        <v>607554.5</v>
      </c>
      <c r="AC7" s="69">
        <v>514062</v>
      </c>
      <c r="AD7" s="65">
        <f t="shared" si="12"/>
        <v>0.18187008570950591</v>
      </c>
      <c r="AF7" s="65">
        <f t="shared" si="13"/>
        <v>4.1703140866276911E-2</v>
      </c>
      <c r="AH7" s="57">
        <f t="shared" si="14"/>
        <v>535500</v>
      </c>
      <c r="AI7" s="43">
        <f t="shared" si="15"/>
        <v>535500</v>
      </c>
      <c r="AL7" s="71"/>
      <c r="AM7" s="73">
        <f t="shared" ref="AM7" si="18">+AVERAGE(K7:O7)</f>
        <v>571100</v>
      </c>
      <c r="AN7" s="61">
        <f t="shared" si="16"/>
        <v>450000</v>
      </c>
      <c r="AO7" s="61">
        <f t="shared" si="17"/>
        <v>510550</v>
      </c>
      <c r="AP7" s="61">
        <f t="shared" si="3"/>
        <v>607554.5</v>
      </c>
      <c r="AQ7" s="74">
        <f t="shared" si="4"/>
        <v>0</v>
      </c>
    </row>
    <row r="8" spans="1:44" s="2" customFormat="1" ht="49.5" customHeight="1" x14ac:dyDescent="0.25">
      <c r="A8" s="39"/>
      <c r="B8" s="44">
        <v>4</v>
      </c>
      <c r="C8" s="45" t="s">
        <v>34</v>
      </c>
      <c r="D8" s="46">
        <v>10</v>
      </c>
      <c r="E8" s="47" t="s">
        <v>77</v>
      </c>
      <c r="F8" s="48" t="s">
        <v>28</v>
      </c>
      <c r="G8" s="49">
        <v>1</v>
      </c>
      <c r="I8" s="64">
        <v>400000</v>
      </c>
      <c r="J8" s="115"/>
      <c r="K8" s="64">
        <v>450000</v>
      </c>
      <c r="L8" s="115"/>
      <c r="M8" s="64">
        <v>270000</v>
      </c>
      <c r="N8" s="115"/>
      <c r="O8" s="64">
        <v>250000</v>
      </c>
      <c r="Q8" s="28"/>
      <c r="S8" s="50">
        <f t="shared" ref="S8:S48" si="19">ROUND(MIN(I8,K8,M8,O8),2)</f>
        <v>250000</v>
      </c>
      <c r="T8" s="50">
        <f t="shared" ref="T8:T48" si="20">ROUND(AVERAGE(I8,K8,M8,O8),2)</f>
        <v>342500</v>
      </c>
      <c r="U8" s="50">
        <f t="shared" si="5"/>
        <v>450000</v>
      </c>
      <c r="V8" s="51">
        <f t="shared" si="6"/>
        <v>0.8</v>
      </c>
      <c r="W8" s="50">
        <f t="shared" si="7"/>
        <v>296250</v>
      </c>
      <c r="Y8" s="52">
        <f t="shared" si="8"/>
        <v>296250</v>
      </c>
      <c r="Z8" s="52">
        <f t="shared" si="9"/>
        <v>56287.5</v>
      </c>
      <c r="AA8" s="52">
        <f t="shared" si="10"/>
        <v>352537.5</v>
      </c>
      <c r="AB8" s="52">
        <f t="shared" si="11"/>
        <v>352537.5</v>
      </c>
      <c r="AC8" s="69">
        <v>358005</v>
      </c>
      <c r="AD8" s="65">
        <f t="shared" si="12"/>
        <v>-1.5272133070767135E-2</v>
      </c>
      <c r="AE8" s="65"/>
      <c r="AF8" s="65">
        <f t="shared" si="13"/>
        <v>-0.16900601946900184</v>
      </c>
      <c r="AG8" s="65"/>
      <c r="AH8" s="57">
        <f t="shared" si="14"/>
        <v>297500</v>
      </c>
      <c r="AI8" s="43">
        <f t="shared" si="15"/>
        <v>297500</v>
      </c>
      <c r="AJ8" s="65"/>
      <c r="AK8" s="65"/>
      <c r="AL8" s="71"/>
      <c r="AM8" s="73">
        <f t="shared" ref="AM8:AM48" si="21">+AVERAGE(I8:O8)</f>
        <v>342500</v>
      </c>
      <c r="AN8" s="61">
        <f t="shared" ref="AN8:AN48" si="22">+MIN(I8:O8)</f>
        <v>250000</v>
      </c>
      <c r="AO8" s="61">
        <f t="shared" si="17"/>
        <v>296250</v>
      </c>
      <c r="AP8" s="61">
        <f t="shared" si="3"/>
        <v>352537.5</v>
      </c>
      <c r="AQ8" s="74">
        <f t="shared" si="4"/>
        <v>0</v>
      </c>
      <c r="AR8" s="55">
        <v>45916</v>
      </c>
    </row>
    <row r="9" spans="1:44" s="2" customFormat="1" ht="49.5" customHeight="1" x14ac:dyDescent="0.25">
      <c r="A9" s="39"/>
      <c r="B9" s="44">
        <v>5</v>
      </c>
      <c r="C9" s="45" t="s">
        <v>34</v>
      </c>
      <c r="D9" s="46">
        <v>10</v>
      </c>
      <c r="E9" s="47" t="s">
        <v>78</v>
      </c>
      <c r="F9" s="48" t="s">
        <v>28</v>
      </c>
      <c r="G9" s="49">
        <v>1</v>
      </c>
      <c r="I9" s="64">
        <v>400000</v>
      </c>
      <c r="J9" s="115"/>
      <c r="K9" s="64">
        <v>500000</v>
      </c>
      <c r="L9" s="115"/>
      <c r="M9" s="64">
        <v>270000</v>
      </c>
      <c r="N9" s="115"/>
      <c r="O9" s="64">
        <v>250000</v>
      </c>
      <c r="Q9" s="28"/>
      <c r="S9" s="50">
        <f t="shared" si="19"/>
        <v>250000</v>
      </c>
      <c r="T9" s="50">
        <f t="shared" si="20"/>
        <v>355000</v>
      </c>
      <c r="U9" s="50">
        <f t="shared" si="5"/>
        <v>500000</v>
      </c>
      <c r="V9" s="51">
        <f t="shared" si="6"/>
        <v>1</v>
      </c>
      <c r="W9" s="50">
        <f t="shared" si="7"/>
        <v>302500</v>
      </c>
      <c r="Y9" s="52">
        <f t="shared" si="8"/>
        <v>302500</v>
      </c>
      <c r="Z9" s="52">
        <f t="shared" si="9"/>
        <v>57475</v>
      </c>
      <c r="AA9" s="52">
        <f t="shared" si="10"/>
        <v>359975</v>
      </c>
      <c r="AB9" s="52">
        <f t="shared" si="11"/>
        <v>359975</v>
      </c>
      <c r="AC9" s="69">
        <v>362880</v>
      </c>
      <c r="AD9" s="65">
        <f t="shared" si="12"/>
        <v>-8.0054012345679437E-3</v>
      </c>
      <c r="AE9" s="65"/>
      <c r="AF9" s="65">
        <f t="shared" si="13"/>
        <v>-0.1801697530864198</v>
      </c>
      <c r="AG9" s="65"/>
      <c r="AH9" s="57">
        <f t="shared" si="14"/>
        <v>297500</v>
      </c>
      <c r="AI9" s="43">
        <f t="shared" si="15"/>
        <v>297500</v>
      </c>
      <c r="AJ9" s="65"/>
      <c r="AK9" s="65"/>
      <c r="AL9" s="71"/>
      <c r="AM9" s="73">
        <f t="shared" si="21"/>
        <v>355000</v>
      </c>
      <c r="AN9" s="61">
        <f t="shared" si="22"/>
        <v>250000</v>
      </c>
      <c r="AO9" s="61">
        <f t="shared" si="17"/>
        <v>302500</v>
      </c>
      <c r="AP9" s="61">
        <f t="shared" si="3"/>
        <v>359975</v>
      </c>
      <c r="AQ9" s="74">
        <f t="shared" si="4"/>
        <v>0</v>
      </c>
      <c r="AR9" s="55">
        <f>+AR8+30</f>
        <v>45946</v>
      </c>
    </row>
    <row r="10" spans="1:44" s="2" customFormat="1" ht="49.5" customHeight="1" x14ac:dyDescent="0.25">
      <c r="A10" s="39"/>
      <c r="B10" s="44">
        <v>6</v>
      </c>
      <c r="C10" s="45" t="s">
        <v>35</v>
      </c>
      <c r="D10" s="46">
        <v>3</v>
      </c>
      <c r="E10" s="47" t="s">
        <v>79</v>
      </c>
      <c r="F10" s="48" t="s">
        <v>28</v>
      </c>
      <c r="G10" s="49">
        <v>1</v>
      </c>
      <c r="I10" s="64">
        <v>300000</v>
      </c>
      <c r="J10" s="115"/>
      <c r="K10" s="64">
        <v>127500</v>
      </c>
      <c r="L10" s="115"/>
      <c r="M10" s="64">
        <v>160000</v>
      </c>
      <c r="N10" s="115"/>
      <c r="O10" s="64">
        <v>150000</v>
      </c>
      <c r="Q10" s="28"/>
      <c r="S10" s="50">
        <f>ROUND(MIN(K10,M10,O10),2)</f>
        <v>127500</v>
      </c>
      <c r="T10" s="50">
        <f>ROUND(AVERAGE(K10,M10,O10),2)</f>
        <v>145833.32999999999</v>
      </c>
      <c r="U10" s="50">
        <f t="shared" si="5"/>
        <v>300000</v>
      </c>
      <c r="V10" s="51">
        <f t="shared" si="6"/>
        <v>1.3529411764705883</v>
      </c>
      <c r="W10" s="50">
        <f t="shared" si="7"/>
        <v>136666.67000000001</v>
      </c>
      <c r="Y10" s="52">
        <f t="shared" si="8"/>
        <v>136666.67000000001</v>
      </c>
      <c r="Z10" s="52">
        <f t="shared" si="9"/>
        <v>25966.67</v>
      </c>
      <c r="AA10" s="52">
        <f t="shared" si="10"/>
        <v>162633.34000000003</v>
      </c>
      <c r="AB10" s="52">
        <f t="shared" si="11"/>
        <v>162633.34000000003</v>
      </c>
      <c r="AC10" s="69">
        <v>145387</v>
      </c>
      <c r="AD10" s="65">
        <f t="shared" si="12"/>
        <v>0.11862367336832058</v>
      </c>
      <c r="AE10" s="65"/>
      <c r="AF10" s="65">
        <f t="shared" si="13"/>
        <v>4.3593993960945543E-2</v>
      </c>
      <c r="AG10" s="65"/>
      <c r="AH10" s="57">
        <f t="shared" si="14"/>
        <v>151725</v>
      </c>
      <c r="AI10" s="43">
        <f t="shared" si="15"/>
        <v>151725</v>
      </c>
      <c r="AJ10" s="65"/>
      <c r="AK10" s="65"/>
      <c r="AL10" s="71"/>
      <c r="AM10" s="73">
        <f t="shared" ref="AM10" si="23">+AVERAGE(K10:O10)</f>
        <v>145833.33333333334</v>
      </c>
      <c r="AN10" s="61">
        <f t="shared" ref="AN10" si="24">+MIN(K10:O10)</f>
        <v>127500</v>
      </c>
      <c r="AO10" s="61">
        <f t="shared" si="17"/>
        <v>136666.66666666669</v>
      </c>
      <c r="AP10" s="61">
        <f t="shared" si="3"/>
        <v>162633.33333333334</v>
      </c>
      <c r="AQ10" s="74">
        <f t="shared" si="4"/>
        <v>6.6666666825767606E-3</v>
      </c>
    </row>
    <row r="11" spans="1:44" s="2" customFormat="1" ht="49.5" customHeight="1" x14ac:dyDescent="0.25">
      <c r="A11" s="39"/>
      <c r="B11" s="44">
        <v>7</v>
      </c>
      <c r="C11" s="45" t="s">
        <v>36</v>
      </c>
      <c r="D11" s="46">
        <v>1</v>
      </c>
      <c r="E11" s="47" t="s">
        <v>79</v>
      </c>
      <c r="F11" s="48" t="s">
        <v>28</v>
      </c>
      <c r="G11" s="49">
        <v>1</v>
      </c>
      <c r="I11" s="64">
        <v>120000</v>
      </c>
      <c r="J11" s="115"/>
      <c r="K11" s="64">
        <v>115500</v>
      </c>
      <c r="L11" s="115"/>
      <c r="M11" s="64">
        <v>120000</v>
      </c>
      <c r="N11" s="115"/>
      <c r="O11" s="64">
        <v>120000</v>
      </c>
      <c r="Q11" s="28"/>
      <c r="S11" s="50">
        <f t="shared" si="19"/>
        <v>115500</v>
      </c>
      <c r="T11" s="50">
        <f t="shared" si="20"/>
        <v>118875</v>
      </c>
      <c r="U11" s="50">
        <f t="shared" si="5"/>
        <v>120000</v>
      </c>
      <c r="V11" s="51">
        <f t="shared" si="6"/>
        <v>3.8961038961038863E-2</v>
      </c>
      <c r="W11" s="50">
        <f t="shared" si="7"/>
        <v>117187.5</v>
      </c>
      <c r="Y11" s="52">
        <f t="shared" si="8"/>
        <v>117187.5</v>
      </c>
      <c r="Z11" s="52">
        <f t="shared" si="9"/>
        <v>22265.63</v>
      </c>
      <c r="AA11" s="52">
        <f t="shared" si="10"/>
        <v>139453.13</v>
      </c>
      <c r="AB11" s="52">
        <f t="shared" si="11"/>
        <v>139453.13</v>
      </c>
      <c r="AC11" s="69">
        <v>138303</v>
      </c>
      <c r="AD11" s="65">
        <f t="shared" si="12"/>
        <v>8.3160162830886453E-3</v>
      </c>
      <c r="AE11" s="65"/>
      <c r="AF11" s="65">
        <f t="shared" si="13"/>
        <v>-6.2037699832975246E-3</v>
      </c>
      <c r="AG11" s="65"/>
      <c r="AH11" s="57">
        <f t="shared" si="14"/>
        <v>137445</v>
      </c>
      <c r="AI11" s="43">
        <f t="shared" si="15"/>
        <v>137445</v>
      </c>
      <c r="AJ11" s="65"/>
      <c r="AK11" s="65"/>
      <c r="AL11" s="71"/>
      <c r="AM11" s="73">
        <f t="shared" si="21"/>
        <v>118875</v>
      </c>
      <c r="AN11" s="61">
        <f t="shared" si="22"/>
        <v>115500</v>
      </c>
      <c r="AO11" s="61">
        <f t="shared" si="17"/>
        <v>117187.5</v>
      </c>
      <c r="AP11" s="61">
        <f t="shared" si="3"/>
        <v>139453.125</v>
      </c>
      <c r="AQ11" s="74">
        <f t="shared" si="4"/>
        <v>5.0000000046566129E-3</v>
      </c>
    </row>
    <row r="12" spans="1:44" s="2" customFormat="1" ht="49.5" customHeight="1" x14ac:dyDescent="0.25">
      <c r="A12" s="39"/>
      <c r="B12" s="44">
        <v>8</v>
      </c>
      <c r="C12" s="45" t="s">
        <v>37</v>
      </c>
      <c r="D12" s="46">
        <v>30</v>
      </c>
      <c r="E12" s="47" t="s">
        <v>79</v>
      </c>
      <c r="F12" s="48" t="s">
        <v>28</v>
      </c>
      <c r="G12" s="49">
        <v>1</v>
      </c>
      <c r="I12" s="64">
        <v>900000</v>
      </c>
      <c r="J12" s="115"/>
      <c r="K12" s="64">
        <v>392600</v>
      </c>
      <c r="L12" s="115"/>
      <c r="M12" s="64">
        <v>590000</v>
      </c>
      <c r="N12" s="115"/>
      <c r="O12" s="64">
        <v>450000</v>
      </c>
      <c r="Q12" s="28"/>
      <c r="S12" s="50">
        <f>ROUND(MIN(K12,O12),2)</f>
        <v>392600</v>
      </c>
      <c r="T12" s="50">
        <f>ROUND(AVERAGE(K12,O12),2)</f>
        <v>421300</v>
      </c>
      <c r="U12" s="50">
        <f t="shared" ref="U12" si="25">+MAX(I12,K12,M12)</f>
        <v>900000</v>
      </c>
      <c r="V12" s="51">
        <f t="shared" ref="V12" si="26">+(U12/S12)-1</f>
        <v>1.2924095771777893</v>
      </c>
      <c r="W12" s="50">
        <f t="shared" ref="W12" si="27">+ROUND(AVERAGE(S12,T12),2)</f>
        <v>406950</v>
      </c>
      <c r="Y12" s="52">
        <f t="shared" si="8"/>
        <v>406950</v>
      </c>
      <c r="Z12" s="52">
        <f t="shared" si="9"/>
        <v>77320.5</v>
      </c>
      <c r="AA12" s="52">
        <f t="shared" si="10"/>
        <v>484270.5</v>
      </c>
      <c r="AB12" s="52">
        <f t="shared" si="11"/>
        <v>484270.5</v>
      </c>
      <c r="AC12" s="69">
        <v>405461</v>
      </c>
      <c r="AD12" s="65">
        <f t="shared" si="12"/>
        <v>0.19437011204530141</v>
      </c>
      <c r="AE12" s="65"/>
      <c r="AF12" s="65">
        <f t="shared" si="13"/>
        <v>0.15225385425478644</v>
      </c>
      <c r="AG12" s="65"/>
      <c r="AH12" s="57">
        <f t="shared" si="14"/>
        <v>467194</v>
      </c>
      <c r="AI12" s="43">
        <f>+MIN(O12,K12)*1.19</f>
        <v>467194</v>
      </c>
      <c r="AJ12" s="65"/>
      <c r="AK12" s="65"/>
      <c r="AL12" s="71"/>
      <c r="AM12" s="73">
        <f>+AVERAGE(K12,O12)</f>
        <v>421300</v>
      </c>
      <c r="AN12" s="61">
        <f t="shared" ref="AN12" si="28">+MIN(K12:O12)</f>
        <v>392600</v>
      </c>
      <c r="AO12" s="61">
        <f t="shared" si="17"/>
        <v>406950</v>
      </c>
      <c r="AP12" s="61">
        <f t="shared" si="3"/>
        <v>484270.5</v>
      </c>
      <c r="AQ12" s="74">
        <f t="shared" si="4"/>
        <v>0</v>
      </c>
    </row>
    <row r="13" spans="1:44" s="2" customFormat="1" ht="49.5" customHeight="1" x14ac:dyDescent="0.25">
      <c r="A13" s="39"/>
      <c r="B13" s="44">
        <v>9</v>
      </c>
      <c r="C13" s="45" t="s">
        <v>38</v>
      </c>
      <c r="D13" s="46">
        <v>2</v>
      </c>
      <c r="E13" s="47" t="s">
        <v>79</v>
      </c>
      <c r="F13" s="48" t="s">
        <v>28</v>
      </c>
      <c r="G13" s="49">
        <v>1</v>
      </c>
      <c r="I13" s="64">
        <v>200000</v>
      </c>
      <c r="J13" s="115"/>
      <c r="K13" s="64">
        <v>115500</v>
      </c>
      <c r="L13" s="115"/>
      <c r="M13" s="64">
        <v>140000</v>
      </c>
      <c r="N13" s="115"/>
      <c r="O13" s="64">
        <v>120000</v>
      </c>
      <c r="Q13" s="28"/>
      <c r="S13" s="50">
        <f t="shared" ref="S13:S15" si="29">ROUND(MIN(K13,M13,O13),2)</f>
        <v>115500</v>
      </c>
      <c r="T13" s="50">
        <f t="shared" ref="T13:T15" si="30">ROUND(AVERAGE(K13,M13,O13),2)</f>
        <v>125166.67</v>
      </c>
      <c r="U13" s="50">
        <f t="shared" si="5"/>
        <v>200000</v>
      </c>
      <c r="V13" s="51">
        <f t="shared" si="6"/>
        <v>0.73160173160173159</v>
      </c>
      <c r="W13" s="50">
        <f t="shared" si="7"/>
        <v>120333.34</v>
      </c>
      <c r="Y13" s="52">
        <f t="shared" si="8"/>
        <v>120333.34</v>
      </c>
      <c r="Z13" s="52">
        <f t="shared" si="9"/>
        <v>22863.33</v>
      </c>
      <c r="AA13" s="52">
        <f t="shared" si="10"/>
        <v>143196.66999999998</v>
      </c>
      <c r="AB13" s="52">
        <f t="shared" si="11"/>
        <v>143196.66999999998</v>
      </c>
      <c r="AC13" s="69">
        <v>135669</v>
      </c>
      <c r="AD13" s="65">
        <f t="shared" si="12"/>
        <v>5.5485556759465871E-2</v>
      </c>
      <c r="AF13" s="65">
        <f t="shared" si="13"/>
        <v>1.3090683944010806E-2</v>
      </c>
      <c r="AH13" s="57">
        <f t="shared" si="14"/>
        <v>137445</v>
      </c>
      <c r="AI13" s="43">
        <f t="shared" si="15"/>
        <v>137445</v>
      </c>
      <c r="AL13" s="71"/>
      <c r="AM13" s="73">
        <f>+AVERAGE(K13:O13)</f>
        <v>125166.66666666667</v>
      </c>
      <c r="AN13" s="61">
        <f t="shared" si="22"/>
        <v>115500</v>
      </c>
      <c r="AO13" s="61">
        <f t="shared" si="17"/>
        <v>120333.33333333334</v>
      </c>
      <c r="AP13" s="61">
        <f t="shared" si="3"/>
        <v>143196.66666666669</v>
      </c>
      <c r="AQ13" s="74">
        <f t="shared" si="4"/>
        <v>3.3333332976326346E-3</v>
      </c>
    </row>
    <row r="14" spans="1:44" s="2" customFormat="1" ht="49.5" customHeight="1" x14ac:dyDescent="0.25">
      <c r="A14" s="39"/>
      <c r="B14" s="44">
        <v>10</v>
      </c>
      <c r="C14" s="45" t="s">
        <v>39</v>
      </c>
      <c r="D14" s="46" t="s">
        <v>40</v>
      </c>
      <c r="E14" s="47" t="s">
        <v>79</v>
      </c>
      <c r="F14" s="48" t="s">
        <v>28</v>
      </c>
      <c r="G14" s="49">
        <v>1</v>
      </c>
      <c r="I14" s="64">
        <v>200000</v>
      </c>
      <c r="J14" s="115"/>
      <c r="K14" s="64">
        <v>115500</v>
      </c>
      <c r="L14" s="115"/>
      <c r="M14" s="64">
        <v>130000</v>
      </c>
      <c r="N14" s="115"/>
      <c r="O14" s="64">
        <v>110000</v>
      </c>
      <c r="Q14" s="28"/>
      <c r="S14" s="50">
        <f t="shared" si="29"/>
        <v>110000</v>
      </c>
      <c r="T14" s="50">
        <f t="shared" si="30"/>
        <v>118500</v>
      </c>
      <c r="U14" s="50">
        <f t="shared" si="5"/>
        <v>200000</v>
      </c>
      <c r="V14" s="51">
        <f t="shared" si="6"/>
        <v>0.81818181818181812</v>
      </c>
      <c r="W14" s="50">
        <f t="shared" si="7"/>
        <v>114250</v>
      </c>
      <c r="Y14" s="52">
        <f t="shared" si="8"/>
        <v>114250</v>
      </c>
      <c r="Z14" s="52">
        <f t="shared" si="9"/>
        <v>21707.5</v>
      </c>
      <c r="AA14" s="52">
        <f t="shared" si="10"/>
        <v>135957.5</v>
      </c>
      <c r="AB14" s="52">
        <f t="shared" si="11"/>
        <v>135957.5</v>
      </c>
      <c r="AC14" s="69">
        <v>135669</v>
      </c>
      <c r="AD14" s="65">
        <f t="shared" si="12"/>
        <v>2.1264990528417904E-3</v>
      </c>
      <c r="AF14" s="65">
        <f t="shared" si="13"/>
        <v>-3.5151729577132529E-2</v>
      </c>
      <c r="AH14" s="57">
        <f t="shared" si="14"/>
        <v>130900</v>
      </c>
      <c r="AI14" s="43">
        <f t="shared" si="15"/>
        <v>130900</v>
      </c>
      <c r="AL14" s="71"/>
      <c r="AM14" s="73">
        <f>+AVERAGE(K14:O14)</f>
        <v>118500</v>
      </c>
      <c r="AN14" s="61">
        <f t="shared" si="22"/>
        <v>110000</v>
      </c>
      <c r="AO14" s="61">
        <f t="shared" si="17"/>
        <v>114250</v>
      </c>
      <c r="AP14" s="61">
        <f t="shared" si="3"/>
        <v>135957.5</v>
      </c>
      <c r="AQ14" s="74">
        <f t="shared" si="4"/>
        <v>0</v>
      </c>
    </row>
    <row r="15" spans="1:44" s="2" customFormat="1" ht="49.5" customHeight="1" x14ac:dyDescent="0.25">
      <c r="A15" s="39"/>
      <c r="B15" s="44">
        <v>11</v>
      </c>
      <c r="C15" s="45" t="s">
        <v>41</v>
      </c>
      <c r="D15" s="46" t="s">
        <v>40</v>
      </c>
      <c r="E15" s="47" t="s">
        <v>79</v>
      </c>
      <c r="F15" s="48" t="s">
        <v>28</v>
      </c>
      <c r="G15" s="49">
        <v>1</v>
      </c>
      <c r="I15" s="64">
        <v>200000</v>
      </c>
      <c r="J15" s="115"/>
      <c r="K15" s="64">
        <v>115500</v>
      </c>
      <c r="L15" s="115"/>
      <c r="M15" s="64">
        <v>145000</v>
      </c>
      <c r="N15" s="115"/>
      <c r="O15" s="64">
        <v>110000</v>
      </c>
      <c r="Q15" s="28"/>
      <c r="S15" s="50">
        <f t="shared" si="29"/>
        <v>110000</v>
      </c>
      <c r="T15" s="50">
        <f t="shared" si="30"/>
        <v>123500</v>
      </c>
      <c r="U15" s="50">
        <f t="shared" si="5"/>
        <v>200000</v>
      </c>
      <c r="V15" s="51">
        <f t="shared" si="6"/>
        <v>0.81818181818181812</v>
      </c>
      <c r="W15" s="50">
        <f t="shared" si="7"/>
        <v>116750</v>
      </c>
      <c r="Y15" s="52">
        <f t="shared" si="8"/>
        <v>116750</v>
      </c>
      <c r="Z15" s="52">
        <f t="shared" si="9"/>
        <v>22182.5</v>
      </c>
      <c r="AA15" s="52">
        <f t="shared" si="10"/>
        <v>138932.5</v>
      </c>
      <c r="AB15" s="52">
        <f t="shared" si="11"/>
        <v>138932.5</v>
      </c>
      <c r="AC15" s="69">
        <v>135669</v>
      </c>
      <c r="AD15" s="65">
        <f t="shared" si="12"/>
        <v>2.4054868835179821E-2</v>
      </c>
      <c r="AF15" s="65">
        <f t="shared" si="13"/>
        <v>-3.5151729577132529E-2</v>
      </c>
      <c r="AH15" s="57">
        <f t="shared" si="14"/>
        <v>130900</v>
      </c>
      <c r="AI15" s="43">
        <f t="shared" si="15"/>
        <v>130900</v>
      </c>
      <c r="AL15" s="71"/>
      <c r="AM15" s="73">
        <f>+AVERAGE(K15:O15)</f>
        <v>123500</v>
      </c>
      <c r="AN15" s="61">
        <f t="shared" si="22"/>
        <v>110000</v>
      </c>
      <c r="AO15" s="61">
        <f t="shared" si="17"/>
        <v>116750</v>
      </c>
      <c r="AP15" s="61">
        <f t="shared" si="3"/>
        <v>138932.5</v>
      </c>
      <c r="AQ15" s="74">
        <f t="shared" si="4"/>
        <v>0</v>
      </c>
    </row>
    <row r="16" spans="1:44" s="2" customFormat="1" ht="49.5" customHeight="1" x14ac:dyDescent="0.25">
      <c r="A16" s="39"/>
      <c r="B16" s="44">
        <v>12</v>
      </c>
      <c r="C16" s="45" t="s">
        <v>42</v>
      </c>
      <c r="D16" s="46">
        <v>10</v>
      </c>
      <c r="E16" s="47" t="s">
        <v>80</v>
      </c>
      <c r="F16" s="48" t="s">
        <v>28</v>
      </c>
      <c r="G16" s="49">
        <v>1</v>
      </c>
      <c r="I16" s="64">
        <v>400000</v>
      </c>
      <c r="J16" s="115"/>
      <c r="K16" s="64">
        <v>350000</v>
      </c>
      <c r="L16" s="115"/>
      <c r="M16" s="64">
        <v>270000</v>
      </c>
      <c r="N16" s="115"/>
      <c r="O16" s="64">
        <v>250000</v>
      </c>
      <c r="Q16" s="28"/>
      <c r="S16" s="50">
        <f t="shared" si="19"/>
        <v>250000</v>
      </c>
      <c r="T16" s="50">
        <f t="shared" si="20"/>
        <v>317500</v>
      </c>
      <c r="U16" s="50">
        <f t="shared" si="5"/>
        <v>400000</v>
      </c>
      <c r="V16" s="51">
        <f t="shared" si="6"/>
        <v>0.60000000000000009</v>
      </c>
      <c r="W16" s="50">
        <f t="shared" si="7"/>
        <v>283750</v>
      </c>
      <c r="Y16" s="52">
        <f t="shared" si="8"/>
        <v>283750</v>
      </c>
      <c r="Z16" s="52">
        <f t="shared" si="9"/>
        <v>53912.5</v>
      </c>
      <c r="AA16" s="52">
        <f t="shared" si="10"/>
        <v>337662.5</v>
      </c>
      <c r="AB16" s="52">
        <f t="shared" si="11"/>
        <v>337662.5</v>
      </c>
      <c r="AC16" s="69">
        <v>322515</v>
      </c>
      <c r="AD16" s="65">
        <f t="shared" si="12"/>
        <v>4.6966807745376205E-2</v>
      </c>
      <c r="AF16" s="65">
        <f t="shared" si="13"/>
        <v>-7.7562283924778708E-2</v>
      </c>
      <c r="AH16" s="57">
        <f t="shared" si="14"/>
        <v>297500</v>
      </c>
      <c r="AI16" s="43">
        <f t="shared" si="15"/>
        <v>297500</v>
      </c>
      <c r="AL16" s="71"/>
      <c r="AM16" s="73">
        <f t="shared" si="21"/>
        <v>317500</v>
      </c>
      <c r="AN16" s="61">
        <f t="shared" si="22"/>
        <v>250000</v>
      </c>
      <c r="AO16" s="61">
        <f t="shared" si="17"/>
        <v>283750</v>
      </c>
      <c r="AP16" s="61">
        <f t="shared" si="3"/>
        <v>337662.5</v>
      </c>
      <c r="AQ16" s="74">
        <f t="shared" si="4"/>
        <v>0</v>
      </c>
    </row>
    <row r="17" spans="1:43" s="2" customFormat="1" ht="49.5" customHeight="1" x14ac:dyDescent="0.25">
      <c r="A17" s="39"/>
      <c r="B17" s="44">
        <v>13</v>
      </c>
      <c r="C17" s="45" t="s">
        <v>43</v>
      </c>
      <c r="D17" s="46">
        <v>30</v>
      </c>
      <c r="E17" s="47" t="s">
        <v>79</v>
      </c>
      <c r="F17" s="48" t="s">
        <v>28</v>
      </c>
      <c r="G17" s="49">
        <v>1</v>
      </c>
      <c r="I17" s="64">
        <v>900000</v>
      </c>
      <c r="J17" s="115"/>
      <c r="K17" s="64">
        <v>393000</v>
      </c>
      <c r="L17" s="115"/>
      <c r="M17" s="64">
        <v>590000</v>
      </c>
      <c r="N17" s="115"/>
      <c r="O17" s="64">
        <v>450000</v>
      </c>
      <c r="Q17" s="28"/>
      <c r="S17" s="50">
        <f t="shared" ref="S17:S18" si="31">ROUND(MIN(K17,M17,O17),2)</f>
        <v>393000</v>
      </c>
      <c r="T17" s="50">
        <f t="shared" ref="T17:T18" si="32">ROUND(AVERAGE(K17,M17,O17),2)</f>
        <v>477666.67</v>
      </c>
      <c r="U17" s="50">
        <f t="shared" si="5"/>
        <v>900000</v>
      </c>
      <c r="V17" s="51">
        <f t="shared" si="6"/>
        <v>1.2900763358778624</v>
      </c>
      <c r="W17" s="50">
        <f t="shared" si="7"/>
        <v>435333.34</v>
      </c>
      <c r="Y17" s="52">
        <f t="shared" si="8"/>
        <v>435333.34</v>
      </c>
      <c r="Z17" s="52">
        <f t="shared" si="9"/>
        <v>82713.33</v>
      </c>
      <c r="AA17" s="52">
        <f t="shared" si="10"/>
        <v>518046.67000000004</v>
      </c>
      <c r="AB17" s="52">
        <f t="shared" si="11"/>
        <v>518046.67000000004</v>
      </c>
      <c r="AC17" s="69">
        <v>405461</v>
      </c>
      <c r="AD17" s="65">
        <f t="shared" si="12"/>
        <v>0.27767324107620728</v>
      </c>
      <c r="AF17" s="65">
        <f t="shared" si="13"/>
        <v>0.15342782659737919</v>
      </c>
      <c r="AH17" s="57">
        <f t="shared" si="14"/>
        <v>467670</v>
      </c>
      <c r="AI17" s="43">
        <f t="shared" si="15"/>
        <v>467670</v>
      </c>
      <c r="AL17" s="71"/>
      <c r="AM17" s="73">
        <f t="shared" ref="AM17" si="33">+AVERAGE(K17:O17)</f>
        <v>477666.66666666669</v>
      </c>
      <c r="AN17" s="61">
        <f t="shared" ref="AN17" si="34">+MIN(K17:O17)</f>
        <v>393000</v>
      </c>
      <c r="AO17" s="61">
        <f t="shared" si="17"/>
        <v>435333.33333333337</v>
      </c>
      <c r="AP17" s="61">
        <f t="shared" si="3"/>
        <v>518046.66666666669</v>
      </c>
      <c r="AQ17" s="74">
        <f t="shared" si="4"/>
        <v>3.3333333558402956E-3</v>
      </c>
    </row>
    <row r="18" spans="1:43" s="2" customFormat="1" ht="49.5" customHeight="1" x14ac:dyDescent="0.25">
      <c r="A18" s="39"/>
      <c r="B18" s="44">
        <v>14</v>
      </c>
      <c r="C18" s="45" t="s">
        <v>44</v>
      </c>
      <c r="D18" s="46">
        <v>3</v>
      </c>
      <c r="E18" s="47" t="s">
        <v>79</v>
      </c>
      <c r="F18" s="48" t="s">
        <v>28</v>
      </c>
      <c r="G18" s="49">
        <v>1</v>
      </c>
      <c r="I18" s="64">
        <v>300000</v>
      </c>
      <c r="J18" s="115"/>
      <c r="K18" s="64">
        <v>127500</v>
      </c>
      <c r="L18" s="115"/>
      <c r="M18" s="64">
        <v>160000</v>
      </c>
      <c r="N18" s="115"/>
      <c r="O18" s="64">
        <v>150000</v>
      </c>
      <c r="Q18" s="28"/>
      <c r="S18" s="50">
        <f t="shared" si="31"/>
        <v>127500</v>
      </c>
      <c r="T18" s="50">
        <f t="shared" si="32"/>
        <v>145833.32999999999</v>
      </c>
      <c r="U18" s="50">
        <f>ROUND(MIN(M18,O18),2)</f>
        <v>150000</v>
      </c>
      <c r="V18" s="50">
        <f>ROUND(AVERAGE(M18,O18),2)</f>
        <v>155000</v>
      </c>
      <c r="W18" s="50">
        <f t="shared" si="7"/>
        <v>136666.67000000001</v>
      </c>
      <c r="Y18" s="52">
        <f t="shared" si="8"/>
        <v>136666.67000000001</v>
      </c>
      <c r="Z18" s="52">
        <f t="shared" si="9"/>
        <v>25966.67</v>
      </c>
      <c r="AA18" s="52">
        <f t="shared" si="10"/>
        <v>162633.34000000003</v>
      </c>
      <c r="AB18" s="52">
        <f t="shared" si="11"/>
        <v>162633.34000000003</v>
      </c>
      <c r="AC18" s="69">
        <v>191014</v>
      </c>
      <c r="AD18" s="65">
        <f t="shared" si="12"/>
        <v>-0.14857895232810148</v>
      </c>
      <c r="AF18" s="65">
        <f t="shared" si="13"/>
        <v>-0.20568649418367235</v>
      </c>
      <c r="AH18" s="57">
        <f t="shared" si="14"/>
        <v>151725</v>
      </c>
      <c r="AI18" s="43">
        <f t="shared" si="15"/>
        <v>151725</v>
      </c>
      <c r="AL18" s="71"/>
      <c r="AM18" s="73">
        <f t="shared" ref="AM18:AM19" si="35">+AVERAGE(K18:O18)</f>
        <v>145833.33333333334</v>
      </c>
      <c r="AN18" s="61">
        <f t="shared" ref="AN18:AN19" si="36">+MIN(K18:O18)</f>
        <v>127500</v>
      </c>
      <c r="AO18" s="61">
        <f t="shared" si="17"/>
        <v>136666.66666666669</v>
      </c>
      <c r="AP18" s="61">
        <f t="shared" si="3"/>
        <v>162633.33333333334</v>
      </c>
      <c r="AQ18" s="74">
        <f t="shared" si="4"/>
        <v>6.6666666825767606E-3</v>
      </c>
    </row>
    <row r="19" spans="1:43" s="2" customFormat="1" ht="49.5" customHeight="1" x14ac:dyDescent="0.25">
      <c r="A19" s="39"/>
      <c r="B19" s="44">
        <v>15</v>
      </c>
      <c r="C19" s="45" t="s">
        <v>45</v>
      </c>
      <c r="D19" s="46">
        <v>3</v>
      </c>
      <c r="E19" s="47" t="s">
        <v>79</v>
      </c>
      <c r="F19" s="48" t="s">
        <v>28</v>
      </c>
      <c r="G19" s="49">
        <v>1</v>
      </c>
      <c r="I19" s="64">
        <v>300000</v>
      </c>
      <c r="J19" s="115"/>
      <c r="K19" s="64">
        <v>127500</v>
      </c>
      <c r="L19" s="115"/>
      <c r="M19" s="64">
        <v>160000</v>
      </c>
      <c r="N19" s="115"/>
      <c r="O19" s="64">
        <v>150000</v>
      </c>
      <c r="Q19" s="28"/>
      <c r="S19" s="50">
        <f t="shared" si="19"/>
        <v>127500</v>
      </c>
      <c r="T19" s="50">
        <f>ROUND(AVERAGE(K19,M19,O19),2)</f>
        <v>145833.32999999999</v>
      </c>
      <c r="U19" s="50">
        <f t="shared" si="5"/>
        <v>300000</v>
      </c>
      <c r="V19" s="51">
        <f t="shared" si="6"/>
        <v>1.3529411764705883</v>
      </c>
      <c r="W19" s="50">
        <f t="shared" si="7"/>
        <v>136666.67000000001</v>
      </c>
      <c r="Y19" s="52">
        <f t="shared" si="8"/>
        <v>136666.67000000001</v>
      </c>
      <c r="Z19" s="52">
        <f t="shared" si="9"/>
        <v>25966.67</v>
      </c>
      <c r="AA19" s="52">
        <f t="shared" si="10"/>
        <v>162633.34000000003</v>
      </c>
      <c r="AB19" s="52">
        <f t="shared" si="11"/>
        <v>162633.34000000003</v>
      </c>
      <c r="AC19" s="69">
        <v>140461</v>
      </c>
      <c r="AD19" s="65">
        <f t="shared" si="12"/>
        <v>0.15785406625326615</v>
      </c>
      <c r="AF19" s="65">
        <f t="shared" si="13"/>
        <v>8.0193078505777393E-2</v>
      </c>
      <c r="AH19" s="57">
        <f t="shared" si="14"/>
        <v>151725</v>
      </c>
      <c r="AI19" s="43">
        <f t="shared" si="15"/>
        <v>151725</v>
      </c>
      <c r="AL19" s="71"/>
      <c r="AM19" s="73">
        <f t="shared" si="35"/>
        <v>145833.33333333334</v>
      </c>
      <c r="AN19" s="61">
        <f t="shared" si="36"/>
        <v>127500</v>
      </c>
      <c r="AO19" s="61">
        <f t="shared" si="17"/>
        <v>136666.66666666669</v>
      </c>
      <c r="AP19" s="61">
        <f t="shared" si="3"/>
        <v>162633.33333333334</v>
      </c>
      <c r="AQ19" s="74">
        <f t="shared" si="4"/>
        <v>6.6666666825767606E-3</v>
      </c>
    </row>
    <row r="20" spans="1:43" s="2" customFormat="1" ht="49.5" customHeight="1" x14ac:dyDescent="0.25">
      <c r="A20" s="39"/>
      <c r="B20" s="44">
        <v>16</v>
      </c>
      <c r="C20" s="53" t="s">
        <v>46</v>
      </c>
      <c r="D20" s="54">
        <v>6</v>
      </c>
      <c r="E20" s="47" t="s">
        <v>81</v>
      </c>
      <c r="F20" s="48" t="s">
        <v>28</v>
      </c>
      <c r="G20" s="49">
        <v>1</v>
      </c>
      <c r="I20" s="64">
        <v>2000000</v>
      </c>
      <c r="J20" s="115"/>
      <c r="K20" s="64">
        <v>590000</v>
      </c>
      <c r="L20" s="115"/>
      <c r="M20" s="64">
        <v>200000</v>
      </c>
      <c r="N20" s="115"/>
      <c r="O20" s="64">
        <v>500000</v>
      </c>
      <c r="Q20" s="28"/>
      <c r="S20" s="50">
        <f>ROUND(MIN(K20,O20),2)</f>
        <v>500000</v>
      </c>
      <c r="T20" s="50">
        <f>ROUND(AVERAGE(K20,O20),2)</f>
        <v>545000</v>
      </c>
      <c r="U20" s="50">
        <f t="shared" si="5"/>
        <v>2000000</v>
      </c>
      <c r="V20" s="51">
        <f t="shared" si="6"/>
        <v>3</v>
      </c>
      <c r="W20" s="50">
        <f t="shared" si="7"/>
        <v>522500</v>
      </c>
      <c r="Y20" s="52">
        <f t="shared" si="8"/>
        <v>522500</v>
      </c>
      <c r="Z20" s="58" t="s">
        <v>93</v>
      </c>
      <c r="AA20" s="52">
        <f>+Y20</f>
        <v>522500</v>
      </c>
      <c r="AB20" s="52">
        <f t="shared" si="11"/>
        <v>522500</v>
      </c>
      <c r="AC20" s="69"/>
      <c r="AD20" s="65"/>
      <c r="AF20" s="65" t="e">
        <f t="shared" si="13"/>
        <v>#DIV/0!</v>
      </c>
      <c r="AH20" s="79">
        <f>+S20</f>
        <v>500000</v>
      </c>
      <c r="AI20" s="43">
        <f>+MIN(K20,O20)</f>
        <v>500000</v>
      </c>
      <c r="AL20" s="71"/>
      <c r="AM20" s="73">
        <f>+AVERAGE(K20,O20)</f>
        <v>545000</v>
      </c>
      <c r="AN20" s="61">
        <f>+MIN(K20,O20)</f>
        <v>500000</v>
      </c>
      <c r="AO20" s="61">
        <f t="shared" si="17"/>
        <v>522500</v>
      </c>
      <c r="AP20" s="61">
        <f>+AO20*G20</f>
        <v>522500</v>
      </c>
      <c r="AQ20" s="74">
        <f t="shared" si="4"/>
        <v>0</v>
      </c>
    </row>
    <row r="21" spans="1:43" s="2" customFormat="1" ht="49.5" customHeight="1" x14ac:dyDescent="0.25">
      <c r="A21" s="39"/>
      <c r="B21" s="44">
        <v>17</v>
      </c>
      <c r="C21" s="45" t="s">
        <v>47</v>
      </c>
      <c r="D21" s="46">
        <v>10</v>
      </c>
      <c r="E21" s="47" t="s">
        <v>82</v>
      </c>
      <c r="F21" s="48" t="s">
        <v>28</v>
      </c>
      <c r="G21" s="49">
        <v>1</v>
      </c>
      <c r="I21" s="64">
        <v>400000</v>
      </c>
      <c r="J21" s="115"/>
      <c r="K21" s="64">
        <v>1085000</v>
      </c>
      <c r="L21" s="115"/>
      <c r="M21" s="64">
        <v>270000</v>
      </c>
      <c r="N21" s="115"/>
      <c r="O21" s="64">
        <v>250000</v>
      </c>
      <c r="Q21" s="28"/>
      <c r="S21" s="50">
        <f>ROUND(MIN(M21,O21),2)</f>
        <v>250000</v>
      </c>
      <c r="T21" s="50">
        <f>ROUND(AVERAGE(M21,O21),2)</f>
        <v>260000</v>
      </c>
      <c r="U21" s="50">
        <f t="shared" si="5"/>
        <v>1085000</v>
      </c>
      <c r="V21" s="51">
        <f t="shared" si="6"/>
        <v>3.34</v>
      </c>
      <c r="W21" s="50">
        <f t="shared" si="7"/>
        <v>255000</v>
      </c>
      <c r="Y21" s="52">
        <f t="shared" si="8"/>
        <v>255000</v>
      </c>
      <c r="Z21" s="52">
        <f t="shared" si="9"/>
        <v>48450</v>
      </c>
      <c r="AA21" s="52">
        <f t="shared" si="10"/>
        <v>303450</v>
      </c>
      <c r="AB21" s="52">
        <f t="shared" si="11"/>
        <v>303450</v>
      </c>
      <c r="AC21" s="69">
        <v>290694</v>
      </c>
      <c r="AD21" s="65">
        <f t="shared" si="12"/>
        <v>4.3881194658300426E-2</v>
      </c>
      <c r="AF21" s="65">
        <f t="shared" si="13"/>
        <v>2.3412935939510326E-2</v>
      </c>
      <c r="AH21" s="57">
        <f t="shared" si="14"/>
        <v>297500</v>
      </c>
      <c r="AI21" s="43">
        <f t="shared" si="15"/>
        <v>297500</v>
      </c>
      <c r="AL21" s="71"/>
      <c r="AM21" s="73">
        <f>+AVERAGE(M21,O21)</f>
        <v>260000</v>
      </c>
      <c r="AN21" s="61">
        <f t="shared" si="22"/>
        <v>250000</v>
      </c>
      <c r="AO21" s="61">
        <f t="shared" si="17"/>
        <v>255000</v>
      </c>
      <c r="AP21" s="61">
        <f t="shared" ref="AP21:AP48" si="37">+AO21*G21*1.19</f>
        <v>303450</v>
      </c>
      <c r="AQ21" s="74">
        <f t="shared" si="4"/>
        <v>0</v>
      </c>
    </row>
    <row r="22" spans="1:43" s="2" customFormat="1" ht="49.5" customHeight="1" x14ac:dyDescent="0.25">
      <c r="A22" s="39"/>
      <c r="B22" s="44">
        <v>18</v>
      </c>
      <c r="C22" s="45" t="s">
        <v>48</v>
      </c>
      <c r="D22" s="46">
        <v>10</v>
      </c>
      <c r="E22" s="47" t="s">
        <v>83</v>
      </c>
      <c r="F22" s="48" t="s">
        <v>28</v>
      </c>
      <c r="G22" s="49">
        <v>1</v>
      </c>
      <c r="I22" s="64">
        <v>100000</v>
      </c>
      <c r="J22" s="115"/>
      <c r="K22" s="64">
        <v>1085000</v>
      </c>
      <c r="L22" s="115"/>
      <c r="M22" s="64">
        <v>270000</v>
      </c>
      <c r="N22" s="115"/>
      <c r="O22" s="64">
        <v>250000</v>
      </c>
      <c r="Q22" s="28"/>
      <c r="S22" s="50">
        <f>ROUND(MIN(M22,O22),2)</f>
        <v>250000</v>
      </c>
      <c r="T22" s="50">
        <f>ROUND(AVERAGE(M22,O22),2)</f>
        <v>260000</v>
      </c>
      <c r="U22" s="50">
        <f t="shared" si="5"/>
        <v>1085000</v>
      </c>
      <c r="V22" s="51">
        <f t="shared" si="6"/>
        <v>3.34</v>
      </c>
      <c r="W22" s="50">
        <f t="shared" si="7"/>
        <v>255000</v>
      </c>
      <c r="Y22" s="52">
        <f t="shared" si="8"/>
        <v>255000</v>
      </c>
      <c r="Z22" s="52">
        <f t="shared" si="9"/>
        <v>48450</v>
      </c>
      <c r="AA22" s="52">
        <f t="shared" si="10"/>
        <v>303450</v>
      </c>
      <c r="AB22" s="52">
        <f t="shared" si="11"/>
        <v>303450</v>
      </c>
      <c r="AC22" s="69">
        <v>290694</v>
      </c>
      <c r="AD22" s="65">
        <f t="shared" si="12"/>
        <v>4.3881194658300426E-2</v>
      </c>
      <c r="AF22" s="65">
        <f t="shared" si="13"/>
        <v>2.3412935939510326E-2</v>
      </c>
      <c r="AH22" s="57">
        <f t="shared" si="14"/>
        <v>297500</v>
      </c>
      <c r="AI22" s="43">
        <f>+MIN(M22,O22)*1.19</f>
        <v>297500</v>
      </c>
      <c r="AL22" s="71"/>
      <c r="AM22" s="73">
        <f>+AVERAGE(M22,O22)</f>
        <v>260000</v>
      </c>
      <c r="AN22" s="61">
        <f>+MIN(M22:O22)</f>
        <v>250000</v>
      </c>
      <c r="AO22" s="61">
        <f t="shared" si="17"/>
        <v>255000</v>
      </c>
      <c r="AP22" s="61">
        <f t="shared" si="37"/>
        <v>303450</v>
      </c>
      <c r="AQ22" s="74">
        <f t="shared" si="4"/>
        <v>0</v>
      </c>
    </row>
    <row r="23" spans="1:43" s="2" customFormat="1" ht="49.5" customHeight="1" x14ac:dyDescent="0.25">
      <c r="A23" s="39"/>
      <c r="B23" s="44">
        <v>19</v>
      </c>
      <c r="C23" s="45" t="s">
        <v>49</v>
      </c>
      <c r="D23" s="46">
        <v>24</v>
      </c>
      <c r="E23" s="47" t="s">
        <v>82</v>
      </c>
      <c r="F23" s="48" t="s">
        <v>28</v>
      </c>
      <c r="G23" s="49">
        <v>1</v>
      </c>
      <c r="I23" s="64">
        <v>1000000</v>
      </c>
      <c r="J23" s="115"/>
      <c r="K23" s="64">
        <v>1302000</v>
      </c>
      <c r="L23" s="115"/>
      <c r="M23" s="64">
        <v>430000</v>
      </c>
      <c r="N23" s="115"/>
      <c r="O23" s="64">
        <v>400000</v>
      </c>
      <c r="Q23" s="28"/>
      <c r="S23" s="50">
        <f t="shared" si="19"/>
        <v>400000</v>
      </c>
      <c r="T23" s="50">
        <f t="shared" si="20"/>
        <v>783000</v>
      </c>
      <c r="U23" s="50">
        <f t="shared" ref="U23" si="38">+MAX(I23,K23,M23)</f>
        <v>1302000</v>
      </c>
      <c r="V23" s="51">
        <f t="shared" ref="V23" si="39">+(U23/S23)-1</f>
        <v>2.2549999999999999</v>
      </c>
      <c r="W23" s="50">
        <f t="shared" ref="W23" si="40">+ROUND(AVERAGE(S23,T23),2)</f>
        <v>591500</v>
      </c>
      <c r="Y23" s="52">
        <f t="shared" si="8"/>
        <v>591500</v>
      </c>
      <c r="Z23" s="52">
        <f t="shared" si="9"/>
        <v>112385</v>
      </c>
      <c r="AA23" s="52">
        <f t="shared" si="10"/>
        <v>703885</v>
      </c>
      <c r="AB23" s="52">
        <f t="shared" si="11"/>
        <v>703885</v>
      </c>
      <c r="AC23" s="69">
        <v>503466</v>
      </c>
      <c r="AD23" s="65">
        <f t="shared" si="12"/>
        <v>0.3980785197014296</v>
      </c>
      <c r="AF23" s="65">
        <f t="shared" si="13"/>
        <v>-5.4553832830816829E-2</v>
      </c>
      <c r="AH23" s="57">
        <f t="shared" si="14"/>
        <v>476000</v>
      </c>
      <c r="AI23" s="43">
        <f t="shared" si="15"/>
        <v>476000</v>
      </c>
      <c r="AL23" s="71"/>
      <c r="AM23" s="73">
        <f t="shared" si="21"/>
        <v>783000</v>
      </c>
      <c r="AN23" s="61">
        <f t="shared" si="22"/>
        <v>400000</v>
      </c>
      <c r="AO23" s="61">
        <f t="shared" si="17"/>
        <v>591500</v>
      </c>
      <c r="AP23" s="61">
        <f t="shared" si="37"/>
        <v>703885</v>
      </c>
      <c r="AQ23" s="74">
        <f t="shared" si="4"/>
        <v>0</v>
      </c>
    </row>
    <row r="24" spans="1:43" s="2" customFormat="1" ht="49.5" customHeight="1" x14ac:dyDescent="0.25">
      <c r="A24" s="39"/>
      <c r="B24" s="44">
        <v>20</v>
      </c>
      <c r="C24" s="45" t="s">
        <v>50</v>
      </c>
      <c r="D24" s="46">
        <v>3</v>
      </c>
      <c r="E24" s="47" t="s">
        <v>82</v>
      </c>
      <c r="F24" s="48" t="s">
        <v>28</v>
      </c>
      <c r="G24" s="49">
        <v>1</v>
      </c>
      <c r="I24" s="64">
        <v>300000</v>
      </c>
      <c r="J24" s="115"/>
      <c r="K24" s="64">
        <v>820600</v>
      </c>
      <c r="L24" s="115"/>
      <c r="M24" s="64">
        <v>160000</v>
      </c>
      <c r="N24" s="115"/>
      <c r="O24" s="64">
        <v>150000</v>
      </c>
      <c r="Q24" s="28"/>
      <c r="S24" s="50">
        <f t="shared" ref="S24:S25" si="41">ROUND(MIN(M24,O24),2)</f>
        <v>150000</v>
      </c>
      <c r="T24" s="50">
        <f t="shared" ref="T24:T25" si="42">ROUND(AVERAGE(M24,O24),2)</f>
        <v>155000</v>
      </c>
      <c r="U24" s="50">
        <f t="shared" ref="U24" si="43">+MAX(I24,K24,M24)</f>
        <v>820600</v>
      </c>
      <c r="V24" s="51">
        <f t="shared" ref="V24" si="44">+(U24/S24)-1</f>
        <v>4.4706666666666663</v>
      </c>
      <c r="W24" s="50">
        <f t="shared" ref="W24" si="45">+ROUND(AVERAGE(S24,T24),2)</f>
        <v>152500</v>
      </c>
      <c r="Y24" s="52">
        <f t="shared" si="8"/>
        <v>152500</v>
      </c>
      <c r="Z24" s="52">
        <f t="shared" si="9"/>
        <v>28975</v>
      </c>
      <c r="AA24" s="52">
        <f t="shared" si="10"/>
        <v>181475</v>
      </c>
      <c r="AB24" s="52">
        <f t="shared" si="11"/>
        <v>181475</v>
      </c>
      <c r="AC24" s="69">
        <v>169625</v>
      </c>
      <c r="AD24" s="65">
        <f t="shared" si="12"/>
        <v>6.9859985261606417E-2</v>
      </c>
      <c r="AF24" s="65">
        <f t="shared" si="13"/>
        <v>5.2321296978629306E-2</v>
      </c>
      <c r="AH24" s="57">
        <f t="shared" si="14"/>
        <v>178500</v>
      </c>
      <c r="AI24" s="43">
        <f t="shared" si="15"/>
        <v>178500</v>
      </c>
      <c r="AL24" s="71"/>
      <c r="AM24" s="73">
        <f>+AVERAGE(M24,O24)</f>
        <v>155000</v>
      </c>
      <c r="AN24" s="61">
        <f t="shared" ref="AN24" si="46">+MIN(I24:O24)</f>
        <v>150000</v>
      </c>
      <c r="AO24" s="61">
        <f t="shared" si="17"/>
        <v>152500</v>
      </c>
      <c r="AP24" s="61">
        <f t="shared" si="37"/>
        <v>181475</v>
      </c>
      <c r="AQ24" s="74">
        <f t="shared" si="4"/>
        <v>0</v>
      </c>
    </row>
    <row r="25" spans="1:43" s="2" customFormat="1" ht="49.5" customHeight="1" x14ac:dyDescent="0.25">
      <c r="A25" s="39"/>
      <c r="B25" s="44">
        <v>21</v>
      </c>
      <c r="C25" s="45" t="s">
        <v>51</v>
      </c>
      <c r="D25" s="46">
        <v>3</v>
      </c>
      <c r="E25" s="47" t="s">
        <v>84</v>
      </c>
      <c r="F25" s="48" t="s">
        <v>28</v>
      </c>
      <c r="G25" s="49">
        <v>1</v>
      </c>
      <c r="I25" s="64">
        <v>300000</v>
      </c>
      <c r="J25" s="115"/>
      <c r="K25" s="64">
        <v>820600</v>
      </c>
      <c r="L25" s="115"/>
      <c r="M25" s="64">
        <v>160000</v>
      </c>
      <c r="N25" s="115"/>
      <c r="O25" s="64">
        <v>150000</v>
      </c>
      <c r="Q25" s="28"/>
      <c r="S25" s="50">
        <f t="shared" si="41"/>
        <v>150000</v>
      </c>
      <c r="T25" s="50">
        <f t="shared" si="42"/>
        <v>155000</v>
      </c>
      <c r="U25" s="50">
        <f t="shared" ref="U25:U26" si="47">+MAX(I25,K25,M25)</f>
        <v>820600</v>
      </c>
      <c r="V25" s="51">
        <f t="shared" ref="V25:V26" si="48">+(U25/S25)-1</f>
        <v>4.4706666666666663</v>
      </c>
      <c r="W25" s="50">
        <f t="shared" ref="W25:W26" si="49">+ROUND(AVERAGE(S25,T25),2)</f>
        <v>152500</v>
      </c>
      <c r="Y25" s="52">
        <f t="shared" si="8"/>
        <v>152500</v>
      </c>
      <c r="Z25" s="52">
        <f t="shared" si="9"/>
        <v>28975</v>
      </c>
      <c r="AA25" s="52">
        <f t="shared" si="10"/>
        <v>181475</v>
      </c>
      <c r="AB25" s="52">
        <f t="shared" si="11"/>
        <v>181475</v>
      </c>
      <c r="AC25" s="69">
        <v>169625</v>
      </c>
      <c r="AD25" s="65">
        <f t="shared" si="12"/>
        <v>6.9859985261606417E-2</v>
      </c>
      <c r="AF25" s="65">
        <f t="shared" si="13"/>
        <v>5.2321296978629306E-2</v>
      </c>
      <c r="AH25" s="57">
        <f t="shared" si="14"/>
        <v>178500</v>
      </c>
      <c r="AI25" s="43">
        <f t="shared" si="15"/>
        <v>178500</v>
      </c>
      <c r="AL25" s="71"/>
      <c r="AM25" s="73">
        <f>+AVERAGE(M25,O25)</f>
        <v>155000</v>
      </c>
      <c r="AN25" s="61">
        <f t="shared" ref="AN25" si="50">+MIN(I25:O25)</f>
        <v>150000</v>
      </c>
      <c r="AO25" s="61">
        <f t="shared" si="17"/>
        <v>152500</v>
      </c>
      <c r="AP25" s="61">
        <f t="shared" si="37"/>
        <v>181475</v>
      </c>
      <c r="AQ25" s="74">
        <f t="shared" si="4"/>
        <v>0</v>
      </c>
    </row>
    <row r="26" spans="1:43" s="2" customFormat="1" ht="49.5" customHeight="1" x14ac:dyDescent="0.25">
      <c r="A26" s="39"/>
      <c r="B26" s="44">
        <v>22</v>
      </c>
      <c r="C26" s="45" t="s">
        <v>52</v>
      </c>
      <c r="D26" s="46">
        <v>40</v>
      </c>
      <c r="E26" s="47" t="s">
        <v>85</v>
      </c>
      <c r="F26" s="48" t="s">
        <v>28</v>
      </c>
      <c r="G26" s="49">
        <v>1</v>
      </c>
      <c r="I26" s="64">
        <v>1300000</v>
      </c>
      <c r="J26" s="115"/>
      <c r="K26" s="64">
        <v>1302000</v>
      </c>
      <c r="L26" s="115"/>
      <c r="M26" s="64">
        <v>650000</v>
      </c>
      <c r="N26" s="115"/>
      <c r="O26" s="64">
        <v>480000</v>
      </c>
      <c r="Q26" s="28"/>
      <c r="S26" s="50">
        <f t="shared" si="19"/>
        <v>480000</v>
      </c>
      <c r="T26" s="50">
        <f t="shared" si="20"/>
        <v>933000</v>
      </c>
      <c r="U26" s="50">
        <f t="shared" si="47"/>
        <v>1302000</v>
      </c>
      <c r="V26" s="51">
        <f t="shared" si="48"/>
        <v>1.7124999999999999</v>
      </c>
      <c r="W26" s="50">
        <f t="shared" si="49"/>
        <v>706500</v>
      </c>
      <c r="Y26" s="52">
        <f t="shared" si="8"/>
        <v>706500</v>
      </c>
      <c r="Z26" s="52">
        <f t="shared" si="9"/>
        <v>134235</v>
      </c>
      <c r="AA26" s="52">
        <f t="shared" si="10"/>
        <v>840735</v>
      </c>
      <c r="AB26" s="52">
        <f t="shared" si="11"/>
        <v>840735</v>
      </c>
      <c r="AC26" s="69">
        <v>576147</v>
      </c>
      <c r="AD26" s="65">
        <f t="shared" si="12"/>
        <v>0.45923696556607951</v>
      </c>
      <c r="AF26" s="65">
        <f t="shared" si="13"/>
        <v>-8.5863503585023038E-3</v>
      </c>
      <c r="AH26" s="57">
        <f t="shared" si="14"/>
        <v>571200</v>
      </c>
      <c r="AI26" s="43">
        <f t="shared" si="15"/>
        <v>571200</v>
      </c>
      <c r="AL26" s="71"/>
      <c r="AM26" s="73">
        <f t="shared" si="21"/>
        <v>933000</v>
      </c>
      <c r="AN26" s="61">
        <f t="shared" si="22"/>
        <v>480000</v>
      </c>
      <c r="AO26" s="61">
        <f t="shared" si="17"/>
        <v>706500</v>
      </c>
      <c r="AP26" s="61">
        <f t="shared" si="37"/>
        <v>840735</v>
      </c>
      <c r="AQ26" s="74">
        <f t="shared" si="4"/>
        <v>0</v>
      </c>
    </row>
    <row r="27" spans="1:43" s="2" customFormat="1" ht="49.5" customHeight="1" x14ac:dyDescent="0.25">
      <c r="A27" s="39"/>
      <c r="B27" s="44">
        <v>23</v>
      </c>
      <c r="C27" s="45" t="s">
        <v>53</v>
      </c>
      <c r="D27" s="46">
        <v>10</v>
      </c>
      <c r="E27" s="47" t="s">
        <v>85</v>
      </c>
      <c r="F27" s="48" t="s">
        <v>28</v>
      </c>
      <c r="G27" s="49">
        <v>1</v>
      </c>
      <c r="I27" s="64">
        <v>500000</v>
      </c>
      <c r="J27" s="115"/>
      <c r="K27" s="64">
        <v>1085000</v>
      </c>
      <c r="L27" s="115"/>
      <c r="M27" s="64">
        <v>270000</v>
      </c>
      <c r="N27" s="115"/>
      <c r="O27" s="64">
        <v>250000</v>
      </c>
      <c r="Q27" s="28"/>
      <c r="S27" s="50">
        <f t="shared" ref="S27:S28" si="51">ROUND(MIN(M27,O27),2)</f>
        <v>250000</v>
      </c>
      <c r="T27" s="50">
        <f t="shared" ref="T27:T28" si="52">ROUND(AVERAGE(M27,O27),2)</f>
        <v>260000</v>
      </c>
      <c r="U27" s="50">
        <f t="shared" ref="U27" si="53">+MAX(I27,K27,M27)</f>
        <v>1085000</v>
      </c>
      <c r="V27" s="51">
        <f t="shared" ref="V27" si="54">+(U27/S27)-1</f>
        <v>3.34</v>
      </c>
      <c r="W27" s="50">
        <f t="shared" ref="W27" si="55">+ROUND(AVERAGE(S27,T27),2)</f>
        <v>255000</v>
      </c>
      <c r="Y27" s="52">
        <f t="shared" si="8"/>
        <v>255000</v>
      </c>
      <c r="Z27" s="52">
        <f t="shared" si="9"/>
        <v>48450</v>
      </c>
      <c r="AA27" s="52">
        <f t="shared" si="10"/>
        <v>303450</v>
      </c>
      <c r="AB27" s="52">
        <f t="shared" si="11"/>
        <v>303450</v>
      </c>
      <c r="AC27" s="69">
        <v>246214</v>
      </c>
      <c r="AD27" s="65">
        <f t="shared" si="12"/>
        <v>0.23246444150210799</v>
      </c>
      <c r="AF27" s="65">
        <f t="shared" si="13"/>
        <v>0.20829847206089003</v>
      </c>
      <c r="AH27" s="57">
        <f t="shared" si="14"/>
        <v>297500</v>
      </c>
      <c r="AI27" s="43">
        <f t="shared" si="15"/>
        <v>297500</v>
      </c>
      <c r="AL27" s="71"/>
      <c r="AM27" s="73">
        <f>+AVERAGE(M27,O27)</f>
        <v>260000</v>
      </c>
      <c r="AN27" s="61">
        <f t="shared" si="22"/>
        <v>250000</v>
      </c>
      <c r="AO27" s="61">
        <f t="shared" si="17"/>
        <v>255000</v>
      </c>
      <c r="AP27" s="61">
        <f t="shared" si="37"/>
        <v>303450</v>
      </c>
      <c r="AQ27" s="74">
        <f t="shared" si="4"/>
        <v>0</v>
      </c>
    </row>
    <row r="28" spans="1:43" s="2" customFormat="1" ht="49.5" customHeight="1" x14ac:dyDescent="0.25">
      <c r="A28" s="39"/>
      <c r="B28" s="44">
        <v>24</v>
      </c>
      <c r="C28" s="45" t="s">
        <v>54</v>
      </c>
      <c r="D28" s="46">
        <v>5</v>
      </c>
      <c r="E28" s="47" t="s">
        <v>85</v>
      </c>
      <c r="F28" s="48" t="s">
        <v>28</v>
      </c>
      <c r="G28" s="49">
        <v>1</v>
      </c>
      <c r="I28" s="64">
        <v>400000</v>
      </c>
      <c r="J28" s="115"/>
      <c r="K28" s="64">
        <v>953400</v>
      </c>
      <c r="L28" s="115"/>
      <c r="M28" s="64">
        <v>150000</v>
      </c>
      <c r="N28" s="115"/>
      <c r="O28" s="64">
        <v>200000</v>
      </c>
      <c r="Q28" s="28"/>
      <c r="S28" s="50">
        <f t="shared" si="51"/>
        <v>150000</v>
      </c>
      <c r="T28" s="50">
        <f t="shared" si="52"/>
        <v>175000</v>
      </c>
      <c r="U28" s="50">
        <f t="shared" si="5"/>
        <v>953400</v>
      </c>
      <c r="V28" s="51">
        <f t="shared" si="6"/>
        <v>5.3559999999999999</v>
      </c>
      <c r="W28" s="50">
        <f t="shared" si="7"/>
        <v>162500</v>
      </c>
      <c r="Y28" s="52">
        <f t="shared" si="8"/>
        <v>162500</v>
      </c>
      <c r="Z28" s="52">
        <f t="shared" si="9"/>
        <v>30875</v>
      </c>
      <c r="AA28" s="52">
        <f t="shared" si="10"/>
        <v>193375</v>
      </c>
      <c r="AB28" s="52">
        <f t="shared" si="11"/>
        <v>193375</v>
      </c>
      <c r="AC28" s="69"/>
      <c r="AD28" s="65"/>
      <c r="AF28" s="65" t="e">
        <f t="shared" si="13"/>
        <v>#DIV/0!</v>
      </c>
      <c r="AH28" s="57">
        <f t="shared" si="14"/>
        <v>178500</v>
      </c>
      <c r="AI28" s="43">
        <f t="shared" si="15"/>
        <v>178500</v>
      </c>
      <c r="AL28" s="71"/>
      <c r="AM28" s="73">
        <f>+AVERAGE(M28,O28)</f>
        <v>175000</v>
      </c>
      <c r="AN28" s="61">
        <f t="shared" si="22"/>
        <v>150000</v>
      </c>
      <c r="AO28" s="61">
        <f t="shared" si="17"/>
        <v>162500</v>
      </c>
      <c r="AP28" s="61">
        <f t="shared" si="37"/>
        <v>193375</v>
      </c>
      <c r="AQ28" s="74">
        <f t="shared" si="4"/>
        <v>0</v>
      </c>
    </row>
    <row r="29" spans="1:43" s="2" customFormat="1" ht="49.5" customHeight="1" x14ac:dyDescent="0.25">
      <c r="A29" s="39"/>
      <c r="B29" s="44">
        <v>25</v>
      </c>
      <c r="C29" s="45" t="s">
        <v>53</v>
      </c>
      <c r="D29" s="46">
        <v>10</v>
      </c>
      <c r="E29" s="47" t="s">
        <v>86</v>
      </c>
      <c r="F29" s="48" t="s">
        <v>28</v>
      </c>
      <c r="G29" s="49">
        <v>1</v>
      </c>
      <c r="I29" s="64">
        <v>500000</v>
      </c>
      <c r="J29" s="115"/>
      <c r="K29" s="64">
        <v>1085000</v>
      </c>
      <c r="L29" s="115"/>
      <c r="M29" s="64">
        <v>270000</v>
      </c>
      <c r="N29" s="115"/>
      <c r="O29" s="64">
        <v>250000</v>
      </c>
      <c r="Q29" s="28"/>
      <c r="S29" s="50">
        <f>ROUND(MIN(M29,O29),2)</f>
        <v>250000</v>
      </c>
      <c r="T29" s="50">
        <f>ROUND(AVERAGE(M29,O29),2)</f>
        <v>260000</v>
      </c>
      <c r="U29" s="50">
        <f t="shared" si="5"/>
        <v>1085000</v>
      </c>
      <c r="V29" s="51">
        <f t="shared" si="6"/>
        <v>3.34</v>
      </c>
      <c r="W29" s="50">
        <f t="shared" si="7"/>
        <v>255000</v>
      </c>
      <c r="Y29" s="52">
        <f t="shared" si="8"/>
        <v>255000</v>
      </c>
      <c r="Z29" s="52">
        <f t="shared" si="9"/>
        <v>48450</v>
      </c>
      <c r="AA29" s="52">
        <f t="shared" si="10"/>
        <v>303450</v>
      </c>
      <c r="AB29" s="52">
        <f t="shared" si="11"/>
        <v>303450</v>
      </c>
      <c r="AC29" s="69">
        <v>241654</v>
      </c>
      <c r="AD29" s="65">
        <f t="shared" si="12"/>
        <v>0.25572098951393318</v>
      </c>
      <c r="AF29" s="65">
        <f t="shared" si="13"/>
        <v>0.23109900932738547</v>
      </c>
      <c r="AH29" s="57">
        <f t="shared" si="14"/>
        <v>297500</v>
      </c>
      <c r="AI29" s="43">
        <f t="shared" si="15"/>
        <v>297500</v>
      </c>
      <c r="AL29" s="71"/>
      <c r="AM29" s="73">
        <f>+AVERAGE(M29,O29)</f>
        <v>260000</v>
      </c>
      <c r="AN29" s="61">
        <f t="shared" ref="AN29:AN30" si="56">+MIN(K29:O29)</f>
        <v>250000</v>
      </c>
      <c r="AO29" s="61">
        <f t="shared" si="17"/>
        <v>255000</v>
      </c>
      <c r="AP29" s="61">
        <f t="shared" si="37"/>
        <v>303450</v>
      </c>
      <c r="AQ29" s="74">
        <f t="shared" si="4"/>
        <v>0</v>
      </c>
    </row>
    <row r="30" spans="1:43" s="2" customFormat="1" ht="49.5" customHeight="1" x14ac:dyDescent="0.25">
      <c r="A30" s="39"/>
      <c r="B30" s="44">
        <v>26</v>
      </c>
      <c r="C30" s="53" t="s">
        <v>53</v>
      </c>
      <c r="D30" s="54">
        <v>10</v>
      </c>
      <c r="E30" s="47" t="s">
        <v>86</v>
      </c>
      <c r="F30" s="48" t="s">
        <v>28</v>
      </c>
      <c r="G30" s="49">
        <v>1</v>
      </c>
      <c r="I30" s="64">
        <v>500000</v>
      </c>
      <c r="J30" s="115"/>
      <c r="K30" s="64">
        <v>1085000</v>
      </c>
      <c r="L30" s="115"/>
      <c r="M30" s="64">
        <v>270000</v>
      </c>
      <c r="N30" s="115"/>
      <c r="O30" s="64">
        <v>250000</v>
      </c>
      <c r="Q30" s="28"/>
      <c r="S30" s="50">
        <f>ROUND(MIN(M30,O30),2)</f>
        <v>250000</v>
      </c>
      <c r="T30" s="50">
        <f>ROUND(AVERAGE(M30,O30),2)</f>
        <v>260000</v>
      </c>
      <c r="U30" s="50">
        <f t="shared" ref="U30:U31" si="57">+MAX(I30,K30,M30)</f>
        <v>1085000</v>
      </c>
      <c r="V30" s="51">
        <f t="shared" ref="V30:V31" si="58">+(U30/S30)-1</f>
        <v>3.34</v>
      </c>
      <c r="W30" s="50">
        <f t="shared" ref="W30:W31" si="59">+ROUND(AVERAGE(S30,T30),2)</f>
        <v>255000</v>
      </c>
      <c r="Y30" s="52">
        <f t="shared" si="8"/>
        <v>255000</v>
      </c>
      <c r="Z30" s="52">
        <f t="shared" si="9"/>
        <v>48450</v>
      </c>
      <c r="AA30" s="52">
        <f t="shared" si="10"/>
        <v>303450</v>
      </c>
      <c r="AB30" s="52">
        <f t="shared" si="11"/>
        <v>303450</v>
      </c>
      <c r="AC30" s="69">
        <v>241654</v>
      </c>
      <c r="AD30" s="65">
        <f t="shared" si="12"/>
        <v>0.25572098951393318</v>
      </c>
      <c r="AF30" s="65">
        <f t="shared" si="13"/>
        <v>0.23109900932738547</v>
      </c>
      <c r="AH30" s="57">
        <f t="shared" si="14"/>
        <v>297500</v>
      </c>
      <c r="AI30" s="43">
        <f t="shared" si="15"/>
        <v>297500</v>
      </c>
      <c r="AL30" s="71"/>
      <c r="AM30" s="73">
        <f>+AVERAGE(M30,O30)</f>
        <v>260000</v>
      </c>
      <c r="AN30" s="61">
        <f t="shared" si="56"/>
        <v>250000</v>
      </c>
      <c r="AO30" s="61">
        <f t="shared" si="17"/>
        <v>255000</v>
      </c>
      <c r="AP30" s="61">
        <f t="shared" si="37"/>
        <v>303450</v>
      </c>
      <c r="AQ30" s="74">
        <f t="shared" si="4"/>
        <v>0</v>
      </c>
    </row>
    <row r="31" spans="1:43" s="2" customFormat="1" ht="49.5" customHeight="1" x14ac:dyDescent="0.25">
      <c r="A31" s="39"/>
      <c r="B31" s="44">
        <v>27</v>
      </c>
      <c r="C31" s="45" t="s">
        <v>55</v>
      </c>
      <c r="D31" s="46">
        <v>20</v>
      </c>
      <c r="E31" s="47" t="s">
        <v>87</v>
      </c>
      <c r="F31" s="48" t="s">
        <v>28</v>
      </c>
      <c r="G31" s="49">
        <v>1</v>
      </c>
      <c r="I31" s="64">
        <v>1000000</v>
      </c>
      <c r="J31" s="115"/>
      <c r="K31" s="64">
        <v>1302000</v>
      </c>
      <c r="L31" s="115"/>
      <c r="M31" s="64">
        <v>560000</v>
      </c>
      <c r="N31" s="115"/>
      <c r="O31" s="64">
        <v>400000</v>
      </c>
      <c r="Q31" s="28"/>
      <c r="S31" s="50">
        <f t="shared" si="19"/>
        <v>400000</v>
      </c>
      <c r="T31" s="50">
        <f t="shared" si="20"/>
        <v>815500</v>
      </c>
      <c r="U31" s="50">
        <f t="shared" si="57"/>
        <v>1302000</v>
      </c>
      <c r="V31" s="51">
        <f t="shared" si="58"/>
        <v>2.2549999999999999</v>
      </c>
      <c r="W31" s="50">
        <f t="shared" si="59"/>
        <v>607750</v>
      </c>
      <c r="Y31" s="52">
        <f t="shared" si="8"/>
        <v>607750</v>
      </c>
      <c r="Z31" s="52">
        <f t="shared" si="9"/>
        <v>115472.5</v>
      </c>
      <c r="AA31" s="52">
        <f t="shared" si="10"/>
        <v>723222.5</v>
      </c>
      <c r="AB31" s="52">
        <f t="shared" si="11"/>
        <v>723222.5</v>
      </c>
      <c r="AC31" s="69">
        <v>514062</v>
      </c>
      <c r="AD31" s="65">
        <f t="shared" si="12"/>
        <v>0.40687796413662158</v>
      </c>
      <c r="AF31" s="65">
        <f t="shared" si="13"/>
        <v>-7.4041652563309523E-2</v>
      </c>
      <c r="AH31" s="57">
        <f t="shared" si="14"/>
        <v>476000</v>
      </c>
      <c r="AI31" s="43">
        <f t="shared" si="15"/>
        <v>476000</v>
      </c>
      <c r="AL31" s="71"/>
      <c r="AM31" s="73">
        <f t="shared" si="21"/>
        <v>815500</v>
      </c>
      <c r="AN31" s="61">
        <f t="shared" si="22"/>
        <v>400000</v>
      </c>
      <c r="AO31" s="61">
        <f t="shared" si="17"/>
        <v>607750</v>
      </c>
      <c r="AP31" s="61">
        <f t="shared" si="37"/>
        <v>723222.5</v>
      </c>
      <c r="AQ31" s="74">
        <f t="shared" si="4"/>
        <v>0</v>
      </c>
    </row>
    <row r="32" spans="1:43" s="2" customFormat="1" ht="49.5" customHeight="1" x14ac:dyDescent="0.25">
      <c r="A32" s="39"/>
      <c r="B32" s="44">
        <v>28</v>
      </c>
      <c r="C32" s="45" t="s">
        <v>56</v>
      </c>
      <c r="D32" s="46">
        <v>10</v>
      </c>
      <c r="E32" s="47" t="s">
        <v>88</v>
      </c>
      <c r="F32" s="48" t="s">
        <v>28</v>
      </c>
      <c r="G32" s="49">
        <v>1</v>
      </c>
      <c r="I32" s="64">
        <v>500000</v>
      </c>
      <c r="J32" s="115"/>
      <c r="K32" s="64">
        <v>697000</v>
      </c>
      <c r="L32" s="115"/>
      <c r="M32" s="64">
        <v>270000</v>
      </c>
      <c r="N32" s="115"/>
      <c r="O32" s="64">
        <v>250000</v>
      </c>
      <c r="Q32" s="28"/>
      <c r="S32" s="50">
        <f t="shared" si="19"/>
        <v>250000</v>
      </c>
      <c r="T32" s="50">
        <f t="shared" si="20"/>
        <v>429250</v>
      </c>
      <c r="U32" s="50">
        <f t="shared" si="5"/>
        <v>697000</v>
      </c>
      <c r="V32" s="51">
        <f t="shared" si="6"/>
        <v>1.7879999999999998</v>
      </c>
      <c r="W32" s="50">
        <f t="shared" si="7"/>
        <v>339625</v>
      </c>
      <c r="Y32" s="52">
        <f t="shared" si="8"/>
        <v>339625</v>
      </c>
      <c r="Z32" s="52">
        <f t="shared" si="9"/>
        <v>64528.75</v>
      </c>
      <c r="AA32" s="52">
        <f t="shared" si="10"/>
        <v>404153.75</v>
      </c>
      <c r="AB32" s="52">
        <f t="shared" si="11"/>
        <v>404153.75</v>
      </c>
      <c r="AC32" s="69">
        <v>277195</v>
      </c>
      <c r="AD32" s="65">
        <f t="shared" si="12"/>
        <v>0.45801241003625615</v>
      </c>
      <c r="AF32" s="65">
        <f t="shared" si="13"/>
        <v>7.3251682028896647E-2</v>
      </c>
      <c r="AH32" s="57">
        <f t="shared" si="14"/>
        <v>297500</v>
      </c>
      <c r="AI32" s="43">
        <f t="shared" si="15"/>
        <v>297500</v>
      </c>
      <c r="AL32" s="71"/>
      <c r="AM32" s="73">
        <f t="shared" si="21"/>
        <v>429250</v>
      </c>
      <c r="AN32" s="61">
        <f t="shared" si="22"/>
        <v>250000</v>
      </c>
      <c r="AO32" s="61">
        <f t="shared" si="17"/>
        <v>339625</v>
      </c>
      <c r="AP32" s="61">
        <f t="shared" si="37"/>
        <v>404153.75</v>
      </c>
      <c r="AQ32" s="74">
        <f t="shared" si="4"/>
        <v>0</v>
      </c>
    </row>
    <row r="33" spans="1:43" s="2" customFormat="1" ht="49.5" customHeight="1" x14ac:dyDescent="0.25">
      <c r="A33" s="39"/>
      <c r="B33" s="44">
        <v>29</v>
      </c>
      <c r="C33" s="45" t="s">
        <v>57</v>
      </c>
      <c r="D33" s="46">
        <v>3</v>
      </c>
      <c r="E33" s="47" t="s">
        <v>88</v>
      </c>
      <c r="F33" s="48" t="s">
        <v>28</v>
      </c>
      <c r="G33" s="49">
        <v>1</v>
      </c>
      <c r="I33" s="64">
        <v>300000</v>
      </c>
      <c r="J33" s="115"/>
      <c r="K33" s="64">
        <v>426100</v>
      </c>
      <c r="L33" s="115"/>
      <c r="M33" s="64">
        <v>160000</v>
      </c>
      <c r="N33" s="115"/>
      <c r="O33" s="64">
        <v>150000</v>
      </c>
      <c r="Q33" s="28"/>
      <c r="S33" s="50">
        <f t="shared" si="19"/>
        <v>150000</v>
      </c>
      <c r="T33" s="50">
        <f t="shared" si="20"/>
        <v>259025</v>
      </c>
      <c r="U33" s="50">
        <f t="shared" si="5"/>
        <v>426100</v>
      </c>
      <c r="V33" s="51">
        <f t="shared" si="6"/>
        <v>1.8406666666666665</v>
      </c>
      <c r="W33" s="50">
        <f t="shared" si="7"/>
        <v>204512.5</v>
      </c>
      <c r="Y33" s="52">
        <f t="shared" si="8"/>
        <v>204512.5</v>
      </c>
      <c r="Z33" s="52">
        <f t="shared" si="9"/>
        <v>38857.379999999997</v>
      </c>
      <c r="AA33" s="52">
        <f t="shared" si="10"/>
        <v>243369.88</v>
      </c>
      <c r="AB33" s="52">
        <f t="shared" si="11"/>
        <v>243369.88</v>
      </c>
      <c r="AC33" s="69">
        <v>178076</v>
      </c>
      <c r="AD33" s="65">
        <f t="shared" si="12"/>
        <v>0.36666299782115508</v>
      </c>
      <c r="AF33" s="65">
        <f t="shared" si="13"/>
        <v>2.3810058626654307E-3</v>
      </c>
      <c r="AH33" s="57">
        <f t="shared" si="14"/>
        <v>178500</v>
      </c>
      <c r="AI33" s="43">
        <f t="shared" si="15"/>
        <v>178500</v>
      </c>
      <c r="AL33" s="71"/>
      <c r="AM33" s="73">
        <f t="shared" si="21"/>
        <v>259025</v>
      </c>
      <c r="AN33" s="61">
        <f t="shared" si="22"/>
        <v>150000</v>
      </c>
      <c r="AO33" s="61">
        <f t="shared" si="17"/>
        <v>204512.5</v>
      </c>
      <c r="AP33" s="61">
        <f t="shared" si="37"/>
        <v>243369.875</v>
      </c>
      <c r="AQ33" s="74">
        <f t="shared" si="4"/>
        <v>5.0000000046566129E-3</v>
      </c>
    </row>
    <row r="34" spans="1:43" s="2" customFormat="1" ht="49.5" customHeight="1" x14ac:dyDescent="0.25">
      <c r="A34" s="39"/>
      <c r="B34" s="44">
        <v>30</v>
      </c>
      <c r="C34" s="45" t="s">
        <v>58</v>
      </c>
      <c r="D34" s="46">
        <v>1</v>
      </c>
      <c r="E34" s="47" t="s">
        <v>88</v>
      </c>
      <c r="F34" s="48" t="s">
        <v>28</v>
      </c>
      <c r="G34" s="49">
        <v>1</v>
      </c>
      <c r="I34" s="64">
        <v>200000</v>
      </c>
      <c r="J34" s="115"/>
      <c r="K34" s="64">
        <v>407700</v>
      </c>
      <c r="L34" s="115"/>
      <c r="M34" s="64">
        <v>120000</v>
      </c>
      <c r="N34" s="115"/>
      <c r="O34" s="64">
        <v>110000</v>
      </c>
      <c r="Q34" s="28"/>
      <c r="S34" s="50">
        <f>ROUND(MIN(M34,O34),2)</f>
        <v>110000</v>
      </c>
      <c r="T34" s="50">
        <f>ROUND(AVERAGE(M34,O34),2)</f>
        <v>115000</v>
      </c>
      <c r="U34" s="50">
        <f t="shared" si="5"/>
        <v>407700</v>
      </c>
      <c r="V34" s="51">
        <f t="shared" si="6"/>
        <v>2.7063636363636365</v>
      </c>
      <c r="W34" s="50">
        <f t="shared" si="7"/>
        <v>112500</v>
      </c>
      <c r="Y34" s="52">
        <f t="shared" si="8"/>
        <v>112500</v>
      </c>
      <c r="Z34" s="52">
        <f t="shared" si="9"/>
        <v>21375</v>
      </c>
      <c r="AA34" s="52">
        <f t="shared" si="10"/>
        <v>133875</v>
      </c>
      <c r="AB34" s="52">
        <f t="shared" si="11"/>
        <v>133875</v>
      </c>
      <c r="AC34" s="69">
        <v>171879</v>
      </c>
      <c r="AD34" s="65">
        <f t="shared" si="12"/>
        <v>-0.22110903600788923</v>
      </c>
      <c r="AF34" s="65">
        <f t="shared" si="13"/>
        <v>-0.23841772409660289</v>
      </c>
      <c r="AH34" s="57">
        <f t="shared" si="14"/>
        <v>130900</v>
      </c>
      <c r="AI34" s="43">
        <f>+MIN(M34:O34)*1.19</f>
        <v>130900</v>
      </c>
      <c r="AL34" s="71"/>
      <c r="AM34" s="73">
        <f>+AVERAGE(M34,O34)</f>
        <v>115000</v>
      </c>
      <c r="AN34" s="61">
        <f>+MIN(M34:O34)</f>
        <v>110000</v>
      </c>
      <c r="AO34" s="61">
        <f t="shared" si="17"/>
        <v>112500</v>
      </c>
      <c r="AP34" s="61">
        <f t="shared" si="37"/>
        <v>133875</v>
      </c>
      <c r="AQ34" s="74">
        <f t="shared" si="4"/>
        <v>0</v>
      </c>
    </row>
    <row r="35" spans="1:43" s="2" customFormat="1" ht="49.5" customHeight="1" x14ac:dyDescent="0.25">
      <c r="A35" s="39"/>
      <c r="B35" s="44">
        <v>31</v>
      </c>
      <c r="C35" s="45" t="s">
        <v>59</v>
      </c>
      <c r="D35" s="46">
        <v>15</v>
      </c>
      <c r="E35" s="47" t="s">
        <v>88</v>
      </c>
      <c r="F35" s="48" t="s">
        <v>28</v>
      </c>
      <c r="G35" s="49">
        <v>1</v>
      </c>
      <c r="I35" s="64">
        <v>900000</v>
      </c>
      <c r="J35" s="115"/>
      <c r="K35" s="64">
        <v>749600</v>
      </c>
      <c r="L35" s="115"/>
      <c r="M35" s="64">
        <v>280000</v>
      </c>
      <c r="N35" s="115"/>
      <c r="O35" s="64">
        <v>300000</v>
      </c>
      <c r="Q35" s="28"/>
      <c r="S35" s="50">
        <f t="shared" si="19"/>
        <v>280000</v>
      </c>
      <c r="T35" s="50">
        <f t="shared" si="20"/>
        <v>557400</v>
      </c>
      <c r="U35" s="50">
        <f t="shared" si="5"/>
        <v>900000</v>
      </c>
      <c r="V35" s="51">
        <f t="shared" si="6"/>
        <v>2.2142857142857144</v>
      </c>
      <c r="W35" s="50">
        <f t="shared" si="7"/>
        <v>418700</v>
      </c>
      <c r="Y35" s="52">
        <f t="shared" si="8"/>
        <v>418700</v>
      </c>
      <c r="Z35" s="52">
        <f t="shared" si="9"/>
        <v>79553</v>
      </c>
      <c r="AA35" s="52">
        <f t="shared" si="10"/>
        <v>498253</v>
      </c>
      <c r="AB35" s="52">
        <f t="shared" si="11"/>
        <v>498253</v>
      </c>
      <c r="AC35" s="69">
        <v>338334</v>
      </c>
      <c r="AD35" s="65">
        <f t="shared" si="12"/>
        <v>0.47266606371218978</v>
      </c>
      <c r="AF35" s="65">
        <f t="shared" si="13"/>
        <v>-1.5174354336247586E-2</v>
      </c>
      <c r="AH35" s="57">
        <f t="shared" si="14"/>
        <v>333200</v>
      </c>
      <c r="AI35" s="43">
        <f t="shared" si="15"/>
        <v>333200</v>
      </c>
      <c r="AL35" s="71"/>
      <c r="AM35" s="73">
        <f t="shared" si="21"/>
        <v>557400</v>
      </c>
      <c r="AN35" s="61">
        <f t="shared" si="22"/>
        <v>280000</v>
      </c>
      <c r="AO35" s="61">
        <f t="shared" si="17"/>
        <v>418700</v>
      </c>
      <c r="AP35" s="61">
        <f t="shared" si="37"/>
        <v>498253</v>
      </c>
      <c r="AQ35" s="74">
        <f t="shared" si="4"/>
        <v>0</v>
      </c>
    </row>
    <row r="36" spans="1:43" s="2" customFormat="1" ht="49.5" customHeight="1" x14ac:dyDescent="0.25">
      <c r="A36" s="39"/>
      <c r="B36" s="44">
        <v>32</v>
      </c>
      <c r="C36" s="45" t="s">
        <v>60</v>
      </c>
      <c r="D36" s="46">
        <v>3</v>
      </c>
      <c r="E36" s="47" t="s">
        <v>88</v>
      </c>
      <c r="F36" s="48" t="s">
        <v>28</v>
      </c>
      <c r="G36" s="49">
        <v>1</v>
      </c>
      <c r="I36" s="64">
        <v>300000</v>
      </c>
      <c r="J36" s="115"/>
      <c r="K36" s="64">
        <v>426100</v>
      </c>
      <c r="L36" s="115"/>
      <c r="M36" s="64">
        <v>160000</v>
      </c>
      <c r="N36" s="115"/>
      <c r="O36" s="64">
        <v>150000</v>
      </c>
      <c r="Q36" s="28"/>
      <c r="S36" s="50">
        <f t="shared" si="19"/>
        <v>150000</v>
      </c>
      <c r="T36" s="50">
        <f t="shared" si="20"/>
        <v>259025</v>
      </c>
      <c r="U36" s="50">
        <f t="shared" si="5"/>
        <v>426100</v>
      </c>
      <c r="V36" s="51">
        <f t="shared" si="6"/>
        <v>1.8406666666666665</v>
      </c>
      <c r="W36" s="50">
        <f t="shared" si="7"/>
        <v>204512.5</v>
      </c>
      <c r="Y36" s="52">
        <f t="shared" si="8"/>
        <v>204512.5</v>
      </c>
      <c r="Z36" s="52">
        <f t="shared" si="9"/>
        <v>38857.379999999997</v>
      </c>
      <c r="AA36" s="52">
        <f t="shared" si="10"/>
        <v>243369.88</v>
      </c>
      <c r="AB36" s="52">
        <f t="shared" si="11"/>
        <v>243369.88</v>
      </c>
      <c r="AC36" s="69">
        <v>178076</v>
      </c>
      <c r="AD36" s="65">
        <f t="shared" si="12"/>
        <v>0.36666299782115508</v>
      </c>
      <c r="AF36" s="65">
        <f t="shared" si="13"/>
        <v>2.3810058626654307E-3</v>
      </c>
      <c r="AH36" s="57">
        <f t="shared" si="14"/>
        <v>178500</v>
      </c>
      <c r="AI36" s="43">
        <f t="shared" si="15"/>
        <v>178500</v>
      </c>
      <c r="AL36" s="71"/>
      <c r="AM36" s="73">
        <f t="shared" si="21"/>
        <v>259025</v>
      </c>
      <c r="AN36" s="61">
        <f t="shared" si="22"/>
        <v>150000</v>
      </c>
      <c r="AO36" s="61">
        <f t="shared" si="17"/>
        <v>204512.5</v>
      </c>
      <c r="AP36" s="61">
        <f t="shared" si="37"/>
        <v>243369.875</v>
      </c>
      <c r="AQ36" s="74">
        <f t="shared" si="4"/>
        <v>5.0000000046566129E-3</v>
      </c>
    </row>
    <row r="37" spans="1:43" s="2" customFormat="1" ht="49.5" customHeight="1" x14ac:dyDescent="0.25">
      <c r="A37" s="39"/>
      <c r="B37" s="44">
        <v>33</v>
      </c>
      <c r="C37" s="45" t="s">
        <v>61</v>
      </c>
      <c r="D37" s="46">
        <v>30</v>
      </c>
      <c r="E37" s="47" t="s">
        <v>88</v>
      </c>
      <c r="F37" s="48" t="s">
        <v>28</v>
      </c>
      <c r="G37" s="49">
        <v>1</v>
      </c>
      <c r="I37" s="64">
        <v>1000000</v>
      </c>
      <c r="J37" s="115"/>
      <c r="K37" s="64">
        <v>907400</v>
      </c>
      <c r="L37" s="115"/>
      <c r="M37" s="116">
        <v>590000</v>
      </c>
      <c r="N37" s="115"/>
      <c r="O37" s="64">
        <v>450000</v>
      </c>
      <c r="Q37" s="23"/>
      <c r="S37" s="50">
        <f t="shared" si="19"/>
        <v>450000</v>
      </c>
      <c r="T37" s="50">
        <f t="shared" si="20"/>
        <v>736850</v>
      </c>
      <c r="U37" s="50">
        <f t="shared" si="5"/>
        <v>1000000</v>
      </c>
      <c r="V37" s="51">
        <f t="shared" si="6"/>
        <v>1.2222222222222223</v>
      </c>
      <c r="W37" s="50">
        <f t="shared" si="7"/>
        <v>593425</v>
      </c>
      <c r="Y37" s="52">
        <f t="shared" si="8"/>
        <v>593425</v>
      </c>
      <c r="Z37" s="52">
        <f t="shared" si="9"/>
        <v>112750.75</v>
      </c>
      <c r="AA37" s="52">
        <f t="shared" si="10"/>
        <v>706175.75</v>
      </c>
      <c r="AB37" s="52">
        <f t="shared" si="11"/>
        <v>706175.75</v>
      </c>
      <c r="AC37" s="69">
        <v>505917</v>
      </c>
      <c r="AD37" s="65">
        <f t="shared" si="12"/>
        <v>0.39583320979528258</v>
      </c>
      <c r="AF37" s="65">
        <f t="shared" si="13"/>
        <v>5.8474018465479505E-2</v>
      </c>
      <c r="AH37" s="57">
        <f t="shared" si="14"/>
        <v>535500</v>
      </c>
      <c r="AI37" s="43">
        <f t="shared" si="15"/>
        <v>535500</v>
      </c>
      <c r="AL37" s="71"/>
      <c r="AM37" s="73">
        <f t="shared" si="21"/>
        <v>736850</v>
      </c>
      <c r="AN37" s="61">
        <f t="shared" si="22"/>
        <v>450000</v>
      </c>
      <c r="AO37" s="61">
        <f t="shared" si="17"/>
        <v>593425</v>
      </c>
      <c r="AP37" s="61">
        <f t="shared" si="37"/>
        <v>706175.75</v>
      </c>
      <c r="AQ37" s="74">
        <f t="shared" si="4"/>
        <v>0</v>
      </c>
    </row>
    <row r="38" spans="1:43" s="2" customFormat="1" ht="49.5" customHeight="1" x14ac:dyDescent="0.25">
      <c r="A38" s="39"/>
      <c r="B38" s="44">
        <v>34</v>
      </c>
      <c r="C38" s="45" t="s">
        <v>62</v>
      </c>
      <c r="D38" s="46">
        <v>6</v>
      </c>
      <c r="E38" s="47" t="s">
        <v>88</v>
      </c>
      <c r="F38" s="48" t="s">
        <v>28</v>
      </c>
      <c r="G38" s="49">
        <v>1</v>
      </c>
      <c r="I38" s="64">
        <v>600000</v>
      </c>
      <c r="J38" s="115"/>
      <c r="K38" s="64">
        <v>591800</v>
      </c>
      <c r="L38" s="115"/>
      <c r="M38" s="116">
        <v>200000</v>
      </c>
      <c r="N38" s="115"/>
      <c r="O38" s="64">
        <v>220000</v>
      </c>
      <c r="Q38" s="28"/>
      <c r="S38" s="50">
        <f t="shared" si="19"/>
        <v>200000</v>
      </c>
      <c r="T38" s="50">
        <f t="shared" si="20"/>
        <v>402950</v>
      </c>
      <c r="U38" s="50">
        <f t="shared" si="5"/>
        <v>600000</v>
      </c>
      <c r="V38" s="51">
        <f t="shared" si="6"/>
        <v>2</v>
      </c>
      <c r="W38" s="50">
        <f t="shared" si="7"/>
        <v>301475</v>
      </c>
      <c r="Y38" s="52">
        <f t="shared" si="8"/>
        <v>301475</v>
      </c>
      <c r="Z38" s="52">
        <f t="shared" si="9"/>
        <v>57280.25</v>
      </c>
      <c r="AA38" s="52">
        <f t="shared" si="10"/>
        <v>358755.25</v>
      </c>
      <c r="AB38" s="52">
        <f t="shared" si="11"/>
        <v>358755.25</v>
      </c>
      <c r="AC38" s="69">
        <v>242807</v>
      </c>
      <c r="AD38" s="65">
        <f t="shared" si="12"/>
        <v>0.47753256701824909</v>
      </c>
      <c r="AF38" s="65">
        <f t="shared" si="13"/>
        <v>-1.9797617037400128E-2</v>
      </c>
      <c r="AH38" s="57">
        <f t="shared" si="14"/>
        <v>238000</v>
      </c>
      <c r="AI38" s="43">
        <f t="shared" si="15"/>
        <v>238000</v>
      </c>
      <c r="AL38" s="71"/>
      <c r="AM38" s="73">
        <f t="shared" si="21"/>
        <v>402950</v>
      </c>
      <c r="AN38" s="61">
        <f t="shared" si="22"/>
        <v>200000</v>
      </c>
      <c r="AO38" s="61">
        <f t="shared" si="17"/>
        <v>301475</v>
      </c>
      <c r="AP38" s="61">
        <f t="shared" si="37"/>
        <v>358755.25</v>
      </c>
      <c r="AQ38" s="74">
        <f t="shared" si="4"/>
        <v>0</v>
      </c>
    </row>
    <row r="39" spans="1:43" s="2" customFormat="1" ht="49.5" customHeight="1" x14ac:dyDescent="0.25">
      <c r="A39" s="39"/>
      <c r="B39" s="44">
        <v>35</v>
      </c>
      <c r="C39" s="45" t="s">
        <v>63</v>
      </c>
      <c r="D39" s="46">
        <v>3</v>
      </c>
      <c r="E39" s="47" t="s">
        <v>88</v>
      </c>
      <c r="F39" s="48" t="s">
        <v>28</v>
      </c>
      <c r="G39" s="49">
        <v>1</v>
      </c>
      <c r="I39" s="64">
        <v>400000</v>
      </c>
      <c r="J39" s="115"/>
      <c r="K39" s="64">
        <v>426100</v>
      </c>
      <c r="L39" s="115"/>
      <c r="M39" s="116">
        <v>160000</v>
      </c>
      <c r="N39" s="115"/>
      <c r="O39" s="64">
        <v>150000</v>
      </c>
      <c r="Q39" s="28"/>
      <c r="S39" s="50">
        <f t="shared" si="19"/>
        <v>150000</v>
      </c>
      <c r="T39" s="50">
        <f t="shared" si="20"/>
        <v>284025</v>
      </c>
      <c r="U39" s="50">
        <f t="shared" si="5"/>
        <v>426100</v>
      </c>
      <c r="V39" s="51">
        <f t="shared" si="6"/>
        <v>1.8406666666666665</v>
      </c>
      <c r="W39" s="50">
        <f t="shared" si="7"/>
        <v>217012.5</v>
      </c>
      <c r="Y39" s="52">
        <f t="shared" si="8"/>
        <v>217012.5</v>
      </c>
      <c r="Z39" s="52">
        <f t="shared" si="9"/>
        <v>41232.379999999997</v>
      </c>
      <c r="AA39" s="52">
        <f t="shared" si="10"/>
        <v>258244.88</v>
      </c>
      <c r="AB39" s="52">
        <f t="shared" si="11"/>
        <v>258244.88</v>
      </c>
      <c r="AC39" s="69">
        <v>194471</v>
      </c>
      <c r="AD39" s="65">
        <f t="shared" si="12"/>
        <v>0.32793516771138109</v>
      </c>
      <c r="AF39" s="65">
        <f t="shared" si="13"/>
        <v>-8.2125355451455495E-2</v>
      </c>
      <c r="AH39" s="57">
        <f t="shared" si="14"/>
        <v>178500</v>
      </c>
      <c r="AI39" s="43">
        <f t="shared" si="15"/>
        <v>178500</v>
      </c>
      <c r="AL39" s="71"/>
      <c r="AM39" s="73">
        <f t="shared" si="21"/>
        <v>284025</v>
      </c>
      <c r="AN39" s="61">
        <f t="shared" si="22"/>
        <v>150000</v>
      </c>
      <c r="AO39" s="61">
        <f t="shared" si="17"/>
        <v>217012.5</v>
      </c>
      <c r="AP39" s="61">
        <f t="shared" si="37"/>
        <v>258244.875</v>
      </c>
      <c r="AQ39" s="74">
        <f t="shared" si="4"/>
        <v>5.0000000046566129E-3</v>
      </c>
    </row>
    <row r="40" spans="1:43" s="2" customFormat="1" ht="49.5" customHeight="1" x14ac:dyDescent="0.25">
      <c r="A40" s="39"/>
      <c r="B40" s="44">
        <v>36</v>
      </c>
      <c r="C40" s="45" t="s">
        <v>64</v>
      </c>
      <c r="D40" s="46">
        <v>2</v>
      </c>
      <c r="E40" s="47" t="s">
        <v>88</v>
      </c>
      <c r="F40" s="48" t="s">
        <v>28</v>
      </c>
      <c r="G40" s="49">
        <v>1</v>
      </c>
      <c r="I40" s="64">
        <v>250000</v>
      </c>
      <c r="J40" s="115"/>
      <c r="K40" s="64">
        <v>426100</v>
      </c>
      <c r="L40" s="115"/>
      <c r="M40" s="116">
        <v>140000</v>
      </c>
      <c r="N40" s="115"/>
      <c r="O40" s="64">
        <v>130000</v>
      </c>
      <c r="Q40" s="28"/>
      <c r="S40" s="50">
        <f>ROUND(MIN(M40,O40),2)</f>
        <v>130000</v>
      </c>
      <c r="T40" s="50">
        <f>ROUND(AVERAGE(M40,O40),2)</f>
        <v>135000</v>
      </c>
      <c r="U40" s="50">
        <f t="shared" si="5"/>
        <v>426100</v>
      </c>
      <c r="V40" s="51">
        <f t="shared" si="6"/>
        <v>2.2776923076923077</v>
      </c>
      <c r="W40" s="50">
        <f t="shared" si="7"/>
        <v>132500</v>
      </c>
      <c r="Y40" s="52">
        <f t="shared" si="8"/>
        <v>132500</v>
      </c>
      <c r="Z40" s="52">
        <f t="shared" si="9"/>
        <v>25175</v>
      </c>
      <c r="AA40" s="52">
        <f t="shared" si="10"/>
        <v>157675</v>
      </c>
      <c r="AB40" s="52">
        <f t="shared" si="11"/>
        <v>157675</v>
      </c>
      <c r="AC40" s="69">
        <v>171311</v>
      </c>
      <c r="AD40" s="65">
        <f t="shared" si="12"/>
        <v>-7.959792424304335E-2</v>
      </c>
      <c r="AF40" s="65">
        <f t="shared" si="13"/>
        <v>-9.6964001144117962E-2</v>
      </c>
      <c r="AH40" s="57">
        <f t="shared" si="14"/>
        <v>154700</v>
      </c>
      <c r="AI40" s="43">
        <f>+MIN(M40:O40)*1.19</f>
        <v>154700</v>
      </c>
      <c r="AL40" s="71"/>
      <c r="AM40" s="73">
        <f>+AVERAGE(M40,O40)</f>
        <v>135000</v>
      </c>
      <c r="AN40" s="61">
        <f>+MIN(M40:O40)</f>
        <v>130000</v>
      </c>
      <c r="AO40" s="61">
        <f t="shared" si="17"/>
        <v>132500</v>
      </c>
      <c r="AP40" s="61">
        <f t="shared" si="37"/>
        <v>157675</v>
      </c>
      <c r="AQ40" s="74">
        <f t="shared" si="4"/>
        <v>0</v>
      </c>
    </row>
    <row r="41" spans="1:43" s="2" customFormat="1" ht="49.5" customHeight="1" x14ac:dyDescent="0.25">
      <c r="A41" s="39"/>
      <c r="B41" s="44">
        <v>37</v>
      </c>
      <c r="C41" s="45" t="s">
        <v>65</v>
      </c>
      <c r="D41" s="46" t="s">
        <v>66</v>
      </c>
      <c r="E41" s="47" t="s">
        <v>88</v>
      </c>
      <c r="F41" s="48" t="s">
        <v>28</v>
      </c>
      <c r="G41" s="49">
        <v>1</v>
      </c>
      <c r="I41" s="64">
        <v>200000</v>
      </c>
      <c r="J41" s="115"/>
      <c r="K41" s="64">
        <v>407700</v>
      </c>
      <c r="L41" s="115"/>
      <c r="M41" s="116">
        <v>100000</v>
      </c>
      <c r="N41" s="115"/>
      <c r="O41" s="64">
        <v>100000</v>
      </c>
      <c r="Q41" s="28"/>
      <c r="S41" s="50">
        <f>ROUND(MIN(M41,O41),2)</f>
        <v>100000</v>
      </c>
      <c r="T41" s="50">
        <f>ROUND(AVERAGE(M41,O41),2)</f>
        <v>100000</v>
      </c>
      <c r="U41" s="50">
        <f t="shared" si="5"/>
        <v>407700</v>
      </c>
      <c r="V41" s="51">
        <f t="shared" si="6"/>
        <v>3.077</v>
      </c>
      <c r="W41" s="50">
        <f t="shared" si="7"/>
        <v>100000</v>
      </c>
      <c r="Y41" s="52">
        <f t="shared" si="8"/>
        <v>100000</v>
      </c>
      <c r="Z41" s="52">
        <f t="shared" si="9"/>
        <v>19000</v>
      </c>
      <c r="AA41" s="52">
        <f t="shared" si="10"/>
        <v>119000</v>
      </c>
      <c r="AB41" s="52">
        <f t="shared" si="11"/>
        <v>119000</v>
      </c>
      <c r="AC41" s="69">
        <v>251391</v>
      </c>
      <c r="AD41" s="65">
        <f t="shared" si="12"/>
        <v>-0.52663380948403082</v>
      </c>
      <c r="AF41" s="65">
        <f t="shared" si="13"/>
        <v>-0.52663380948403082</v>
      </c>
      <c r="AH41" s="57">
        <f t="shared" si="14"/>
        <v>119000</v>
      </c>
      <c r="AI41" s="43">
        <f t="shared" si="15"/>
        <v>119000</v>
      </c>
      <c r="AL41" s="71"/>
      <c r="AM41" s="73">
        <f>+AVERAGE(M41,O41)</f>
        <v>100000</v>
      </c>
      <c r="AN41" s="61">
        <f t="shared" si="22"/>
        <v>100000</v>
      </c>
      <c r="AO41" s="61">
        <f t="shared" si="17"/>
        <v>100000</v>
      </c>
      <c r="AP41" s="61">
        <f t="shared" si="37"/>
        <v>119000</v>
      </c>
      <c r="AQ41" s="74">
        <f t="shared" si="4"/>
        <v>0</v>
      </c>
    </row>
    <row r="42" spans="1:43" s="2" customFormat="1" ht="49.5" customHeight="1" x14ac:dyDescent="0.25">
      <c r="A42" s="39"/>
      <c r="B42" s="44">
        <v>38</v>
      </c>
      <c r="C42" s="45" t="s">
        <v>67</v>
      </c>
      <c r="D42" s="46">
        <v>1</v>
      </c>
      <c r="E42" s="47" t="s">
        <v>88</v>
      </c>
      <c r="F42" s="48" t="s">
        <v>28</v>
      </c>
      <c r="G42" s="49">
        <v>1</v>
      </c>
      <c r="I42" s="64">
        <v>200000</v>
      </c>
      <c r="J42" s="115"/>
      <c r="K42" s="64">
        <v>407700</v>
      </c>
      <c r="L42" s="115"/>
      <c r="M42" s="116">
        <v>120000</v>
      </c>
      <c r="N42" s="115"/>
      <c r="O42" s="64">
        <v>100000</v>
      </c>
      <c r="Q42" s="28"/>
      <c r="S42" s="50">
        <f>ROUND(MIN(M42,O42),2)</f>
        <v>100000</v>
      </c>
      <c r="T42" s="50">
        <f>ROUND(AVERAGE(M42,O42),2)</f>
        <v>110000</v>
      </c>
      <c r="U42" s="50">
        <f t="shared" si="5"/>
        <v>407700</v>
      </c>
      <c r="V42" s="51">
        <f t="shared" si="6"/>
        <v>3.077</v>
      </c>
      <c r="W42" s="50">
        <f t="shared" si="7"/>
        <v>105000</v>
      </c>
      <c r="Y42" s="52">
        <f t="shared" si="8"/>
        <v>105000</v>
      </c>
      <c r="Z42" s="52">
        <f t="shared" si="9"/>
        <v>19950</v>
      </c>
      <c r="AA42" s="52">
        <f t="shared" si="10"/>
        <v>124950</v>
      </c>
      <c r="AB42" s="52">
        <f t="shared" si="11"/>
        <v>124950</v>
      </c>
      <c r="AC42" s="69">
        <v>189529</v>
      </c>
      <c r="AD42" s="65">
        <f t="shared" si="12"/>
        <v>-0.34073413567316879</v>
      </c>
      <c r="AF42" s="65">
        <f t="shared" si="13"/>
        <v>-0.37212774826016071</v>
      </c>
      <c r="AH42" s="57">
        <f t="shared" si="14"/>
        <v>119000</v>
      </c>
      <c r="AI42" s="43">
        <f>+MIN(M42:O42)*1.19</f>
        <v>119000</v>
      </c>
      <c r="AL42" s="71"/>
      <c r="AM42" s="73">
        <f>+AVERAGE(M42,O42)</f>
        <v>110000</v>
      </c>
      <c r="AN42" s="61">
        <f>+MIN(M42:O42)</f>
        <v>100000</v>
      </c>
      <c r="AO42" s="61">
        <f t="shared" si="17"/>
        <v>105000</v>
      </c>
      <c r="AP42" s="61">
        <f t="shared" si="37"/>
        <v>124950</v>
      </c>
      <c r="AQ42" s="74">
        <f t="shared" si="4"/>
        <v>0</v>
      </c>
    </row>
    <row r="43" spans="1:43" s="2" customFormat="1" ht="49.5" customHeight="1" x14ac:dyDescent="0.25">
      <c r="A43" s="39"/>
      <c r="B43" s="44">
        <v>39</v>
      </c>
      <c r="C43" s="45" t="s">
        <v>68</v>
      </c>
      <c r="D43" s="46">
        <v>40</v>
      </c>
      <c r="E43" s="47" t="s">
        <v>88</v>
      </c>
      <c r="F43" s="48" t="s">
        <v>28</v>
      </c>
      <c r="G43" s="49">
        <v>1</v>
      </c>
      <c r="I43" s="64">
        <v>1200000</v>
      </c>
      <c r="J43" s="115"/>
      <c r="K43" s="64">
        <v>907400</v>
      </c>
      <c r="L43" s="115"/>
      <c r="M43" s="116">
        <v>650000</v>
      </c>
      <c r="N43" s="115"/>
      <c r="O43" s="64">
        <v>480000</v>
      </c>
      <c r="Q43" s="28"/>
      <c r="S43" s="50">
        <f t="shared" si="19"/>
        <v>480000</v>
      </c>
      <c r="T43" s="50">
        <f t="shared" si="20"/>
        <v>809350</v>
      </c>
      <c r="U43" s="50">
        <f t="shared" si="5"/>
        <v>1200000</v>
      </c>
      <c r="V43" s="51">
        <f t="shared" si="6"/>
        <v>1.5</v>
      </c>
      <c r="W43" s="50">
        <f t="shared" si="7"/>
        <v>644675</v>
      </c>
      <c r="Y43" s="52">
        <f t="shared" si="8"/>
        <v>644675</v>
      </c>
      <c r="Z43" s="52">
        <f t="shared" si="9"/>
        <v>122488.25</v>
      </c>
      <c r="AA43" s="52">
        <f t="shared" si="10"/>
        <v>767163.25</v>
      </c>
      <c r="AB43" s="52">
        <f t="shared" si="11"/>
        <v>767163.25</v>
      </c>
      <c r="AC43" s="69">
        <v>818152</v>
      </c>
      <c r="AD43" s="65">
        <f t="shared" si="12"/>
        <v>-6.2321854618701655E-2</v>
      </c>
      <c r="AF43" s="65">
        <f t="shared" si="13"/>
        <v>-0.30184122265789237</v>
      </c>
      <c r="AH43" s="57">
        <f t="shared" si="14"/>
        <v>571200</v>
      </c>
      <c r="AI43" s="43">
        <f t="shared" si="15"/>
        <v>571200</v>
      </c>
      <c r="AL43" s="71"/>
      <c r="AM43" s="73">
        <f t="shared" si="21"/>
        <v>809350</v>
      </c>
      <c r="AN43" s="61">
        <f t="shared" si="22"/>
        <v>480000</v>
      </c>
      <c r="AO43" s="61">
        <f t="shared" si="17"/>
        <v>644675</v>
      </c>
      <c r="AP43" s="61">
        <f t="shared" si="37"/>
        <v>767163.25</v>
      </c>
      <c r="AQ43" s="74">
        <f t="shared" si="4"/>
        <v>0</v>
      </c>
    </row>
    <row r="44" spans="1:43" s="2" customFormat="1" ht="49.5" customHeight="1" x14ac:dyDescent="0.25">
      <c r="A44" s="39"/>
      <c r="B44" s="44">
        <v>40</v>
      </c>
      <c r="C44" s="45" t="s">
        <v>69</v>
      </c>
      <c r="D44" s="46" t="s">
        <v>70</v>
      </c>
      <c r="E44" s="47" t="s">
        <v>88</v>
      </c>
      <c r="F44" s="48" t="s">
        <v>28</v>
      </c>
      <c r="G44" s="49">
        <v>1</v>
      </c>
      <c r="I44" s="64">
        <v>450000</v>
      </c>
      <c r="J44" s="115"/>
      <c r="K44" s="64">
        <v>407700</v>
      </c>
      <c r="L44" s="115"/>
      <c r="M44" s="116">
        <v>100000</v>
      </c>
      <c r="N44" s="115"/>
      <c r="O44" s="64">
        <v>100000</v>
      </c>
      <c r="Q44" s="28"/>
      <c r="S44" s="50">
        <f t="shared" si="19"/>
        <v>100000</v>
      </c>
      <c r="T44" s="50">
        <f t="shared" si="20"/>
        <v>264425</v>
      </c>
      <c r="U44" s="50">
        <f t="shared" si="5"/>
        <v>450000</v>
      </c>
      <c r="V44" s="51">
        <f t="shared" si="6"/>
        <v>3.5</v>
      </c>
      <c r="W44" s="50">
        <f t="shared" si="7"/>
        <v>182212.5</v>
      </c>
      <c r="Y44" s="52">
        <f t="shared" si="8"/>
        <v>182212.5</v>
      </c>
      <c r="Z44" s="52">
        <f t="shared" si="9"/>
        <v>34620.379999999997</v>
      </c>
      <c r="AA44" s="52">
        <f t="shared" si="10"/>
        <v>216832.88</v>
      </c>
      <c r="AB44" s="52">
        <f t="shared" si="11"/>
        <v>216832.88</v>
      </c>
      <c r="AC44" s="69">
        <v>165994</v>
      </c>
      <c r="AD44" s="65">
        <f t="shared" si="12"/>
        <v>0.30626938323071928</v>
      </c>
      <c r="AF44" s="65">
        <f t="shared" si="13"/>
        <v>-0.28310661831150519</v>
      </c>
      <c r="AH44" s="57">
        <f t="shared" si="14"/>
        <v>119000</v>
      </c>
      <c r="AI44" s="43">
        <f t="shared" si="15"/>
        <v>119000</v>
      </c>
      <c r="AL44" s="71"/>
      <c r="AM44" s="73">
        <f t="shared" si="21"/>
        <v>264425</v>
      </c>
      <c r="AN44" s="61">
        <f t="shared" si="22"/>
        <v>100000</v>
      </c>
      <c r="AO44" s="61">
        <f t="shared" si="17"/>
        <v>182212.5</v>
      </c>
      <c r="AP44" s="61">
        <f t="shared" si="37"/>
        <v>216832.875</v>
      </c>
      <c r="AQ44" s="74">
        <f t="shared" si="4"/>
        <v>5.0000000046566129E-3</v>
      </c>
    </row>
    <row r="45" spans="1:43" s="2" customFormat="1" ht="49.5" customHeight="1" x14ac:dyDescent="0.25">
      <c r="A45" s="39"/>
      <c r="B45" s="44">
        <v>41</v>
      </c>
      <c r="C45" s="45" t="s">
        <v>71</v>
      </c>
      <c r="D45" s="46">
        <v>7</v>
      </c>
      <c r="E45" s="47" t="s">
        <v>89</v>
      </c>
      <c r="F45" s="48" t="s">
        <v>28</v>
      </c>
      <c r="G45" s="49">
        <v>1</v>
      </c>
      <c r="I45" s="64">
        <v>750000</v>
      </c>
      <c r="J45" s="115"/>
      <c r="K45" s="64">
        <v>697000</v>
      </c>
      <c r="L45" s="115"/>
      <c r="M45" s="116">
        <v>210000</v>
      </c>
      <c r="N45" s="115"/>
      <c r="O45" s="64">
        <v>200000</v>
      </c>
      <c r="Q45" s="28"/>
      <c r="S45" s="50">
        <f t="shared" si="19"/>
        <v>200000</v>
      </c>
      <c r="T45" s="50">
        <f t="shared" si="20"/>
        <v>464250</v>
      </c>
      <c r="U45" s="50">
        <f t="shared" si="5"/>
        <v>750000</v>
      </c>
      <c r="V45" s="51">
        <f t="shared" si="6"/>
        <v>2.75</v>
      </c>
      <c r="W45" s="50">
        <f t="shared" si="7"/>
        <v>332125</v>
      </c>
      <c r="Y45" s="52">
        <f t="shared" si="8"/>
        <v>332125</v>
      </c>
      <c r="Z45" s="52">
        <f t="shared" si="9"/>
        <v>63103.75</v>
      </c>
      <c r="AA45" s="52">
        <f t="shared" si="10"/>
        <v>395228.75</v>
      </c>
      <c r="AB45" s="52">
        <f t="shared" si="11"/>
        <v>395228.75</v>
      </c>
      <c r="AC45" s="69">
        <v>275792</v>
      </c>
      <c r="AD45" s="65">
        <f t="shared" si="12"/>
        <v>0.43306821807739171</v>
      </c>
      <c r="AF45" s="65">
        <f t="shared" si="13"/>
        <v>-0.13703080582467941</v>
      </c>
      <c r="AH45" s="57">
        <f t="shared" si="14"/>
        <v>238000</v>
      </c>
      <c r="AI45" s="43">
        <f t="shared" si="15"/>
        <v>238000</v>
      </c>
      <c r="AL45" s="71"/>
      <c r="AM45" s="73">
        <f t="shared" si="21"/>
        <v>464250</v>
      </c>
      <c r="AN45" s="61">
        <f t="shared" si="22"/>
        <v>200000</v>
      </c>
      <c r="AO45" s="61">
        <f t="shared" si="17"/>
        <v>332125</v>
      </c>
      <c r="AP45" s="61">
        <f t="shared" si="37"/>
        <v>395228.75</v>
      </c>
      <c r="AQ45" s="74">
        <f t="shared" si="4"/>
        <v>0</v>
      </c>
    </row>
    <row r="46" spans="1:43" s="2" customFormat="1" ht="49.5" customHeight="1" x14ac:dyDescent="0.25">
      <c r="A46" s="39"/>
      <c r="B46" s="44">
        <v>42</v>
      </c>
      <c r="C46" s="45" t="s">
        <v>72</v>
      </c>
      <c r="D46" s="46">
        <v>3</v>
      </c>
      <c r="E46" s="47" t="s">
        <v>89</v>
      </c>
      <c r="F46" s="48" t="s">
        <v>28</v>
      </c>
      <c r="G46" s="49">
        <v>1</v>
      </c>
      <c r="I46" s="64">
        <v>300000</v>
      </c>
      <c r="J46" s="115"/>
      <c r="K46" s="64">
        <v>426100</v>
      </c>
      <c r="L46" s="115"/>
      <c r="M46" s="116">
        <v>160000</v>
      </c>
      <c r="N46" s="115"/>
      <c r="O46" s="64">
        <v>150000</v>
      </c>
      <c r="Q46" s="28"/>
      <c r="S46" s="50">
        <f t="shared" si="19"/>
        <v>150000</v>
      </c>
      <c r="T46" s="50">
        <f t="shared" si="20"/>
        <v>259025</v>
      </c>
      <c r="U46" s="50">
        <f t="shared" si="5"/>
        <v>426100</v>
      </c>
      <c r="V46" s="51">
        <f t="shared" si="6"/>
        <v>1.8406666666666665</v>
      </c>
      <c r="W46" s="50">
        <f t="shared" si="7"/>
        <v>204512.5</v>
      </c>
      <c r="Y46" s="52">
        <f t="shared" si="8"/>
        <v>204512.5</v>
      </c>
      <c r="Z46" s="52">
        <f t="shared" si="9"/>
        <v>38857.379999999997</v>
      </c>
      <c r="AA46" s="52">
        <f t="shared" si="10"/>
        <v>243369.88</v>
      </c>
      <c r="AB46" s="52">
        <f t="shared" si="11"/>
        <v>243369.88</v>
      </c>
      <c r="AC46" s="69">
        <v>178076</v>
      </c>
      <c r="AD46" s="65">
        <f t="shared" si="12"/>
        <v>0.36666299782115508</v>
      </c>
      <c r="AF46" s="65">
        <f t="shared" si="13"/>
        <v>2.3810058626654307E-3</v>
      </c>
      <c r="AH46" s="57">
        <f t="shared" si="14"/>
        <v>178500</v>
      </c>
      <c r="AI46" s="43">
        <f t="shared" si="15"/>
        <v>178500</v>
      </c>
      <c r="AL46" s="71"/>
      <c r="AM46" s="73">
        <f t="shared" si="21"/>
        <v>259025</v>
      </c>
      <c r="AN46" s="61">
        <f t="shared" si="22"/>
        <v>150000</v>
      </c>
      <c r="AO46" s="61">
        <f t="shared" si="17"/>
        <v>204512.5</v>
      </c>
      <c r="AP46" s="61">
        <f t="shared" si="37"/>
        <v>243369.875</v>
      </c>
      <c r="AQ46" s="74">
        <f t="shared" si="4"/>
        <v>5.0000000046566129E-3</v>
      </c>
    </row>
    <row r="47" spans="1:43" s="2" customFormat="1" ht="49.5" customHeight="1" x14ac:dyDescent="0.25">
      <c r="A47" s="39"/>
      <c r="B47" s="44">
        <v>43</v>
      </c>
      <c r="C47" s="45" t="s">
        <v>73</v>
      </c>
      <c r="D47" s="46">
        <v>10</v>
      </c>
      <c r="E47" s="47" t="s">
        <v>90</v>
      </c>
      <c r="F47" s="48" t="s">
        <v>28</v>
      </c>
      <c r="G47" s="49">
        <v>1</v>
      </c>
      <c r="I47" s="64">
        <v>800000</v>
      </c>
      <c r="J47" s="115"/>
      <c r="K47" s="64">
        <v>700000</v>
      </c>
      <c r="L47" s="115"/>
      <c r="M47" s="116">
        <v>270000</v>
      </c>
      <c r="N47" s="115"/>
      <c r="O47" s="64">
        <v>250000</v>
      </c>
      <c r="Q47" s="28"/>
      <c r="S47" s="50">
        <f t="shared" si="19"/>
        <v>250000</v>
      </c>
      <c r="T47" s="50">
        <f t="shared" si="20"/>
        <v>505000</v>
      </c>
      <c r="U47" s="50">
        <f t="shared" si="5"/>
        <v>800000</v>
      </c>
      <c r="V47" s="51">
        <f t="shared" si="6"/>
        <v>2.2000000000000002</v>
      </c>
      <c r="W47" s="50">
        <f t="shared" si="7"/>
        <v>377500</v>
      </c>
      <c r="Y47" s="52">
        <f t="shared" si="8"/>
        <v>377500</v>
      </c>
      <c r="Z47" s="52">
        <f t="shared" si="9"/>
        <v>71725</v>
      </c>
      <c r="AA47" s="52">
        <f t="shared" si="10"/>
        <v>449225</v>
      </c>
      <c r="AB47" s="52">
        <f t="shared" si="11"/>
        <v>449225</v>
      </c>
      <c r="AC47" s="69">
        <v>277195</v>
      </c>
      <c r="AD47" s="65">
        <f t="shared" si="12"/>
        <v>0.62061003986363383</v>
      </c>
      <c r="AF47" s="65">
        <f t="shared" si="13"/>
        <v>7.3251682028896647E-2</v>
      </c>
      <c r="AH47" s="57">
        <f t="shared" si="14"/>
        <v>297500</v>
      </c>
      <c r="AI47" s="43">
        <f t="shared" si="15"/>
        <v>297500</v>
      </c>
      <c r="AL47" s="71"/>
      <c r="AM47" s="73">
        <f t="shared" si="21"/>
        <v>505000</v>
      </c>
      <c r="AN47" s="61">
        <f t="shared" si="22"/>
        <v>250000</v>
      </c>
      <c r="AO47" s="61">
        <f t="shared" si="17"/>
        <v>377500</v>
      </c>
      <c r="AP47" s="61">
        <f t="shared" si="37"/>
        <v>449225</v>
      </c>
      <c r="AQ47" s="74">
        <f t="shared" si="4"/>
        <v>0</v>
      </c>
    </row>
    <row r="48" spans="1:43" s="2" customFormat="1" ht="49.5" customHeight="1" x14ac:dyDescent="0.25">
      <c r="A48" s="39"/>
      <c r="B48" s="44">
        <v>44</v>
      </c>
      <c r="C48" s="45" t="s">
        <v>74</v>
      </c>
      <c r="D48" s="46">
        <v>6</v>
      </c>
      <c r="E48" s="47" t="s">
        <v>91</v>
      </c>
      <c r="F48" s="48" t="s">
        <v>28</v>
      </c>
      <c r="G48" s="49">
        <v>1</v>
      </c>
      <c r="I48" s="64">
        <v>800000</v>
      </c>
      <c r="J48" s="115"/>
      <c r="K48" s="64">
        <v>750000</v>
      </c>
      <c r="L48" s="115"/>
      <c r="M48" s="116">
        <v>200000</v>
      </c>
      <c r="N48" s="115"/>
      <c r="O48" s="64">
        <v>250000</v>
      </c>
      <c r="Q48" s="28"/>
      <c r="S48" s="50">
        <f t="shared" si="19"/>
        <v>200000</v>
      </c>
      <c r="T48" s="50">
        <f t="shared" si="20"/>
        <v>500000</v>
      </c>
      <c r="U48" s="50">
        <f t="shared" si="5"/>
        <v>800000</v>
      </c>
      <c r="V48" s="51">
        <f t="shared" si="6"/>
        <v>3</v>
      </c>
      <c r="W48" s="50">
        <f t="shared" si="7"/>
        <v>350000</v>
      </c>
      <c r="Y48" s="52">
        <f t="shared" si="8"/>
        <v>350000</v>
      </c>
      <c r="Z48" s="52">
        <f t="shared" si="9"/>
        <v>66500</v>
      </c>
      <c r="AA48" s="52">
        <f t="shared" si="10"/>
        <v>416500</v>
      </c>
      <c r="AB48" s="52">
        <f t="shared" si="11"/>
        <v>416500</v>
      </c>
      <c r="AC48" s="69">
        <v>254834</v>
      </c>
      <c r="AD48" s="65">
        <f t="shared" si="12"/>
        <v>0.63439729392467248</v>
      </c>
      <c r="AF48" s="65">
        <f t="shared" si="13"/>
        <v>-6.6058689185901409E-2</v>
      </c>
      <c r="AH48" s="57">
        <f t="shared" si="14"/>
        <v>238000</v>
      </c>
      <c r="AI48" s="43">
        <f t="shared" si="15"/>
        <v>238000</v>
      </c>
      <c r="AL48" s="71"/>
      <c r="AM48" s="73">
        <f t="shared" si="21"/>
        <v>500000</v>
      </c>
      <c r="AN48" s="61">
        <f t="shared" si="22"/>
        <v>200000</v>
      </c>
      <c r="AO48" s="61">
        <f t="shared" si="17"/>
        <v>350000</v>
      </c>
      <c r="AP48" s="61">
        <f t="shared" si="37"/>
        <v>416500</v>
      </c>
      <c r="AQ48" s="74">
        <f t="shared" si="4"/>
        <v>0</v>
      </c>
    </row>
    <row r="49" spans="1:44" ht="29.25" customHeight="1" x14ac:dyDescent="0.3">
      <c r="A49" s="9"/>
      <c r="B49" s="89" t="s">
        <v>1</v>
      </c>
      <c r="C49" s="90"/>
      <c r="D49" s="90"/>
      <c r="E49" s="90"/>
      <c r="F49" s="90"/>
      <c r="G49" s="91"/>
      <c r="Y49" s="41"/>
      <c r="Z49" s="41" t="s">
        <v>14</v>
      </c>
      <c r="AA49" s="41"/>
      <c r="AB49" s="42">
        <f>SUM(AB5:AB48)</f>
        <v>15733208.980000002</v>
      </c>
      <c r="AC49" s="70"/>
      <c r="AH49" s="72">
        <f>SUM(AH5:AH48)</f>
        <v>12839229</v>
      </c>
      <c r="AI49" s="72">
        <f>SUM(AI5:AI48)</f>
        <v>12839229</v>
      </c>
      <c r="AP49" s="36">
        <f>SUM(AP5:AP48)</f>
        <v>15733208.916666668</v>
      </c>
      <c r="AQ49" s="74"/>
      <c r="AR49" s="57">
        <f>SUM(AR5:AR48)</f>
        <v>91862</v>
      </c>
    </row>
    <row r="50" spans="1:44" ht="16.5" x14ac:dyDescent="0.3">
      <c r="A50" s="9"/>
      <c r="B50" s="11"/>
      <c r="C50" s="11"/>
      <c r="D50" s="11"/>
      <c r="E50" s="11"/>
      <c r="F50" s="11"/>
      <c r="G50" s="12"/>
      <c r="Y50" s="9"/>
      <c r="Z50" s="9"/>
      <c r="AA50" s="9"/>
      <c r="AB50" s="9"/>
      <c r="AC50" s="9"/>
      <c r="AI50" s="78">
        <f>+AH49-AI49</f>
        <v>0</v>
      </c>
      <c r="AP50" s="32">
        <f>+AP49-AB49</f>
        <v>-6.3333334401249886E-2</v>
      </c>
      <c r="AQ50" s="74"/>
    </row>
    <row r="51" spans="1:44" ht="51" x14ac:dyDescent="0.3">
      <c r="A51" s="9"/>
      <c r="B51" s="11" t="s">
        <v>103</v>
      </c>
      <c r="C51" s="11"/>
      <c r="D51" s="11"/>
      <c r="E51" s="11"/>
      <c r="F51" s="11"/>
      <c r="G51" s="12"/>
      <c r="I51" s="77" t="s">
        <v>13</v>
      </c>
      <c r="J51" s="16"/>
      <c r="K51" s="77" t="s">
        <v>15</v>
      </c>
      <c r="M51" s="77" t="s">
        <v>22</v>
      </c>
      <c r="O51" s="77" t="s">
        <v>23</v>
      </c>
      <c r="S51" s="26" t="s">
        <v>16</v>
      </c>
      <c r="T51" s="26" t="s">
        <v>17</v>
      </c>
      <c r="U51" s="26" t="s">
        <v>18</v>
      </c>
      <c r="V51" s="26" t="s">
        <v>19</v>
      </c>
      <c r="W51" s="26" t="s">
        <v>20</v>
      </c>
      <c r="X51" s="16"/>
      <c r="Y51" s="83" t="s">
        <v>12</v>
      </c>
      <c r="Z51" s="83"/>
      <c r="AA51" s="83"/>
      <c r="AB51" s="83"/>
      <c r="AC51" s="67"/>
      <c r="AI51" s="80">
        <f>+AI49+AB61</f>
        <v>14872016.75</v>
      </c>
      <c r="AP51" s="32"/>
      <c r="AQ51" s="2"/>
    </row>
    <row r="52" spans="1:44" ht="38.25" x14ac:dyDescent="0.3">
      <c r="A52" s="9"/>
      <c r="B52" s="3" t="s">
        <v>2</v>
      </c>
      <c r="C52" s="82" t="s">
        <v>9</v>
      </c>
      <c r="D52" s="82"/>
      <c r="E52" s="82"/>
      <c r="F52" s="3" t="s">
        <v>3</v>
      </c>
      <c r="G52" s="3" t="s">
        <v>30</v>
      </c>
      <c r="I52" s="76" t="s">
        <v>5</v>
      </c>
      <c r="J52" s="16"/>
      <c r="K52" s="76" t="s">
        <v>5</v>
      </c>
      <c r="M52" s="76" t="s">
        <v>5</v>
      </c>
      <c r="O52" s="76" t="s">
        <v>5</v>
      </c>
      <c r="S52" s="26" t="s">
        <v>0</v>
      </c>
      <c r="T52" s="26" t="s">
        <v>0</v>
      </c>
      <c r="U52" s="26" t="s">
        <v>0</v>
      </c>
      <c r="V52" s="26" t="s">
        <v>21</v>
      </c>
      <c r="W52" s="26" t="s">
        <v>0</v>
      </c>
      <c r="X52" s="16"/>
      <c r="Y52" s="4" t="s">
        <v>5</v>
      </c>
      <c r="Z52" s="4" t="s">
        <v>7</v>
      </c>
      <c r="AA52" s="4" t="s">
        <v>8</v>
      </c>
      <c r="AB52" s="4" t="s">
        <v>6</v>
      </c>
      <c r="AC52" s="68"/>
      <c r="AP52" s="32"/>
      <c r="AQ52" s="2"/>
    </row>
    <row r="53" spans="1:44" ht="16.5" x14ac:dyDescent="0.3">
      <c r="A53" s="9"/>
      <c r="B53" s="59">
        <v>1</v>
      </c>
      <c r="C53" s="81" t="s">
        <v>94</v>
      </c>
      <c r="D53" s="81"/>
      <c r="E53" s="81"/>
      <c r="F53" s="48" t="s">
        <v>28</v>
      </c>
      <c r="G53" s="49">
        <v>1</v>
      </c>
      <c r="I53" s="64">
        <v>40700</v>
      </c>
      <c r="J53" s="115"/>
      <c r="K53" s="64"/>
      <c r="M53" s="64">
        <v>61000</v>
      </c>
      <c r="O53" s="64">
        <v>100000</v>
      </c>
      <c r="S53" s="50">
        <f t="shared" ref="S53:S60" si="60">ROUND(MIN(I53,K53,M53),2)</f>
        <v>40700</v>
      </c>
      <c r="T53" s="50">
        <f t="shared" ref="T53:T60" si="61">ROUND(AVERAGE(I53,K53,M53),2)</f>
        <v>50850</v>
      </c>
      <c r="U53" s="50">
        <f t="shared" ref="U53:U60" si="62">+MAX(I53,K53,M53)</f>
        <v>61000</v>
      </c>
      <c r="V53" s="51">
        <f t="shared" ref="V53:V60" si="63">+(U53/S53)-1</f>
        <v>0.49877149877149884</v>
      </c>
      <c r="W53" s="50">
        <f t="shared" ref="W53:W60" si="64">+ROUND(AVERAGE(S53,T53),2)</f>
        <v>45775</v>
      </c>
      <c r="X53" s="2"/>
      <c r="Y53" s="52">
        <f t="shared" ref="Y53:Y60" si="65">+W53</f>
        <v>45775</v>
      </c>
      <c r="Z53" s="52">
        <f t="shared" ref="Z53:Z60" si="66">ROUND(Y53*19%,2)</f>
        <v>8697.25</v>
      </c>
      <c r="AA53" s="52">
        <f t="shared" ref="AA53:AA60" si="67">+Z53+Y53</f>
        <v>54472.25</v>
      </c>
      <c r="AB53" s="52">
        <f t="shared" ref="AB53:AB60" si="68">+AA53*G53</f>
        <v>54472.25</v>
      </c>
      <c r="AC53" s="69"/>
      <c r="AM53" s="60">
        <f t="shared" ref="AM53:AM60" si="69">+(I53+K53+M53)/2</f>
        <v>50850</v>
      </c>
      <c r="AN53" s="61">
        <f t="shared" ref="AN53:AN60" si="70">+MIN(I53:M53)</f>
        <v>40700</v>
      </c>
      <c r="AO53" s="61">
        <f t="shared" ref="AO53:AO60" si="71">+AVERAGE(AM53:AN53)</f>
        <v>45775</v>
      </c>
      <c r="AP53" s="61">
        <f t="shared" ref="AP53:AP60" si="72">+AO53*G53*1.19</f>
        <v>54472.25</v>
      </c>
      <c r="AQ53" s="2"/>
    </row>
    <row r="54" spans="1:44" ht="17.25" customHeight="1" x14ac:dyDescent="0.3">
      <c r="A54" s="9"/>
      <c r="B54" s="59">
        <v>2</v>
      </c>
      <c r="C54" s="81" t="s">
        <v>95</v>
      </c>
      <c r="D54" s="81"/>
      <c r="E54" s="81"/>
      <c r="F54" s="48" t="s">
        <v>28</v>
      </c>
      <c r="G54" s="49">
        <v>1</v>
      </c>
      <c r="I54" s="64">
        <v>57200</v>
      </c>
      <c r="J54" s="115"/>
      <c r="K54" s="64"/>
      <c r="M54" s="64">
        <v>89000</v>
      </c>
      <c r="O54" s="64">
        <v>130000</v>
      </c>
      <c r="S54" s="50">
        <f t="shared" si="60"/>
        <v>57200</v>
      </c>
      <c r="T54" s="50">
        <f t="shared" si="61"/>
        <v>73100</v>
      </c>
      <c r="U54" s="50">
        <f t="shared" si="62"/>
        <v>89000</v>
      </c>
      <c r="V54" s="51">
        <f t="shared" si="63"/>
        <v>0.55594405594405605</v>
      </c>
      <c r="W54" s="50">
        <f t="shared" si="64"/>
        <v>65150</v>
      </c>
      <c r="X54" s="2"/>
      <c r="Y54" s="52">
        <f t="shared" si="65"/>
        <v>65150</v>
      </c>
      <c r="Z54" s="52">
        <f t="shared" si="66"/>
        <v>12378.5</v>
      </c>
      <c r="AA54" s="52">
        <f t="shared" si="67"/>
        <v>77528.5</v>
      </c>
      <c r="AB54" s="52">
        <f t="shared" si="68"/>
        <v>77528.5</v>
      </c>
      <c r="AC54" s="69"/>
      <c r="AM54" s="60">
        <f t="shared" si="69"/>
        <v>73100</v>
      </c>
      <c r="AN54" s="61">
        <f t="shared" si="70"/>
        <v>57200</v>
      </c>
      <c r="AO54" s="61">
        <f t="shared" si="71"/>
        <v>65150</v>
      </c>
      <c r="AP54" s="61">
        <f t="shared" si="72"/>
        <v>77528.5</v>
      </c>
      <c r="AQ54" s="2"/>
    </row>
    <row r="55" spans="1:44" ht="17.25" customHeight="1" x14ac:dyDescent="0.3">
      <c r="A55" s="9"/>
      <c r="B55" s="59">
        <v>3</v>
      </c>
      <c r="C55" s="81" t="s">
        <v>96</v>
      </c>
      <c r="D55" s="81"/>
      <c r="E55" s="81"/>
      <c r="F55" s="48" t="s">
        <v>28</v>
      </c>
      <c r="G55" s="49">
        <v>1</v>
      </c>
      <c r="I55" s="64">
        <v>83600</v>
      </c>
      <c r="J55" s="115"/>
      <c r="K55" s="64"/>
      <c r="M55" s="64">
        <v>145000</v>
      </c>
      <c r="O55" s="64">
        <v>190000</v>
      </c>
      <c r="S55" s="50">
        <f t="shared" si="60"/>
        <v>83600</v>
      </c>
      <c r="T55" s="50">
        <f t="shared" si="61"/>
        <v>114300</v>
      </c>
      <c r="U55" s="50">
        <f t="shared" si="62"/>
        <v>145000</v>
      </c>
      <c r="V55" s="51">
        <f t="shared" si="63"/>
        <v>0.73444976076555024</v>
      </c>
      <c r="W55" s="50">
        <f t="shared" si="64"/>
        <v>98950</v>
      </c>
      <c r="X55" s="2"/>
      <c r="Y55" s="52">
        <f t="shared" si="65"/>
        <v>98950</v>
      </c>
      <c r="Z55" s="52">
        <f t="shared" si="66"/>
        <v>18800.5</v>
      </c>
      <c r="AA55" s="52">
        <f t="shared" si="67"/>
        <v>117750.5</v>
      </c>
      <c r="AB55" s="52">
        <f t="shared" si="68"/>
        <v>117750.5</v>
      </c>
      <c r="AC55" s="69"/>
      <c r="AM55" s="60">
        <f t="shared" si="69"/>
        <v>114300</v>
      </c>
      <c r="AN55" s="61">
        <f t="shared" si="70"/>
        <v>83600</v>
      </c>
      <c r="AO55" s="61">
        <f t="shared" si="71"/>
        <v>98950</v>
      </c>
      <c r="AP55" s="61">
        <f t="shared" si="72"/>
        <v>117750.5</v>
      </c>
      <c r="AQ55" s="2"/>
    </row>
    <row r="56" spans="1:44" ht="17.25" customHeight="1" x14ac:dyDescent="0.3">
      <c r="A56" s="9"/>
      <c r="B56" s="59">
        <v>4</v>
      </c>
      <c r="C56" s="81" t="s">
        <v>97</v>
      </c>
      <c r="D56" s="81"/>
      <c r="E56" s="81"/>
      <c r="F56" s="48" t="s">
        <v>28</v>
      </c>
      <c r="G56" s="49">
        <v>1</v>
      </c>
      <c r="I56" s="64">
        <v>117700</v>
      </c>
      <c r="J56" s="115"/>
      <c r="K56" s="64"/>
      <c r="M56" s="64">
        <v>160000</v>
      </c>
      <c r="O56" s="64">
        <v>250000</v>
      </c>
      <c r="S56" s="50">
        <f t="shared" si="60"/>
        <v>117700</v>
      </c>
      <c r="T56" s="50">
        <f t="shared" si="61"/>
        <v>138850</v>
      </c>
      <c r="U56" s="50">
        <f t="shared" si="62"/>
        <v>160000</v>
      </c>
      <c r="V56" s="51">
        <f t="shared" si="63"/>
        <v>0.35938827527612571</v>
      </c>
      <c r="W56" s="50">
        <f t="shared" si="64"/>
        <v>128275</v>
      </c>
      <c r="X56" s="2"/>
      <c r="Y56" s="52">
        <f t="shared" si="65"/>
        <v>128275</v>
      </c>
      <c r="Z56" s="52">
        <f t="shared" si="66"/>
        <v>24372.25</v>
      </c>
      <c r="AA56" s="52">
        <f t="shared" si="67"/>
        <v>152647.25</v>
      </c>
      <c r="AB56" s="52">
        <f t="shared" si="68"/>
        <v>152647.25</v>
      </c>
      <c r="AC56" s="69"/>
      <c r="AM56" s="60">
        <f t="shared" si="69"/>
        <v>138850</v>
      </c>
      <c r="AN56" s="61">
        <f t="shared" si="70"/>
        <v>117700</v>
      </c>
      <c r="AO56" s="61">
        <f t="shared" si="71"/>
        <v>128275</v>
      </c>
      <c r="AP56" s="61">
        <f t="shared" si="72"/>
        <v>152647.25</v>
      </c>
      <c r="AQ56" s="2"/>
    </row>
    <row r="57" spans="1:44" ht="17.25" customHeight="1" x14ac:dyDescent="0.3">
      <c r="A57" s="9"/>
      <c r="B57" s="59">
        <v>5</v>
      </c>
      <c r="C57" s="81" t="s">
        <v>98</v>
      </c>
      <c r="D57" s="81"/>
      <c r="E57" s="81"/>
      <c r="F57" s="48" t="s">
        <v>28</v>
      </c>
      <c r="G57" s="49">
        <v>1</v>
      </c>
      <c r="I57" s="64">
        <v>212300</v>
      </c>
      <c r="J57" s="115"/>
      <c r="K57" s="64"/>
      <c r="M57" s="64">
        <v>220000</v>
      </c>
      <c r="O57" s="64">
        <v>360000</v>
      </c>
      <c r="S57" s="50">
        <f t="shared" si="60"/>
        <v>212300</v>
      </c>
      <c r="T57" s="50">
        <f t="shared" si="61"/>
        <v>216150</v>
      </c>
      <c r="U57" s="50">
        <f t="shared" si="62"/>
        <v>220000</v>
      </c>
      <c r="V57" s="51">
        <f t="shared" si="63"/>
        <v>3.6269430051813378E-2</v>
      </c>
      <c r="W57" s="50">
        <f t="shared" si="64"/>
        <v>214225</v>
      </c>
      <c r="X57" s="2"/>
      <c r="Y57" s="52">
        <f t="shared" si="65"/>
        <v>214225</v>
      </c>
      <c r="Z57" s="52">
        <f t="shared" si="66"/>
        <v>40702.75</v>
      </c>
      <c r="AA57" s="52">
        <f t="shared" si="67"/>
        <v>254927.75</v>
      </c>
      <c r="AB57" s="52">
        <f t="shared" si="68"/>
        <v>254927.75</v>
      </c>
      <c r="AC57" s="69"/>
      <c r="AM57" s="60">
        <f t="shared" si="69"/>
        <v>216150</v>
      </c>
      <c r="AN57" s="61">
        <f t="shared" si="70"/>
        <v>212300</v>
      </c>
      <c r="AO57" s="61">
        <f t="shared" si="71"/>
        <v>214225</v>
      </c>
      <c r="AP57" s="61">
        <f t="shared" si="72"/>
        <v>254927.75</v>
      </c>
      <c r="AQ57" s="2"/>
    </row>
    <row r="58" spans="1:44" ht="17.25" customHeight="1" x14ac:dyDescent="0.3">
      <c r="A58" s="9"/>
      <c r="B58" s="59">
        <v>6</v>
      </c>
      <c r="C58" s="81" t="s">
        <v>99</v>
      </c>
      <c r="D58" s="81"/>
      <c r="E58" s="81"/>
      <c r="F58" s="48" t="s">
        <v>28</v>
      </c>
      <c r="G58" s="49">
        <v>1</v>
      </c>
      <c r="I58" s="64">
        <v>212300</v>
      </c>
      <c r="J58" s="115"/>
      <c r="K58" s="64"/>
      <c r="M58" s="64">
        <v>380000</v>
      </c>
      <c r="O58" s="64">
        <v>530000</v>
      </c>
      <c r="S58" s="50">
        <f t="shared" si="60"/>
        <v>212300</v>
      </c>
      <c r="T58" s="50">
        <f t="shared" si="61"/>
        <v>296150</v>
      </c>
      <c r="U58" s="50">
        <f t="shared" si="62"/>
        <v>380000</v>
      </c>
      <c r="V58" s="51">
        <f t="shared" si="63"/>
        <v>0.78991992463495064</v>
      </c>
      <c r="W58" s="50">
        <f t="shared" si="64"/>
        <v>254225</v>
      </c>
      <c r="X58" s="2"/>
      <c r="Y58" s="52">
        <f t="shared" si="65"/>
        <v>254225</v>
      </c>
      <c r="Z58" s="52">
        <f t="shared" si="66"/>
        <v>48302.75</v>
      </c>
      <c r="AA58" s="52">
        <f t="shared" si="67"/>
        <v>302527.75</v>
      </c>
      <c r="AB58" s="52">
        <f t="shared" si="68"/>
        <v>302527.75</v>
      </c>
      <c r="AC58" s="69"/>
      <c r="AM58" s="60">
        <f t="shared" si="69"/>
        <v>296150</v>
      </c>
      <c r="AN58" s="61">
        <f t="shared" si="70"/>
        <v>212300</v>
      </c>
      <c r="AO58" s="61">
        <f t="shared" si="71"/>
        <v>254225</v>
      </c>
      <c r="AP58" s="61">
        <f t="shared" si="72"/>
        <v>302527.75</v>
      </c>
      <c r="AQ58" s="2"/>
    </row>
    <row r="59" spans="1:44" ht="17.25" customHeight="1" x14ac:dyDescent="0.3">
      <c r="A59" s="9"/>
      <c r="B59" s="59">
        <v>7</v>
      </c>
      <c r="C59" s="81" t="s">
        <v>100</v>
      </c>
      <c r="D59" s="81"/>
      <c r="E59" s="81"/>
      <c r="F59" s="48" t="s">
        <v>28</v>
      </c>
      <c r="G59" s="49">
        <v>1</v>
      </c>
      <c r="I59" s="64">
        <v>379500</v>
      </c>
      <c r="J59" s="115"/>
      <c r="K59" s="64"/>
      <c r="M59" s="64">
        <v>430000</v>
      </c>
      <c r="O59" s="64">
        <v>850000</v>
      </c>
      <c r="S59" s="50">
        <f t="shared" si="60"/>
        <v>379500</v>
      </c>
      <c r="T59" s="50">
        <f t="shared" si="61"/>
        <v>404750</v>
      </c>
      <c r="U59" s="50">
        <f t="shared" si="62"/>
        <v>430000</v>
      </c>
      <c r="V59" s="51">
        <f t="shared" si="63"/>
        <v>0.13306982872200268</v>
      </c>
      <c r="W59" s="50">
        <f t="shared" si="64"/>
        <v>392125</v>
      </c>
      <c r="X59" s="2"/>
      <c r="Y59" s="52">
        <f t="shared" si="65"/>
        <v>392125</v>
      </c>
      <c r="Z59" s="52">
        <f t="shared" si="66"/>
        <v>74503.75</v>
      </c>
      <c r="AA59" s="52">
        <f t="shared" si="67"/>
        <v>466628.75</v>
      </c>
      <c r="AB59" s="52">
        <f t="shared" si="68"/>
        <v>466628.75</v>
      </c>
      <c r="AC59" s="69"/>
      <c r="AM59" s="60">
        <f t="shared" si="69"/>
        <v>404750</v>
      </c>
      <c r="AN59" s="61">
        <f t="shared" si="70"/>
        <v>379500</v>
      </c>
      <c r="AO59" s="61">
        <f t="shared" si="71"/>
        <v>392125</v>
      </c>
      <c r="AP59" s="61">
        <f t="shared" si="72"/>
        <v>466628.75</v>
      </c>
      <c r="AQ59" s="2"/>
    </row>
    <row r="60" spans="1:44" ht="17.25" customHeight="1" x14ac:dyDescent="0.3">
      <c r="A60" s="9"/>
      <c r="B60" s="59">
        <v>8</v>
      </c>
      <c r="C60" s="81" t="s">
        <v>101</v>
      </c>
      <c r="D60" s="81"/>
      <c r="E60" s="81"/>
      <c r="F60" s="48" t="s">
        <v>28</v>
      </c>
      <c r="G60" s="49">
        <v>1</v>
      </c>
      <c r="I60" s="64">
        <v>506000</v>
      </c>
      <c r="J60" s="115"/>
      <c r="K60" s="64"/>
      <c r="M60" s="64">
        <v>520000</v>
      </c>
      <c r="O60" s="64">
        <v>1300000</v>
      </c>
      <c r="S60" s="50">
        <f t="shared" si="60"/>
        <v>506000</v>
      </c>
      <c r="T60" s="50">
        <f t="shared" si="61"/>
        <v>513000</v>
      </c>
      <c r="U60" s="50">
        <f t="shared" si="62"/>
        <v>520000</v>
      </c>
      <c r="V60" s="51">
        <f t="shared" si="63"/>
        <v>2.7667984189723382E-2</v>
      </c>
      <c r="W60" s="50">
        <f t="shared" si="64"/>
        <v>509500</v>
      </c>
      <c r="X60" s="2"/>
      <c r="Y60" s="52">
        <f t="shared" si="65"/>
        <v>509500</v>
      </c>
      <c r="Z60" s="52">
        <f t="shared" si="66"/>
        <v>96805</v>
      </c>
      <c r="AA60" s="52">
        <f t="shared" si="67"/>
        <v>606305</v>
      </c>
      <c r="AB60" s="52">
        <f t="shared" si="68"/>
        <v>606305</v>
      </c>
      <c r="AC60" s="69"/>
      <c r="AM60" s="60">
        <f t="shared" si="69"/>
        <v>513000</v>
      </c>
      <c r="AN60" s="61">
        <f t="shared" si="70"/>
        <v>506000</v>
      </c>
      <c r="AO60" s="61">
        <f t="shared" si="71"/>
        <v>509500</v>
      </c>
      <c r="AP60" s="61">
        <f t="shared" si="72"/>
        <v>606305</v>
      </c>
      <c r="AQ60" s="2"/>
    </row>
    <row r="61" spans="1:44" ht="17.25" customHeight="1" x14ac:dyDescent="0.3">
      <c r="A61" s="9"/>
      <c r="B61" s="11"/>
      <c r="C61" s="11"/>
      <c r="D61" s="11"/>
      <c r="E61" s="11"/>
      <c r="F61" s="11"/>
      <c r="G61" s="12"/>
      <c r="Y61" s="9"/>
      <c r="Z61" s="9"/>
      <c r="AA61" s="9"/>
      <c r="AB61" s="42">
        <f>SUM(AB53:AB60)</f>
        <v>2032787.75</v>
      </c>
      <c r="AC61" s="27"/>
      <c r="AP61" s="32">
        <f>SUM(AP53:AP60)</f>
        <v>2032787.75</v>
      </c>
      <c r="AQ61" s="2"/>
    </row>
    <row r="62" spans="1:44" ht="17.25" thickBot="1" x14ac:dyDescent="0.35">
      <c r="A62" s="9"/>
      <c r="B62" s="11"/>
      <c r="C62" s="11"/>
      <c r="D62" s="11"/>
      <c r="E62" s="11"/>
      <c r="F62" s="11"/>
      <c r="G62" s="12"/>
      <c r="Y62" s="9"/>
      <c r="Z62" s="9"/>
      <c r="AA62" s="9"/>
      <c r="AB62" s="9"/>
      <c r="AC62" s="9"/>
      <c r="AP62" s="32"/>
      <c r="AQ62" s="2"/>
    </row>
    <row r="63" spans="1:44" ht="17.25" thickBot="1" x14ac:dyDescent="0.35">
      <c r="A63" s="9"/>
      <c r="B63" s="11"/>
      <c r="C63" s="11"/>
      <c r="D63" s="11"/>
      <c r="E63" s="11"/>
      <c r="F63" s="11"/>
      <c r="G63" s="12"/>
      <c r="Y63" s="9"/>
      <c r="Z63" s="9"/>
      <c r="AA63" s="9"/>
      <c r="AB63" s="114">
        <f>+AB61+AB49</f>
        <v>17765996.730000004</v>
      </c>
      <c r="AC63" s="9"/>
      <c r="AP63" s="32"/>
      <c r="AQ63" s="2"/>
    </row>
    <row r="64" spans="1:44" ht="16.5" x14ac:dyDescent="0.3">
      <c r="A64" s="9"/>
      <c r="B64" s="11"/>
      <c r="C64" s="11"/>
      <c r="D64" s="11"/>
      <c r="E64" s="11"/>
      <c r="F64" s="11"/>
      <c r="G64" s="12"/>
      <c r="Y64" s="9"/>
      <c r="Z64" s="9"/>
      <c r="AA64" s="9"/>
      <c r="AB64" s="9"/>
      <c r="AC64" s="9"/>
      <c r="AP64" s="32"/>
      <c r="AQ64" s="2"/>
    </row>
    <row r="66" spans="2:26" x14ac:dyDescent="0.25">
      <c r="B66" s="18" t="s">
        <v>10</v>
      </c>
      <c r="C66" s="18"/>
      <c r="D66" s="18"/>
      <c r="E66" s="18"/>
      <c r="F66" s="19"/>
      <c r="G66" s="19"/>
      <c r="H66" s="19"/>
      <c r="I66" s="19"/>
      <c r="J66" s="19"/>
      <c r="K66" s="19"/>
      <c r="L66" s="19"/>
      <c r="M66" s="19"/>
      <c r="N66" s="19"/>
      <c r="O66" s="19"/>
      <c r="P66" s="19"/>
      <c r="Q66" s="19"/>
      <c r="R66" s="19"/>
      <c r="S66" s="19"/>
      <c r="T66" s="19"/>
      <c r="U66" s="19"/>
      <c r="V66" s="19"/>
      <c r="W66" s="19"/>
      <c r="X66" s="19"/>
      <c r="Y66" s="19"/>
    </row>
    <row r="67" spans="2:26" ht="18.75" customHeight="1" x14ac:dyDescent="0.25">
      <c r="B67" s="95" t="s">
        <v>106</v>
      </c>
      <c r="C67" s="95"/>
      <c r="D67" s="95"/>
      <c r="E67" s="95"/>
      <c r="F67" s="95"/>
      <c r="G67" s="95"/>
      <c r="H67" s="95"/>
      <c r="I67" s="95"/>
      <c r="J67" s="95"/>
      <c r="K67" s="95"/>
      <c r="L67" s="95"/>
      <c r="M67" s="95"/>
      <c r="N67" s="39"/>
      <c r="O67" s="39"/>
      <c r="P67" s="25"/>
      <c r="Q67" s="25"/>
      <c r="R67" s="25"/>
      <c r="S67" s="25"/>
      <c r="T67" s="25"/>
      <c r="U67" s="25"/>
      <c r="V67" s="25"/>
      <c r="W67" s="25"/>
      <c r="X67" s="25"/>
      <c r="Y67" s="25"/>
    </row>
    <row r="68" spans="2:26" ht="18.75" customHeight="1" x14ac:dyDescent="0.25">
      <c r="B68" s="95" t="s">
        <v>107</v>
      </c>
      <c r="C68" s="95"/>
      <c r="D68" s="95"/>
      <c r="E68" s="95"/>
      <c r="F68" s="95"/>
      <c r="G68" s="95"/>
      <c r="H68" s="95"/>
      <c r="I68" s="95"/>
      <c r="J68" s="95"/>
      <c r="K68" s="95"/>
      <c r="L68" s="95"/>
      <c r="M68" s="95"/>
      <c r="N68" s="39"/>
      <c r="O68" s="39"/>
      <c r="P68" s="25"/>
      <c r="Q68" s="25"/>
      <c r="R68" s="25"/>
      <c r="S68" s="25"/>
      <c r="T68" s="25"/>
      <c r="U68" s="25"/>
      <c r="V68" s="25"/>
      <c r="W68" s="25"/>
      <c r="X68" s="25"/>
      <c r="Y68" s="25"/>
    </row>
    <row r="69" spans="2:26" ht="30" customHeight="1" x14ac:dyDescent="0.25">
      <c r="B69" s="95" t="s">
        <v>27</v>
      </c>
      <c r="C69" s="95"/>
      <c r="D69" s="95"/>
      <c r="E69" s="95"/>
      <c r="F69" s="95"/>
      <c r="G69" s="95"/>
      <c r="H69" s="95"/>
      <c r="I69" s="95"/>
      <c r="J69" s="95"/>
      <c r="K69" s="95"/>
      <c r="L69" s="95"/>
      <c r="M69" s="95"/>
      <c r="N69" s="39"/>
      <c r="O69" s="39"/>
      <c r="P69" s="25"/>
      <c r="Q69" s="25"/>
      <c r="R69" s="25"/>
      <c r="S69" s="25"/>
      <c r="T69" s="25"/>
      <c r="U69" s="25"/>
      <c r="V69" s="25"/>
      <c r="W69" s="25"/>
      <c r="X69" s="25"/>
      <c r="Y69" s="25"/>
      <c r="Z69" s="25"/>
    </row>
    <row r="70" spans="2:26" x14ac:dyDescent="0.25">
      <c r="B70" s="16"/>
      <c r="C70" s="16"/>
      <c r="D70" s="16"/>
      <c r="E70" s="16"/>
      <c r="F70" s="16"/>
      <c r="G70" s="16"/>
      <c r="H70" s="21"/>
      <c r="I70" s="21"/>
      <c r="J70" s="21"/>
      <c r="K70" s="21"/>
      <c r="L70" s="21"/>
      <c r="M70" s="21"/>
      <c r="N70" s="21"/>
      <c r="O70" s="21"/>
      <c r="P70" s="21"/>
      <c r="Q70" s="21"/>
      <c r="R70" s="21"/>
      <c r="S70" s="21"/>
      <c r="T70" s="21"/>
      <c r="U70" s="21"/>
      <c r="V70" s="21"/>
      <c r="W70" s="21"/>
      <c r="X70" s="21"/>
      <c r="Y70" s="21"/>
    </row>
    <row r="71" spans="2:26" x14ac:dyDescent="0.25">
      <c r="B71" s="16"/>
      <c r="C71" s="16"/>
      <c r="D71" s="16"/>
      <c r="E71" s="16"/>
      <c r="F71" s="16"/>
      <c r="G71" s="16"/>
      <c r="H71" s="21"/>
      <c r="I71" s="21"/>
      <c r="J71" s="21"/>
      <c r="K71" s="21"/>
      <c r="L71" s="21"/>
      <c r="M71" s="21"/>
      <c r="N71" s="21"/>
      <c r="O71" s="21"/>
      <c r="P71" s="21"/>
      <c r="Q71" s="21"/>
      <c r="R71" s="21"/>
      <c r="S71" s="21"/>
      <c r="T71" s="21"/>
      <c r="U71" s="21"/>
      <c r="V71" s="21"/>
      <c r="W71" s="21"/>
      <c r="X71" s="21"/>
      <c r="Y71" s="21"/>
    </row>
    <row r="72" spans="2:26" x14ac:dyDescent="0.25">
      <c r="B72" s="16"/>
      <c r="C72" s="16"/>
      <c r="D72" s="16"/>
      <c r="E72" s="16"/>
      <c r="F72" s="16"/>
      <c r="G72" s="16"/>
      <c r="H72" s="21"/>
      <c r="I72" s="21"/>
      <c r="J72" s="21"/>
      <c r="K72" s="21"/>
      <c r="L72" s="21"/>
      <c r="M72" s="21"/>
      <c r="N72" s="21"/>
      <c r="O72" s="21"/>
      <c r="P72" s="21"/>
      <c r="Q72" s="21"/>
      <c r="R72" s="21"/>
      <c r="S72" s="21"/>
      <c r="T72" s="21"/>
      <c r="U72" s="21"/>
      <c r="V72" s="21"/>
      <c r="W72" s="21"/>
      <c r="X72" s="21"/>
      <c r="Y72" s="21"/>
    </row>
    <row r="73" spans="2:26" x14ac:dyDescent="0.25">
      <c r="B73" s="16"/>
      <c r="C73" s="16"/>
      <c r="D73" s="16"/>
      <c r="E73" s="16"/>
      <c r="F73" s="16"/>
      <c r="G73" s="16"/>
      <c r="H73" s="21"/>
      <c r="I73" s="21"/>
      <c r="J73" s="21"/>
      <c r="K73" s="21"/>
      <c r="L73" s="21"/>
      <c r="M73" s="21"/>
      <c r="N73" s="21"/>
      <c r="O73" s="21"/>
      <c r="P73" s="21"/>
      <c r="Q73" s="21"/>
      <c r="R73" s="21"/>
      <c r="S73" s="21"/>
      <c r="T73" s="21"/>
      <c r="U73" s="21"/>
      <c r="V73" s="21"/>
      <c r="W73" s="21"/>
      <c r="X73" s="21"/>
      <c r="Y73" s="21"/>
    </row>
    <row r="74" spans="2:26" x14ac:dyDescent="0.25">
      <c r="B74" s="22"/>
      <c r="C74" s="22"/>
      <c r="D74" s="22"/>
      <c r="E74" s="22"/>
      <c r="F74" s="16"/>
      <c r="G74" s="16"/>
      <c r="H74" s="21"/>
      <c r="I74" s="21"/>
      <c r="J74" s="21"/>
      <c r="K74" s="21"/>
      <c r="L74" s="21"/>
      <c r="M74" s="21"/>
      <c r="N74" s="21"/>
      <c r="O74" s="21"/>
      <c r="P74" s="21"/>
      <c r="Q74" s="21"/>
      <c r="R74" s="21"/>
      <c r="S74" s="21"/>
      <c r="T74" s="21"/>
      <c r="U74" s="21"/>
      <c r="V74" s="21"/>
      <c r="W74" s="21"/>
      <c r="X74" s="21"/>
      <c r="Y74" s="21"/>
    </row>
    <row r="75" spans="2:26" x14ac:dyDescent="0.25">
      <c r="B75" s="22"/>
      <c r="C75" s="22"/>
      <c r="D75" s="22"/>
      <c r="E75" s="22"/>
      <c r="F75" s="16"/>
      <c r="G75" s="16"/>
      <c r="H75" s="21"/>
      <c r="I75" s="21"/>
      <c r="J75" s="21"/>
      <c r="K75" s="21"/>
      <c r="L75" s="21"/>
      <c r="M75" s="21"/>
      <c r="N75" s="21"/>
      <c r="O75" s="21"/>
      <c r="P75" s="21"/>
      <c r="Q75" s="21"/>
      <c r="R75" s="21"/>
      <c r="S75" s="21"/>
      <c r="T75" s="21"/>
      <c r="U75" s="21"/>
      <c r="V75" s="21"/>
      <c r="W75" s="21"/>
      <c r="X75" s="21"/>
      <c r="Y75" s="21"/>
    </row>
    <row r="76" spans="2:26" x14ac:dyDescent="0.25">
      <c r="G76" s="13"/>
      <c r="H76" s="13"/>
      <c r="I76" s="118"/>
      <c r="K76" s="118"/>
    </row>
  </sheetData>
  <sheetProtection algorithmName="SHA-512" hashValue="NojIvYHloMfQs+R60JmuHOHgqUM+GPPjajfppNm69R03g8Rh4OuAcgYLUPGxiCFjmCONwCrlhHyw3BgWpKeOeQ==" saltValue="ORSaTGkBy6uk0g3UhJAtYw==" spinCount="100000" sheet="1" objects="1" scenarios="1" selectLockedCells="1" selectUnlockedCells="1"/>
  <autoFilter ref="A4:AR49" xr:uid="{00000000-0001-0000-0000-000000000000}"/>
  <mergeCells count="19">
    <mergeCell ref="C57:E57"/>
    <mergeCell ref="C58:E58"/>
    <mergeCell ref="C59:E59"/>
    <mergeCell ref="B68:M68"/>
    <mergeCell ref="B69:M69"/>
    <mergeCell ref="B67:M67"/>
    <mergeCell ref="C60:E60"/>
    <mergeCell ref="B1:AB1"/>
    <mergeCell ref="B2:C2"/>
    <mergeCell ref="B3:G3"/>
    <mergeCell ref="Y3:AB3"/>
    <mergeCell ref="B49:G49"/>
    <mergeCell ref="D2:AB2"/>
    <mergeCell ref="C56:E56"/>
    <mergeCell ref="C52:E52"/>
    <mergeCell ref="Y51:AB51"/>
    <mergeCell ref="C53:E53"/>
    <mergeCell ref="C54:E54"/>
    <mergeCell ref="C55:E55"/>
  </mergeCells>
  <pageMargins left="0.7" right="0.7" top="0.75" bottom="0.75" header="0.3" footer="0.3"/>
  <pageSetup paperSize="5" scale="50"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T77"/>
  <sheetViews>
    <sheetView tabSelected="1" zoomScaleNormal="100" workbookViewId="0">
      <selection activeCell="L73" sqref="L73"/>
    </sheetView>
  </sheetViews>
  <sheetFormatPr baseColWidth="10" defaultColWidth="11.42578125" defaultRowHeight="15" x14ac:dyDescent="0.25"/>
  <cols>
    <col min="1" max="1" width="2.7109375" style="10" customWidth="1"/>
    <col min="2" max="2" width="7.5703125" style="13" customWidth="1"/>
    <col min="3" max="3" width="35.140625" style="13" customWidth="1"/>
    <col min="4" max="4" width="18" style="13" customWidth="1"/>
    <col min="5" max="5" width="14.85546875" style="13" customWidth="1"/>
    <col min="6" max="6" width="12.7109375" style="14" customWidth="1"/>
    <col min="7" max="7" width="11.140625" style="10" customWidth="1"/>
    <col min="8" max="8" width="14.85546875" style="10" customWidth="1"/>
    <col min="9" max="10" width="2.7109375" style="10" customWidth="1"/>
    <col min="11" max="14" width="17" style="10" customWidth="1"/>
    <col min="15" max="15" width="11.42578125" style="10"/>
    <col min="16" max="16" width="14.7109375" style="10" hidden="1" customWidth="1"/>
    <col min="17" max="17" width="15.5703125" style="10" hidden="1" customWidth="1"/>
    <col min="18" max="18" width="16.140625" style="10" hidden="1" customWidth="1"/>
    <col min="19" max="19" width="18" style="10" hidden="1" customWidth="1"/>
    <col min="20" max="16384" width="11.42578125" style="10"/>
  </cols>
  <sheetData>
    <row r="1" spans="1:19" s="6" customFormat="1" ht="28.5" customHeight="1" x14ac:dyDescent="0.25">
      <c r="A1" s="5"/>
      <c r="B1" s="84" t="s">
        <v>109</v>
      </c>
      <c r="C1" s="84"/>
      <c r="D1" s="84"/>
      <c r="E1" s="84"/>
      <c r="F1" s="84"/>
      <c r="G1" s="84"/>
      <c r="H1" s="84"/>
      <c r="I1" s="84"/>
      <c r="J1" s="84"/>
      <c r="K1" s="84"/>
      <c r="L1" s="84"/>
      <c r="M1" s="84"/>
      <c r="N1" s="84"/>
    </row>
    <row r="2" spans="1:19" s="5" customFormat="1" ht="54" customHeight="1" x14ac:dyDescent="0.25">
      <c r="B2" s="85"/>
      <c r="C2" s="85"/>
      <c r="D2" s="104" t="s">
        <v>108</v>
      </c>
      <c r="E2" s="105"/>
      <c r="F2" s="105"/>
      <c r="G2" s="105"/>
      <c r="H2" s="105"/>
      <c r="I2" s="105"/>
      <c r="J2" s="105"/>
      <c r="K2" s="105"/>
      <c r="L2" s="105"/>
      <c r="M2" s="105"/>
      <c r="N2" s="106"/>
    </row>
    <row r="3" spans="1:19" s="5" customFormat="1" ht="18.75" customHeight="1" x14ac:dyDescent="0.25">
      <c r="B3" s="86" t="s">
        <v>104</v>
      </c>
      <c r="C3" s="87"/>
      <c r="D3" s="87"/>
      <c r="E3" s="87"/>
      <c r="F3" s="87"/>
      <c r="G3" s="88"/>
      <c r="H3" s="107" t="s">
        <v>12</v>
      </c>
      <c r="I3" s="16"/>
      <c r="J3" s="15"/>
      <c r="K3" s="98" t="s">
        <v>110</v>
      </c>
      <c r="L3" s="99"/>
      <c r="M3" s="99"/>
      <c r="N3" s="100"/>
    </row>
    <row r="4" spans="1:19" s="5" customFormat="1" ht="16.5" x14ac:dyDescent="0.25">
      <c r="B4" s="96"/>
      <c r="C4" s="97"/>
      <c r="D4" s="97"/>
      <c r="E4" s="97"/>
      <c r="F4" s="97"/>
      <c r="G4" s="112"/>
      <c r="H4" s="108"/>
      <c r="I4" s="16"/>
      <c r="J4" s="15"/>
      <c r="K4" s="101"/>
      <c r="L4" s="102"/>
      <c r="M4" s="102"/>
      <c r="N4" s="103"/>
    </row>
    <row r="5" spans="1:19" s="1" customFormat="1" ht="27" x14ac:dyDescent="0.25">
      <c r="A5" s="7"/>
      <c r="B5" s="3" t="s">
        <v>2</v>
      </c>
      <c r="C5" s="3" t="s">
        <v>9</v>
      </c>
      <c r="D5" s="75" t="s">
        <v>92</v>
      </c>
      <c r="E5" s="75" t="s">
        <v>29</v>
      </c>
      <c r="F5" s="75" t="s">
        <v>3</v>
      </c>
      <c r="G5" s="75" t="s">
        <v>30</v>
      </c>
      <c r="H5" s="17" t="s">
        <v>5</v>
      </c>
      <c r="I5" s="16"/>
      <c r="J5" s="2"/>
      <c r="K5" s="4" t="s">
        <v>5</v>
      </c>
      <c r="L5" s="4" t="s">
        <v>7</v>
      </c>
      <c r="M5" s="4" t="s">
        <v>8</v>
      </c>
      <c r="N5" s="4" t="s">
        <v>6</v>
      </c>
      <c r="O5" s="1" t="s">
        <v>4</v>
      </c>
    </row>
    <row r="6" spans="1:19" s="1" customFormat="1" ht="16.5" x14ac:dyDescent="0.25">
      <c r="A6" s="7"/>
      <c r="B6" s="38">
        <f>+'ANEXO 1 - COTIZACIONES'!B5</f>
        <v>1</v>
      </c>
      <c r="C6" s="37" t="str">
        <f>+'ANEXO 1 - COTIZACIONES'!C5</f>
        <v>NETION 20KVA</v>
      </c>
      <c r="D6" s="8">
        <f>+'ANEXO 1 - COTIZACIONES'!D5</f>
        <v>20</v>
      </c>
      <c r="E6" s="37" t="str">
        <f>+'ANEXO 1 - COTIZACIONES'!E5</f>
        <v xml:space="preserve">BARRANQUILLA </v>
      </c>
      <c r="F6" s="37" t="str">
        <f>+'ANEXO 1 - COTIZACIONES'!F5</f>
        <v>Unidad</v>
      </c>
      <c r="G6" s="8">
        <f>+'ANEXO 1 - COTIZACIONES'!G5</f>
        <v>1</v>
      </c>
      <c r="H6" s="23">
        <f>+'ANEXO 1 - COTIZACIONES'!Y5</f>
        <v>472216.67</v>
      </c>
      <c r="I6" s="43"/>
      <c r="J6" s="35"/>
      <c r="K6" s="40">
        <f>+'ANEXO 1 - COTIZACIONES'!Y5</f>
        <v>472216.67</v>
      </c>
      <c r="L6" s="40">
        <f>ROUND(K6*19%,2)</f>
        <v>89721.17</v>
      </c>
      <c r="M6" s="40">
        <f>+L6+K6</f>
        <v>561937.84</v>
      </c>
      <c r="N6" s="40">
        <f>+M6*G6</f>
        <v>561937.84</v>
      </c>
      <c r="O6" s="1" t="s">
        <v>4</v>
      </c>
      <c r="P6" s="33">
        <f>+AVERAGE(H6:I6)</f>
        <v>472216.67</v>
      </c>
      <c r="Q6" s="1" t="e">
        <f>+P6*F6*1.19</f>
        <v>#VALUE!</v>
      </c>
      <c r="R6" s="33">
        <f>+AVERAGE(P6,MIN(H6:I6))</f>
        <v>472216.67</v>
      </c>
      <c r="S6" s="34" t="e">
        <f>+R6*1.19*F6</f>
        <v>#VALUE!</v>
      </c>
    </row>
    <row r="7" spans="1:19" s="1" customFormat="1" ht="16.5" x14ac:dyDescent="0.25">
      <c r="A7" s="7"/>
      <c r="B7" s="38">
        <f>+'ANEXO 1 - COTIZACIONES'!B6</f>
        <v>2</v>
      </c>
      <c r="C7" s="37" t="str">
        <f>+'ANEXO 1 - COTIZACIONES'!C6</f>
        <v>LIEBERT EXM 60 KVA</v>
      </c>
      <c r="D7" s="8">
        <f>+'ANEXO 1 - COTIZACIONES'!D6</f>
        <v>60</v>
      </c>
      <c r="E7" s="37" t="str">
        <f>+'ANEXO 1 - COTIZACIONES'!E6</f>
        <v xml:space="preserve">BARRANQUILLA </v>
      </c>
      <c r="F7" s="37" t="str">
        <f>+'ANEXO 1 - COTIZACIONES'!F6</f>
        <v>Unidad</v>
      </c>
      <c r="G7" s="8">
        <f>+'ANEXO 1 - COTIZACIONES'!G6</f>
        <v>1</v>
      </c>
      <c r="H7" s="23">
        <f>+'ANEXO 1 - COTIZACIONES'!Y6</f>
        <v>727500</v>
      </c>
      <c r="I7" s="43"/>
      <c r="J7" s="35"/>
      <c r="K7" s="40">
        <f>+'ANEXO 1 - COTIZACIONES'!Y6</f>
        <v>727500</v>
      </c>
      <c r="L7" s="40">
        <f t="shared" ref="L7:L9" si="0">ROUND(K7*19%,2)</f>
        <v>138225</v>
      </c>
      <c r="M7" s="40">
        <f t="shared" ref="M7:M9" si="1">+L7+K7</f>
        <v>865725</v>
      </c>
      <c r="N7" s="40">
        <f t="shared" ref="N7:N49" si="2">+M7*G7</f>
        <v>865725</v>
      </c>
      <c r="P7" s="33">
        <f>+AVERAGE(H7:I7)</f>
        <v>727500</v>
      </c>
      <c r="Q7" s="1" t="e">
        <f>+P7*F7*1.19</f>
        <v>#VALUE!</v>
      </c>
      <c r="R7" s="33">
        <f>+AVERAGE(P7,MIN(H7:I7))</f>
        <v>727500</v>
      </c>
      <c r="S7" s="34" t="e">
        <f>+R7*1.19*F7</f>
        <v>#VALUE!</v>
      </c>
    </row>
    <row r="8" spans="1:19" s="1" customFormat="1" ht="16.5" x14ac:dyDescent="0.25">
      <c r="A8" s="7"/>
      <c r="B8" s="38">
        <f>+'ANEXO 1 - COTIZACIONES'!B7</f>
        <v>3</v>
      </c>
      <c r="C8" s="37" t="str">
        <f>+'ANEXO 1 - COTIZACIONES'!C7</f>
        <v>MTEK JAL33030XL 30 KVA</v>
      </c>
      <c r="D8" s="8">
        <f>+'ANEXO 1 - COTIZACIONES'!D7</f>
        <v>30</v>
      </c>
      <c r="E8" s="37" t="str">
        <f>+'ANEXO 1 - COTIZACIONES'!E7</f>
        <v>SOLEDAD</v>
      </c>
      <c r="F8" s="37" t="str">
        <f>+'ANEXO 1 - COTIZACIONES'!F7</f>
        <v>Unidad</v>
      </c>
      <c r="G8" s="8">
        <f>+'ANEXO 1 - COTIZACIONES'!G7</f>
        <v>1</v>
      </c>
      <c r="H8" s="23">
        <f>+'ANEXO 1 - COTIZACIONES'!Y7</f>
        <v>510550</v>
      </c>
      <c r="I8" s="43"/>
      <c r="J8" s="35"/>
      <c r="K8" s="40">
        <f>+'ANEXO 1 - COTIZACIONES'!Y7</f>
        <v>510550</v>
      </c>
      <c r="L8" s="40">
        <f t="shared" si="0"/>
        <v>97004.5</v>
      </c>
      <c r="M8" s="40">
        <f t="shared" si="1"/>
        <v>607554.5</v>
      </c>
      <c r="N8" s="40">
        <f t="shared" si="2"/>
        <v>607554.5</v>
      </c>
      <c r="P8" s="33">
        <f>+AVERAGE(H8:I8)</f>
        <v>510550</v>
      </c>
      <c r="Q8" s="1" t="e">
        <f>+P8*F8*1.19</f>
        <v>#VALUE!</v>
      </c>
      <c r="R8" s="33">
        <f>+AVERAGE(P8,MIN(H8:I8))</f>
        <v>510550</v>
      </c>
      <c r="S8" s="34" t="e">
        <f>+R8*1.19*F8</f>
        <v>#VALUE!</v>
      </c>
    </row>
    <row r="9" spans="1:19" s="1" customFormat="1" ht="33" x14ac:dyDescent="0.25">
      <c r="A9" s="7"/>
      <c r="B9" s="38">
        <f>+'ANEXO 1 - COTIZACIONES'!B8</f>
        <v>4</v>
      </c>
      <c r="C9" s="37" t="str">
        <f>+'ANEXO 1 - COTIZACIONES'!C8</f>
        <v>LIEBERT 10 KVA</v>
      </c>
      <c r="D9" s="8">
        <f>+'ANEXO 1 - COTIZACIONES'!D8</f>
        <v>10</v>
      </c>
      <c r="E9" s="37" t="str">
        <f>+'ANEXO 1 - COTIZACIONES'!E8</f>
        <v>PUERTO COLOMBIA</v>
      </c>
      <c r="F9" s="37" t="str">
        <f>+'ANEXO 1 - COTIZACIONES'!F8</f>
        <v>Unidad</v>
      </c>
      <c r="G9" s="8">
        <f>+'ANEXO 1 - COTIZACIONES'!G8</f>
        <v>1</v>
      </c>
      <c r="H9" s="23">
        <f>+'ANEXO 1 - COTIZACIONES'!Y8</f>
        <v>296250</v>
      </c>
      <c r="I9" s="43"/>
      <c r="J9" s="35"/>
      <c r="K9" s="40">
        <f>+'ANEXO 1 - COTIZACIONES'!Y8</f>
        <v>296250</v>
      </c>
      <c r="L9" s="40">
        <f t="shared" si="0"/>
        <v>56287.5</v>
      </c>
      <c r="M9" s="40">
        <f t="shared" si="1"/>
        <v>352537.5</v>
      </c>
      <c r="N9" s="40">
        <f t="shared" si="2"/>
        <v>352537.5</v>
      </c>
      <c r="P9" s="33">
        <f>+AVERAGE(H9:I9)</f>
        <v>296250</v>
      </c>
      <c r="Q9" s="1" t="e">
        <f>+P9*F9*1.19</f>
        <v>#VALUE!</v>
      </c>
      <c r="R9" s="33">
        <f>+AVERAGE(P9,MIN(H9:I9))</f>
        <v>296250</v>
      </c>
      <c r="S9" s="34" t="e">
        <f>+R9*1.19*F9</f>
        <v>#VALUE!</v>
      </c>
    </row>
    <row r="10" spans="1:19" s="1" customFormat="1" ht="16.5" x14ac:dyDescent="0.25">
      <c r="A10" s="7"/>
      <c r="B10" s="38">
        <f>+'ANEXO 1 - COTIZACIONES'!B9</f>
        <v>5</v>
      </c>
      <c r="C10" s="37" t="str">
        <f>+'ANEXO 1 - COTIZACIONES'!C9</f>
        <v>LIEBERT 10 KVA</v>
      </c>
      <c r="D10" s="8">
        <f>+'ANEXO 1 - COTIZACIONES'!D9</f>
        <v>10</v>
      </c>
      <c r="E10" s="37" t="str">
        <f>+'ANEXO 1 - COTIZACIONES'!E9</f>
        <v>SABANALARGA</v>
      </c>
      <c r="F10" s="37" t="str">
        <f>+'ANEXO 1 - COTIZACIONES'!F9</f>
        <v>Unidad</v>
      </c>
      <c r="G10" s="8">
        <f>+'ANEXO 1 - COTIZACIONES'!G9</f>
        <v>1</v>
      </c>
      <c r="H10" s="23">
        <f>+'ANEXO 1 - COTIZACIONES'!Y9</f>
        <v>302500</v>
      </c>
      <c r="I10" s="43"/>
      <c r="J10" s="35"/>
      <c r="K10" s="40">
        <f>+'ANEXO 1 - COTIZACIONES'!Y9</f>
        <v>302500</v>
      </c>
      <c r="L10" s="40">
        <f t="shared" ref="L10" si="3">ROUND(K10*19%,2)</f>
        <v>57475</v>
      </c>
      <c r="M10" s="40">
        <f t="shared" ref="M10" si="4">+L10+K10</f>
        <v>359975</v>
      </c>
      <c r="N10" s="40">
        <f t="shared" si="2"/>
        <v>359975</v>
      </c>
      <c r="P10" s="33">
        <f>+AVERAGE(H10:I10)</f>
        <v>302500</v>
      </c>
      <c r="Q10" s="1" t="e">
        <f>+P10*F10*1.19</f>
        <v>#VALUE!</v>
      </c>
      <c r="R10" s="33">
        <f>+AVERAGE(P10,MIN(H10:I10))</f>
        <v>302500</v>
      </c>
      <c r="S10" s="34" t="e">
        <f>+R10*1.19*F10</f>
        <v>#VALUE!</v>
      </c>
    </row>
    <row r="11" spans="1:19" s="1" customFormat="1" ht="16.5" x14ac:dyDescent="0.25">
      <c r="A11" s="7"/>
      <c r="B11" s="38">
        <f>+'ANEXO 1 - COTIZACIONES'!B10</f>
        <v>6</v>
      </c>
      <c r="C11" s="37" t="str">
        <f>+'ANEXO 1 - COTIZACIONES'!C10</f>
        <v>TITÁN BIFÁSICA 3KVA</v>
      </c>
      <c r="D11" s="8">
        <f>+'ANEXO 1 - COTIZACIONES'!D10</f>
        <v>3</v>
      </c>
      <c r="E11" s="37" t="str">
        <f>+'ANEXO 1 - COTIZACIONES'!E10</f>
        <v>CARTAGENA</v>
      </c>
      <c r="F11" s="37" t="str">
        <f>+'ANEXO 1 - COTIZACIONES'!F10</f>
        <v>Unidad</v>
      </c>
      <c r="G11" s="8">
        <f>+'ANEXO 1 - COTIZACIONES'!G10</f>
        <v>1</v>
      </c>
      <c r="H11" s="23">
        <f>+'ANEXO 1 - COTIZACIONES'!Y10</f>
        <v>136666.67000000001</v>
      </c>
      <c r="I11" s="43"/>
      <c r="J11" s="35"/>
      <c r="K11" s="40">
        <f>+'ANEXO 1 - COTIZACIONES'!Y10</f>
        <v>136666.67000000001</v>
      </c>
      <c r="L11" s="40">
        <f t="shared" ref="L11:L49" si="5">ROUND(K11*19%,2)</f>
        <v>25966.67</v>
      </c>
      <c r="M11" s="40">
        <f t="shared" ref="M11:M49" si="6">+L11+K11</f>
        <v>162633.34000000003</v>
      </c>
      <c r="N11" s="40">
        <f t="shared" si="2"/>
        <v>162633.34000000003</v>
      </c>
      <c r="P11" s="33"/>
      <c r="R11" s="33"/>
      <c r="S11" s="34"/>
    </row>
    <row r="12" spans="1:19" s="1" customFormat="1" ht="16.5" x14ac:dyDescent="0.25">
      <c r="A12" s="7"/>
      <c r="B12" s="38">
        <f>+'ANEXO 1 - COTIZACIONES'!B11</f>
        <v>7</v>
      </c>
      <c r="C12" s="37" t="str">
        <f>+'ANEXO 1 - COTIZACIONES'!C11</f>
        <v xml:space="preserve"> MICRO NET BIFASICA1 KVA</v>
      </c>
      <c r="D12" s="8">
        <f>+'ANEXO 1 - COTIZACIONES'!D11</f>
        <v>1</v>
      </c>
      <c r="E12" s="37" t="str">
        <f>+'ANEXO 1 - COTIZACIONES'!E11</f>
        <v>CARTAGENA</v>
      </c>
      <c r="F12" s="37" t="str">
        <f>+'ANEXO 1 - COTIZACIONES'!F11</f>
        <v>Unidad</v>
      </c>
      <c r="G12" s="8">
        <f>+'ANEXO 1 - COTIZACIONES'!G11</f>
        <v>1</v>
      </c>
      <c r="H12" s="23">
        <f>+'ANEXO 1 - COTIZACIONES'!Y11</f>
        <v>117187.5</v>
      </c>
      <c r="I12" s="43"/>
      <c r="J12" s="35"/>
      <c r="K12" s="40">
        <f>+'ANEXO 1 - COTIZACIONES'!Y11</f>
        <v>117187.5</v>
      </c>
      <c r="L12" s="40">
        <f t="shared" si="5"/>
        <v>22265.63</v>
      </c>
      <c r="M12" s="40">
        <f t="shared" si="6"/>
        <v>139453.13</v>
      </c>
      <c r="N12" s="40">
        <f t="shared" si="2"/>
        <v>139453.13</v>
      </c>
      <c r="P12" s="33"/>
      <c r="R12" s="33"/>
      <c r="S12" s="34"/>
    </row>
    <row r="13" spans="1:19" s="1" customFormat="1" ht="16.5" x14ac:dyDescent="0.25">
      <c r="A13" s="7"/>
      <c r="B13" s="38">
        <f>+'ANEXO 1 - COTIZACIONES'!B12</f>
        <v>8</v>
      </c>
      <c r="C13" s="37" t="str">
        <f>+'ANEXO 1 - COTIZACIONES'!C12</f>
        <v xml:space="preserve"> TITÁN TRIFÁSICA 30 KVA</v>
      </c>
      <c r="D13" s="8">
        <f>+'ANEXO 1 - COTIZACIONES'!D12</f>
        <v>30</v>
      </c>
      <c r="E13" s="37" t="str">
        <f>+'ANEXO 1 - COTIZACIONES'!E12</f>
        <v>CARTAGENA</v>
      </c>
      <c r="F13" s="37" t="str">
        <f>+'ANEXO 1 - COTIZACIONES'!F12</f>
        <v>Unidad</v>
      </c>
      <c r="G13" s="8">
        <f>+'ANEXO 1 - COTIZACIONES'!G12</f>
        <v>1</v>
      </c>
      <c r="H13" s="23">
        <f>+'ANEXO 1 - COTIZACIONES'!Y12</f>
        <v>406950</v>
      </c>
      <c r="I13" s="43"/>
      <c r="J13" s="35"/>
      <c r="K13" s="40">
        <f>+'ANEXO 1 - COTIZACIONES'!Y12</f>
        <v>406950</v>
      </c>
      <c r="L13" s="40">
        <f t="shared" si="5"/>
        <v>77320.5</v>
      </c>
      <c r="M13" s="40">
        <f t="shared" si="6"/>
        <v>484270.5</v>
      </c>
      <c r="N13" s="40">
        <f t="shared" si="2"/>
        <v>484270.5</v>
      </c>
      <c r="P13" s="33"/>
      <c r="R13" s="33"/>
      <c r="S13" s="34"/>
    </row>
    <row r="14" spans="1:19" s="1" customFormat="1" ht="16.5" x14ac:dyDescent="0.25">
      <c r="A14" s="7"/>
      <c r="B14" s="38">
        <f>+'ANEXO 1 - COTIZACIONES'!B13</f>
        <v>9</v>
      </c>
      <c r="C14" s="37" t="str">
        <f>+'ANEXO 1 - COTIZACIONES'!C13</f>
        <v>MICRONET 2000 VA MONOFASICA</v>
      </c>
      <c r="D14" s="8">
        <f>+'ANEXO 1 - COTIZACIONES'!D13</f>
        <v>2</v>
      </c>
      <c r="E14" s="37" t="str">
        <f>+'ANEXO 1 - COTIZACIONES'!E13</f>
        <v>CARTAGENA</v>
      </c>
      <c r="F14" s="37" t="str">
        <f>+'ANEXO 1 - COTIZACIONES'!F13</f>
        <v>Unidad</v>
      </c>
      <c r="G14" s="8">
        <f>+'ANEXO 1 - COTIZACIONES'!G13</f>
        <v>1</v>
      </c>
      <c r="H14" s="23">
        <f>+'ANEXO 1 - COTIZACIONES'!Y13</f>
        <v>120333.34</v>
      </c>
      <c r="I14" s="43"/>
      <c r="J14" s="35"/>
      <c r="K14" s="40">
        <f>+'ANEXO 1 - COTIZACIONES'!Y13</f>
        <v>120333.34</v>
      </c>
      <c r="L14" s="40">
        <f t="shared" si="5"/>
        <v>22863.33</v>
      </c>
      <c r="M14" s="40">
        <f t="shared" si="6"/>
        <v>143196.66999999998</v>
      </c>
      <c r="N14" s="40">
        <f t="shared" si="2"/>
        <v>143196.66999999998</v>
      </c>
      <c r="P14" s="33"/>
      <c r="R14" s="33"/>
      <c r="S14" s="34"/>
    </row>
    <row r="15" spans="1:19" s="1" customFormat="1" ht="33" x14ac:dyDescent="0.25">
      <c r="A15" s="7"/>
      <c r="B15" s="38">
        <f>+'ANEXO 1 - COTIZACIONES'!B14</f>
        <v>10</v>
      </c>
      <c r="C15" s="37" t="str">
        <f>+'ANEXO 1 - COTIZACIONES'!C14</f>
        <v>APC BACK-UPS PRO TOWER 1500VA (BR1500G)</v>
      </c>
      <c r="D15" s="8" t="str">
        <f>+'ANEXO 1 - COTIZACIONES'!D14</f>
        <v>1.5</v>
      </c>
      <c r="E15" s="37" t="str">
        <f>+'ANEXO 1 - COTIZACIONES'!E14</f>
        <v>CARTAGENA</v>
      </c>
      <c r="F15" s="37" t="str">
        <f>+'ANEXO 1 - COTIZACIONES'!F14</f>
        <v>Unidad</v>
      </c>
      <c r="G15" s="8">
        <f>+'ANEXO 1 - COTIZACIONES'!G14</f>
        <v>1</v>
      </c>
      <c r="H15" s="23">
        <f>+'ANEXO 1 - COTIZACIONES'!Y14</f>
        <v>114250</v>
      </c>
      <c r="I15" s="43"/>
      <c r="J15" s="35"/>
      <c r="K15" s="40">
        <f>+'ANEXO 1 - COTIZACIONES'!Y14</f>
        <v>114250</v>
      </c>
      <c r="L15" s="40">
        <f t="shared" si="5"/>
        <v>21707.5</v>
      </c>
      <c r="M15" s="40">
        <f t="shared" si="6"/>
        <v>135957.5</v>
      </c>
      <c r="N15" s="40">
        <f t="shared" si="2"/>
        <v>135957.5</v>
      </c>
      <c r="P15" s="33"/>
      <c r="R15" s="33"/>
      <c r="S15" s="34"/>
    </row>
    <row r="16" spans="1:19" s="1" customFormat="1" ht="16.5" x14ac:dyDescent="0.25">
      <c r="A16" s="7"/>
      <c r="B16" s="38">
        <f>+'ANEXO 1 - COTIZACIONES'!B15</f>
        <v>11</v>
      </c>
      <c r="C16" s="37" t="str">
        <f>+'ANEXO 1 - COTIZACIONES'!C15</f>
        <v xml:space="preserve"> LIEBERT GXT4 MONOFASICA 1,5 KVA</v>
      </c>
      <c r="D16" s="8" t="str">
        <f>+'ANEXO 1 - COTIZACIONES'!D15</f>
        <v>1.5</v>
      </c>
      <c r="E16" s="37" t="str">
        <f>+'ANEXO 1 - COTIZACIONES'!E15</f>
        <v>CARTAGENA</v>
      </c>
      <c r="F16" s="37" t="str">
        <f>+'ANEXO 1 - COTIZACIONES'!F15</f>
        <v>Unidad</v>
      </c>
      <c r="G16" s="8">
        <f>+'ANEXO 1 - COTIZACIONES'!G15</f>
        <v>1</v>
      </c>
      <c r="H16" s="23">
        <f>+'ANEXO 1 - COTIZACIONES'!Y15</f>
        <v>116750</v>
      </c>
      <c r="I16" s="43"/>
      <c r="J16" s="35"/>
      <c r="K16" s="40">
        <f>+'ANEXO 1 - COTIZACIONES'!Y15</f>
        <v>116750</v>
      </c>
      <c r="L16" s="40">
        <f t="shared" si="5"/>
        <v>22182.5</v>
      </c>
      <c r="M16" s="40">
        <f t="shared" si="6"/>
        <v>138932.5</v>
      </c>
      <c r="N16" s="40">
        <f t="shared" si="2"/>
        <v>138932.5</v>
      </c>
      <c r="P16" s="33"/>
      <c r="R16" s="33"/>
      <c r="S16" s="34"/>
    </row>
    <row r="17" spans="1:19" s="1" customFormat="1" ht="33" x14ac:dyDescent="0.25">
      <c r="A17" s="7"/>
      <c r="B17" s="38">
        <f>+'ANEXO 1 - COTIZACIONES'!B16</f>
        <v>12</v>
      </c>
      <c r="C17" s="37" t="str">
        <f>+'ANEXO 1 - COTIZACIONES'!C16</f>
        <v xml:space="preserve">PEI BIFÁSICA DE 10 KVA </v>
      </c>
      <c r="D17" s="8">
        <f>+'ANEXO 1 - COTIZACIONES'!D16</f>
        <v>10</v>
      </c>
      <c r="E17" s="37" t="str">
        <f>+'ANEXO 1 - COTIZACIONES'!E16</f>
        <v>CARMEN_DE_BOLIVAR</v>
      </c>
      <c r="F17" s="37" t="str">
        <f>+'ANEXO 1 - COTIZACIONES'!F16</f>
        <v>Unidad</v>
      </c>
      <c r="G17" s="8">
        <f>+'ANEXO 1 - COTIZACIONES'!G16</f>
        <v>1</v>
      </c>
      <c r="H17" s="23">
        <f>+'ANEXO 1 - COTIZACIONES'!Y16</f>
        <v>283750</v>
      </c>
      <c r="I17" s="43"/>
      <c r="J17" s="35"/>
      <c r="K17" s="40">
        <f>+'ANEXO 1 - COTIZACIONES'!Y16</f>
        <v>283750</v>
      </c>
      <c r="L17" s="40">
        <f t="shared" si="5"/>
        <v>53912.5</v>
      </c>
      <c r="M17" s="40">
        <f t="shared" si="6"/>
        <v>337662.5</v>
      </c>
      <c r="N17" s="40">
        <f t="shared" si="2"/>
        <v>337662.5</v>
      </c>
      <c r="P17" s="33"/>
      <c r="R17" s="33"/>
      <c r="S17" s="34"/>
    </row>
    <row r="18" spans="1:19" s="1" customFormat="1" ht="16.5" x14ac:dyDescent="0.25">
      <c r="A18" s="7"/>
      <c r="B18" s="38">
        <f>+'ANEXO 1 - COTIZACIONES'!B17</f>
        <v>13</v>
      </c>
      <c r="C18" s="37" t="str">
        <f>+'ANEXO 1 - COTIZACIONES'!C17</f>
        <v>EATON DE 30 KVA</v>
      </c>
      <c r="D18" s="8">
        <f>+'ANEXO 1 - COTIZACIONES'!D17</f>
        <v>30</v>
      </c>
      <c r="E18" s="37" t="str">
        <f>+'ANEXO 1 - COTIZACIONES'!E17</f>
        <v>CARTAGENA</v>
      </c>
      <c r="F18" s="37" t="str">
        <f>+'ANEXO 1 - COTIZACIONES'!F17</f>
        <v>Unidad</v>
      </c>
      <c r="G18" s="8">
        <f>+'ANEXO 1 - COTIZACIONES'!G17</f>
        <v>1</v>
      </c>
      <c r="H18" s="23">
        <f>+'ANEXO 1 - COTIZACIONES'!Y17</f>
        <v>435333.34</v>
      </c>
      <c r="I18" s="43"/>
      <c r="J18" s="35"/>
      <c r="K18" s="40">
        <f>+'ANEXO 1 - COTIZACIONES'!Y17</f>
        <v>435333.34</v>
      </c>
      <c r="L18" s="40">
        <f t="shared" si="5"/>
        <v>82713.33</v>
      </c>
      <c r="M18" s="40">
        <f t="shared" si="6"/>
        <v>518046.67000000004</v>
      </c>
      <c r="N18" s="40">
        <f t="shared" si="2"/>
        <v>518046.67000000004</v>
      </c>
      <c r="P18" s="33"/>
      <c r="R18" s="33"/>
      <c r="S18" s="34"/>
    </row>
    <row r="19" spans="1:19" s="1" customFormat="1" ht="16.5" x14ac:dyDescent="0.25">
      <c r="A19" s="7"/>
      <c r="B19" s="38">
        <f>+'ANEXO 1 - COTIZACIONES'!B18</f>
        <v>14</v>
      </c>
      <c r="C19" s="37" t="str">
        <f>+'ANEXO 1 - COTIZACIONES'!C18</f>
        <v>EATON 9130 DE 3 KVA</v>
      </c>
      <c r="D19" s="8">
        <f>+'ANEXO 1 - COTIZACIONES'!D18</f>
        <v>3</v>
      </c>
      <c r="E19" s="37" t="str">
        <f>+'ANEXO 1 - COTIZACIONES'!E18</f>
        <v>CARTAGENA</v>
      </c>
      <c r="F19" s="37" t="str">
        <f>+'ANEXO 1 - COTIZACIONES'!F18</f>
        <v>Unidad</v>
      </c>
      <c r="G19" s="8">
        <f>+'ANEXO 1 - COTIZACIONES'!G18</f>
        <v>1</v>
      </c>
      <c r="H19" s="23">
        <f>+'ANEXO 1 - COTIZACIONES'!Y18</f>
        <v>136666.67000000001</v>
      </c>
      <c r="I19" s="43"/>
      <c r="J19" s="35"/>
      <c r="K19" s="40">
        <f>+'ANEXO 1 - COTIZACIONES'!Y18</f>
        <v>136666.67000000001</v>
      </c>
      <c r="L19" s="40">
        <f t="shared" si="5"/>
        <v>25966.67</v>
      </c>
      <c r="M19" s="40">
        <f t="shared" si="6"/>
        <v>162633.34000000003</v>
      </c>
      <c r="N19" s="40">
        <f t="shared" si="2"/>
        <v>162633.34000000003</v>
      </c>
      <c r="P19" s="33"/>
      <c r="R19" s="33"/>
      <c r="S19" s="34"/>
    </row>
    <row r="20" spans="1:19" s="1" customFormat="1" ht="16.5" x14ac:dyDescent="0.25">
      <c r="A20" s="7"/>
      <c r="B20" s="38">
        <f>+'ANEXO 1 - COTIZACIONES'!B19</f>
        <v>15</v>
      </c>
      <c r="C20" s="37" t="str">
        <f>+'ANEXO 1 - COTIZACIONES'!C19</f>
        <v>ROBOTEC UX2-2B 3,000 V</v>
      </c>
      <c r="D20" s="8">
        <f>+'ANEXO 1 - COTIZACIONES'!D19</f>
        <v>3</v>
      </c>
      <c r="E20" s="37" t="str">
        <f>+'ANEXO 1 - COTIZACIONES'!E19</f>
        <v>CARTAGENA</v>
      </c>
      <c r="F20" s="37" t="str">
        <f>+'ANEXO 1 - COTIZACIONES'!F19</f>
        <v>Unidad</v>
      </c>
      <c r="G20" s="8">
        <f>+'ANEXO 1 - COTIZACIONES'!G19</f>
        <v>1</v>
      </c>
      <c r="H20" s="23">
        <f>+'ANEXO 1 - COTIZACIONES'!Y19</f>
        <v>136666.67000000001</v>
      </c>
      <c r="I20" s="43"/>
      <c r="J20" s="35"/>
      <c r="K20" s="40">
        <f>+'ANEXO 1 - COTIZACIONES'!Y19</f>
        <v>136666.67000000001</v>
      </c>
      <c r="L20" s="40">
        <f t="shared" si="5"/>
        <v>25966.67</v>
      </c>
      <c r="M20" s="40">
        <f t="shared" si="6"/>
        <v>162633.34000000003</v>
      </c>
      <c r="N20" s="40">
        <f t="shared" si="2"/>
        <v>162633.34000000003</v>
      </c>
      <c r="P20" s="33"/>
      <c r="R20" s="33"/>
      <c r="S20" s="34"/>
    </row>
    <row r="21" spans="1:19" s="1" customFormat="1" ht="16.5" x14ac:dyDescent="0.25">
      <c r="A21" s="7"/>
      <c r="B21" s="38">
        <f>+'ANEXO 1 - COTIZACIONES'!B20</f>
        <v>16</v>
      </c>
      <c r="C21" s="37" t="str">
        <f>+'ANEXO 1 - COTIZACIONES'!C20</f>
        <v xml:space="preserve">TITAN 6  KVA </v>
      </c>
      <c r="D21" s="8">
        <f>+'ANEXO 1 - COTIZACIONES'!D20</f>
        <v>6</v>
      </c>
      <c r="E21" s="37" t="str">
        <f>+'ANEXO 1 - COTIZACIONES'!E20</f>
        <v>SAN ANDRES</v>
      </c>
      <c r="F21" s="37" t="str">
        <f>+'ANEXO 1 - COTIZACIONES'!F20</f>
        <v>Unidad</v>
      </c>
      <c r="G21" s="8">
        <f>+'ANEXO 1 - COTIZACIONES'!G20</f>
        <v>1</v>
      </c>
      <c r="H21" s="23">
        <f>+'ANEXO 1 - COTIZACIONES'!Y20</f>
        <v>522500</v>
      </c>
      <c r="I21" s="43"/>
      <c r="J21" s="35"/>
      <c r="K21" s="40">
        <f>+'ANEXO 1 - COTIZACIONES'!Y20</f>
        <v>522500</v>
      </c>
      <c r="L21" s="63"/>
      <c r="M21" s="40">
        <f t="shared" si="6"/>
        <v>522500</v>
      </c>
      <c r="N21" s="40">
        <f t="shared" si="2"/>
        <v>522500</v>
      </c>
      <c r="P21" s="33"/>
      <c r="R21" s="33"/>
      <c r="S21" s="34"/>
    </row>
    <row r="22" spans="1:19" s="1" customFormat="1" ht="16.5" x14ac:dyDescent="0.25">
      <c r="A22" s="7"/>
      <c r="B22" s="38">
        <f>+'ANEXO 1 - COTIZACIONES'!B21</f>
        <v>17</v>
      </c>
      <c r="C22" s="37" t="str">
        <f>+'ANEXO 1 - COTIZACIONES'!C21</f>
        <v>UPS ENERGEX GALLEON 10 KVA</v>
      </c>
      <c r="D22" s="8">
        <f>+'ANEXO 1 - COTIZACIONES'!D21</f>
        <v>10</v>
      </c>
      <c r="E22" s="37" t="str">
        <f>+'ANEXO 1 - COTIZACIONES'!E21</f>
        <v xml:space="preserve">VALLEDUPAR </v>
      </c>
      <c r="F22" s="37" t="str">
        <f>+'ANEXO 1 - COTIZACIONES'!F21</f>
        <v>Unidad</v>
      </c>
      <c r="G22" s="8">
        <f>+'ANEXO 1 - COTIZACIONES'!G21</f>
        <v>1</v>
      </c>
      <c r="H22" s="23">
        <f>+'ANEXO 1 - COTIZACIONES'!Y21</f>
        <v>255000</v>
      </c>
      <c r="I22" s="43"/>
      <c r="J22" s="35"/>
      <c r="K22" s="40">
        <f>+'ANEXO 1 - COTIZACIONES'!Y21</f>
        <v>255000</v>
      </c>
      <c r="L22" s="40">
        <f t="shared" si="5"/>
        <v>48450</v>
      </c>
      <c r="M22" s="40">
        <f t="shared" si="6"/>
        <v>303450</v>
      </c>
      <c r="N22" s="40">
        <f t="shared" si="2"/>
        <v>303450</v>
      </c>
      <c r="P22" s="33"/>
      <c r="R22" s="33"/>
      <c r="S22" s="34"/>
    </row>
    <row r="23" spans="1:19" s="1" customFormat="1" ht="16.5" x14ac:dyDescent="0.25">
      <c r="A23" s="7"/>
      <c r="B23" s="38">
        <f>+'ANEXO 1 - COTIZACIONES'!B22</f>
        <v>18</v>
      </c>
      <c r="C23" s="37" t="str">
        <f>+'ANEXO 1 - COTIZACIONES'!C22</f>
        <v>UPS Liebert GXT4 DE 10 KVA</v>
      </c>
      <c r="D23" s="8">
        <f>+'ANEXO 1 - COTIZACIONES'!D22</f>
        <v>10</v>
      </c>
      <c r="E23" s="37" t="str">
        <f>+'ANEXO 1 - COTIZACIONES'!E22</f>
        <v>VALLEDUPAR</v>
      </c>
      <c r="F23" s="37" t="str">
        <f>+'ANEXO 1 - COTIZACIONES'!F22</f>
        <v>Unidad</v>
      </c>
      <c r="G23" s="8">
        <f>+'ANEXO 1 - COTIZACIONES'!G22</f>
        <v>1</v>
      </c>
      <c r="H23" s="23">
        <f>+'ANEXO 1 - COTIZACIONES'!Y22</f>
        <v>255000</v>
      </c>
      <c r="I23" s="43"/>
      <c r="J23" s="35"/>
      <c r="K23" s="40">
        <f>+'ANEXO 1 - COTIZACIONES'!Y22</f>
        <v>255000</v>
      </c>
      <c r="L23" s="40">
        <f t="shared" si="5"/>
        <v>48450</v>
      </c>
      <c r="M23" s="40">
        <f t="shared" si="6"/>
        <v>303450</v>
      </c>
      <c r="N23" s="40">
        <f t="shared" si="2"/>
        <v>303450</v>
      </c>
      <c r="P23" s="33"/>
      <c r="R23" s="33"/>
      <c r="S23" s="34"/>
    </row>
    <row r="24" spans="1:19" s="1" customFormat="1" ht="16.5" x14ac:dyDescent="0.25">
      <c r="A24" s="7"/>
      <c r="B24" s="38">
        <f>+'ANEXO 1 - COTIZACIONES'!B23</f>
        <v>19</v>
      </c>
      <c r="C24" s="37" t="str">
        <f>+'ANEXO 1 - COTIZACIONES'!C23</f>
        <v xml:space="preserve">UPS  MTEK JAL33024  24 KVA </v>
      </c>
      <c r="D24" s="8">
        <f>+'ANEXO 1 - COTIZACIONES'!D23</f>
        <v>24</v>
      </c>
      <c r="E24" s="37" t="str">
        <f>+'ANEXO 1 - COTIZACIONES'!E23</f>
        <v xml:space="preserve">VALLEDUPAR </v>
      </c>
      <c r="F24" s="37" t="str">
        <f>+'ANEXO 1 - COTIZACIONES'!F23</f>
        <v>Unidad</v>
      </c>
      <c r="G24" s="8">
        <f>+'ANEXO 1 - COTIZACIONES'!G23</f>
        <v>1</v>
      </c>
      <c r="H24" s="23">
        <f>+'ANEXO 1 - COTIZACIONES'!Y23</f>
        <v>591500</v>
      </c>
      <c r="I24" s="43"/>
      <c r="J24" s="35"/>
      <c r="K24" s="40">
        <f>+'ANEXO 1 - COTIZACIONES'!Y23</f>
        <v>591500</v>
      </c>
      <c r="L24" s="40">
        <f t="shared" si="5"/>
        <v>112385</v>
      </c>
      <c r="M24" s="40">
        <f t="shared" si="6"/>
        <v>703885</v>
      </c>
      <c r="N24" s="40">
        <f t="shared" si="2"/>
        <v>703885</v>
      </c>
      <c r="P24" s="33"/>
      <c r="R24" s="33"/>
      <c r="S24" s="34"/>
    </row>
    <row r="25" spans="1:19" s="1" customFormat="1" ht="16.5" x14ac:dyDescent="0.25">
      <c r="A25" s="7"/>
      <c r="B25" s="38">
        <f>+'ANEXO 1 - COTIZACIONES'!B24</f>
        <v>20</v>
      </c>
      <c r="C25" s="37" t="str">
        <f>+'ANEXO 1 - COTIZACIONES'!C24</f>
        <v>UPS ROBOTEC MONOFASICA 3 KVA</v>
      </c>
      <c r="D25" s="8">
        <f>+'ANEXO 1 - COTIZACIONES'!D24</f>
        <v>3</v>
      </c>
      <c r="E25" s="37" t="str">
        <f>+'ANEXO 1 - COTIZACIONES'!E24</f>
        <v xml:space="preserve">VALLEDUPAR </v>
      </c>
      <c r="F25" s="37" t="str">
        <f>+'ANEXO 1 - COTIZACIONES'!F24</f>
        <v>Unidad</v>
      </c>
      <c r="G25" s="8">
        <f>+'ANEXO 1 - COTIZACIONES'!G24</f>
        <v>1</v>
      </c>
      <c r="H25" s="23">
        <f>+'ANEXO 1 - COTIZACIONES'!Y24</f>
        <v>152500</v>
      </c>
      <c r="I25" s="43"/>
      <c r="J25" s="35"/>
      <c r="K25" s="40">
        <f>+'ANEXO 1 - COTIZACIONES'!Y24</f>
        <v>152500</v>
      </c>
      <c r="L25" s="40">
        <f t="shared" si="5"/>
        <v>28975</v>
      </c>
      <c r="M25" s="40">
        <f t="shared" si="6"/>
        <v>181475</v>
      </c>
      <c r="N25" s="40">
        <f t="shared" si="2"/>
        <v>181475</v>
      </c>
      <c r="P25" s="33"/>
      <c r="R25" s="33"/>
      <c r="S25" s="34"/>
    </row>
    <row r="26" spans="1:19" s="1" customFormat="1" ht="16.5" x14ac:dyDescent="0.25">
      <c r="A26" s="7"/>
      <c r="B26" s="38">
        <f>+'ANEXO 1 - COTIZACIONES'!B25</f>
        <v>21</v>
      </c>
      <c r="C26" s="37" t="str">
        <f>+'ANEXO 1 - COTIZACIONES'!C25</f>
        <v xml:space="preserve">MGO DE 3 KVA </v>
      </c>
      <c r="D26" s="8">
        <f>+'ANEXO 1 - COTIZACIONES'!D25</f>
        <v>3</v>
      </c>
      <c r="E26" s="37" t="str">
        <f>+'ANEXO 1 - COTIZACIONES'!E25</f>
        <v>EL PASO</v>
      </c>
      <c r="F26" s="37" t="str">
        <f>+'ANEXO 1 - COTIZACIONES'!F25</f>
        <v>Unidad</v>
      </c>
      <c r="G26" s="8">
        <f>+'ANEXO 1 - COTIZACIONES'!G25</f>
        <v>1</v>
      </c>
      <c r="H26" s="23">
        <f>+'ANEXO 1 - COTIZACIONES'!Y25</f>
        <v>152500</v>
      </c>
      <c r="I26" s="43"/>
      <c r="J26" s="35"/>
      <c r="K26" s="40">
        <f>+'ANEXO 1 - COTIZACIONES'!Y25</f>
        <v>152500</v>
      </c>
      <c r="L26" s="40">
        <f t="shared" si="5"/>
        <v>28975</v>
      </c>
      <c r="M26" s="40">
        <f t="shared" si="6"/>
        <v>181475</v>
      </c>
      <c r="N26" s="40">
        <f t="shared" si="2"/>
        <v>181475</v>
      </c>
      <c r="P26" s="33"/>
      <c r="R26" s="33"/>
      <c r="S26" s="34"/>
    </row>
    <row r="27" spans="1:19" s="1" customFormat="1" ht="16.5" x14ac:dyDescent="0.25">
      <c r="A27" s="7"/>
      <c r="B27" s="38">
        <f>+'ANEXO 1 - COTIZACIONES'!B26</f>
        <v>22</v>
      </c>
      <c r="C27" s="37" t="str">
        <f>+'ANEXO 1 - COTIZACIONES'!C26</f>
        <v>TITAN 40 KVA</v>
      </c>
      <c r="D27" s="8">
        <f>+'ANEXO 1 - COTIZACIONES'!D26</f>
        <v>40</v>
      </c>
      <c r="E27" s="37" t="str">
        <f>+'ANEXO 1 - COTIZACIONES'!E26</f>
        <v>RIOHACHA</v>
      </c>
      <c r="F27" s="37" t="str">
        <f>+'ANEXO 1 - COTIZACIONES'!F26</f>
        <v>Unidad</v>
      </c>
      <c r="G27" s="8">
        <f>+'ANEXO 1 - COTIZACIONES'!G26</f>
        <v>1</v>
      </c>
      <c r="H27" s="23">
        <f>+'ANEXO 1 - COTIZACIONES'!Y26</f>
        <v>706500</v>
      </c>
      <c r="I27" s="43"/>
      <c r="J27" s="35"/>
      <c r="K27" s="40">
        <f>+'ANEXO 1 - COTIZACIONES'!Y26</f>
        <v>706500</v>
      </c>
      <c r="L27" s="40">
        <f t="shared" si="5"/>
        <v>134235</v>
      </c>
      <c r="M27" s="40">
        <f t="shared" si="6"/>
        <v>840735</v>
      </c>
      <c r="N27" s="40">
        <f t="shared" si="2"/>
        <v>840735</v>
      </c>
      <c r="P27" s="33"/>
      <c r="R27" s="33"/>
      <c r="S27" s="34"/>
    </row>
    <row r="28" spans="1:19" s="1" customFormat="1" ht="16.5" x14ac:dyDescent="0.25">
      <c r="A28" s="7"/>
      <c r="B28" s="38">
        <f>+'ANEXO 1 - COTIZACIONES'!B27</f>
        <v>23</v>
      </c>
      <c r="C28" s="37" t="str">
        <f>+'ANEXO 1 - COTIZACIONES'!C27</f>
        <v>TITAN 10 KVA</v>
      </c>
      <c r="D28" s="8">
        <f>+'ANEXO 1 - COTIZACIONES'!D27</f>
        <v>10</v>
      </c>
      <c r="E28" s="37" t="str">
        <f>+'ANEXO 1 - COTIZACIONES'!E27</f>
        <v>RIOHACHA</v>
      </c>
      <c r="F28" s="37" t="str">
        <f>+'ANEXO 1 - COTIZACIONES'!F27</f>
        <v>Unidad</v>
      </c>
      <c r="G28" s="8">
        <f>+'ANEXO 1 - COTIZACIONES'!G27</f>
        <v>1</v>
      </c>
      <c r="H28" s="23">
        <f>+'ANEXO 1 - COTIZACIONES'!Y27</f>
        <v>255000</v>
      </c>
      <c r="I28" s="43"/>
      <c r="J28" s="35"/>
      <c r="K28" s="40">
        <f>+'ANEXO 1 - COTIZACIONES'!Y27</f>
        <v>255000</v>
      </c>
      <c r="L28" s="40">
        <f t="shared" si="5"/>
        <v>48450</v>
      </c>
      <c r="M28" s="40">
        <f t="shared" si="6"/>
        <v>303450</v>
      </c>
      <c r="N28" s="40">
        <f t="shared" si="2"/>
        <v>303450</v>
      </c>
      <c r="P28" s="33"/>
      <c r="R28" s="33"/>
      <c r="S28" s="34"/>
    </row>
    <row r="29" spans="1:19" s="1" customFormat="1" ht="16.5" x14ac:dyDescent="0.25">
      <c r="A29" s="7"/>
      <c r="B29" s="38">
        <f>+'ANEXO 1 - COTIZACIONES'!B28</f>
        <v>24</v>
      </c>
      <c r="C29" s="37" t="str">
        <f>+'ANEXO 1 - COTIZACIONES'!C28</f>
        <v>APC - MODELO SRT5KXLT</v>
      </c>
      <c r="D29" s="8">
        <f>+'ANEXO 1 - COTIZACIONES'!D28</f>
        <v>5</v>
      </c>
      <c r="E29" s="37" t="str">
        <f>+'ANEXO 1 - COTIZACIONES'!E28</f>
        <v>RIOHACHA</v>
      </c>
      <c r="F29" s="37" t="str">
        <f>+'ANEXO 1 - COTIZACIONES'!F28</f>
        <v>Unidad</v>
      </c>
      <c r="G29" s="8">
        <f>+'ANEXO 1 - COTIZACIONES'!G28</f>
        <v>1</v>
      </c>
      <c r="H29" s="23">
        <f>+'ANEXO 1 - COTIZACIONES'!Y28</f>
        <v>162500</v>
      </c>
      <c r="I29" s="43"/>
      <c r="J29" s="35"/>
      <c r="K29" s="40">
        <f>+'ANEXO 1 - COTIZACIONES'!Y28</f>
        <v>162500</v>
      </c>
      <c r="L29" s="40">
        <f t="shared" si="5"/>
        <v>30875</v>
      </c>
      <c r="M29" s="40">
        <f t="shared" si="6"/>
        <v>193375</v>
      </c>
      <c r="N29" s="40">
        <f t="shared" si="2"/>
        <v>193375</v>
      </c>
      <c r="P29" s="33"/>
      <c r="R29" s="33"/>
      <c r="S29" s="34"/>
    </row>
    <row r="30" spans="1:19" s="1" customFormat="1" ht="16.5" x14ac:dyDescent="0.25">
      <c r="A30" s="7"/>
      <c r="B30" s="38">
        <f>+'ANEXO 1 - COTIZACIONES'!B29</f>
        <v>25</v>
      </c>
      <c r="C30" s="37" t="str">
        <f>+'ANEXO 1 - COTIZACIONES'!C29</f>
        <v>TITAN 10 KVA</v>
      </c>
      <c r="D30" s="8">
        <f>+'ANEXO 1 - COTIZACIONES'!D29</f>
        <v>10</v>
      </c>
      <c r="E30" s="37" t="str">
        <f>+'ANEXO 1 - COTIZACIONES'!E29</f>
        <v xml:space="preserve">FONSECA </v>
      </c>
      <c r="F30" s="37" t="str">
        <f>+'ANEXO 1 - COTIZACIONES'!F29</f>
        <v>Unidad</v>
      </c>
      <c r="G30" s="8">
        <f>+'ANEXO 1 - COTIZACIONES'!G29</f>
        <v>1</v>
      </c>
      <c r="H30" s="23">
        <f>+'ANEXO 1 - COTIZACIONES'!Y29</f>
        <v>255000</v>
      </c>
      <c r="I30" s="43"/>
      <c r="J30" s="35"/>
      <c r="K30" s="40">
        <f>+'ANEXO 1 - COTIZACIONES'!Y29</f>
        <v>255000</v>
      </c>
      <c r="L30" s="40">
        <f t="shared" si="5"/>
        <v>48450</v>
      </c>
      <c r="M30" s="40">
        <f t="shared" si="6"/>
        <v>303450</v>
      </c>
      <c r="N30" s="40">
        <f t="shared" si="2"/>
        <v>303450</v>
      </c>
      <c r="P30" s="33"/>
      <c r="R30" s="33"/>
      <c r="S30" s="34"/>
    </row>
    <row r="31" spans="1:19" s="1" customFormat="1" ht="16.5" x14ac:dyDescent="0.25">
      <c r="A31" s="7"/>
      <c r="B31" s="38">
        <f>+'ANEXO 1 - COTIZACIONES'!B30</f>
        <v>26</v>
      </c>
      <c r="C31" s="37" t="str">
        <f>+'ANEXO 1 - COTIZACIONES'!C30</f>
        <v>TITAN 10 KVA</v>
      </c>
      <c r="D31" s="8">
        <f>+'ANEXO 1 - COTIZACIONES'!D30</f>
        <v>10</v>
      </c>
      <c r="E31" s="37" t="str">
        <f>+'ANEXO 1 - COTIZACIONES'!E30</f>
        <v xml:space="preserve">FONSECA </v>
      </c>
      <c r="F31" s="37" t="str">
        <f>+'ANEXO 1 - COTIZACIONES'!F30</f>
        <v>Unidad</v>
      </c>
      <c r="G31" s="8">
        <f>+'ANEXO 1 - COTIZACIONES'!G30</f>
        <v>1</v>
      </c>
      <c r="H31" s="23">
        <f>+'ANEXO 1 - COTIZACIONES'!Y30</f>
        <v>255000</v>
      </c>
      <c r="I31" s="43"/>
      <c r="J31" s="35"/>
      <c r="K31" s="40">
        <f>+'ANEXO 1 - COTIZACIONES'!Y30</f>
        <v>255000</v>
      </c>
      <c r="L31" s="40">
        <f t="shared" si="5"/>
        <v>48450</v>
      </c>
      <c r="M31" s="40">
        <f t="shared" si="6"/>
        <v>303450</v>
      </c>
      <c r="N31" s="40">
        <f t="shared" si="2"/>
        <v>303450</v>
      </c>
      <c r="P31" s="33"/>
      <c r="R31" s="33"/>
      <c r="S31" s="34"/>
    </row>
    <row r="32" spans="1:19" s="1" customFormat="1" ht="16.5" x14ac:dyDescent="0.25">
      <c r="A32" s="7"/>
      <c r="B32" s="38">
        <f>+'ANEXO 1 - COTIZACIONES'!B31</f>
        <v>27</v>
      </c>
      <c r="C32" s="37" t="str">
        <f>+'ANEXO 1 - COTIZACIONES'!C31</f>
        <v>LIEBERT 20 KVA</v>
      </c>
      <c r="D32" s="8">
        <f>+'ANEXO 1 - COTIZACIONES'!D31</f>
        <v>20</v>
      </c>
      <c r="E32" s="37" t="str">
        <f>+'ANEXO 1 - COTIZACIONES'!E31</f>
        <v>MAICAO</v>
      </c>
      <c r="F32" s="37" t="str">
        <f>+'ANEXO 1 - COTIZACIONES'!F31</f>
        <v>Unidad</v>
      </c>
      <c r="G32" s="8">
        <f>+'ANEXO 1 - COTIZACIONES'!G31</f>
        <v>1</v>
      </c>
      <c r="H32" s="23">
        <f>+'ANEXO 1 - COTIZACIONES'!Y31</f>
        <v>607750</v>
      </c>
      <c r="I32" s="43"/>
      <c r="J32" s="35"/>
      <c r="K32" s="40">
        <f>+'ANEXO 1 - COTIZACIONES'!Y31</f>
        <v>607750</v>
      </c>
      <c r="L32" s="40">
        <f t="shared" si="5"/>
        <v>115472.5</v>
      </c>
      <c r="M32" s="40">
        <f t="shared" si="6"/>
        <v>723222.5</v>
      </c>
      <c r="N32" s="40">
        <f t="shared" si="2"/>
        <v>723222.5</v>
      </c>
      <c r="P32" s="33"/>
      <c r="R32" s="33"/>
      <c r="S32" s="34"/>
    </row>
    <row r="33" spans="1:19" s="1" customFormat="1" ht="16.5" x14ac:dyDescent="0.25">
      <c r="A33" s="7"/>
      <c r="B33" s="38">
        <f>+'ANEXO 1 - COTIZACIONES'!B32</f>
        <v>28</v>
      </c>
      <c r="C33" s="37" t="str">
        <f>+'ANEXO 1 - COTIZACIONES'!C32</f>
        <v>KEHUA TECH 10 KVA</v>
      </c>
      <c r="D33" s="8">
        <f>+'ANEXO 1 - COTIZACIONES'!D32</f>
        <v>10</v>
      </c>
      <c r="E33" s="37" t="str">
        <f>+'ANEXO 1 - COTIZACIONES'!E32</f>
        <v>SANTA MARTA</v>
      </c>
      <c r="F33" s="37" t="str">
        <f>+'ANEXO 1 - COTIZACIONES'!F32</f>
        <v>Unidad</v>
      </c>
      <c r="G33" s="8">
        <f>+'ANEXO 1 - COTIZACIONES'!G32</f>
        <v>1</v>
      </c>
      <c r="H33" s="23">
        <f>+'ANEXO 1 - COTIZACIONES'!Y32</f>
        <v>339625</v>
      </c>
      <c r="I33" s="43"/>
      <c r="J33" s="35"/>
      <c r="K33" s="40">
        <f>+'ANEXO 1 - COTIZACIONES'!Y32</f>
        <v>339625</v>
      </c>
      <c r="L33" s="40">
        <f t="shared" si="5"/>
        <v>64528.75</v>
      </c>
      <c r="M33" s="40">
        <f t="shared" si="6"/>
        <v>404153.75</v>
      </c>
      <c r="N33" s="40">
        <f t="shared" si="2"/>
        <v>404153.75</v>
      </c>
      <c r="P33" s="33"/>
      <c r="R33" s="33"/>
      <c r="S33" s="34"/>
    </row>
    <row r="34" spans="1:19" s="1" customFormat="1" ht="16.5" x14ac:dyDescent="0.25">
      <c r="A34" s="7"/>
      <c r="B34" s="38">
        <f>+'ANEXO 1 - COTIZACIONES'!B33</f>
        <v>29</v>
      </c>
      <c r="C34" s="37" t="str">
        <f>+'ANEXO 1 - COTIZACIONES'!C33</f>
        <v>POWERCOM 3 KVA</v>
      </c>
      <c r="D34" s="8">
        <f>+'ANEXO 1 - COTIZACIONES'!D33</f>
        <v>3</v>
      </c>
      <c r="E34" s="37" t="str">
        <f>+'ANEXO 1 - COTIZACIONES'!E33</f>
        <v>SANTA MARTA</v>
      </c>
      <c r="F34" s="37" t="str">
        <f>+'ANEXO 1 - COTIZACIONES'!F33</f>
        <v>Unidad</v>
      </c>
      <c r="G34" s="8">
        <f>+'ANEXO 1 - COTIZACIONES'!G33</f>
        <v>1</v>
      </c>
      <c r="H34" s="23">
        <f>+'ANEXO 1 - COTIZACIONES'!Y33</f>
        <v>204512.5</v>
      </c>
      <c r="I34" s="43"/>
      <c r="J34" s="35"/>
      <c r="K34" s="40">
        <f>+'ANEXO 1 - COTIZACIONES'!Y33</f>
        <v>204512.5</v>
      </c>
      <c r="L34" s="40">
        <f t="shared" si="5"/>
        <v>38857.379999999997</v>
      </c>
      <c r="M34" s="40">
        <f t="shared" si="6"/>
        <v>243369.88</v>
      </c>
      <c r="N34" s="40">
        <f t="shared" si="2"/>
        <v>243369.88</v>
      </c>
      <c r="P34" s="33"/>
      <c r="R34" s="33"/>
      <c r="S34" s="34"/>
    </row>
    <row r="35" spans="1:19" s="1" customFormat="1" ht="16.5" x14ac:dyDescent="0.25">
      <c r="A35" s="7"/>
      <c r="B35" s="38">
        <f>+'ANEXO 1 - COTIZACIONES'!B34</f>
        <v>30</v>
      </c>
      <c r="C35" s="37" t="str">
        <f>+'ANEXO 1 - COTIZACIONES'!C34</f>
        <v>LIEBERT GXT2 1 KVA</v>
      </c>
      <c r="D35" s="8">
        <f>+'ANEXO 1 - COTIZACIONES'!D34</f>
        <v>1</v>
      </c>
      <c r="E35" s="37" t="str">
        <f>+'ANEXO 1 - COTIZACIONES'!E34</f>
        <v>SANTA MARTA</v>
      </c>
      <c r="F35" s="37" t="str">
        <f>+'ANEXO 1 - COTIZACIONES'!F34</f>
        <v>Unidad</v>
      </c>
      <c r="G35" s="8">
        <f>+'ANEXO 1 - COTIZACIONES'!G34</f>
        <v>1</v>
      </c>
      <c r="H35" s="23">
        <f>+'ANEXO 1 - COTIZACIONES'!Y34</f>
        <v>112500</v>
      </c>
      <c r="I35" s="43"/>
      <c r="J35" s="35"/>
      <c r="K35" s="40">
        <f>+'ANEXO 1 - COTIZACIONES'!Y34</f>
        <v>112500</v>
      </c>
      <c r="L35" s="40">
        <f t="shared" si="5"/>
        <v>21375</v>
      </c>
      <c r="M35" s="40">
        <f t="shared" si="6"/>
        <v>133875</v>
      </c>
      <c r="N35" s="40">
        <f t="shared" si="2"/>
        <v>133875</v>
      </c>
      <c r="P35" s="33"/>
      <c r="R35" s="33"/>
      <c r="S35" s="34"/>
    </row>
    <row r="36" spans="1:19" s="1" customFormat="1" ht="16.5" x14ac:dyDescent="0.25">
      <c r="A36" s="7"/>
      <c r="B36" s="38">
        <f>+'ANEXO 1 - COTIZACIONES'!B35</f>
        <v>31</v>
      </c>
      <c r="C36" s="37" t="str">
        <f>+'ANEXO 1 - COTIZACIONES'!C35</f>
        <v>KEHUA TECH 15 KVA</v>
      </c>
      <c r="D36" s="8">
        <f>+'ANEXO 1 - COTIZACIONES'!D35</f>
        <v>15</v>
      </c>
      <c r="E36" s="37" t="str">
        <f>+'ANEXO 1 - COTIZACIONES'!E35</f>
        <v>SANTA MARTA</v>
      </c>
      <c r="F36" s="37" t="str">
        <f>+'ANEXO 1 - COTIZACIONES'!F35</f>
        <v>Unidad</v>
      </c>
      <c r="G36" s="8">
        <f>+'ANEXO 1 - COTIZACIONES'!G35</f>
        <v>1</v>
      </c>
      <c r="H36" s="23">
        <f>+'ANEXO 1 - COTIZACIONES'!Y35</f>
        <v>418700</v>
      </c>
      <c r="I36" s="43"/>
      <c r="J36" s="35"/>
      <c r="K36" s="40">
        <f>+'ANEXO 1 - COTIZACIONES'!Y35</f>
        <v>418700</v>
      </c>
      <c r="L36" s="40">
        <f t="shared" si="5"/>
        <v>79553</v>
      </c>
      <c r="M36" s="40">
        <f t="shared" si="6"/>
        <v>498253</v>
      </c>
      <c r="N36" s="40">
        <f t="shared" si="2"/>
        <v>498253</v>
      </c>
      <c r="P36" s="33"/>
      <c r="R36" s="33"/>
      <c r="S36" s="34"/>
    </row>
    <row r="37" spans="1:19" s="1" customFormat="1" ht="16.5" x14ac:dyDescent="0.25">
      <c r="A37" s="7"/>
      <c r="B37" s="38">
        <f>+'ANEXO 1 - COTIZACIONES'!B36</f>
        <v>32</v>
      </c>
      <c r="C37" s="37" t="str">
        <f>+'ANEXO 1 - COTIZACIONES'!C36</f>
        <v xml:space="preserve">ROBOTEC UX2-2B 3 KVA </v>
      </c>
      <c r="D37" s="8">
        <f>+'ANEXO 1 - COTIZACIONES'!D36</f>
        <v>3</v>
      </c>
      <c r="E37" s="37" t="str">
        <f>+'ANEXO 1 - COTIZACIONES'!E36</f>
        <v>SANTA MARTA</v>
      </c>
      <c r="F37" s="37" t="str">
        <f>+'ANEXO 1 - COTIZACIONES'!F36</f>
        <v>Unidad</v>
      </c>
      <c r="G37" s="8">
        <f>+'ANEXO 1 - COTIZACIONES'!G36</f>
        <v>1</v>
      </c>
      <c r="H37" s="23">
        <f>+'ANEXO 1 - COTIZACIONES'!Y36</f>
        <v>204512.5</v>
      </c>
      <c r="I37" s="43"/>
      <c r="J37" s="35"/>
      <c r="K37" s="40">
        <f>+'ANEXO 1 - COTIZACIONES'!Y36</f>
        <v>204512.5</v>
      </c>
      <c r="L37" s="40">
        <f t="shared" si="5"/>
        <v>38857.379999999997</v>
      </c>
      <c r="M37" s="40">
        <f t="shared" si="6"/>
        <v>243369.88</v>
      </c>
      <c r="N37" s="40">
        <f t="shared" si="2"/>
        <v>243369.88</v>
      </c>
      <c r="P37" s="33"/>
      <c r="R37" s="33"/>
      <c r="S37" s="34"/>
    </row>
    <row r="38" spans="1:19" s="1" customFormat="1" ht="16.5" x14ac:dyDescent="0.25">
      <c r="A38" s="7"/>
      <c r="B38" s="38">
        <f>+'ANEXO 1 - COTIZACIONES'!B37</f>
        <v>33</v>
      </c>
      <c r="C38" s="37" t="str">
        <f>+'ANEXO 1 - COTIZACIONES'!C37</f>
        <v>KEHUA TECH 30 KVA</v>
      </c>
      <c r="D38" s="8">
        <f>+'ANEXO 1 - COTIZACIONES'!D37</f>
        <v>30</v>
      </c>
      <c r="E38" s="37" t="str">
        <f>+'ANEXO 1 - COTIZACIONES'!E37</f>
        <v>SANTA MARTA</v>
      </c>
      <c r="F38" s="37" t="str">
        <f>+'ANEXO 1 - COTIZACIONES'!F37</f>
        <v>Unidad</v>
      </c>
      <c r="G38" s="8">
        <f>+'ANEXO 1 - COTIZACIONES'!G37</f>
        <v>1</v>
      </c>
      <c r="H38" s="23">
        <f>+'ANEXO 1 - COTIZACIONES'!Y37</f>
        <v>593425</v>
      </c>
      <c r="I38" s="43"/>
      <c r="J38" s="35"/>
      <c r="K38" s="40">
        <f>+'ANEXO 1 - COTIZACIONES'!Y37</f>
        <v>593425</v>
      </c>
      <c r="L38" s="40">
        <f t="shared" si="5"/>
        <v>112750.75</v>
      </c>
      <c r="M38" s="40">
        <f t="shared" si="6"/>
        <v>706175.75</v>
      </c>
      <c r="N38" s="40">
        <f t="shared" si="2"/>
        <v>706175.75</v>
      </c>
      <c r="P38" s="33"/>
      <c r="R38" s="33"/>
      <c r="S38" s="34"/>
    </row>
    <row r="39" spans="1:19" s="1" customFormat="1" ht="16.5" x14ac:dyDescent="0.25">
      <c r="A39" s="7"/>
      <c r="B39" s="38">
        <f>+'ANEXO 1 - COTIZACIONES'!B38</f>
        <v>34</v>
      </c>
      <c r="C39" s="37" t="str">
        <f>+'ANEXO 1 - COTIZACIONES'!C38</f>
        <v>PEI 6 KVA</v>
      </c>
      <c r="D39" s="8">
        <f>+'ANEXO 1 - COTIZACIONES'!D38</f>
        <v>6</v>
      </c>
      <c r="E39" s="37" t="str">
        <f>+'ANEXO 1 - COTIZACIONES'!E38</f>
        <v>SANTA MARTA</v>
      </c>
      <c r="F39" s="37" t="str">
        <f>+'ANEXO 1 - COTIZACIONES'!F38</f>
        <v>Unidad</v>
      </c>
      <c r="G39" s="8">
        <f>+'ANEXO 1 - COTIZACIONES'!G38</f>
        <v>1</v>
      </c>
      <c r="H39" s="23">
        <f>+'ANEXO 1 - COTIZACIONES'!Y38</f>
        <v>301475</v>
      </c>
      <c r="I39" s="43"/>
      <c r="J39" s="35"/>
      <c r="K39" s="40">
        <f>+'ANEXO 1 - COTIZACIONES'!Y38</f>
        <v>301475</v>
      </c>
      <c r="L39" s="40">
        <f t="shared" si="5"/>
        <v>57280.25</v>
      </c>
      <c r="M39" s="40">
        <f t="shared" si="6"/>
        <v>358755.25</v>
      </c>
      <c r="N39" s="40">
        <f t="shared" si="2"/>
        <v>358755.25</v>
      </c>
      <c r="P39" s="33"/>
      <c r="R39" s="33"/>
      <c r="S39" s="34"/>
    </row>
    <row r="40" spans="1:19" s="1" customFormat="1" ht="16.5" x14ac:dyDescent="0.25">
      <c r="A40" s="7"/>
      <c r="B40" s="38">
        <f>+'ANEXO 1 - COTIZACIONES'!B39</f>
        <v>35</v>
      </c>
      <c r="C40" s="37" t="str">
        <f>+'ANEXO 1 - COTIZACIONES'!C39</f>
        <v xml:space="preserve"> EATON POWERWARE 3 KVA</v>
      </c>
      <c r="D40" s="8">
        <f>+'ANEXO 1 - COTIZACIONES'!D39</f>
        <v>3</v>
      </c>
      <c r="E40" s="37" t="str">
        <f>+'ANEXO 1 - COTIZACIONES'!E39</f>
        <v>SANTA MARTA</v>
      </c>
      <c r="F40" s="37" t="str">
        <f>+'ANEXO 1 - COTIZACIONES'!F39</f>
        <v>Unidad</v>
      </c>
      <c r="G40" s="8">
        <f>+'ANEXO 1 - COTIZACIONES'!G39</f>
        <v>1</v>
      </c>
      <c r="H40" s="23">
        <f>+'ANEXO 1 - COTIZACIONES'!Y39</f>
        <v>217012.5</v>
      </c>
      <c r="I40" s="43"/>
      <c r="J40" s="35"/>
      <c r="K40" s="40">
        <f>+'ANEXO 1 - COTIZACIONES'!Y39</f>
        <v>217012.5</v>
      </c>
      <c r="L40" s="40">
        <f t="shared" si="5"/>
        <v>41232.379999999997</v>
      </c>
      <c r="M40" s="40">
        <f t="shared" si="6"/>
        <v>258244.88</v>
      </c>
      <c r="N40" s="40">
        <f t="shared" si="2"/>
        <v>258244.88</v>
      </c>
      <c r="P40" s="33"/>
      <c r="R40" s="33"/>
      <c r="S40" s="34"/>
    </row>
    <row r="41" spans="1:19" s="1" customFormat="1" ht="16.5" x14ac:dyDescent="0.25">
      <c r="A41" s="7"/>
      <c r="B41" s="38">
        <f>+'ANEXO 1 - COTIZACIONES'!B40</f>
        <v>36</v>
      </c>
      <c r="C41" s="37" t="str">
        <f>+'ANEXO 1 - COTIZACIONES'!C40</f>
        <v>MTEK 2 KVA</v>
      </c>
      <c r="D41" s="8">
        <f>+'ANEXO 1 - COTIZACIONES'!D40</f>
        <v>2</v>
      </c>
      <c r="E41" s="37" t="str">
        <f>+'ANEXO 1 - COTIZACIONES'!E40</f>
        <v>SANTA MARTA</v>
      </c>
      <c r="F41" s="37" t="str">
        <f>+'ANEXO 1 - COTIZACIONES'!F40</f>
        <v>Unidad</v>
      </c>
      <c r="G41" s="8">
        <f>+'ANEXO 1 - COTIZACIONES'!G40</f>
        <v>1</v>
      </c>
      <c r="H41" s="23">
        <f>+'ANEXO 1 - COTIZACIONES'!Y40</f>
        <v>132500</v>
      </c>
      <c r="I41" s="43"/>
      <c r="J41" s="35"/>
      <c r="K41" s="40">
        <f>+'ANEXO 1 - COTIZACIONES'!Y40</f>
        <v>132500</v>
      </c>
      <c r="L41" s="40">
        <f t="shared" si="5"/>
        <v>25175</v>
      </c>
      <c r="M41" s="40">
        <f t="shared" si="6"/>
        <v>157675</v>
      </c>
      <c r="N41" s="40">
        <f t="shared" si="2"/>
        <v>157675</v>
      </c>
      <c r="P41" s="33"/>
      <c r="R41" s="33"/>
      <c r="S41" s="34"/>
    </row>
    <row r="42" spans="1:19" s="1" customFormat="1" ht="16.5" x14ac:dyDescent="0.25">
      <c r="A42" s="7"/>
      <c r="B42" s="38">
        <f>+'ANEXO 1 - COTIZACIONES'!B41</f>
        <v>37</v>
      </c>
      <c r="C42" s="37" t="str">
        <f>+'ANEXO 1 - COTIZACIONES'!C41</f>
        <v>J&amp;R 750 VA</v>
      </c>
      <c r="D42" s="8" t="str">
        <f>+'ANEXO 1 - COTIZACIONES'!D41</f>
        <v>750 VA</v>
      </c>
      <c r="E42" s="37" t="str">
        <f>+'ANEXO 1 - COTIZACIONES'!E41</f>
        <v>SANTA MARTA</v>
      </c>
      <c r="F42" s="37" t="str">
        <f>+'ANEXO 1 - COTIZACIONES'!F41</f>
        <v>Unidad</v>
      </c>
      <c r="G42" s="8">
        <f>+'ANEXO 1 - COTIZACIONES'!G41</f>
        <v>1</v>
      </c>
      <c r="H42" s="23">
        <f>+'ANEXO 1 - COTIZACIONES'!Y41</f>
        <v>100000</v>
      </c>
      <c r="I42" s="43"/>
      <c r="J42" s="35"/>
      <c r="K42" s="40">
        <f>+'ANEXO 1 - COTIZACIONES'!Y41</f>
        <v>100000</v>
      </c>
      <c r="L42" s="40">
        <f t="shared" si="5"/>
        <v>19000</v>
      </c>
      <c r="M42" s="40">
        <f t="shared" si="6"/>
        <v>119000</v>
      </c>
      <c r="N42" s="40">
        <f t="shared" si="2"/>
        <v>119000</v>
      </c>
      <c r="P42" s="33"/>
      <c r="R42" s="33"/>
      <c r="S42" s="34"/>
    </row>
    <row r="43" spans="1:19" s="1" customFormat="1" ht="16.5" x14ac:dyDescent="0.25">
      <c r="A43" s="7"/>
      <c r="B43" s="38">
        <f>+'ANEXO 1 - COTIZACIONES'!B42</f>
        <v>38</v>
      </c>
      <c r="C43" s="37" t="str">
        <f>+'ANEXO 1 - COTIZACIONES'!C42</f>
        <v>PEI 1000 VA</v>
      </c>
      <c r="D43" s="8">
        <f>+'ANEXO 1 - COTIZACIONES'!D42</f>
        <v>1</v>
      </c>
      <c r="E43" s="37" t="str">
        <f>+'ANEXO 1 - COTIZACIONES'!E42</f>
        <v>SANTA MARTA</v>
      </c>
      <c r="F43" s="37" t="str">
        <f>+'ANEXO 1 - COTIZACIONES'!F42</f>
        <v>Unidad</v>
      </c>
      <c r="G43" s="8">
        <f>+'ANEXO 1 - COTIZACIONES'!G42</f>
        <v>1</v>
      </c>
      <c r="H43" s="23">
        <f>+'ANEXO 1 - COTIZACIONES'!Y42</f>
        <v>105000</v>
      </c>
      <c r="I43" s="43"/>
      <c r="J43" s="35"/>
      <c r="K43" s="40">
        <f>+'ANEXO 1 - COTIZACIONES'!Y42</f>
        <v>105000</v>
      </c>
      <c r="L43" s="40">
        <f t="shared" si="5"/>
        <v>19950</v>
      </c>
      <c r="M43" s="40">
        <f t="shared" si="6"/>
        <v>124950</v>
      </c>
      <c r="N43" s="40">
        <f t="shared" si="2"/>
        <v>124950</v>
      </c>
      <c r="P43" s="33"/>
      <c r="R43" s="33"/>
      <c r="S43" s="34"/>
    </row>
    <row r="44" spans="1:19" s="1" customFormat="1" ht="16.5" x14ac:dyDescent="0.25">
      <c r="A44" s="7"/>
      <c r="B44" s="38">
        <f>+'ANEXO 1 - COTIZACIONES'!B43</f>
        <v>39</v>
      </c>
      <c r="C44" s="37" t="str">
        <f>+'ANEXO 1 - COTIZACIONES'!C43</f>
        <v xml:space="preserve">UPS LIEBERT 40 KVA </v>
      </c>
      <c r="D44" s="8">
        <f>+'ANEXO 1 - COTIZACIONES'!D43</f>
        <v>40</v>
      </c>
      <c r="E44" s="37" t="str">
        <f>+'ANEXO 1 - COTIZACIONES'!E43</f>
        <v>SANTA MARTA</v>
      </c>
      <c r="F44" s="37" t="str">
        <f>+'ANEXO 1 - COTIZACIONES'!F43</f>
        <v>Unidad</v>
      </c>
      <c r="G44" s="8">
        <f>+'ANEXO 1 - COTIZACIONES'!G43</f>
        <v>1</v>
      </c>
      <c r="H44" s="23">
        <f>+'ANEXO 1 - COTIZACIONES'!Y43</f>
        <v>644675</v>
      </c>
      <c r="I44" s="43"/>
      <c r="J44" s="35"/>
      <c r="K44" s="40">
        <f>+'ANEXO 1 - COTIZACIONES'!Y43</f>
        <v>644675</v>
      </c>
      <c r="L44" s="40">
        <f t="shared" si="5"/>
        <v>122488.25</v>
      </c>
      <c r="M44" s="40">
        <f t="shared" si="6"/>
        <v>767163.25</v>
      </c>
      <c r="N44" s="40">
        <f t="shared" si="2"/>
        <v>767163.25</v>
      </c>
      <c r="P44" s="33"/>
      <c r="R44" s="33"/>
      <c r="S44" s="34"/>
    </row>
    <row r="45" spans="1:19" s="1" customFormat="1" ht="16.5" x14ac:dyDescent="0.25">
      <c r="A45" s="7"/>
      <c r="B45" s="38">
        <f>+'ANEXO 1 - COTIZACIONES'!B44</f>
        <v>40</v>
      </c>
      <c r="C45" s="37" t="str">
        <f>+'ANEXO 1 - COTIZACIONES'!C44</f>
        <v>APC 1300 VA</v>
      </c>
      <c r="D45" s="8" t="str">
        <f>+'ANEXO 1 - COTIZACIONES'!D44</f>
        <v>1300 VA</v>
      </c>
      <c r="E45" s="37" t="str">
        <f>+'ANEXO 1 - COTIZACIONES'!E44</f>
        <v>SANTA MARTA</v>
      </c>
      <c r="F45" s="37" t="str">
        <f>+'ANEXO 1 - COTIZACIONES'!F44</f>
        <v>Unidad</v>
      </c>
      <c r="G45" s="8">
        <f>+'ANEXO 1 - COTIZACIONES'!G44</f>
        <v>1</v>
      </c>
      <c r="H45" s="23">
        <f>+'ANEXO 1 - COTIZACIONES'!Y44</f>
        <v>182212.5</v>
      </c>
      <c r="I45" s="43"/>
      <c r="J45" s="35"/>
      <c r="K45" s="40">
        <f>+'ANEXO 1 - COTIZACIONES'!Y44</f>
        <v>182212.5</v>
      </c>
      <c r="L45" s="40">
        <f t="shared" si="5"/>
        <v>34620.379999999997</v>
      </c>
      <c r="M45" s="40">
        <f t="shared" si="6"/>
        <v>216832.88</v>
      </c>
      <c r="N45" s="40">
        <f t="shared" si="2"/>
        <v>216832.88</v>
      </c>
      <c r="P45" s="33"/>
      <c r="R45" s="33"/>
      <c r="S45" s="34"/>
    </row>
    <row r="46" spans="1:19" s="1" customFormat="1" ht="16.5" x14ac:dyDescent="0.25">
      <c r="A46" s="7"/>
      <c r="B46" s="38">
        <f>+'ANEXO 1 - COTIZACIONES'!B45</f>
        <v>41</v>
      </c>
      <c r="C46" s="37" t="str">
        <f>+'ANEXO 1 - COTIZACIONES'!C45</f>
        <v>PEI 7 KVA</v>
      </c>
      <c r="D46" s="8">
        <f>+'ANEXO 1 - COTIZACIONES'!D45</f>
        <v>7</v>
      </c>
      <c r="E46" s="37" t="str">
        <f>+'ANEXO 1 - COTIZACIONES'!E45</f>
        <v>CIENAGA</v>
      </c>
      <c r="F46" s="37" t="str">
        <f>+'ANEXO 1 - COTIZACIONES'!F45</f>
        <v>Unidad</v>
      </c>
      <c r="G46" s="8">
        <f>+'ANEXO 1 - COTIZACIONES'!G45</f>
        <v>1</v>
      </c>
      <c r="H46" s="23">
        <f>+'ANEXO 1 - COTIZACIONES'!Y45</f>
        <v>332125</v>
      </c>
      <c r="I46" s="43"/>
      <c r="J46" s="35"/>
      <c r="K46" s="40">
        <f>+'ANEXO 1 - COTIZACIONES'!Y45</f>
        <v>332125</v>
      </c>
      <c r="L46" s="40">
        <f t="shared" si="5"/>
        <v>63103.75</v>
      </c>
      <c r="M46" s="40">
        <f t="shared" si="6"/>
        <v>395228.75</v>
      </c>
      <c r="N46" s="40">
        <f t="shared" si="2"/>
        <v>395228.75</v>
      </c>
      <c r="P46" s="33"/>
      <c r="R46" s="33"/>
      <c r="S46" s="34"/>
    </row>
    <row r="47" spans="1:19" s="1" customFormat="1" ht="16.5" x14ac:dyDescent="0.25">
      <c r="A47" s="7"/>
      <c r="B47" s="38">
        <f>+'ANEXO 1 - COTIZACIONES'!B46</f>
        <v>42</v>
      </c>
      <c r="C47" s="37" t="str">
        <f>+'ANEXO 1 - COTIZACIONES'!C46</f>
        <v>TITAN – TIPO RACK 3 KVA</v>
      </c>
      <c r="D47" s="8">
        <f>+'ANEXO 1 - COTIZACIONES'!D46</f>
        <v>3</v>
      </c>
      <c r="E47" s="37" t="str">
        <f>+'ANEXO 1 - COTIZACIONES'!E46</f>
        <v>CIENAGA</v>
      </c>
      <c r="F47" s="37" t="str">
        <f>+'ANEXO 1 - COTIZACIONES'!F46</f>
        <v>Unidad</v>
      </c>
      <c r="G47" s="8">
        <f>+'ANEXO 1 - COTIZACIONES'!G46</f>
        <v>1</v>
      </c>
      <c r="H47" s="23">
        <f>+'ANEXO 1 - COTIZACIONES'!Y46</f>
        <v>204512.5</v>
      </c>
      <c r="I47" s="43"/>
      <c r="J47" s="35"/>
      <c r="K47" s="40">
        <f>+'ANEXO 1 - COTIZACIONES'!Y46</f>
        <v>204512.5</v>
      </c>
      <c r="L47" s="40">
        <f t="shared" si="5"/>
        <v>38857.379999999997</v>
      </c>
      <c r="M47" s="40">
        <f t="shared" si="6"/>
        <v>243369.88</v>
      </c>
      <c r="N47" s="40">
        <f t="shared" si="2"/>
        <v>243369.88</v>
      </c>
      <c r="P47" s="33"/>
      <c r="R47" s="33"/>
      <c r="S47" s="34"/>
    </row>
    <row r="48" spans="1:19" s="1" customFormat="1" ht="16.5" x14ac:dyDescent="0.25">
      <c r="A48" s="7"/>
      <c r="B48" s="38">
        <f>+'ANEXO 1 - COTIZACIONES'!B47</f>
        <v>43</v>
      </c>
      <c r="C48" s="37" t="str">
        <f>+'ANEXO 1 - COTIZACIONES'!C47</f>
        <v xml:space="preserve"> NETION 10 KVA</v>
      </c>
      <c r="D48" s="8">
        <f>+'ANEXO 1 - COTIZACIONES'!D47</f>
        <v>10</v>
      </c>
      <c r="E48" s="37" t="str">
        <f>+'ANEXO 1 - COTIZACIONES'!E47</f>
        <v>FUNDACIÓN</v>
      </c>
      <c r="F48" s="37" t="str">
        <f>+'ANEXO 1 - COTIZACIONES'!F47</f>
        <v>Unidad</v>
      </c>
      <c r="G48" s="8">
        <f>+'ANEXO 1 - COTIZACIONES'!G47</f>
        <v>1</v>
      </c>
      <c r="H48" s="23">
        <f>+'ANEXO 1 - COTIZACIONES'!Y47</f>
        <v>377500</v>
      </c>
      <c r="I48" s="43"/>
      <c r="J48" s="35"/>
      <c r="K48" s="40">
        <f>+'ANEXO 1 - COTIZACIONES'!Y47</f>
        <v>377500</v>
      </c>
      <c r="L48" s="40">
        <f t="shared" si="5"/>
        <v>71725</v>
      </c>
      <c r="M48" s="40">
        <f t="shared" si="6"/>
        <v>449225</v>
      </c>
      <c r="N48" s="40">
        <f t="shared" si="2"/>
        <v>449225</v>
      </c>
      <c r="P48" s="33"/>
      <c r="R48" s="33"/>
      <c r="S48" s="34"/>
    </row>
    <row r="49" spans="1:19" s="1" customFormat="1" ht="16.5" x14ac:dyDescent="0.25">
      <c r="A49" s="7"/>
      <c r="B49" s="38">
        <f>+'ANEXO 1 - COTIZACIONES'!B48</f>
        <v>44</v>
      </c>
      <c r="C49" s="37" t="str">
        <f>+'ANEXO 1 - COTIZACIONES'!C48</f>
        <v xml:space="preserve"> PEI 6 KVA</v>
      </c>
      <c r="D49" s="8">
        <f>+'ANEXO 1 - COTIZACIONES'!D48</f>
        <v>6</v>
      </c>
      <c r="E49" s="37" t="str">
        <f>+'ANEXO 1 - COTIZACIONES'!E48</f>
        <v xml:space="preserve">PLATO </v>
      </c>
      <c r="F49" s="37" t="str">
        <f>+'ANEXO 1 - COTIZACIONES'!F48</f>
        <v>Unidad</v>
      </c>
      <c r="G49" s="8">
        <f>+'ANEXO 1 - COTIZACIONES'!G48</f>
        <v>1</v>
      </c>
      <c r="H49" s="23">
        <f>+'ANEXO 1 - COTIZACIONES'!Y48</f>
        <v>350000</v>
      </c>
      <c r="I49" s="43"/>
      <c r="J49" s="35"/>
      <c r="K49" s="40">
        <f>+'ANEXO 1 - COTIZACIONES'!Y48</f>
        <v>350000</v>
      </c>
      <c r="L49" s="40">
        <f t="shared" si="5"/>
        <v>66500</v>
      </c>
      <c r="M49" s="40">
        <f t="shared" si="6"/>
        <v>416500</v>
      </c>
      <c r="N49" s="40">
        <f t="shared" si="2"/>
        <v>416500</v>
      </c>
      <c r="P49" s="33"/>
      <c r="R49" s="33"/>
      <c r="S49" s="34"/>
    </row>
    <row r="50" spans="1:19" ht="32.25" customHeight="1" x14ac:dyDescent="0.3">
      <c r="A50" s="9"/>
      <c r="B50" s="89" t="s">
        <v>1</v>
      </c>
      <c r="C50" s="90"/>
      <c r="D50" s="90"/>
      <c r="E50" s="90"/>
      <c r="F50" s="91"/>
      <c r="H50" s="32"/>
      <c r="I50" s="32"/>
      <c r="J50" s="32"/>
      <c r="K50" s="32"/>
      <c r="L50" s="32"/>
      <c r="M50" s="32"/>
      <c r="N50" s="42">
        <f>SUM(N6:N49)</f>
        <v>15733208.980000002</v>
      </c>
      <c r="Q50" s="36" t="e">
        <f>SUM(Q6:Q49)</f>
        <v>#VALUE!</v>
      </c>
      <c r="S50" s="10" t="e">
        <f>SUM(S6:S49)</f>
        <v>#VALUE!</v>
      </c>
    </row>
    <row r="51" spans="1:19" ht="16.5" customHeight="1" x14ac:dyDescent="0.3">
      <c r="A51" s="9"/>
      <c r="B51" s="11"/>
      <c r="C51" s="11"/>
      <c r="D51" s="11"/>
      <c r="E51" s="11"/>
      <c r="F51" s="12"/>
      <c r="H51" s="107" t="s">
        <v>12</v>
      </c>
      <c r="I51" s="16"/>
      <c r="J51" s="15"/>
      <c r="K51" s="98" t="s">
        <v>110</v>
      </c>
      <c r="L51" s="99"/>
      <c r="M51" s="99"/>
      <c r="N51" s="100"/>
      <c r="S51" s="32" t="e">
        <f>+S50-N50</f>
        <v>#VALUE!</v>
      </c>
    </row>
    <row r="52" spans="1:19" ht="16.5" x14ac:dyDescent="0.3">
      <c r="A52" s="9"/>
      <c r="B52" s="11"/>
      <c r="C52" s="11"/>
      <c r="D52" s="11"/>
      <c r="E52" s="11"/>
      <c r="F52" s="12"/>
      <c r="H52" s="108"/>
      <c r="I52" s="16"/>
      <c r="J52" s="15"/>
      <c r="K52" s="101"/>
      <c r="L52" s="102"/>
      <c r="M52" s="102"/>
      <c r="N52" s="103"/>
      <c r="S52" s="32"/>
    </row>
    <row r="53" spans="1:19" ht="27" x14ac:dyDescent="0.3">
      <c r="A53" s="9"/>
      <c r="B53" s="3" t="e">
        <f>+#REF!</f>
        <v>#REF!</v>
      </c>
      <c r="C53" s="82" t="s">
        <v>9</v>
      </c>
      <c r="D53" s="82"/>
      <c r="E53" s="82"/>
      <c r="F53" s="75" t="s">
        <v>3</v>
      </c>
      <c r="G53" s="75" t="s">
        <v>30</v>
      </c>
      <c r="H53" s="56" t="s">
        <v>5</v>
      </c>
      <c r="I53" s="16"/>
      <c r="J53" s="2"/>
      <c r="K53" s="4" t="s">
        <v>5</v>
      </c>
      <c r="L53" s="4" t="s">
        <v>7</v>
      </c>
      <c r="M53" s="4" t="s">
        <v>8</v>
      </c>
      <c r="N53" s="4" t="s">
        <v>6</v>
      </c>
      <c r="S53" s="32"/>
    </row>
    <row r="54" spans="1:19" ht="16.5" x14ac:dyDescent="0.3">
      <c r="A54" s="9"/>
      <c r="B54" s="113">
        <v>1</v>
      </c>
      <c r="C54" s="81" t="s">
        <v>94</v>
      </c>
      <c r="D54" s="81"/>
      <c r="E54" s="81"/>
      <c r="F54" s="48" t="s">
        <v>28</v>
      </c>
      <c r="G54" s="49">
        <v>1</v>
      </c>
      <c r="H54" s="23">
        <f>+'ANEXO 1 - COTIZACIONES'!Y53</f>
        <v>45775</v>
      </c>
      <c r="I54" s="43"/>
      <c r="J54" s="35"/>
      <c r="K54" s="40">
        <f>+'ANEXO 1 - COTIZACIONES'!Y53</f>
        <v>45775</v>
      </c>
      <c r="L54" s="40">
        <f t="shared" ref="L54:L61" si="7">ROUND(K54*19%,2)</f>
        <v>8697.25</v>
      </c>
      <c r="M54" s="40">
        <f t="shared" ref="M54:M61" si="8">+L54+K54</f>
        <v>54472.25</v>
      </c>
      <c r="N54" s="40">
        <f>+M54*G54</f>
        <v>54472.25</v>
      </c>
      <c r="S54" s="32"/>
    </row>
    <row r="55" spans="1:19" ht="16.5" x14ac:dyDescent="0.3">
      <c r="A55" s="9"/>
      <c r="B55" s="113">
        <v>2</v>
      </c>
      <c r="C55" s="81" t="s">
        <v>95</v>
      </c>
      <c r="D55" s="81"/>
      <c r="E55" s="81"/>
      <c r="F55" s="48" t="s">
        <v>28</v>
      </c>
      <c r="G55" s="49">
        <v>1</v>
      </c>
      <c r="H55" s="23">
        <f>+'ANEXO 1 - COTIZACIONES'!Y54</f>
        <v>65150</v>
      </c>
      <c r="I55" s="43"/>
      <c r="J55" s="35"/>
      <c r="K55" s="40">
        <f>+'ANEXO 1 - COTIZACIONES'!Y54</f>
        <v>65150</v>
      </c>
      <c r="L55" s="40">
        <f t="shared" si="7"/>
        <v>12378.5</v>
      </c>
      <c r="M55" s="40">
        <f t="shared" si="8"/>
        <v>77528.5</v>
      </c>
      <c r="N55" s="40">
        <f t="shared" ref="N55:N61" si="9">+M55*G55</f>
        <v>77528.5</v>
      </c>
      <c r="S55" s="32"/>
    </row>
    <row r="56" spans="1:19" ht="16.5" x14ac:dyDescent="0.3">
      <c r="A56" s="9"/>
      <c r="B56" s="113">
        <v>3</v>
      </c>
      <c r="C56" s="81" t="s">
        <v>96</v>
      </c>
      <c r="D56" s="81"/>
      <c r="E56" s="81"/>
      <c r="F56" s="48" t="s">
        <v>28</v>
      </c>
      <c r="G56" s="49">
        <v>1</v>
      </c>
      <c r="H56" s="23">
        <f>+'ANEXO 1 - COTIZACIONES'!Y55</f>
        <v>98950</v>
      </c>
      <c r="I56" s="43"/>
      <c r="J56" s="35"/>
      <c r="K56" s="40">
        <f>+'ANEXO 1 - COTIZACIONES'!Y55</f>
        <v>98950</v>
      </c>
      <c r="L56" s="40">
        <f t="shared" si="7"/>
        <v>18800.5</v>
      </c>
      <c r="M56" s="40">
        <f t="shared" si="8"/>
        <v>117750.5</v>
      </c>
      <c r="N56" s="40">
        <f t="shared" si="9"/>
        <v>117750.5</v>
      </c>
      <c r="S56" s="32"/>
    </row>
    <row r="57" spans="1:19" ht="16.5" x14ac:dyDescent="0.3">
      <c r="A57" s="9"/>
      <c r="B57" s="113">
        <v>4</v>
      </c>
      <c r="C57" s="81" t="s">
        <v>97</v>
      </c>
      <c r="D57" s="81"/>
      <c r="E57" s="81"/>
      <c r="F57" s="48" t="s">
        <v>28</v>
      </c>
      <c r="G57" s="49">
        <v>1</v>
      </c>
      <c r="H57" s="23">
        <f>+'ANEXO 1 - COTIZACIONES'!Y56</f>
        <v>128275</v>
      </c>
      <c r="I57" s="43"/>
      <c r="J57" s="35"/>
      <c r="K57" s="40">
        <f>+'ANEXO 1 - COTIZACIONES'!Y56</f>
        <v>128275</v>
      </c>
      <c r="L57" s="40">
        <f t="shared" si="7"/>
        <v>24372.25</v>
      </c>
      <c r="M57" s="40">
        <f t="shared" si="8"/>
        <v>152647.25</v>
      </c>
      <c r="N57" s="40">
        <f t="shared" si="9"/>
        <v>152647.25</v>
      </c>
      <c r="S57" s="32"/>
    </row>
    <row r="58" spans="1:19" ht="16.5" x14ac:dyDescent="0.3">
      <c r="A58" s="9"/>
      <c r="B58" s="113">
        <v>5</v>
      </c>
      <c r="C58" s="81" t="s">
        <v>98</v>
      </c>
      <c r="D58" s="81"/>
      <c r="E58" s="81"/>
      <c r="F58" s="48" t="s">
        <v>28</v>
      </c>
      <c r="G58" s="49">
        <v>1</v>
      </c>
      <c r="H58" s="23">
        <f>+'ANEXO 1 - COTIZACIONES'!Y57</f>
        <v>214225</v>
      </c>
      <c r="I58" s="43"/>
      <c r="J58" s="35"/>
      <c r="K58" s="40">
        <f>+'ANEXO 1 - COTIZACIONES'!Y57</f>
        <v>214225</v>
      </c>
      <c r="L58" s="40">
        <f t="shared" si="7"/>
        <v>40702.75</v>
      </c>
      <c r="M58" s="40">
        <f t="shared" si="8"/>
        <v>254927.75</v>
      </c>
      <c r="N58" s="40">
        <f t="shared" si="9"/>
        <v>254927.75</v>
      </c>
      <c r="S58" s="32"/>
    </row>
    <row r="59" spans="1:19" ht="16.5" x14ac:dyDescent="0.3">
      <c r="A59" s="9"/>
      <c r="B59" s="113">
        <v>6</v>
      </c>
      <c r="C59" s="81" t="s">
        <v>99</v>
      </c>
      <c r="D59" s="81"/>
      <c r="E59" s="81"/>
      <c r="F59" s="48" t="s">
        <v>28</v>
      </c>
      <c r="G59" s="49">
        <v>1</v>
      </c>
      <c r="H59" s="23">
        <f>+'ANEXO 1 - COTIZACIONES'!Y58</f>
        <v>254225</v>
      </c>
      <c r="I59" s="43"/>
      <c r="J59" s="35"/>
      <c r="K59" s="40">
        <f>+'ANEXO 1 - COTIZACIONES'!Y58</f>
        <v>254225</v>
      </c>
      <c r="L59" s="40">
        <f t="shared" si="7"/>
        <v>48302.75</v>
      </c>
      <c r="M59" s="40">
        <f t="shared" si="8"/>
        <v>302527.75</v>
      </c>
      <c r="N59" s="40">
        <f t="shared" si="9"/>
        <v>302527.75</v>
      </c>
      <c r="S59" s="32"/>
    </row>
    <row r="60" spans="1:19" ht="16.5" x14ac:dyDescent="0.3">
      <c r="A60" s="9"/>
      <c r="B60" s="113">
        <v>7</v>
      </c>
      <c r="C60" s="81" t="s">
        <v>100</v>
      </c>
      <c r="D60" s="81"/>
      <c r="E60" s="81"/>
      <c r="F60" s="48" t="s">
        <v>28</v>
      </c>
      <c r="G60" s="49">
        <v>1</v>
      </c>
      <c r="H60" s="23">
        <f>+'ANEXO 1 - COTIZACIONES'!Y59</f>
        <v>392125</v>
      </c>
      <c r="I60" s="43"/>
      <c r="J60" s="35"/>
      <c r="K60" s="40">
        <f>+'ANEXO 1 - COTIZACIONES'!Y59</f>
        <v>392125</v>
      </c>
      <c r="L60" s="40">
        <f t="shared" si="7"/>
        <v>74503.75</v>
      </c>
      <c r="M60" s="40">
        <f t="shared" si="8"/>
        <v>466628.75</v>
      </c>
      <c r="N60" s="40">
        <f t="shared" si="9"/>
        <v>466628.75</v>
      </c>
      <c r="S60" s="32"/>
    </row>
    <row r="61" spans="1:19" ht="16.5" x14ac:dyDescent="0.3">
      <c r="A61" s="9"/>
      <c r="B61" s="113">
        <v>8</v>
      </c>
      <c r="C61" s="81" t="s">
        <v>101</v>
      </c>
      <c r="D61" s="81"/>
      <c r="E61" s="81"/>
      <c r="F61" s="48" t="s">
        <v>28</v>
      </c>
      <c r="G61" s="49">
        <v>1</v>
      </c>
      <c r="H61" s="23">
        <f>+'ANEXO 1 - COTIZACIONES'!Y60</f>
        <v>509500</v>
      </c>
      <c r="I61" s="43"/>
      <c r="J61" s="35"/>
      <c r="K61" s="40">
        <f>+'ANEXO 1 - COTIZACIONES'!Y60</f>
        <v>509500</v>
      </c>
      <c r="L61" s="40">
        <f t="shared" si="7"/>
        <v>96805</v>
      </c>
      <c r="M61" s="40">
        <f t="shared" si="8"/>
        <v>606305</v>
      </c>
      <c r="N61" s="40">
        <f t="shared" si="9"/>
        <v>606305</v>
      </c>
      <c r="S61" s="32"/>
    </row>
    <row r="62" spans="1:19" ht="16.5" x14ac:dyDescent="0.3">
      <c r="A62" s="9"/>
      <c r="B62" s="11"/>
      <c r="C62" s="11"/>
      <c r="D62" s="11"/>
      <c r="E62" s="11"/>
      <c r="F62" s="12"/>
      <c r="K62" s="9"/>
      <c r="L62" s="9"/>
      <c r="M62" s="9"/>
      <c r="N62" s="42">
        <f>SUM(N54:N61)</f>
        <v>2032787.75</v>
      </c>
      <c r="S62" s="32"/>
    </row>
    <row r="63" spans="1:19" ht="16.5" x14ac:dyDescent="0.3">
      <c r="A63" s="9"/>
      <c r="B63" s="11"/>
      <c r="C63" s="11"/>
      <c r="D63" s="11"/>
      <c r="E63" s="11"/>
      <c r="F63" s="12"/>
      <c r="K63" s="9"/>
      <c r="L63" s="9"/>
      <c r="M63" s="9"/>
      <c r="N63" s="9"/>
      <c r="S63" s="32"/>
    </row>
    <row r="64" spans="1:19" ht="16.5" x14ac:dyDescent="0.25">
      <c r="N64" s="42">
        <f>+N62+N50</f>
        <v>17765996.730000004</v>
      </c>
    </row>
    <row r="65" spans="2:11" ht="14.25" x14ac:dyDescent="0.2">
      <c r="B65" s="18"/>
      <c r="C65" s="18"/>
      <c r="D65" s="18"/>
      <c r="E65" s="19"/>
      <c r="F65" s="19"/>
      <c r="G65" s="19"/>
      <c r="H65" s="19"/>
      <c r="I65" s="19"/>
      <c r="J65" s="19"/>
      <c r="K65" s="19"/>
    </row>
    <row r="66" spans="2:11" ht="28.5" customHeight="1" x14ac:dyDescent="0.2">
      <c r="B66" s="109"/>
      <c r="C66" s="109"/>
      <c r="D66" s="109"/>
      <c r="E66" s="109"/>
      <c r="F66" s="109"/>
      <c r="G66" s="109"/>
      <c r="H66" s="109"/>
      <c r="I66" s="109"/>
      <c r="J66" s="109"/>
      <c r="K66" s="109"/>
    </row>
    <row r="67" spans="2:11" ht="39.75" customHeight="1" x14ac:dyDescent="0.2">
      <c r="B67" s="109"/>
      <c r="C67" s="109"/>
      <c r="D67" s="109"/>
      <c r="E67" s="109"/>
      <c r="F67" s="109"/>
      <c r="G67" s="109"/>
      <c r="H67" s="109"/>
      <c r="I67" s="109"/>
      <c r="J67" s="109"/>
      <c r="K67" s="109"/>
    </row>
    <row r="68" spans="2:11" ht="15" hidden="1" customHeight="1" x14ac:dyDescent="0.25">
      <c r="B68" s="110" t="s">
        <v>26</v>
      </c>
      <c r="C68" s="110"/>
      <c r="D68" s="31"/>
      <c r="E68" s="110"/>
      <c r="F68" s="110"/>
      <c r="G68" s="29"/>
      <c r="H68" s="29"/>
      <c r="I68" s="19"/>
      <c r="J68" s="19"/>
      <c r="K68" s="19"/>
    </row>
    <row r="69" spans="2:11" ht="15" hidden="1" customHeight="1" x14ac:dyDescent="0.25">
      <c r="B69" s="111" t="s">
        <v>25</v>
      </c>
      <c r="C69" s="111"/>
      <c r="D69" s="30"/>
      <c r="E69" s="20"/>
      <c r="F69" s="20"/>
      <c r="G69" s="19"/>
      <c r="H69" s="19"/>
      <c r="I69" s="19"/>
      <c r="J69" s="19"/>
      <c r="K69" s="19"/>
    </row>
    <row r="70" spans="2:11" hidden="1" x14ac:dyDescent="0.25">
      <c r="B70" s="16"/>
      <c r="C70" s="16"/>
      <c r="D70" s="16"/>
      <c r="E70" s="16"/>
      <c r="F70" s="16"/>
      <c r="G70" s="21"/>
      <c r="H70" s="21"/>
      <c r="I70" s="21"/>
      <c r="J70" s="21"/>
      <c r="K70" s="21"/>
    </row>
    <row r="71" spans="2:11" x14ac:dyDescent="0.25">
      <c r="B71" s="16"/>
      <c r="C71" s="16"/>
      <c r="D71" s="16"/>
      <c r="E71" s="16"/>
      <c r="F71" s="16"/>
      <c r="G71" s="21"/>
      <c r="H71" s="21"/>
      <c r="I71" s="21"/>
      <c r="J71" s="21"/>
      <c r="K71" s="21"/>
    </row>
    <row r="72" spans="2:11" x14ac:dyDescent="0.25">
      <c r="B72" s="16"/>
      <c r="C72" s="16"/>
      <c r="D72" s="16"/>
      <c r="E72" s="16"/>
      <c r="F72" s="16"/>
      <c r="G72" s="21"/>
      <c r="H72" s="21"/>
      <c r="I72" s="21"/>
      <c r="J72" s="21"/>
      <c r="K72" s="21"/>
    </row>
    <row r="73" spans="2:11" x14ac:dyDescent="0.25">
      <c r="B73" s="16"/>
      <c r="C73" s="16"/>
      <c r="D73" s="16"/>
      <c r="E73" s="16"/>
      <c r="F73" s="16"/>
      <c r="G73" s="21"/>
      <c r="H73" s="21"/>
      <c r="I73" s="21"/>
      <c r="J73" s="21"/>
      <c r="K73" s="21"/>
    </row>
    <row r="74" spans="2:11" x14ac:dyDescent="0.25">
      <c r="B74" s="16"/>
      <c r="C74" s="16"/>
      <c r="D74" s="16"/>
      <c r="E74" s="16"/>
      <c r="F74" s="16"/>
      <c r="G74" s="21"/>
      <c r="H74" s="21"/>
      <c r="I74" s="21"/>
      <c r="J74" s="21"/>
      <c r="K74" s="21"/>
    </row>
    <row r="75" spans="2:11" x14ac:dyDescent="0.25">
      <c r="B75" s="22"/>
      <c r="C75" s="22"/>
      <c r="D75" s="22"/>
      <c r="E75" s="16"/>
      <c r="F75" s="16"/>
      <c r="G75" s="21"/>
      <c r="H75" s="21"/>
      <c r="I75" s="21"/>
      <c r="J75" s="21"/>
      <c r="K75" s="21"/>
    </row>
    <row r="76" spans="2:11" x14ac:dyDescent="0.25">
      <c r="B76" s="22"/>
      <c r="C76" s="22"/>
      <c r="D76" s="22"/>
      <c r="E76" s="16"/>
      <c r="F76" s="16"/>
      <c r="G76" s="21"/>
      <c r="H76" s="21"/>
      <c r="I76" s="21"/>
      <c r="J76" s="21"/>
      <c r="K76" s="21"/>
    </row>
    <row r="77" spans="2:11" x14ac:dyDescent="0.25">
      <c r="F77" s="13"/>
      <c r="G77" s="13"/>
      <c r="H77" s="14"/>
    </row>
  </sheetData>
  <sheetProtection algorithmName="SHA-512" hashValue="ynE191dPafrNU3TW3EGb/sbMkV9++XiiDEGy/PoYcZj7HwI0sP4j+nGJIg1XjCwZzVDyXLjtr4pYIFwuoeIxwg==" saltValue="vIsvNAfWotb3nfYLc0efSg==" spinCount="100000" sheet="1" objects="1" scenarios="1" selectLockedCells="1" selectUnlockedCells="1"/>
  <mergeCells count="23">
    <mergeCell ref="C60:E60"/>
    <mergeCell ref="C61:E61"/>
    <mergeCell ref="B3:G4"/>
    <mergeCell ref="B50:F50"/>
    <mergeCell ref="B1:N1"/>
    <mergeCell ref="B2:C2"/>
    <mergeCell ref="H3:H4"/>
    <mergeCell ref="K3:N4"/>
    <mergeCell ref="D2:N2"/>
    <mergeCell ref="H51:H52"/>
    <mergeCell ref="B67:K67"/>
    <mergeCell ref="B68:C68"/>
    <mergeCell ref="B69:C69"/>
    <mergeCell ref="B66:K66"/>
    <mergeCell ref="E68:F68"/>
    <mergeCell ref="K51:N52"/>
    <mergeCell ref="C53:E53"/>
    <mergeCell ref="C54:E54"/>
    <mergeCell ref="C55:E55"/>
    <mergeCell ref="C56:E56"/>
    <mergeCell ref="C57:E57"/>
    <mergeCell ref="C58:E58"/>
    <mergeCell ref="C59:E59"/>
  </mergeCells>
  <pageMargins left="0.7" right="0.7" top="0.75" bottom="0.75" header="0.3" footer="0.3"/>
  <pageSetup paperSize="5" scale="50"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1 - COTIZACIONES</vt:lpstr>
      <vt:lpstr>ANEXO 2 - PROY COSTOS</vt:lpstr>
      <vt:lpstr>'ANEXO 1 - COTIZACIONES'!Área_de_impresión</vt:lpstr>
      <vt:lpstr>'ANEXO 2 - PROY COSTOS'!Área_de_impresión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Rosana Paola Llinas Pertuz</cp:lastModifiedBy>
  <cp:lastPrinted>2022-04-08T15:49:26Z</cp:lastPrinted>
  <dcterms:created xsi:type="dcterms:W3CDTF">2017-01-13T15:55:25Z</dcterms:created>
  <dcterms:modified xsi:type="dcterms:W3CDTF">2025-09-09T13:28:53Z</dcterms:modified>
</cp:coreProperties>
</file>