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5.xml" ContentType="application/vnd.openxmlformats-officedocument.spreadsheetml.pivotTable+xml"/>
  <Override PartName="/xl/tables/table7.xml" ContentType="application/vnd.openxmlformats-officedocument.spreadsheetml.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tables/table8.xml" ContentType="application/vnd.openxmlformats-officedocument.spreadsheetml.table+xml"/>
  <Override PartName="/xl/pivotTables/pivotTable8.xml" ContentType="application/vnd.openxmlformats-officedocument.spreadsheetml.pivotTable+xml"/>
  <Override PartName="/xl/tables/table9.xml" ContentType="application/vnd.openxmlformats-officedocument.spreadsheetml.table+xml"/>
  <Override PartName="/xl/pivotTables/pivotTable9.xml" ContentType="application/vnd.openxmlformats-officedocument.spreadsheetml.pivotTable+xml"/>
  <Override PartName="/xl/tables/table10.xml" ContentType="application/vnd.openxmlformats-officedocument.spreadsheetml.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tables/table11.xml" ContentType="application/vnd.openxmlformats-officedocument.spreadsheetml.table+xml"/>
  <Override PartName="/xl/pivotTables/pivotTable17.xml" ContentType="application/vnd.openxmlformats-officedocument.spreadsheetml.pivotTable+xml"/>
  <Override PartName="/xl/tables/table12.xml" ContentType="application/vnd.openxmlformats-officedocument.spreadsheetml.table+xml"/>
  <Override PartName="/xl/pivotTables/pivotTable18.xml" ContentType="application/vnd.openxmlformats-officedocument.spreadsheetml.pivotTable+xml"/>
  <Override PartName="/xl/tables/table13.xml" ContentType="application/vnd.openxmlformats-officedocument.spreadsheetml.table+xml"/>
  <Override PartName="/xl/pivotTables/pivotTable19.xml" ContentType="application/vnd.openxmlformats-officedocument.spreadsheetml.pivotTable+xml"/>
  <Override PartName="/xl/tables/table14.xml" ContentType="application/vnd.openxmlformats-officedocument.spreadsheetml.table+xml"/>
  <Override PartName="/xl/pivotTables/pivotTable20.xml" ContentType="application/vnd.openxmlformats-officedocument.spreadsheetml.pivotTable+xml"/>
  <Override PartName="/xl/tables/table15.xml" ContentType="application/vnd.openxmlformats-officedocument.spreadsheetml.table+xml"/>
  <Override PartName="/xl/pivotTables/pivotTable21.xml" ContentType="application/vnd.openxmlformats-officedocument.spreadsheetml.pivotTable+xml"/>
  <Override PartName="/xl/tables/table16.xml" ContentType="application/vnd.openxmlformats-officedocument.spreadsheetml.table+xml"/>
  <Override PartName="/xl/pivotTables/pivotTable22.xml" ContentType="application/vnd.openxmlformats-officedocument.spreadsheetml.pivotTable+xml"/>
  <Override PartName="/xl/tables/table17.xml" ContentType="application/vnd.openxmlformats-officedocument.spreadsheetml.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tables/table18.xml" ContentType="application/vnd.openxmlformats-officedocument.spreadsheetml.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SandraLilianaMartine\Documents\2025\SUBASTAS\EQUIPOS INTERMEDIA\DOCUMENTOS DEFINITIVOS\"/>
    </mc:Choice>
  </mc:AlternateContent>
  <bookViews>
    <workbookView xWindow="0" yWindow="0" windowWidth="14685" windowHeight="11685" firstSheet="7" activeTab="21"/>
  </bookViews>
  <sheets>
    <sheet name="VERIFICACION " sheetId="1" state="hidden" r:id="rId1"/>
    <sheet name="CONSOLIDADO " sheetId="9" state="hidden" r:id="rId2"/>
    <sheet name="DATOS REGIONALIZADO LOTE 1" sheetId="3" r:id="rId3"/>
    <sheet name="DATOS REGIONALIZADO LOTE 2" sheetId="4" r:id="rId4"/>
    <sheet name="CONS ASIGNACION RUBROS (3)" sheetId="33" state="hidden" r:id="rId5"/>
    <sheet name="DATOS REGIONALIZADO LOTE 3" sheetId="5" r:id="rId6"/>
    <sheet name="DATOS REGIONALIZADO LOTE 4 tota" sheetId="6" state="hidden" r:id="rId7"/>
    <sheet name="DATOS REGIONALIZADO LOTE 4" sheetId="24" r:id="rId8"/>
    <sheet name="DATOS REGIONALIZADO LOTE 5" sheetId="10" r:id="rId9"/>
    <sheet name="DATOS REGIONALIZADO LOTE 6" sheetId="7" r:id="rId10"/>
    <sheet name="AJUSTADO" sheetId="8" state="hidden" r:id="rId11"/>
    <sheet name="Hoja2" sheetId="14" state="hidden" r:id="rId12"/>
    <sheet name="CONS ASIGNACION RUBROS" sheetId="11" state="hidden" r:id="rId13"/>
    <sheet name="Hoja3" sheetId="12" state="hidden" r:id="rId14"/>
    <sheet name="Hoja1" sheetId="13" state="hidden" r:id="rId15"/>
    <sheet name="DATOS REGIONALIZADO lote 7" sheetId="22" r:id="rId16"/>
    <sheet name="DATOS REGIONALIZADO LOTE 8 " sheetId="27" r:id="rId17"/>
    <sheet name="DATOS REGIONALIZADO LOTE 9" sheetId="28" r:id="rId18"/>
    <sheet name="DATOS REGIONALIZADO LOTE 10" sheetId="29" r:id="rId19"/>
    <sheet name="DATOS REGIONALIZADO LOTE 11" sheetId="30" r:id="rId20"/>
    <sheet name="DATOS REGIONALIZADO LOTE 12" sheetId="31" r:id="rId21"/>
    <sheet name="DATOS REGIONALIZADO LOTE 13" sheetId="32" r:id="rId22"/>
    <sheet name="Hoja15 (2)" sheetId="35" state="hidden" r:id="rId23"/>
    <sheet name="cdp" sheetId="36" state="hidden" r:id="rId24"/>
    <sheet name="Hoja15" sheetId="34" state="hidden" r:id="rId25"/>
    <sheet name="CONS ASIGNACION RUBROS (2)" sheetId="19" state="hidden" r:id="rId26"/>
    <sheet name="CONSOLIDADO TOTAL RUBROS" sheetId="17" state="hidden" r:id="rId27"/>
    <sheet name="valores presupuesto " sheetId="16" state="hidden" r:id="rId28"/>
    <sheet name="Hoja5 (2)" sheetId="20" state="hidden" r:id="rId29"/>
    <sheet name="Hoja5" sheetId="18" state="hidden" r:id="rId30"/>
  </sheets>
  <externalReferences>
    <externalReference r:id="rId31"/>
    <externalReference r:id="rId32"/>
  </externalReferences>
  <definedNames>
    <definedName name="_xlnm._FilterDatabase" localSheetId="12" hidden="1">'CONS ASIGNACION RUBROS'!$A$4:$P$41</definedName>
    <definedName name="_xlnm._FilterDatabase" localSheetId="25" hidden="1">'CONS ASIGNACION RUBROS (2)'!$A$4:$N$43</definedName>
    <definedName name="_xlnm._FilterDatabase" localSheetId="4" hidden="1">'CONS ASIGNACION RUBROS (3)'!$A$4:$P$41</definedName>
    <definedName name="_xlnm.Print_Area" localSheetId="10">AJUSTADO!$A$1:$U$45</definedName>
    <definedName name="_xlnm.Print_Area" localSheetId="12">'CONS ASIGNACION RUBROS'!$A$1:$AD$41</definedName>
    <definedName name="_xlnm.Print_Area" localSheetId="4">'CONS ASIGNACION RUBROS'!$A$1:$AD$41</definedName>
    <definedName name="_xlnm.Print_Area" localSheetId="1">'CONSOLIDADO '!$A$1:$AC$39</definedName>
    <definedName name="_xlnm.Print_Area" localSheetId="13">Hoja3!$B$1:$E$8</definedName>
    <definedName name="_xlnm.Print_Area" localSheetId="27">'valores presupuesto '!$A$1:$U$41</definedName>
    <definedName name="_xlnm.Print_Area" localSheetId="0">'VERIFICACION '!$A$1:$S$42</definedName>
    <definedName name="_xlnm.Print_Titles" localSheetId="12">'CONS ASIGNACION RUBROS'!$1:$4</definedName>
    <definedName name="_xlnm.Print_Titles" localSheetId="4">'CONS ASIGNACION RUBROS'!$1:$4</definedName>
    <definedName name="_xlnm.Print_Titles" localSheetId="1">'CONSOLIDADO '!$1:$4</definedName>
  </definedNames>
  <calcPr calcId="191028"/>
  <pivotCaches>
    <pivotCache cacheId="0" r:id="rId33"/>
    <pivotCache cacheId="1" r:id="rId34"/>
    <pivotCache cacheId="2" r:id="rId35"/>
    <pivotCache cacheId="3" r:id="rId36"/>
    <pivotCache cacheId="4" r:id="rId37"/>
  </pivotCaches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3" i="5" l="1"/>
  <c r="G23" i="8"/>
  <c r="K23" i="19" l="1"/>
  <c r="K22" i="19"/>
  <c r="D23" i="19"/>
  <c r="B24" i="19"/>
  <c r="C24" i="19"/>
  <c r="D24" i="19"/>
  <c r="D10" i="36"/>
  <c r="E10" i="36" s="1"/>
  <c r="D9" i="36"/>
  <c r="E9" i="36" s="1"/>
  <c r="D8" i="36"/>
  <c r="E8" i="36" s="1"/>
  <c r="D7" i="36"/>
  <c r="E7" i="36" s="1"/>
  <c r="D6" i="36"/>
  <c r="E6" i="36" s="1"/>
  <c r="D5" i="36"/>
  <c r="D4" i="36"/>
  <c r="C26" i="36"/>
  <c r="C27" i="36"/>
  <c r="C28" i="36"/>
  <c r="C29" i="36"/>
  <c r="C30" i="36"/>
  <c r="C31" i="36"/>
  <c r="C32" i="36"/>
  <c r="C25" i="36"/>
  <c r="C24" i="36"/>
  <c r="C23" i="36"/>
  <c r="C22" i="36"/>
  <c r="C21" i="36"/>
  <c r="C20" i="36"/>
  <c r="AC9" i="29"/>
  <c r="AC10" i="29" s="1"/>
  <c r="AB9" i="29"/>
  <c r="B9" i="29"/>
  <c r="E5" i="36"/>
  <c r="E4" i="36"/>
  <c r="C16" i="36"/>
  <c r="C15" i="36"/>
  <c r="C14" i="36"/>
  <c r="C13" i="36"/>
  <c r="C12" i="36"/>
  <c r="D11" i="36" l="1"/>
  <c r="AC16" i="3"/>
  <c r="AB13" i="22"/>
  <c r="AB12" i="22"/>
  <c r="B13" i="22"/>
  <c r="B12" i="22"/>
  <c r="AB11" i="24"/>
  <c r="AC11" i="24"/>
  <c r="AC10" i="24"/>
  <c r="AB10" i="24"/>
  <c r="AB14" i="5"/>
  <c r="AB15" i="5"/>
  <c r="AB13" i="5"/>
  <c r="B15" i="5"/>
  <c r="B14" i="5"/>
  <c r="B13" i="5"/>
  <c r="AD16" i="3"/>
  <c r="AC17" i="3"/>
  <c r="AD17" i="3"/>
  <c r="AC18" i="3"/>
  <c r="AD18" i="3"/>
  <c r="AD15" i="3"/>
  <c r="AC15" i="3"/>
  <c r="C16" i="3"/>
  <c r="C17" i="3"/>
  <c r="C18" i="3"/>
  <c r="C15" i="3"/>
  <c r="AC9" i="32"/>
  <c r="AB9" i="32"/>
  <c r="B9" i="32"/>
  <c r="AC9" i="31"/>
  <c r="AB9" i="31"/>
  <c r="B9" i="31"/>
  <c r="AC9" i="30"/>
  <c r="AB9" i="30"/>
  <c r="B9" i="30"/>
  <c r="AC9" i="28"/>
  <c r="AB9" i="28"/>
  <c r="B9" i="28"/>
  <c r="AB10" i="27"/>
  <c r="B11" i="27"/>
  <c r="B10" i="27"/>
  <c r="AC12" i="22"/>
  <c r="AC13" i="22"/>
  <c r="AC11" i="7"/>
  <c r="AC12" i="7" s="1"/>
  <c r="AB11" i="7"/>
  <c r="AB12" i="7" s="1"/>
  <c r="B11" i="7"/>
  <c r="AE16" i="7" s="1"/>
  <c r="AB13" i="10"/>
  <c r="AC13" i="10"/>
  <c r="AB14" i="10"/>
  <c r="AC14" i="10"/>
  <c r="AB15" i="10"/>
  <c r="AC15" i="10"/>
  <c r="AC12" i="10"/>
  <c r="AB12" i="10"/>
  <c r="B13" i="10"/>
  <c r="AC25" i="10" s="1"/>
  <c r="B14" i="10"/>
  <c r="AC26" i="10" s="1"/>
  <c r="B15" i="10"/>
  <c r="AC27" i="10" s="1"/>
  <c r="B12" i="10"/>
  <c r="AC24" i="10" s="1"/>
  <c r="B11" i="24"/>
  <c r="B10" i="24"/>
  <c r="B29" i="19"/>
  <c r="B28" i="19"/>
  <c r="B27" i="19"/>
  <c r="L36" i="19"/>
  <c r="AD14" i="10" l="1"/>
  <c r="AD15" i="10"/>
  <c r="AE15" i="10"/>
  <c r="AB16" i="10"/>
  <c r="AD12" i="10"/>
  <c r="AC16" i="10"/>
  <c r="AD13" i="10"/>
  <c r="AD13" i="22"/>
  <c r="AC19" i="3"/>
  <c r="AC14" i="22"/>
  <c r="AB14" i="22"/>
  <c r="AD12" i="22"/>
  <c r="AD16" i="10" l="1"/>
  <c r="AD29" i="10"/>
  <c r="AE13" i="10"/>
  <c r="AD14" i="22"/>
  <c r="H28" i="19"/>
  <c r="D6" i="22"/>
  <c r="D28" i="19" s="1"/>
  <c r="D5" i="22"/>
  <c r="C28" i="19"/>
  <c r="N5" i="22" l="1"/>
  <c r="P6" i="22"/>
  <c r="I28" i="19" s="1"/>
  <c r="E28" i="19"/>
  <c r="N6" i="22"/>
  <c r="G28" i="19" s="1"/>
  <c r="F28" i="19"/>
  <c r="Q6" i="22"/>
  <c r="Y6" i="22" l="1"/>
  <c r="J28" i="19"/>
  <c r="K28" i="19" s="1"/>
  <c r="C7" i="33"/>
  <c r="AD11" i="24"/>
  <c r="AD10" i="24"/>
  <c r="AC26" i="3"/>
  <c r="AC27" i="3" s="1"/>
  <c r="K48" i="19"/>
  <c r="D32" i="33"/>
  <c r="B32" i="33"/>
  <c r="A32" i="33"/>
  <c r="D31" i="33"/>
  <c r="C31" i="33"/>
  <c r="B31" i="33"/>
  <c r="A31" i="33"/>
  <c r="D30" i="33"/>
  <c r="B30" i="33"/>
  <c r="D29" i="33"/>
  <c r="B29" i="33"/>
  <c r="D28" i="33"/>
  <c r="B28" i="33"/>
  <c r="D27" i="33"/>
  <c r="B27" i="33"/>
  <c r="D26" i="33"/>
  <c r="B26" i="33"/>
  <c r="A26" i="33"/>
  <c r="D25" i="33"/>
  <c r="B25" i="33"/>
  <c r="A25" i="33"/>
  <c r="D24" i="33"/>
  <c r="B24" i="33"/>
  <c r="A24" i="33"/>
  <c r="D23" i="33"/>
  <c r="B23" i="33"/>
  <c r="A23" i="33"/>
  <c r="D22" i="33"/>
  <c r="B22" i="33"/>
  <c r="A22" i="33"/>
  <c r="D21" i="33"/>
  <c r="B21" i="33"/>
  <c r="A21" i="33"/>
  <c r="D20" i="33"/>
  <c r="B20" i="33"/>
  <c r="A20" i="33"/>
  <c r="D19" i="33"/>
  <c r="B19" i="33"/>
  <c r="A19" i="33"/>
  <c r="D18" i="33"/>
  <c r="B18" i="33"/>
  <c r="A18" i="33"/>
  <c r="I17" i="33"/>
  <c r="K17" i="33" s="1"/>
  <c r="N17" i="33" s="1"/>
  <c r="K16" i="33"/>
  <c r="I16" i="33"/>
  <c r="D16" i="33"/>
  <c r="C16" i="33"/>
  <c r="B16" i="33"/>
  <c r="A16" i="33"/>
  <c r="D15" i="33"/>
  <c r="C15" i="33"/>
  <c r="B15" i="33"/>
  <c r="A15" i="33"/>
  <c r="D14" i="33"/>
  <c r="C14" i="33"/>
  <c r="B14" i="33"/>
  <c r="A14" i="33"/>
  <c r="D13" i="33"/>
  <c r="C13" i="33"/>
  <c r="B13" i="33"/>
  <c r="A13" i="33"/>
  <c r="AC12" i="33"/>
  <c r="D12" i="33"/>
  <c r="C12" i="33"/>
  <c r="B12" i="33"/>
  <c r="A12" i="33"/>
  <c r="AC11" i="33"/>
  <c r="AF11" i="33" s="1"/>
  <c r="D11" i="33"/>
  <c r="C11" i="33"/>
  <c r="B11" i="33"/>
  <c r="A11" i="33"/>
  <c r="D10" i="33"/>
  <c r="C10" i="33"/>
  <c r="B10" i="33"/>
  <c r="A10" i="33"/>
  <c r="D9" i="33"/>
  <c r="C9" i="33"/>
  <c r="B9" i="33"/>
  <c r="A9" i="33"/>
  <c r="D8" i="33"/>
  <c r="C8" i="33"/>
  <c r="B8" i="33"/>
  <c r="A8" i="33"/>
  <c r="D7" i="33"/>
  <c r="B7" i="33"/>
  <c r="A7" i="33"/>
  <c r="D6" i="33"/>
  <c r="C6" i="33"/>
  <c r="B6" i="33"/>
  <c r="A6" i="33"/>
  <c r="D5" i="33"/>
  <c r="C5" i="33"/>
  <c r="B5" i="33"/>
  <c r="A5" i="33"/>
  <c r="AB4" i="33"/>
  <c r="AB3" i="33"/>
  <c r="H33" i="33"/>
  <c r="F33" i="33"/>
  <c r="E33" i="33"/>
  <c r="C33" i="33"/>
  <c r="AD11" i="33" l="1"/>
  <c r="P48" i="33"/>
  <c r="O17" i="33"/>
  <c r="R17" i="33" s="1"/>
  <c r="Q17" i="33"/>
  <c r="S17" i="33" s="1"/>
  <c r="AF12" i="33"/>
  <c r="F32" i="33" l="1"/>
  <c r="H32" i="33"/>
  <c r="H31" i="33"/>
  <c r="F31" i="33"/>
  <c r="E31" i="33"/>
  <c r="C32" i="33"/>
  <c r="N6" i="7" l="1"/>
  <c r="G32" i="33" s="1"/>
  <c r="E32" i="33"/>
  <c r="H28" i="33"/>
  <c r="H29" i="33"/>
  <c r="E28" i="33"/>
  <c r="F28" i="33"/>
  <c r="E29" i="33"/>
  <c r="N8" i="10"/>
  <c r="H27" i="33"/>
  <c r="F27" i="33"/>
  <c r="C28" i="33"/>
  <c r="C29" i="33"/>
  <c r="C30" i="33"/>
  <c r="C27" i="33"/>
  <c r="G30" i="33" l="1"/>
  <c r="G24" i="19"/>
  <c r="G23" i="19"/>
  <c r="N6" i="10"/>
  <c r="G28" i="33" s="1"/>
  <c r="H30" i="33"/>
  <c r="H24" i="19"/>
  <c r="F30" i="33"/>
  <c r="F24" i="19"/>
  <c r="F23" i="19"/>
  <c r="E30" i="33"/>
  <c r="E24" i="19"/>
  <c r="E23" i="19"/>
  <c r="E27" i="33"/>
  <c r="N5" i="10"/>
  <c r="G27" i="33" s="1"/>
  <c r="N7" i="10"/>
  <c r="G29" i="33" s="1"/>
  <c r="F29" i="33"/>
  <c r="AC10" i="32"/>
  <c r="AB10" i="32"/>
  <c r="AD9" i="32"/>
  <c r="U5" i="32"/>
  <c r="X4" i="32"/>
  <c r="W4" i="32"/>
  <c r="V4" i="32"/>
  <c r="U4" i="32"/>
  <c r="T4" i="32"/>
  <c r="S4" i="32"/>
  <c r="R4" i="32"/>
  <c r="Q4" i="32"/>
  <c r="AB4" i="32" s="1"/>
  <c r="P4" i="32"/>
  <c r="AB3" i="32" s="1"/>
  <c r="AC10" i="31"/>
  <c r="AB10" i="31"/>
  <c r="AD9" i="31"/>
  <c r="X5" i="31"/>
  <c r="X4" i="31"/>
  <c r="W4" i="31"/>
  <c r="V4" i="31"/>
  <c r="U4" i="31"/>
  <c r="T4" i="31"/>
  <c r="S4" i="31"/>
  <c r="R4" i="31"/>
  <c r="Q4" i="31"/>
  <c r="AB4" i="31" s="1"/>
  <c r="P4" i="31"/>
  <c r="AB3" i="31" s="1"/>
  <c r="AC10" i="30"/>
  <c r="AB10" i="30"/>
  <c r="AD9" i="30"/>
  <c r="W5" i="30"/>
  <c r="X4" i="30"/>
  <c r="W4" i="30"/>
  <c r="V4" i="30"/>
  <c r="U4" i="30"/>
  <c r="T4" i="30"/>
  <c r="S4" i="30"/>
  <c r="R4" i="30"/>
  <c r="Q4" i="30"/>
  <c r="AB4" i="30" s="1"/>
  <c r="P4" i="30"/>
  <c r="AB3" i="30" s="1"/>
  <c r="AB10" i="29"/>
  <c r="AD9" i="29"/>
  <c r="V5" i="29"/>
  <c r="X4" i="29"/>
  <c r="W4" i="29"/>
  <c r="V4" i="29"/>
  <c r="U4" i="29"/>
  <c r="T4" i="29"/>
  <c r="S4" i="29"/>
  <c r="R4" i="29"/>
  <c r="Q4" i="29"/>
  <c r="AA4" i="29" s="1"/>
  <c r="P4" i="29"/>
  <c r="AA3" i="29" s="1"/>
  <c r="AC12" i="28"/>
  <c r="AB12" i="28"/>
  <c r="AD11" i="28"/>
  <c r="AD10" i="28"/>
  <c r="AD9" i="28"/>
  <c r="X5" i="28"/>
  <c r="X4" i="28"/>
  <c r="W4" i="28"/>
  <c r="V4" i="28"/>
  <c r="U4" i="28"/>
  <c r="T4" i="28"/>
  <c r="S4" i="28"/>
  <c r="R4" i="28"/>
  <c r="Q4" i="28"/>
  <c r="P4" i="28"/>
  <c r="AA4" i="28" s="1"/>
  <c r="R5" i="27"/>
  <c r="P6" i="27"/>
  <c r="AC13" i="27"/>
  <c r="AB13" i="27"/>
  <c r="AD12" i="27"/>
  <c r="AD11" i="27"/>
  <c r="AD10" i="27"/>
  <c r="X4" i="27"/>
  <c r="W4" i="27"/>
  <c r="V4" i="27"/>
  <c r="U4" i="27"/>
  <c r="T4" i="27"/>
  <c r="S4" i="27"/>
  <c r="R4" i="27"/>
  <c r="Q4" i="27"/>
  <c r="AA4" i="27" s="1"/>
  <c r="P4" i="27"/>
  <c r="AA3" i="27" s="1"/>
  <c r="AC12" i="24"/>
  <c r="AB12" i="24"/>
  <c r="W6" i="24"/>
  <c r="V5" i="24"/>
  <c r="X4" i="24"/>
  <c r="W4" i="24"/>
  <c r="V4" i="24"/>
  <c r="U4" i="24"/>
  <c r="T4" i="24"/>
  <c r="S4" i="24"/>
  <c r="R4" i="24"/>
  <c r="Q4" i="24"/>
  <c r="AA4" i="24" s="1"/>
  <c r="P4" i="24"/>
  <c r="AA3" i="24" s="1"/>
  <c r="H26" i="33"/>
  <c r="F26" i="33"/>
  <c r="E26" i="33"/>
  <c r="C26" i="33"/>
  <c r="P5" i="31" l="1"/>
  <c r="Q5" i="31"/>
  <c r="Q6" i="31" s="1"/>
  <c r="R5" i="30"/>
  <c r="P5" i="30"/>
  <c r="T5" i="30"/>
  <c r="Q5" i="30"/>
  <c r="AC4" i="30" s="1"/>
  <c r="W6" i="27"/>
  <c r="P5" i="32"/>
  <c r="R5" i="32"/>
  <c r="Q5" i="32"/>
  <c r="V5" i="32"/>
  <c r="N5" i="32"/>
  <c r="AD10" i="32"/>
  <c r="S5" i="32"/>
  <c r="T5" i="32"/>
  <c r="X5" i="32"/>
  <c r="W5" i="32"/>
  <c r="U5" i="31"/>
  <c r="AD10" i="31"/>
  <c r="N5" i="31"/>
  <c r="R5" i="31"/>
  <c r="V5" i="31"/>
  <c r="S5" i="31"/>
  <c r="W5" i="31"/>
  <c r="T5" i="31"/>
  <c r="X5" i="30"/>
  <c r="U5" i="30"/>
  <c r="U6" i="30" s="1"/>
  <c r="V5" i="30"/>
  <c r="V6" i="30" s="1"/>
  <c r="AD10" i="30"/>
  <c r="N5" i="30"/>
  <c r="S5" i="30"/>
  <c r="N5" i="29"/>
  <c r="Q5" i="29"/>
  <c r="AB4" i="29" s="1"/>
  <c r="AD10" i="29"/>
  <c r="P5" i="29"/>
  <c r="T5" i="29"/>
  <c r="X5" i="29"/>
  <c r="V6" i="29"/>
  <c r="U5" i="29"/>
  <c r="S5" i="29"/>
  <c r="W5" i="29"/>
  <c r="W6" i="29" s="1"/>
  <c r="R5" i="29"/>
  <c r="N5" i="28"/>
  <c r="P5" i="28"/>
  <c r="AB4" i="28" s="1"/>
  <c r="U5" i="28"/>
  <c r="U6" i="28" s="1"/>
  <c r="R5" i="28"/>
  <c r="R6" i="28" s="1"/>
  <c r="V5" i="28"/>
  <c r="V6" i="28" s="1"/>
  <c r="AD12" i="28"/>
  <c r="S5" i="28"/>
  <c r="W5" i="28"/>
  <c r="X6" i="28"/>
  <c r="Q5" i="28"/>
  <c r="T5" i="28"/>
  <c r="U6" i="27"/>
  <c r="Q6" i="27"/>
  <c r="T6" i="27"/>
  <c r="N5" i="27"/>
  <c r="X6" i="27"/>
  <c r="S6" i="27"/>
  <c r="V6" i="27"/>
  <c r="R6" i="27"/>
  <c r="U5" i="27"/>
  <c r="Q5" i="27"/>
  <c r="W5" i="27"/>
  <c r="T5" i="27"/>
  <c r="N6" i="27"/>
  <c r="X5" i="27"/>
  <c r="S5" i="27"/>
  <c r="P5" i="27"/>
  <c r="V5" i="27"/>
  <c r="AD13" i="27"/>
  <c r="V6" i="24"/>
  <c r="V7" i="24" s="1"/>
  <c r="R6" i="24"/>
  <c r="X6" i="24"/>
  <c r="N5" i="24"/>
  <c r="P6" i="24"/>
  <c r="T6" i="24"/>
  <c r="Q5" i="24"/>
  <c r="Q6" i="24"/>
  <c r="U6" i="24"/>
  <c r="AD12" i="24"/>
  <c r="P5" i="24"/>
  <c r="T5" i="24"/>
  <c r="X5" i="24"/>
  <c r="U5" i="24"/>
  <c r="N6" i="24"/>
  <c r="S5" i="24"/>
  <c r="W5" i="24"/>
  <c r="R5" i="24"/>
  <c r="S6" i="24"/>
  <c r="C25" i="33"/>
  <c r="H25" i="33"/>
  <c r="F25" i="33"/>
  <c r="E25" i="33"/>
  <c r="Y6" i="27" l="1"/>
  <c r="Y5" i="27"/>
  <c r="V6" i="32"/>
  <c r="Y5" i="32"/>
  <c r="U6" i="32"/>
  <c r="AC4" i="32"/>
  <c r="P6" i="32"/>
  <c r="AC3" i="32"/>
  <c r="R6" i="32"/>
  <c r="X6" i="32"/>
  <c r="S6" i="32"/>
  <c r="T6" i="32"/>
  <c r="W6" i="32"/>
  <c r="Q6" i="32"/>
  <c r="V6" i="31"/>
  <c r="AC4" i="31"/>
  <c r="P6" i="31"/>
  <c r="Y5" i="31"/>
  <c r="U6" i="31"/>
  <c r="R6" i="31"/>
  <c r="W6" i="31"/>
  <c r="S6" i="31"/>
  <c r="X6" i="31"/>
  <c r="T6" i="31"/>
  <c r="AC3" i="31"/>
  <c r="Q6" i="30"/>
  <c r="Y5" i="30"/>
  <c r="R6" i="30"/>
  <c r="W6" i="30"/>
  <c r="T6" i="30"/>
  <c r="AC3" i="30"/>
  <c r="AC5" i="30" s="1"/>
  <c r="AD13" i="30" s="1"/>
  <c r="P6" i="30"/>
  <c r="X6" i="30"/>
  <c r="S6" i="30"/>
  <c r="P6" i="29"/>
  <c r="AB3" i="29"/>
  <c r="AB5" i="29" s="1"/>
  <c r="AD14" i="29" s="1"/>
  <c r="S6" i="29"/>
  <c r="Q6" i="29"/>
  <c r="R6" i="29"/>
  <c r="X6" i="29"/>
  <c r="U6" i="29"/>
  <c r="Y5" i="29"/>
  <c r="T6" i="29"/>
  <c r="Y5" i="28"/>
  <c r="AB5" i="28"/>
  <c r="AD16" i="28" s="1"/>
  <c r="S6" i="28"/>
  <c r="Q6" i="28"/>
  <c r="T6" i="28"/>
  <c r="W6" i="28"/>
  <c r="P6" i="28"/>
  <c r="V7" i="27"/>
  <c r="AB4" i="27"/>
  <c r="R7" i="27"/>
  <c r="AB3" i="27"/>
  <c r="Q7" i="27"/>
  <c r="S7" i="27"/>
  <c r="X7" i="27"/>
  <c r="T7" i="27"/>
  <c r="U7" i="27"/>
  <c r="W7" i="27"/>
  <c r="P7" i="27"/>
  <c r="AB4" i="24"/>
  <c r="W7" i="24"/>
  <c r="Y6" i="24"/>
  <c r="X7" i="24"/>
  <c r="U7" i="24"/>
  <c r="AB3" i="24"/>
  <c r="Y5" i="24"/>
  <c r="P7" i="24"/>
  <c r="R7" i="24"/>
  <c r="S7" i="24"/>
  <c r="Q7" i="24"/>
  <c r="T7" i="24"/>
  <c r="AC5" i="32" l="1"/>
  <c r="AD13" i="32" s="1"/>
  <c r="Y6" i="32"/>
  <c r="AC5" i="31"/>
  <c r="AD13" i="31" s="1"/>
  <c r="Y6" i="31"/>
  <c r="Y6" i="30"/>
  <c r="Y6" i="29"/>
  <c r="Y6" i="28"/>
  <c r="AB5" i="27"/>
  <c r="AE14" i="27" s="1"/>
  <c r="Y7" i="27"/>
  <c r="AB5" i="24"/>
  <c r="AD13" i="24" s="1"/>
  <c r="Y7" i="24"/>
  <c r="H24" i="33" l="1"/>
  <c r="F24" i="33"/>
  <c r="E24" i="33"/>
  <c r="C24" i="33"/>
  <c r="H23" i="33" l="1"/>
  <c r="F23" i="33"/>
  <c r="E23" i="33"/>
  <c r="C23" i="33"/>
  <c r="C22" i="33" l="1"/>
  <c r="F22" i="33" l="1"/>
  <c r="H22" i="33"/>
  <c r="E22" i="33"/>
  <c r="E21" i="33" l="1"/>
  <c r="F21" i="33"/>
  <c r="H20" i="33"/>
  <c r="F20" i="33"/>
  <c r="E20" i="33"/>
  <c r="C21" i="33"/>
  <c r="C20" i="33"/>
  <c r="P8" i="6" l="1"/>
  <c r="I21" i="33" s="1"/>
  <c r="H21" i="33"/>
  <c r="E19" i="33"/>
  <c r="F19" i="33"/>
  <c r="H19" i="33"/>
  <c r="H18" i="33"/>
  <c r="F18" i="33"/>
  <c r="E18" i="33"/>
  <c r="C19" i="33"/>
  <c r="C18" i="33"/>
  <c r="R7" i="6" l="1"/>
  <c r="R9" i="6"/>
  <c r="N8" i="6"/>
  <c r="G21" i="33" s="1"/>
  <c r="U8" i="6"/>
  <c r="R10" i="6"/>
  <c r="S10" i="6"/>
  <c r="H13" i="33"/>
  <c r="H14" i="33"/>
  <c r="H15" i="33"/>
  <c r="H12" i="33"/>
  <c r="F12" i="33"/>
  <c r="E12" i="33"/>
  <c r="W8" i="6" l="1"/>
  <c r="Q8" i="6"/>
  <c r="J21" i="33" s="1"/>
  <c r="S8" i="6"/>
  <c r="W10" i="6"/>
  <c r="S9" i="6"/>
  <c r="W9" i="6"/>
  <c r="W7" i="6"/>
  <c r="U7" i="6"/>
  <c r="S7" i="6"/>
  <c r="N7" i="6"/>
  <c r="G20" i="33" s="1"/>
  <c r="P7" i="6"/>
  <c r="I20" i="33" s="1"/>
  <c r="Q20" i="33" s="1"/>
  <c r="N9" i="6"/>
  <c r="G22" i="33" s="1"/>
  <c r="P9" i="6"/>
  <c r="I22" i="33" s="1"/>
  <c r="N10" i="6"/>
  <c r="G23" i="33" s="1"/>
  <c r="P10" i="6"/>
  <c r="I23" i="33" s="1"/>
  <c r="U10" i="6"/>
  <c r="Q10" i="6"/>
  <c r="J23" i="33" s="1"/>
  <c r="U9" i="6"/>
  <c r="Q9" i="6"/>
  <c r="J22" i="33" s="1"/>
  <c r="Q7" i="6"/>
  <c r="J20" i="33" s="1"/>
  <c r="Q13" i="6"/>
  <c r="J26" i="33" s="1"/>
  <c r="Q26" i="33" s="1"/>
  <c r="X10" i="6"/>
  <c r="T10" i="6"/>
  <c r="V8" i="6"/>
  <c r="R8" i="6"/>
  <c r="X9" i="6"/>
  <c r="T9" i="6"/>
  <c r="X7" i="6"/>
  <c r="T7" i="6"/>
  <c r="V10" i="6"/>
  <c r="X8" i="6"/>
  <c r="T8" i="6"/>
  <c r="V9" i="6"/>
  <c r="V7" i="6"/>
  <c r="T5" i="6"/>
  <c r="H11" i="33"/>
  <c r="H10" i="33"/>
  <c r="F10" i="33"/>
  <c r="F11" i="33"/>
  <c r="E11" i="33"/>
  <c r="E10" i="33"/>
  <c r="Y8" i="6" l="1"/>
  <c r="K21" i="33" s="1"/>
  <c r="N21" i="33" s="1"/>
  <c r="Y10" i="6"/>
  <c r="K23" i="33" s="1"/>
  <c r="N23" i="33" s="1"/>
  <c r="O23" i="33" s="1"/>
  <c r="U11" i="6"/>
  <c r="V11" i="6"/>
  <c r="R11" i="6"/>
  <c r="S11" i="6"/>
  <c r="W11" i="6"/>
  <c r="T11" i="6"/>
  <c r="X11" i="6"/>
  <c r="N11" i="6"/>
  <c r="G24" i="33" s="1"/>
  <c r="P11" i="6"/>
  <c r="I24" i="33" s="1"/>
  <c r="Q5" i="6"/>
  <c r="J18" i="33" s="1"/>
  <c r="U12" i="6"/>
  <c r="R12" i="6"/>
  <c r="V12" i="6"/>
  <c r="S12" i="6"/>
  <c r="W12" i="6"/>
  <c r="T12" i="6"/>
  <c r="X12" i="6"/>
  <c r="P12" i="6"/>
  <c r="I25" i="33" s="1"/>
  <c r="N12" i="6"/>
  <c r="G25" i="33" s="1"/>
  <c r="Y9" i="6"/>
  <c r="K22" i="33" s="1"/>
  <c r="N22" i="33" s="1"/>
  <c r="U13" i="6"/>
  <c r="R13" i="6"/>
  <c r="S13" i="6"/>
  <c r="W13" i="6"/>
  <c r="T13" i="6"/>
  <c r="X13" i="6"/>
  <c r="V13" i="6"/>
  <c r="P13" i="6"/>
  <c r="I26" i="33" s="1"/>
  <c r="N13" i="6"/>
  <c r="G26" i="33" s="1"/>
  <c r="Q12" i="6"/>
  <c r="J25" i="33" s="1"/>
  <c r="Q11" i="6"/>
  <c r="J24" i="33" s="1"/>
  <c r="Y7" i="6"/>
  <c r="K20" i="33" s="1"/>
  <c r="R5" i="6"/>
  <c r="V5" i="6"/>
  <c r="X5" i="6"/>
  <c r="P5" i="6"/>
  <c r="I18" i="33" s="1"/>
  <c r="S5" i="6"/>
  <c r="U5" i="6"/>
  <c r="W5" i="6"/>
  <c r="N5" i="6"/>
  <c r="G18" i="33" s="1"/>
  <c r="H6" i="33"/>
  <c r="H7" i="33"/>
  <c r="H8" i="33"/>
  <c r="H9" i="33"/>
  <c r="H5" i="33"/>
  <c r="E6" i="33"/>
  <c r="F6" i="33"/>
  <c r="E7" i="33"/>
  <c r="F7" i="33"/>
  <c r="E8" i="33"/>
  <c r="F8" i="33"/>
  <c r="E9" i="33"/>
  <c r="F9" i="33"/>
  <c r="F5" i="33"/>
  <c r="E5" i="33"/>
  <c r="R23" i="33" l="1"/>
  <c r="Q21" i="33"/>
  <c r="O21" i="33"/>
  <c r="R21" i="33" s="1"/>
  <c r="O22" i="33"/>
  <c r="R22" i="33" s="1"/>
  <c r="Q22" i="33"/>
  <c r="N8" i="3"/>
  <c r="G8" i="33" s="1"/>
  <c r="N7" i="3"/>
  <c r="G7" i="33" s="1"/>
  <c r="N5" i="3"/>
  <c r="G5" i="33" s="1"/>
  <c r="N6" i="3"/>
  <c r="G6" i="33" s="1"/>
  <c r="N9" i="3"/>
  <c r="G9" i="33" s="1"/>
  <c r="Y11" i="6"/>
  <c r="K24" i="33" s="1"/>
  <c r="N24" i="33" s="1"/>
  <c r="O24" i="33" s="1"/>
  <c r="R24" i="33" s="1"/>
  <c r="Y13" i="6"/>
  <c r="K26" i="33" s="1"/>
  <c r="Y12" i="6"/>
  <c r="K25" i="33" s="1"/>
  <c r="N25" i="33" s="1"/>
  <c r="O25" i="33" s="1"/>
  <c r="R25" i="33" s="1"/>
  <c r="Y5" i="6"/>
  <c r="K18" i="33" s="1"/>
  <c r="N18" i="33" s="1"/>
  <c r="H27" i="19"/>
  <c r="E27" i="19"/>
  <c r="F27" i="19"/>
  <c r="C27" i="19"/>
  <c r="L33" i="16"/>
  <c r="G33" i="33"/>
  <c r="X5" i="22"/>
  <c r="X7" i="22" s="1"/>
  <c r="V5" i="22"/>
  <c r="V7" i="22" s="1"/>
  <c r="U5" i="22"/>
  <c r="U7" i="22" s="1"/>
  <c r="R5" i="22"/>
  <c r="R7" i="22" s="1"/>
  <c r="Q5" i="22"/>
  <c r="D33" i="33"/>
  <c r="A5" i="22"/>
  <c r="X4" i="22"/>
  <c r="W4" i="22"/>
  <c r="V4" i="22"/>
  <c r="U4" i="22"/>
  <c r="T4" i="22"/>
  <c r="S4" i="22"/>
  <c r="R4" i="22"/>
  <c r="Q4" i="22"/>
  <c r="AA4" i="22" s="1"/>
  <c r="P4" i="22"/>
  <c r="AA3" i="22" s="1"/>
  <c r="Q18" i="33" l="1"/>
  <c r="O18" i="33"/>
  <c r="R18" i="33" s="1"/>
  <c r="AB4" i="22"/>
  <c r="Q7" i="22"/>
  <c r="AC4" i="22" s="1"/>
  <c r="R42" i="33"/>
  <c r="J27" i="19"/>
  <c r="J33" i="33"/>
  <c r="G27" i="19"/>
  <c r="D27" i="19"/>
  <c r="W5" i="22"/>
  <c r="W7" i="22" s="1"/>
  <c r="T5" i="22"/>
  <c r="T7" i="22" s="1"/>
  <c r="S5" i="22"/>
  <c r="S7" i="22" s="1"/>
  <c r="P5" i="22"/>
  <c r="P7" i="22" l="1"/>
  <c r="AB3" i="22" s="1"/>
  <c r="Y5" i="22"/>
  <c r="AD4" i="22"/>
  <c r="I27" i="19"/>
  <c r="K27" i="19" s="1"/>
  <c r="I33" i="33"/>
  <c r="K33" i="33" s="1"/>
  <c r="AC3" i="22" l="1"/>
  <c r="AD3" i="22" s="1"/>
  <c r="Y7" i="22"/>
  <c r="AC5" i="22" s="1"/>
  <c r="AB5" i="22"/>
  <c r="AD5" i="22" l="1"/>
  <c r="AE14" i="22"/>
  <c r="AB16" i="5"/>
  <c r="AD19" i="3"/>
  <c r="AD11" i="7"/>
  <c r="AD12" i="7" s="1"/>
  <c r="AD11" i="4"/>
  <c r="AD12" i="4"/>
  <c r="E38" i="20"/>
  <c r="E39" i="20" s="1"/>
  <c r="F37" i="20"/>
  <c r="E36" i="20"/>
  <c r="E35" i="20"/>
  <c r="E34" i="20"/>
  <c r="E33" i="20"/>
  <c r="F32" i="20"/>
  <c r="E31" i="20"/>
  <c r="E30" i="20"/>
  <c r="E29" i="20"/>
  <c r="E27" i="20"/>
  <c r="E26" i="20"/>
  <c r="E25" i="20"/>
  <c r="E23" i="20"/>
  <c r="E22" i="20"/>
  <c r="F21" i="20"/>
  <c r="E20" i="20"/>
  <c r="E19" i="20"/>
  <c r="E18" i="20"/>
  <c r="E17" i="20"/>
  <c r="D12" i="20"/>
  <c r="D11" i="20"/>
  <c r="D10" i="20"/>
  <c r="D9" i="20"/>
  <c r="D8" i="20"/>
  <c r="D7" i="20"/>
  <c r="D6" i="20"/>
  <c r="D5" i="20"/>
  <c r="AB20" i="6"/>
  <c r="AD19" i="6"/>
  <c r="AD18" i="6"/>
  <c r="AD17" i="6"/>
  <c r="AC20" i="6"/>
  <c r="AC16" i="5"/>
  <c r="AD15" i="5"/>
  <c r="AD14" i="5"/>
  <c r="AC13" i="4"/>
  <c r="AB13" i="4"/>
  <c r="AD13" i="4"/>
  <c r="E38" i="18"/>
  <c r="E39" i="18" s="1"/>
  <c r="F37" i="18"/>
  <c r="E36" i="18"/>
  <c r="E35" i="18"/>
  <c r="E34" i="18"/>
  <c r="E33" i="18"/>
  <c r="F32" i="18"/>
  <c r="E31" i="18"/>
  <c r="E30" i="18"/>
  <c r="E29" i="18"/>
  <c r="E27" i="18"/>
  <c r="E26" i="18"/>
  <c r="E25" i="18"/>
  <c r="E23" i="18"/>
  <c r="E22" i="18"/>
  <c r="AE18" i="3"/>
  <c r="AE17" i="3"/>
  <c r="AE16" i="3"/>
  <c r="AE15" i="3"/>
  <c r="F21" i="18"/>
  <c r="E20" i="18"/>
  <c r="E19" i="18"/>
  <c r="E18" i="18"/>
  <c r="E17" i="18"/>
  <c r="D26" i="19"/>
  <c r="C26" i="19"/>
  <c r="B26" i="19"/>
  <c r="A26" i="19"/>
  <c r="D25" i="19"/>
  <c r="C25" i="19"/>
  <c r="B25" i="19"/>
  <c r="A25" i="19"/>
  <c r="D22" i="19"/>
  <c r="C22" i="19"/>
  <c r="B22" i="19"/>
  <c r="D21" i="19"/>
  <c r="C21" i="19"/>
  <c r="B21" i="19"/>
  <c r="D20" i="19"/>
  <c r="C20" i="19"/>
  <c r="B20" i="19"/>
  <c r="D35" i="19"/>
  <c r="A35" i="19"/>
  <c r="D34" i="19"/>
  <c r="A34" i="19"/>
  <c r="D33" i="19"/>
  <c r="A33" i="19"/>
  <c r="D32" i="19"/>
  <c r="A32" i="19"/>
  <c r="D31" i="19"/>
  <c r="A31" i="19"/>
  <c r="D30" i="19"/>
  <c r="A30" i="19"/>
  <c r="D29" i="19"/>
  <c r="A29" i="19"/>
  <c r="D19" i="19"/>
  <c r="A19" i="19"/>
  <c r="D18" i="19"/>
  <c r="A18" i="19"/>
  <c r="I17" i="19"/>
  <c r="K17" i="19" s="1"/>
  <c r="I16" i="19"/>
  <c r="K16" i="19" s="1"/>
  <c r="D16" i="19"/>
  <c r="C16" i="19"/>
  <c r="B16" i="19"/>
  <c r="A16" i="19"/>
  <c r="D15" i="19"/>
  <c r="C15" i="19"/>
  <c r="B15" i="19"/>
  <c r="A15" i="19"/>
  <c r="D14" i="19"/>
  <c r="C14" i="19"/>
  <c r="B14" i="19"/>
  <c r="A14" i="19"/>
  <c r="D13" i="19"/>
  <c r="C13" i="19"/>
  <c r="B13" i="19"/>
  <c r="A13" i="19"/>
  <c r="D12" i="19"/>
  <c r="C12" i="19"/>
  <c r="B12" i="19"/>
  <c r="A12" i="19"/>
  <c r="D11" i="19"/>
  <c r="C11" i="19"/>
  <c r="B11" i="19"/>
  <c r="A11" i="19"/>
  <c r="D10" i="19"/>
  <c r="C10" i="19"/>
  <c r="B10" i="19"/>
  <c r="A10" i="19"/>
  <c r="D9" i="19"/>
  <c r="C9" i="19"/>
  <c r="B9" i="19"/>
  <c r="A9" i="19"/>
  <c r="D8" i="19"/>
  <c r="C8" i="19"/>
  <c r="B8" i="19"/>
  <c r="A8" i="19"/>
  <c r="D7" i="19"/>
  <c r="C7" i="19"/>
  <c r="B7" i="19"/>
  <c r="A7" i="19"/>
  <c r="D6" i="19"/>
  <c r="C6" i="19"/>
  <c r="B6" i="19"/>
  <c r="A6" i="19"/>
  <c r="D5" i="19"/>
  <c r="C5" i="19"/>
  <c r="B5" i="19"/>
  <c r="A5" i="19"/>
  <c r="X4" i="19"/>
  <c r="X3" i="19"/>
  <c r="D12" i="18"/>
  <c r="D11" i="18"/>
  <c r="D10" i="18"/>
  <c r="D9" i="18"/>
  <c r="D8" i="18"/>
  <c r="D7" i="18"/>
  <c r="D6" i="18"/>
  <c r="D5" i="18"/>
  <c r="E11" i="17"/>
  <c r="I17" i="11"/>
  <c r="L29" i="13"/>
  <c r="L31" i="13" s="1"/>
  <c r="N33" i="11"/>
  <c r="I16" i="11"/>
  <c r="K16" i="11" s="1"/>
  <c r="L27" i="8"/>
  <c r="K28" i="8"/>
  <c r="N29" i="8"/>
  <c r="K35" i="8"/>
  <c r="K39" i="8"/>
  <c r="I36" i="1"/>
  <c r="G2" i="12"/>
  <c r="M8" i="16"/>
  <c r="D21" i="16"/>
  <c r="E21" i="16"/>
  <c r="A26" i="16"/>
  <c r="C22" i="16"/>
  <c r="C7" i="16"/>
  <c r="L37" i="16"/>
  <c r="L39" i="16" s="1"/>
  <c r="K35" i="16"/>
  <c r="K33" i="16"/>
  <c r="G33" i="16"/>
  <c r="A33" i="16"/>
  <c r="K27" i="16"/>
  <c r="G27" i="16"/>
  <c r="A27" i="16"/>
  <c r="K26" i="16"/>
  <c r="G26" i="16"/>
  <c r="K21" i="16"/>
  <c r="A21" i="16"/>
  <c r="K18" i="16"/>
  <c r="C18" i="16"/>
  <c r="G18" i="16" s="1"/>
  <c r="A18" i="16"/>
  <c r="K17" i="16"/>
  <c r="G17" i="16"/>
  <c r="A17" i="16"/>
  <c r="K12" i="16"/>
  <c r="K6" i="16"/>
  <c r="G6" i="16"/>
  <c r="A6" i="16"/>
  <c r="G35" i="8"/>
  <c r="G29" i="8"/>
  <c r="G28" i="8"/>
  <c r="G17" i="8"/>
  <c r="G6" i="8"/>
  <c r="K12" i="8"/>
  <c r="I12" i="1"/>
  <c r="H6" i="16" s="1"/>
  <c r="E23" i="8"/>
  <c r="D23" i="8"/>
  <c r="C24" i="8"/>
  <c r="G18" i="8"/>
  <c r="C7" i="8"/>
  <c r="D47" i="13"/>
  <c r="D42" i="13"/>
  <c r="AD16" i="5" l="1"/>
  <c r="AE19" i="3"/>
  <c r="AD20" i="6"/>
  <c r="E12" i="18"/>
  <c r="E12" i="20"/>
  <c r="E21" i="20"/>
  <c r="E21" i="18"/>
  <c r="N50" i="19"/>
  <c r="E24" i="20"/>
  <c r="E28" i="20"/>
  <c r="E32" i="20"/>
  <c r="E37" i="20"/>
  <c r="E24" i="18"/>
  <c r="E28" i="18"/>
  <c r="E32" i="18"/>
  <c r="E37" i="18"/>
  <c r="G21" i="16"/>
  <c r="D9" i="12"/>
  <c r="D10" i="12"/>
  <c r="A18" i="8"/>
  <c r="A17" i="8"/>
  <c r="D32" i="11"/>
  <c r="C32" i="11"/>
  <c r="B32" i="11"/>
  <c r="A32" i="11"/>
  <c r="D31" i="11"/>
  <c r="C31" i="11"/>
  <c r="B31" i="11"/>
  <c r="A31" i="11"/>
  <c r="D30" i="11"/>
  <c r="C30" i="11"/>
  <c r="B30" i="11"/>
  <c r="D29" i="11"/>
  <c r="C29" i="11"/>
  <c r="B29" i="11"/>
  <c r="D28" i="11"/>
  <c r="C28" i="11"/>
  <c r="B28" i="11"/>
  <c r="D27" i="11"/>
  <c r="C27" i="11"/>
  <c r="B27" i="11"/>
  <c r="D26" i="11"/>
  <c r="A26" i="11"/>
  <c r="D25" i="11"/>
  <c r="A25" i="11"/>
  <c r="D24" i="11"/>
  <c r="A24" i="11"/>
  <c r="D23" i="11"/>
  <c r="A23" i="11"/>
  <c r="D22" i="11"/>
  <c r="A22" i="11"/>
  <c r="D21" i="11"/>
  <c r="A21" i="11"/>
  <c r="D20" i="11"/>
  <c r="A20" i="11"/>
  <c r="D19" i="11"/>
  <c r="A19" i="11"/>
  <c r="D18" i="11"/>
  <c r="A18" i="11"/>
  <c r="D16" i="11"/>
  <c r="C16" i="11"/>
  <c r="B16" i="11"/>
  <c r="A16" i="11"/>
  <c r="D15" i="11"/>
  <c r="C15" i="11"/>
  <c r="B15" i="11"/>
  <c r="A15" i="11"/>
  <c r="D14" i="11"/>
  <c r="C14" i="11"/>
  <c r="B14" i="11"/>
  <c r="A14" i="11"/>
  <c r="D13" i="11"/>
  <c r="C13" i="11"/>
  <c r="B13" i="11"/>
  <c r="A13" i="11"/>
  <c r="D12" i="11"/>
  <c r="C12" i="11"/>
  <c r="B12" i="11"/>
  <c r="A12" i="11"/>
  <c r="D11" i="11"/>
  <c r="C11" i="11"/>
  <c r="B11" i="11"/>
  <c r="A11" i="11"/>
  <c r="D10" i="11"/>
  <c r="C10" i="11"/>
  <c r="B10" i="11"/>
  <c r="A10" i="11"/>
  <c r="D9" i="11"/>
  <c r="C9" i="11"/>
  <c r="B9" i="11"/>
  <c r="A9" i="11"/>
  <c r="D8" i="11"/>
  <c r="C8" i="11"/>
  <c r="B8" i="11"/>
  <c r="A8" i="11"/>
  <c r="D7" i="11"/>
  <c r="C7" i="11"/>
  <c r="B7" i="11"/>
  <c r="A7" i="11"/>
  <c r="D6" i="11"/>
  <c r="C6" i="11"/>
  <c r="B6" i="11"/>
  <c r="A6" i="11"/>
  <c r="D5" i="11"/>
  <c r="C5" i="11"/>
  <c r="B5" i="11"/>
  <c r="A5" i="11"/>
  <c r="AB4" i="11"/>
  <c r="AB3" i="11"/>
  <c r="B27" i="9"/>
  <c r="C27" i="9"/>
  <c r="D27" i="9"/>
  <c r="B28" i="9"/>
  <c r="C28" i="9"/>
  <c r="D28" i="9"/>
  <c r="B29" i="9"/>
  <c r="C29" i="9"/>
  <c r="D29" i="9"/>
  <c r="B26" i="9"/>
  <c r="C26" i="9"/>
  <c r="D26" i="9"/>
  <c r="Q6" i="10"/>
  <c r="Q8" i="10"/>
  <c r="H20" i="19"/>
  <c r="A8" i="10"/>
  <c r="A7" i="10"/>
  <c r="A29" i="33" s="1"/>
  <c r="A6" i="10"/>
  <c r="A28" i="33" s="1"/>
  <c r="H26" i="9"/>
  <c r="A5" i="10"/>
  <c r="A27" i="33" s="1"/>
  <c r="X4" i="10"/>
  <c r="W4" i="10"/>
  <c r="V4" i="10"/>
  <c r="U4" i="10"/>
  <c r="T4" i="10"/>
  <c r="S4" i="10"/>
  <c r="R4" i="10"/>
  <c r="Q4" i="10"/>
  <c r="AA4" i="10" s="1"/>
  <c r="P4" i="10"/>
  <c r="AA3" i="10" s="1"/>
  <c r="A30" i="33" l="1"/>
  <c r="A23" i="19"/>
  <c r="A24" i="19"/>
  <c r="J30" i="33"/>
  <c r="J24" i="19"/>
  <c r="J28" i="33"/>
  <c r="J21" i="19"/>
  <c r="R8" i="10"/>
  <c r="R29" i="9" s="1"/>
  <c r="X8" i="10"/>
  <c r="V6" i="10"/>
  <c r="V27" i="9" s="1"/>
  <c r="R6" i="10"/>
  <c r="R27" i="9" s="1"/>
  <c r="T6" i="10"/>
  <c r="T27" i="9" s="1"/>
  <c r="A27" i="11"/>
  <c r="A20" i="19"/>
  <c r="G27" i="11"/>
  <c r="G20" i="19"/>
  <c r="A28" i="11"/>
  <c r="A21" i="19"/>
  <c r="G28" i="11"/>
  <c r="G21" i="19"/>
  <c r="A29" i="11"/>
  <c r="A22" i="19"/>
  <c r="G29" i="11"/>
  <c r="G22" i="19"/>
  <c r="A30" i="11"/>
  <c r="G30" i="11"/>
  <c r="J28" i="11"/>
  <c r="J30" i="11"/>
  <c r="E27" i="11"/>
  <c r="E20" i="19"/>
  <c r="F27" i="11"/>
  <c r="F20" i="19"/>
  <c r="F30" i="11"/>
  <c r="E30" i="11"/>
  <c r="F22" i="19"/>
  <c r="F29" i="11"/>
  <c r="E29" i="11"/>
  <c r="E22" i="19"/>
  <c r="F28" i="11"/>
  <c r="F21" i="19"/>
  <c r="E28" i="11"/>
  <c r="E21" i="19"/>
  <c r="H30" i="11"/>
  <c r="H29" i="11"/>
  <c r="H22" i="19"/>
  <c r="H28" i="11"/>
  <c r="H21" i="19"/>
  <c r="O27" i="9"/>
  <c r="U8" i="10"/>
  <c r="P6" i="10"/>
  <c r="U6" i="10"/>
  <c r="U5" i="10"/>
  <c r="H27" i="11"/>
  <c r="M26" i="9"/>
  <c r="I26" i="9"/>
  <c r="E26" i="9"/>
  <c r="Q29" i="9"/>
  <c r="M29" i="9"/>
  <c r="I29" i="9"/>
  <c r="E29" i="9"/>
  <c r="A29" i="9"/>
  <c r="N28" i="9"/>
  <c r="J28" i="9"/>
  <c r="F28" i="9"/>
  <c r="K27" i="9"/>
  <c r="G27" i="9"/>
  <c r="L26" i="9"/>
  <c r="X29" i="9"/>
  <c r="L29" i="9"/>
  <c r="H29" i="9"/>
  <c r="M28" i="9"/>
  <c r="I28" i="9"/>
  <c r="E28" i="9"/>
  <c r="A28" i="9"/>
  <c r="N27" i="9"/>
  <c r="J27" i="9"/>
  <c r="F27" i="9"/>
  <c r="S6" i="10"/>
  <c r="W6" i="10"/>
  <c r="R7" i="10"/>
  <c r="V7" i="10"/>
  <c r="U7" i="10"/>
  <c r="X6" i="10"/>
  <c r="V8" i="10"/>
  <c r="O26" i="9"/>
  <c r="K26" i="9"/>
  <c r="G26" i="9"/>
  <c r="O29" i="9"/>
  <c r="K29" i="9"/>
  <c r="G29" i="9"/>
  <c r="L28" i="9"/>
  <c r="H28" i="9"/>
  <c r="Q27" i="9"/>
  <c r="M27" i="9"/>
  <c r="I27" i="9"/>
  <c r="E27" i="9"/>
  <c r="A27" i="9"/>
  <c r="A26" i="9"/>
  <c r="N26" i="9"/>
  <c r="J26" i="9"/>
  <c r="F26" i="9"/>
  <c r="N29" i="9"/>
  <c r="J29" i="9"/>
  <c r="F29" i="9"/>
  <c r="O28" i="9"/>
  <c r="K28" i="9"/>
  <c r="G28" i="9"/>
  <c r="L27" i="9"/>
  <c r="H27" i="9"/>
  <c r="V5" i="10"/>
  <c r="W5" i="10"/>
  <c r="R5" i="10"/>
  <c r="P5" i="10"/>
  <c r="T5" i="10"/>
  <c r="X5" i="10"/>
  <c r="Q5" i="10"/>
  <c r="S7" i="10"/>
  <c r="W7" i="10"/>
  <c r="P7" i="10"/>
  <c r="T7" i="10"/>
  <c r="X7" i="10"/>
  <c r="S8" i="10"/>
  <c r="W8" i="10"/>
  <c r="S5" i="10"/>
  <c r="Q7" i="10"/>
  <c r="P8" i="10"/>
  <c r="I24" i="19" s="1"/>
  <c r="T8" i="10"/>
  <c r="U9" i="10" l="1"/>
  <c r="Y6" i="10"/>
  <c r="K21" i="19" s="1"/>
  <c r="I30" i="33"/>
  <c r="J29" i="33"/>
  <c r="I22" i="19"/>
  <c r="I29" i="33"/>
  <c r="K28" i="33"/>
  <c r="N28" i="33" s="1"/>
  <c r="J20" i="19"/>
  <c r="J27" i="33"/>
  <c r="I20" i="19"/>
  <c r="I27" i="33"/>
  <c r="I21" i="19"/>
  <c r="I28" i="33"/>
  <c r="O17" i="19"/>
  <c r="K28" i="11"/>
  <c r="Y27" i="9"/>
  <c r="I27" i="11"/>
  <c r="P26" i="9"/>
  <c r="U28" i="9"/>
  <c r="S27" i="9"/>
  <c r="T29" i="9"/>
  <c r="W29" i="9"/>
  <c r="Q9" i="10"/>
  <c r="AB4" i="10" s="1"/>
  <c r="J27" i="11"/>
  <c r="Q26" i="9"/>
  <c r="R9" i="10"/>
  <c r="R26" i="9"/>
  <c r="U29" i="9"/>
  <c r="I30" i="11"/>
  <c r="P29" i="9"/>
  <c r="S29" i="9"/>
  <c r="W28" i="9"/>
  <c r="X26" i="9"/>
  <c r="W26" i="9"/>
  <c r="V29" i="9"/>
  <c r="V28" i="9"/>
  <c r="W27" i="9"/>
  <c r="U27" i="9"/>
  <c r="S26" i="9"/>
  <c r="T28" i="9"/>
  <c r="R28" i="9"/>
  <c r="I29" i="11"/>
  <c r="P28" i="9"/>
  <c r="U26" i="9"/>
  <c r="J29" i="11"/>
  <c r="Q28" i="9"/>
  <c r="X9" i="10"/>
  <c r="X28" i="9"/>
  <c r="S28" i="9"/>
  <c r="T26" i="9"/>
  <c r="V9" i="10"/>
  <c r="V26" i="9"/>
  <c r="X27" i="9"/>
  <c r="I28" i="11"/>
  <c r="P27" i="9"/>
  <c r="W9" i="10"/>
  <c r="S9" i="10"/>
  <c r="T9" i="10"/>
  <c r="Y7" i="10"/>
  <c r="P9" i="10"/>
  <c r="AB3" i="10" s="1"/>
  <c r="Y8" i="10"/>
  <c r="K24" i="19" s="1"/>
  <c r="Y5" i="10"/>
  <c r="K20" i="19" l="1"/>
  <c r="K27" i="33"/>
  <c r="N27" i="33" s="1"/>
  <c r="O27" i="33" s="1"/>
  <c r="R27" i="33" s="1"/>
  <c r="K30" i="33"/>
  <c r="Q30" i="33" s="1"/>
  <c r="K29" i="33"/>
  <c r="N29" i="33" s="1"/>
  <c r="O28" i="33"/>
  <c r="Q28" i="33"/>
  <c r="K29" i="11"/>
  <c r="Y28" i="9"/>
  <c r="K30" i="11"/>
  <c r="Q30" i="11" s="1"/>
  <c r="Y29" i="9"/>
  <c r="K27" i="11"/>
  <c r="Y26" i="9"/>
  <c r="Y9" i="10"/>
  <c r="AB5" i="10"/>
  <c r="AE16" i="10" s="1"/>
  <c r="Q27" i="33" l="1"/>
  <c r="R28" i="33"/>
  <c r="O29" i="33"/>
  <c r="Q29" i="33"/>
  <c r="Q38" i="33" s="1"/>
  <c r="E31" i="11"/>
  <c r="E25" i="19"/>
  <c r="F31" i="11"/>
  <c r="F25" i="19"/>
  <c r="H31" i="11"/>
  <c r="H25" i="19"/>
  <c r="F32" i="11"/>
  <c r="F26" i="19"/>
  <c r="E32" i="11"/>
  <c r="E26" i="19"/>
  <c r="H32" i="11"/>
  <c r="H26" i="19"/>
  <c r="B35" i="19"/>
  <c r="B34" i="19"/>
  <c r="B33" i="19"/>
  <c r="B32" i="19"/>
  <c r="B31" i="19"/>
  <c r="B30" i="19"/>
  <c r="B19" i="19"/>
  <c r="B18" i="19"/>
  <c r="R29" i="33" l="1"/>
  <c r="O39" i="33"/>
  <c r="C18" i="11"/>
  <c r="C18" i="19"/>
  <c r="C19" i="11"/>
  <c r="C19" i="19"/>
  <c r="C20" i="11"/>
  <c r="C29" i="19"/>
  <c r="C21" i="11"/>
  <c r="C30" i="19"/>
  <c r="C22" i="11"/>
  <c r="C31" i="19"/>
  <c r="C23" i="11"/>
  <c r="C32" i="19"/>
  <c r="C24" i="11"/>
  <c r="C33" i="19"/>
  <c r="C25" i="11"/>
  <c r="C34" i="19"/>
  <c r="C26" i="11"/>
  <c r="C35" i="19"/>
  <c r="B19" i="11"/>
  <c r="B21" i="11"/>
  <c r="B23" i="11"/>
  <c r="B25" i="11"/>
  <c r="B18" i="11"/>
  <c r="B20" i="11"/>
  <c r="B22" i="11"/>
  <c r="B24" i="11"/>
  <c r="B26" i="11"/>
  <c r="E13" i="33"/>
  <c r="F13" i="33"/>
  <c r="E14" i="33"/>
  <c r="F14" i="33"/>
  <c r="E15" i="33"/>
  <c r="F15" i="33"/>
  <c r="E16" i="33"/>
  <c r="F16" i="33"/>
  <c r="E12" i="11" l="1"/>
  <c r="E12" i="19"/>
  <c r="F12" i="11"/>
  <c r="F12" i="19"/>
  <c r="H12" i="11"/>
  <c r="H12" i="19"/>
  <c r="F16" i="11"/>
  <c r="F16" i="19"/>
  <c r="E16" i="11"/>
  <c r="E16" i="19"/>
  <c r="F15" i="11"/>
  <c r="F15" i="19"/>
  <c r="E15" i="11"/>
  <c r="E15" i="19"/>
  <c r="F14" i="11"/>
  <c r="F14" i="19"/>
  <c r="E14" i="11"/>
  <c r="E14" i="19"/>
  <c r="F13" i="11"/>
  <c r="F13" i="19"/>
  <c r="E13" i="11"/>
  <c r="E13" i="19"/>
  <c r="H15" i="11"/>
  <c r="H15" i="19"/>
  <c r="H14" i="11"/>
  <c r="H14" i="19"/>
  <c r="H13" i="11"/>
  <c r="H13" i="19"/>
  <c r="H19" i="11"/>
  <c r="H19" i="19"/>
  <c r="H23" i="11"/>
  <c r="H32" i="19"/>
  <c r="F20" i="11"/>
  <c r="F29" i="19"/>
  <c r="F21" i="11"/>
  <c r="F30" i="19"/>
  <c r="F25" i="11"/>
  <c r="F34" i="19"/>
  <c r="H21" i="11"/>
  <c r="H30" i="19"/>
  <c r="H25" i="11"/>
  <c r="H34" i="19"/>
  <c r="E19" i="11"/>
  <c r="E19" i="19"/>
  <c r="E23" i="11"/>
  <c r="E32" i="19"/>
  <c r="F24" i="11"/>
  <c r="F33" i="19"/>
  <c r="H24" i="11"/>
  <c r="H33" i="19"/>
  <c r="E22" i="11"/>
  <c r="E31" i="19"/>
  <c r="H26" i="11"/>
  <c r="H35" i="19"/>
  <c r="E26" i="11"/>
  <c r="E35" i="19"/>
  <c r="H20" i="11"/>
  <c r="H29" i="19"/>
  <c r="F18" i="11"/>
  <c r="F18" i="19"/>
  <c r="H22" i="11"/>
  <c r="H31" i="19"/>
  <c r="E18" i="11"/>
  <c r="E18" i="19"/>
  <c r="F26" i="11"/>
  <c r="F35" i="19"/>
  <c r="E24" i="11"/>
  <c r="E33" i="19"/>
  <c r="F22" i="11"/>
  <c r="F31" i="19"/>
  <c r="E20" i="11"/>
  <c r="E29" i="19"/>
  <c r="H18" i="11"/>
  <c r="H18" i="19"/>
  <c r="E25" i="11"/>
  <c r="E34" i="19"/>
  <c r="F23" i="11"/>
  <c r="F32" i="19"/>
  <c r="E21" i="11"/>
  <c r="E30" i="19"/>
  <c r="F19" i="11"/>
  <c r="F19" i="19"/>
  <c r="N9" i="5"/>
  <c r="G16" i="33" s="1"/>
  <c r="N8" i="5"/>
  <c r="G15" i="33" s="1"/>
  <c r="N7" i="5"/>
  <c r="G14" i="33" s="1"/>
  <c r="N6" i="5"/>
  <c r="G13" i="33" s="1"/>
  <c r="N5" i="5"/>
  <c r="G12" i="33" s="1"/>
  <c r="E7" i="19"/>
  <c r="F8" i="19"/>
  <c r="E9" i="19"/>
  <c r="F5" i="19"/>
  <c r="E11" i="19"/>
  <c r="E10" i="19"/>
  <c r="G12" i="11" l="1"/>
  <c r="G12" i="19"/>
  <c r="G13" i="11"/>
  <c r="G13" i="19"/>
  <c r="G14" i="11"/>
  <c r="G14" i="19"/>
  <c r="G15" i="11"/>
  <c r="G15" i="19"/>
  <c r="G16" i="11"/>
  <c r="G16" i="19"/>
  <c r="H10" i="11"/>
  <c r="H10" i="19"/>
  <c r="F10" i="11"/>
  <c r="F10" i="19"/>
  <c r="F11" i="11"/>
  <c r="F11" i="19"/>
  <c r="H11" i="11"/>
  <c r="H11" i="19"/>
  <c r="H5" i="11"/>
  <c r="H5" i="19"/>
  <c r="E5" i="11"/>
  <c r="E5" i="19"/>
  <c r="F9" i="11"/>
  <c r="F9" i="19"/>
  <c r="E8" i="11"/>
  <c r="E8" i="19"/>
  <c r="F7" i="11"/>
  <c r="F7" i="19"/>
  <c r="F6" i="11"/>
  <c r="F6" i="19"/>
  <c r="E6" i="11"/>
  <c r="E6" i="19"/>
  <c r="E9" i="11"/>
  <c r="E7" i="11"/>
  <c r="F8" i="11"/>
  <c r="N6" i="4"/>
  <c r="G11" i="33" s="1"/>
  <c r="E11" i="11"/>
  <c r="F5" i="11"/>
  <c r="N5" i="4"/>
  <c r="G10" i="33" s="1"/>
  <c r="E10" i="11"/>
  <c r="Q5" i="3"/>
  <c r="J5" i="33" s="1"/>
  <c r="P5" i="3"/>
  <c r="I5" i="33" s="1"/>
  <c r="H6" i="19"/>
  <c r="H7" i="19"/>
  <c r="H8" i="19"/>
  <c r="H9" i="19"/>
  <c r="G10" i="11" l="1"/>
  <c r="G10" i="19"/>
  <c r="G11" i="11"/>
  <c r="G11" i="19"/>
  <c r="I5" i="11"/>
  <c r="I5" i="19"/>
  <c r="J5" i="11"/>
  <c r="J5" i="19"/>
  <c r="G6" i="11"/>
  <c r="G6" i="19"/>
  <c r="G5" i="11"/>
  <c r="G5" i="19"/>
  <c r="G8" i="11"/>
  <c r="G8" i="19"/>
  <c r="G7" i="11"/>
  <c r="G7" i="19"/>
  <c r="G9" i="11"/>
  <c r="G9" i="19"/>
  <c r="P6" i="3"/>
  <c r="I6" i="33" s="1"/>
  <c r="H6" i="11"/>
  <c r="Q9" i="3"/>
  <c r="J9" i="33" s="1"/>
  <c r="Q9" i="33" s="1"/>
  <c r="H9" i="11"/>
  <c r="Q8" i="3"/>
  <c r="J8" i="33" s="1"/>
  <c r="H8" i="11"/>
  <c r="Q7" i="3"/>
  <c r="J7" i="33" s="1"/>
  <c r="H7" i="11"/>
  <c r="P8" i="3"/>
  <c r="I8" i="33" s="1"/>
  <c r="Q6" i="3"/>
  <c r="J6" i="33" s="1"/>
  <c r="P9" i="3"/>
  <c r="I9" i="33" s="1"/>
  <c r="P7" i="3"/>
  <c r="I7" i="33" s="1"/>
  <c r="A5" i="9"/>
  <c r="X4" i="9"/>
  <c r="W4" i="9"/>
  <c r="V4" i="9"/>
  <c r="U4" i="9"/>
  <c r="T4" i="9"/>
  <c r="S4" i="9"/>
  <c r="R4" i="9"/>
  <c r="Q4" i="9"/>
  <c r="AA4" i="9" s="1"/>
  <c r="P4" i="9"/>
  <c r="AA3" i="9"/>
  <c r="A35" i="8"/>
  <c r="A29" i="8"/>
  <c r="A28" i="8"/>
  <c r="A6" i="8"/>
  <c r="H6" i="8"/>
  <c r="K29" i="8"/>
  <c r="K23" i="8"/>
  <c r="K18" i="8"/>
  <c r="K17" i="8"/>
  <c r="H13" i="1"/>
  <c r="H4" i="1"/>
  <c r="G31" i="9"/>
  <c r="H31" i="9"/>
  <c r="I31" i="9"/>
  <c r="J31" i="9"/>
  <c r="K31" i="9"/>
  <c r="L31" i="9"/>
  <c r="M31" i="9"/>
  <c r="D31" i="9"/>
  <c r="C31" i="9"/>
  <c r="A31" i="9"/>
  <c r="M30" i="9"/>
  <c r="L30" i="9"/>
  <c r="K30" i="9"/>
  <c r="J30" i="9"/>
  <c r="I30" i="9"/>
  <c r="H30" i="9"/>
  <c r="G30" i="9"/>
  <c r="D30" i="9"/>
  <c r="C30" i="9"/>
  <c r="B30" i="9"/>
  <c r="A30" i="9"/>
  <c r="X4" i="7"/>
  <c r="W4" i="7"/>
  <c r="V4" i="7"/>
  <c r="U4" i="7"/>
  <c r="T4" i="7"/>
  <c r="S4" i="7"/>
  <c r="R4" i="7"/>
  <c r="Q4" i="7"/>
  <c r="AB6" i="7" s="1"/>
  <c r="P4" i="7"/>
  <c r="AB5" i="7" s="1"/>
  <c r="E8" i="12" l="1"/>
  <c r="N9" i="33" s="1"/>
  <c r="C5" i="12"/>
  <c r="D5" i="12" s="1"/>
  <c r="AC4" i="33"/>
  <c r="AF4" i="33" s="1"/>
  <c r="AC3" i="33"/>
  <c r="AF3" i="33" s="1"/>
  <c r="Q10" i="3"/>
  <c r="Q12" i="3" s="1"/>
  <c r="I7" i="11"/>
  <c r="I7" i="19"/>
  <c r="I9" i="11"/>
  <c r="I9" i="19"/>
  <c r="J6" i="11"/>
  <c r="J6" i="19"/>
  <c r="I8" i="11"/>
  <c r="I8" i="19"/>
  <c r="J7" i="11"/>
  <c r="J7" i="19"/>
  <c r="J8" i="11"/>
  <c r="J8" i="19"/>
  <c r="J9" i="11"/>
  <c r="Q9" i="11" s="1"/>
  <c r="J9" i="19"/>
  <c r="I6" i="11"/>
  <c r="I6" i="19"/>
  <c r="C2" i="12"/>
  <c r="D2" i="12" s="1"/>
  <c r="E3" i="12"/>
  <c r="E4" i="12"/>
  <c r="N15" i="11" s="1"/>
  <c r="E5" i="12"/>
  <c r="E6" i="12"/>
  <c r="E7" i="12"/>
  <c r="C4" i="12"/>
  <c r="D4" i="12" s="1"/>
  <c r="C6" i="12"/>
  <c r="D6" i="12" s="1"/>
  <c r="C8" i="12"/>
  <c r="D8" i="12" s="1"/>
  <c r="C3" i="12"/>
  <c r="D3" i="12" s="1"/>
  <c r="C7" i="12"/>
  <c r="D7" i="12" s="1"/>
  <c r="AB4" i="3"/>
  <c r="AB3" i="3"/>
  <c r="P10" i="3"/>
  <c r="F31" i="9"/>
  <c r="B31" i="9"/>
  <c r="F30" i="9"/>
  <c r="E30" i="9"/>
  <c r="W5" i="7"/>
  <c r="O31" i="9"/>
  <c r="X5" i="7"/>
  <c r="R5" i="7"/>
  <c r="V5" i="7"/>
  <c r="S5" i="7"/>
  <c r="Q5" i="7"/>
  <c r="S6" i="7"/>
  <c r="N9" i="11" l="1"/>
  <c r="N33" i="33"/>
  <c r="N23" i="19"/>
  <c r="P27" i="33"/>
  <c r="P19" i="33"/>
  <c r="P24" i="33"/>
  <c r="P21" i="33"/>
  <c r="P25" i="33"/>
  <c r="P22" i="33"/>
  <c r="P23" i="33"/>
  <c r="P10" i="33"/>
  <c r="N29" i="19"/>
  <c r="N34" i="19"/>
  <c r="N30" i="19"/>
  <c r="N33" i="19"/>
  <c r="N10" i="19"/>
  <c r="N20" i="19"/>
  <c r="N32" i="19"/>
  <c r="N19" i="19"/>
  <c r="P31" i="33"/>
  <c r="P13" i="33"/>
  <c r="P17" i="33"/>
  <c r="P11" i="33"/>
  <c r="P6" i="33"/>
  <c r="P32" i="33"/>
  <c r="N26" i="19"/>
  <c r="N17" i="19"/>
  <c r="N25" i="19"/>
  <c r="N11" i="19"/>
  <c r="N6" i="19"/>
  <c r="N13" i="19"/>
  <c r="P17" i="11"/>
  <c r="N28" i="19"/>
  <c r="P28" i="33"/>
  <c r="P7" i="33"/>
  <c r="P5" i="33"/>
  <c r="N21" i="19"/>
  <c r="N7" i="19"/>
  <c r="N5" i="19"/>
  <c r="P33" i="11"/>
  <c r="P9" i="33"/>
  <c r="P26" i="33"/>
  <c r="P20" i="33"/>
  <c r="P33" i="33"/>
  <c r="P29" i="33"/>
  <c r="N27" i="19"/>
  <c r="N9" i="19"/>
  <c r="P9" i="11"/>
  <c r="N35" i="19"/>
  <c r="N22" i="19"/>
  <c r="N31" i="19"/>
  <c r="N10" i="33"/>
  <c r="N10" i="11"/>
  <c r="N8" i="11"/>
  <c r="N8" i="33"/>
  <c r="N24" i="19"/>
  <c r="P8" i="33"/>
  <c r="P18" i="33"/>
  <c r="P30" i="33"/>
  <c r="N18" i="19"/>
  <c r="N8" i="19"/>
  <c r="N6" i="33"/>
  <c r="N6" i="11"/>
  <c r="P14" i="33"/>
  <c r="P16" i="33"/>
  <c r="P12" i="33"/>
  <c r="N12" i="19"/>
  <c r="N16" i="19"/>
  <c r="N14" i="19"/>
  <c r="P15" i="11"/>
  <c r="P15" i="33"/>
  <c r="N15" i="19"/>
  <c r="P12" i="3"/>
  <c r="Y12" i="3" s="1"/>
  <c r="AC3" i="3"/>
  <c r="N12" i="11"/>
  <c r="N12" i="33"/>
  <c r="J25" i="19"/>
  <c r="J31" i="33"/>
  <c r="AD3" i="33"/>
  <c r="AC4" i="11"/>
  <c r="AF4" i="11" s="1"/>
  <c r="AC3" i="11"/>
  <c r="AF3" i="11" s="1"/>
  <c r="Y4" i="19"/>
  <c r="AB4" i="19" s="1"/>
  <c r="Y3" i="19"/>
  <c r="AB5" i="3"/>
  <c r="P12" i="11"/>
  <c r="P14" i="11"/>
  <c r="P16" i="11"/>
  <c r="P10" i="11"/>
  <c r="P19" i="11"/>
  <c r="P21" i="11"/>
  <c r="P22" i="11"/>
  <c r="P23" i="11"/>
  <c r="P24" i="11"/>
  <c r="P25" i="11"/>
  <c r="P8" i="11"/>
  <c r="P18" i="11"/>
  <c r="P30" i="11"/>
  <c r="P20" i="11"/>
  <c r="P26" i="11"/>
  <c r="P29" i="11"/>
  <c r="P6" i="11"/>
  <c r="P11" i="11"/>
  <c r="P32" i="11"/>
  <c r="P31" i="11"/>
  <c r="P13" i="11"/>
  <c r="P7" i="11"/>
  <c r="P27" i="11"/>
  <c r="P28" i="11"/>
  <c r="P5" i="11"/>
  <c r="S31" i="9"/>
  <c r="S30" i="9"/>
  <c r="R30" i="9"/>
  <c r="Q30" i="9"/>
  <c r="J31" i="11"/>
  <c r="X30" i="9"/>
  <c r="V30" i="9"/>
  <c r="W30" i="9"/>
  <c r="N5" i="7"/>
  <c r="W6" i="7"/>
  <c r="W31" i="9" s="1"/>
  <c r="T6" i="7"/>
  <c r="T5" i="7"/>
  <c r="U5" i="7"/>
  <c r="O30" i="9"/>
  <c r="G26" i="19"/>
  <c r="E31" i="9"/>
  <c r="P6" i="7"/>
  <c r="U6" i="7"/>
  <c r="R6" i="7"/>
  <c r="V6" i="7"/>
  <c r="X6" i="7"/>
  <c r="Q6" i="7"/>
  <c r="J32" i="33" s="1"/>
  <c r="S7" i="7"/>
  <c r="V7" i="7"/>
  <c r="P5" i="7"/>
  <c r="I31" i="33" s="1"/>
  <c r="AF19" i="3" l="1"/>
  <c r="Q31" i="33"/>
  <c r="I26" i="19"/>
  <c r="I32" i="33"/>
  <c r="G25" i="19"/>
  <c r="G31" i="33"/>
  <c r="AD3" i="11"/>
  <c r="Z3" i="19"/>
  <c r="AB3" i="19"/>
  <c r="I31" i="11"/>
  <c r="Q31" i="11" s="1"/>
  <c r="I25" i="19"/>
  <c r="J32" i="11"/>
  <c r="J26" i="19"/>
  <c r="V31" i="9"/>
  <c r="N31" i="9"/>
  <c r="G32" i="11"/>
  <c r="T30" i="9"/>
  <c r="N30" i="9"/>
  <c r="G31" i="11"/>
  <c r="T31" i="9"/>
  <c r="X31" i="9"/>
  <c r="P31" i="9"/>
  <c r="I32" i="11"/>
  <c r="Q32" i="11" s="1"/>
  <c r="U30" i="9"/>
  <c r="W7" i="7"/>
  <c r="T7" i="7"/>
  <c r="P7" i="7"/>
  <c r="X7" i="7"/>
  <c r="Y5" i="7"/>
  <c r="P30" i="9"/>
  <c r="AC6" i="7"/>
  <c r="Q31" i="9"/>
  <c r="R7" i="7"/>
  <c r="R31" i="9"/>
  <c r="U7" i="7"/>
  <c r="U31" i="9"/>
  <c r="AC5" i="7"/>
  <c r="Y6" i="7"/>
  <c r="K32" i="33" s="1"/>
  <c r="Q7" i="7"/>
  <c r="Y11" i="19" l="1"/>
  <c r="Y12" i="19"/>
  <c r="AB12" i="19" s="1"/>
  <c r="K25" i="19"/>
  <c r="K31" i="33"/>
  <c r="Q32" i="33"/>
  <c r="K32" i="11"/>
  <c r="K26" i="19"/>
  <c r="AB11" i="19"/>
  <c r="Z11" i="19"/>
  <c r="Y30" i="9"/>
  <c r="K31" i="11"/>
  <c r="AB12" i="9"/>
  <c r="AC11" i="9" s="1"/>
  <c r="AC12" i="11"/>
  <c r="AB11" i="9"/>
  <c r="AE11" i="9" s="1"/>
  <c r="AC11" i="11"/>
  <c r="AF11" i="11" s="1"/>
  <c r="AC7" i="7"/>
  <c r="AD9" i="7" s="1"/>
  <c r="Y7" i="7"/>
  <c r="Y31" i="9"/>
  <c r="G18" i="9"/>
  <c r="H18" i="9"/>
  <c r="I18" i="9"/>
  <c r="J18" i="9"/>
  <c r="K18" i="9"/>
  <c r="L18" i="9"/>
  <c r="M18" i="9"/>
  <c r="G19" i="9"/>
  <c r="H19" i="9"/>
  <c r="I19" i="9"/>
  <c r="J19" i="9"/>
  <c r="K19" i="9"/>
  <c r="L19" i="9"/>
  <c r="M19" i="9"/>
  <c r="G20" i="9"/>
  <c r="H20" i="9"/>
  <c r="I20" i="9"/>
  <c r="J20" i="9"/>
  <c r="K20" i="9"/>
  <c r="L20" i="9"/>
  <c r="M20" i="9"/>
  <c r="G21" i="9"/>
  <c r="H21" i="9"/>
  <c r="I21" i="9"/>
  <c r="J21" i="9"/>
  <c r="K21" i="9"/>
  <c r="L21" i="9"/>
  <c r="M21" i="9"/>
  <c r="G22" i="9"/>
  <c r="H22" i="9"/>
  <c r="I22" i="9"/>
  <c r="J22" i="9"/>
  <c r="K22" i="9"/>
  <c r="L22" i="9"/>
  <c r="M22" i="9"/>
  <c r="G23" i="9"/>
  <c r="H23" i="9"/>
  <c r="I23" i="9"/>
  <c r="J23" i="9"/>
  <c r="K23" i="9"/>
  <c r="L23" i="9"/>
  <c r="M23" i="9"/>
  <c r="G24" i="9"/>
  <c r="H24" i="9"/>
  <c r="I24" i="9"/>
  <c r="J24" i="9"/>
  <c r="K24" i="9"/>
  <c r="L24" i="9"/>
  <c r="M24" i="9"/>
  <c r="G25" i="9"/>
  <c r="H25" i="9"/>
  <c r="I25" i="9"/>
  <c r="J25" i="9"/>
  <c r="K25" i="9"/>
  <c r="L25" i="9"/>
  <c r="M25" i="9"/>
  <c r="D25" i="9"/>
  <c r="C25" i="9"/>
  <c r="A25" i="9"/>
  <c r="D24" i="9"/>
  <c r="C24" i="9"/>
  <c r="B24" i="9"/>
  <c r="A24" i="9"/>
  <c r="D23" i="9"/>
  <c r="C23" i="9"/>
  <c r="A23" i="9"/>
  <c r="D22" i="9"/>
  <c r="C22" i="9"/>
  <c r="A22" i="9"/>
  <c r="D21" i="9"/>
  <c r="C21" i="9"/>
  <c r="A21" i="9"/>
  <c r="D20" i="9"/>
  <c r="C20" i="9"/>
  <c r="A20" i="9"/>
  <c r="D19" i="9"/>
  <c r="C19" i="9"/>
  <c r="A19" i="9"/>
  <c r="D18" i="9"/>
  <c r="C18" i="9"/>
  <c r="A18" i="9"/>
  <c r="M17" i="9"/>
  <c r="L17" i="9"/>
  <c r="K17" i="9"/>
  <c r="J17" i="9"/>
  <c r="I17" i="9"/>
  <c r="H17" i="9"/>
  <c r="G17" i="9"/>
  <c r="D17" i="9"/>
  <c r="C17" i="9"/>
  <c r="A17" i="9"/>
  <c r="X4" i="6"/>
  <c r="W4" i="6"/>
  <c r="V4" i="6"/>
  <c r="U4" i="6"/>
  <c r="T4" i="6"/>
  <c r="S4" i="6"/>
  <c r="R4" i="6"/>
  <c r="Q4" i="6"/>
  <c r="AA8" i="6" s="1"/>
  <c r="P4" i="6"/>
  <c r="AA7" i="6" s="1"/>
  <c r="AE12" i="9" l="1"/>
  <c r="AF12" i="11"/>
  <c r="AD11" i="11"/>
  <c r="B17" i="9"/>
  <c r="E18" i="9"/>
  <c r="B18" i="9"/>
  <c r="F19" i="9"/>
  <c r="B19" i="9"/>
  <c r="E20" i="9"/>
  <c r="B20" i="9"/>
  <c r="F21" i="9"/>
  <c r="B21" i="9"/>
  <c r="E22" i="9"/>
  <c r="B22" i="9"/>
  <c r="E23" i="9"/>
  <c r="B23" i="9"/>
  <c r="E25" i="9"/>
  <c r="B25" i="9"/>
  <c r="E24" i="9"/>
  <c r="F24" i="9"/>
  <c r="O24" i="9"/>
  <c r="E17" i="9"/>
  <c r="I29" i="19"/>
  <c r="O22" i="9"/>
  <c r="F17" i="9"/>
  <c r="F20" i="9"/>
  <c r="X6" i="6"/>
  <c r="O23" i="9"/>
  <c r="F23" i="9"/>
  <c r="O21" i="9"/>
  <c r="I31" i="19"/>
  <c r="J34" i="19"/>
  <c r="G30" i="19"/>
  <c r="J18" i="19"/>
  <c r="J32" i="19"/>
  <c r="J31" i="19"/>
  <c r="I33" i="19"/>
  <c r="I18" i="19" l="1"/>
  <c r="I18" i="11"/>
  <c r="W23" i="9"/>
  <c r="R17" i="9"/>
  <c r="R24" i="9"/>
  <c r="S24" i="9"/>
  <c r="S23" i="9"/>
  <c r="Q22" i="9"/>
  <c r="J23" i="11"/>
  <c r="W17" i="9"/>
  <c r="T17" i="9"/>
  <c r="N20" i="9"/>
  <c r="G21" i="11"/>
  <c r="S22" i="9"/>
  <c r="X22" i="9"/>
  <c r="Q21" i="9"/>
  <c r="J22" i="11"/>
  <c r="U22" i="9"/>
  <c r="Q17" i="9"/>
  <c r="J18" i="11"/>
  <c r="Q24" i="9"/>
  <c r="J25" i="11"/>
  <c r="W22" i="9"/>
  <c r="X25" i="9"/>
  <c r="U20" i="9"/>
  <c r="P19" i="9"/>
  <c r="I20" i="11"/>
  <c r="Q20" i="11" s="1"/>
  <c r="T19" i="9"/>
  <c r="U17" i="9"/>
  <c r="S21" i="9"/>
  <c r="U24" i="9"/>
  <c r="T23" i="9"/>
  <c r="S17" i="9"/>
  <c r="P23" i="9"/>
  <c r="I24" i="11"/>
  <c r="U21" i="9"/>
  <c r="T22" i="9"/>
  <c r="X17" i="9"/>
  <c r="P17" i="9"/>
  <c r="T21" i="9"/>
  <c r="P21" i="9"/>
  <c r="I22" i="11"/>
  <c r="X23" i="9"/>
  <c r="T24" i="9"/>
  <c r="W6" i="6"/>
  <c r="I32" i="19"/>
  <c r="P6" i="6"/>
  <c r="G34" i="19"/>
  <c r="O19" i="9"/>
  <c r="F18" i="9"/>
  <c r="Q6" i="6"/>
  <c r="F25" i="9"/>
  <c r="S6" i="6"/>
  <c r="O25" i="9"/>
  <c r="O18" i="9"/>
  <c r="O20" i="9"/>
  <c r="G32" i="19"/>
  <c r="F22" i="9"/>
  <c r="G31" i="19"/>
  <c r="E21" i="9"/>
  <c r="G29" i="19"/>
  <c r="E19" i="9"/>
  <c r="O17" i="9"/>
  <c r="I34" i="19"/>
  <c r="N6" i="6"/>
  <c r="J33" i="19"/>
  <c r="G18" i="19"/>
  <c r="G33" i="19"/>
  <c r="U6" i="6"/>
  <c r="U18" i="9" s="1"/>
  <c r="V6" i="6"/>
  <c r="T6" i="6"/>
  <c r="J30" i="19"/>
  <c r="R6" i="6"/>
  <c r="AB7" i="6" l="1"/>
  <c r="AC9" i="33" s="1"/>
  <c r="I19" i="33"/>
  <c r="I19" i="19"/>
  <c r="G35" i="19"/>
  <c r="G19" i="33"/>
  <c r="Q18" i="9"/>
  <c r="J19" i="33"/>
  <c r="AF9" i="33"/>
  <c r="G19" i="19"/>
  <c r="AB8" i="6"/>
  <c r="J19" i="19"/>
  <c r="J19" i="11"/>
  <c r="I35" i="19"/>
  <c r="J35" i="19"/>
  <c r="I21" i="11"/>
  <c r="I30" i="19"/>
  <c r="J20" i="11"/>
  <c r="J29" i="19"/>
  <c r="V23" i="9"/>
  <c r="R19" i="9"/>
  <c r="V18" i="9"/>
  <c r="V17" i="9"/>
  <c r="V20" i="9"/>
  <c r="P25" i="9"/>
  <c r="I26" i="11"/>
  <c r="S18" i="9"/>
  <c r="U23" i="9"/>
  <c r="W20" i="9"/>
  <c r="V25" i="9"/>
  <c r="V19" i="9"/>
  <c r="T18" i="9"/>
  <c r="Q23" i="9"/>
  <c r="J24" i="11"/>
  <c r="P24" i="9"/>
  <c r="I25" i="11"/>
  <c r="R21" i="9"/>
  <c r="S20" i="9"/>
  <c r="W19" i="9"/>
  <c r="N25" i="9"/>
  <c r="G26" i="11"/>
  <c r="N18" i="9"/>
  <c r="G19" i="11"/>
  <c r="V22" i="9"/>
  <c r="R23" i="9"/>
  <c r="R20" i="9"/>
  <c r="U25" i="9"/>
  <c r="U19" i="9"/>
  <c r="R18" i="9"/>
  <c r="X24" i="9"/>
  <c r="V21" i="9"/>
  <c r="N19" i="9"/>
  <c r="G20" i="11"/>
  <c r="N22" i="9"/>
  <c r="G23" i="11"/>
  <c r="P18" i="9"/>
  <c r="I19" i="11"/>
  <c r="Q25" i="9"/>
  <c r="J26" i="11"/>
  <c r="Q26" i="11" s="1"/>
  <c r="X19" i="9"/>
  <c r="P22" i="9"/>
  <c r="I23" i="11"/>
  <c r="X20" i="9"/>
  <c r="N17" i="9"/>
  <c r="G18" i="11"/>
  <c r="V24" i="9"/>
  <c r="N21" i="9"/>
  <c r="G22" i="11"/>
  <c r="S25" i="9"/>
  <c r="Q20" i="9"/>
  <c r="J21" i="11"/>
  <c r="T25" i="9"/>
  <c r="T20" i="9"/>
  <c r="S19" i="9"/>
  <c r="N23" i="9"/>
  <c r="G24" i="11"/>
  <c r="X18" i="9"/>
  <c r="X21" i="9"/>
  <c r="W24" i="9"/>
  <c r="N24" i="9"/>
  <c r="G25" i="11"/>
  <c r="W25" i="9"/>
  <c r="K18" i="19"/>
  <c r="K29" i="19"/>
  <c r="K34" i="19"/>
  <c r="K33" i="19"/>
  <c r="X14" i="6"/>
  <c r="S14" i="6"/>
  <c r="T14" i="6"/>
  <c r="Y9" i="19"/>
  <c r="W14" i="6"/>
  <c r="W18" i="9"/>
  <c r="K32" i="19"/>
  <c r="R22" i="9"/>
  <c r="P14" i="6"/>
  <c r="P20" i="9"/>
  <c r="Q19" i="9"/>
  <c r="Y6" i="6"/>
  <c r="R25" i="9"/>
  <c r="K31" i="19"/>
  <c r="W21" i="9"/>
  <c r="U14" i="6"/>
  <c r="R14" i="6"/>
  <c r="Q14" i="6"/>
  <c r="V14" i="6"/>
  <c r="K35" i="19" l="1"/>
  <c r="K19" i="33"/>
  <c r="Q19" i="33" s="1"/>
  <c r="Y10" i="19"/>
  <c r="AB10" i="19" s="1"/>
  <c r="AC10" i="33"/>
  <c r="AB9" i="6"/>
  <c r="K19" i="19"/>
  <c r="K21" i="11"/>
  <c r="K30" i="19"/>
  <c r="AB9" i="19"/>
  <c r="Y21" i="9"/>
  <c r="K22" i="11"/>
  <c r="Y22" i="9"/>
  <c r="K23" i="11"/>
  <c r="O23" i="11" s="1"/>
  <c r="R23" i="11" s="1"/>
  <c r="Y18" i="9"/>
  <c r="K19" i="11"/>
  <c r="Q19" i="11" s="1"/>
  <c r="Y25" i="9"/>
  <c r="K26" i="11"/>
  <c r="Y19" i="9"/>
  <c r="K20" i="11"/>
  <c r="AB10" i="9"/>
  <c r="AC10" i="11"/>
  <c r="Y24" i="9"/>
  <c r="K25" i="11"/>
  <c r="AB9" i="9"/>
  <c r="AE9" i="9" s="1"/>
  <c r="AC9" i="11"/>
  <c r="AF9" i="11" s="1"/>
  <c r="Y23" i="9"/>
  <c r="K24" i="11"/>
  <c r="O24" i="11" s="1"/>
  <c r="R24" i="11" s="1"/>
  <c r="Y17" i="9"/>
  <c r="K18" i="11"/>
  <c r="Y14" i="6"/>
  <c r="Y20" i="9"/>
  <c r="Z9" i="19" l="1"/>
  <c r="AF10" i="33"/>
  <c r="AD9" i="33"/>
  <c r="AC9" i="9"/>
  <c r="AE10" i="9"/>
  <c r="O25" i="11"/>
  <c r="R25" i="11" s="1"/>
  <c r="R42" i="11" s="1"/>
  <c r="AF10" i="11"/>
  <c r="AD9" i="11"/>
  <c r="G13" i="9"/>
  <c r="H13" i="9"/>
  <c r="I13" i="9"/>
  <c r="J13" i="9"/>
  <c r="K13" i="9"/>
  <c r="L13" i="9"/>
  <c r="M13" i="9"/>
  <c r="G14" i="9"/>
  <c r="H14" i="9"/>
  <c r="I14" i="9"/>
  <c r="J14" i="9"/>
  <c r="K14" i="9"/>
  <c r="L14" i="9"/>
  <c r="M14" i="9"/>
  <c r="G15" i="9"/>
  <c r="H15" i="9"/>
  <c r="I15" i="9"/>
  <c r="J15" i="9"/>
  <c r="K15" i="9"/>
  <c r="L15" i="9"/>
  <c r="M15" i="9"/>
  <c r="G16" i="9"/>
  <c r="H16" i="9"/>
  <c r="I16" i="9"/>
  <c r="J16" i="9"/>
  <c r="K16" i="9"/>
  <c r="L16" i="9"/>
  <c r="M16" i="9"/>
  <c r="D16" i="9"/>
  <c r="C16" i="9"/>
  <c r="A16" i="9"/>
  <c r="D15" i="9"/>
  <c r="C15" i="9"/>
  <c r="A15" i="9"/>
  <c r="D14" i="9"/>
  <c r="C14" i="9"/>
  <c r="A14" i="9"/>
  <c r="D13" i="9"/>
  <c r="C13" i="9"/>
  <c r="A13" i="9"/>
  <c r="M12" i="9"/>
  <c r="L12" i="9"/>
  <c r="K12" i="9"/>
  <c r="J12" i="9"/>
  <c r="I12" i="9"/>
  <c r="H12" i="9"/>
  <c r="G12" i="9"/>
  <c r="D12" i="9"/>
  <c r="C12" i="9"/>
  <c r="B12" i="9"/>
  <c r="A12" i="9"/>
  <c r="X4" i="5"/>
  <c r="W4" i="5"/>
  <c r="V4" i="5"/>
  <c r="U4" i="5"/>
  <c r="T4" i="5"/>
  <c r="S4" i="5"/>
  <c r="R4" i="5"/>
  <c r="Q4" i="5"/>
  <c r="AA8" i="5" s="1"/>
  <c r="P4" i="5"/>
  <c r="AA7" i="5" s="1"/>
  <c r="E13" i="9" l="1"/>
  <c r="B13" i="9"/>
  <c r="F14" i="9"/>
  <c r="B14" i="9"/>
  <c r="O15" i="9"/>
  <c r="B15" i="9"/>
  <c r="E16" i="9"/>
  <c r="B16" i="9"/>
  <c r="F12" i="9"/>
  <c r="O12" i="9"/>
  <c r="E12" i="9"/>
  <c r="R8" i="5"/>
  <c r="V8" i="5"/>
  <c r="T8" i="5"/>
  <c r="W8" i="5"/>
  <c r="O16" i="9"/>
  <c r="V9" i="5"/>
  <c r="U8" i="5"/>
  <c r="Q5" i="5"/>
  <c r="X8" i="5"/>
  <c r="E15" i="9"/>
  <c r="S8" i="5"/>
  <c r="O14" i="9"/>
  <c r="P6" i="5"/>
  <c r="X5" i="5"/>
  <c r="V5" i="5"/>
  <c r="U5" i="5"/>
  <c r="R5" i="5"/>
  <c r="W5" i="5"/>
  <c r="S9" i="5"/>
  <c r="W6" i="5"/>
  <c r="S5" i="5"/>
  <c r="W9" i="5"/>
  <c r="P5" i="5"/>
  <c r="T5" i="5"/>
  <c r="T9" i="5"/>
  <c r="J12" i="19" l="1"/>
  <c r="J12" i="33"/>
  <c r="I12" i="19"/>
  <c r="I12" i="33"/>
  <c r="I13" i="19"/>
  <c r="I13" i="33"/>
  <c r="T16" i="9"/>
  <c r="P13" i="9"/>
  <c r="I13" i="11"/>
  <c r="R15" i="9"/>
  <c r="T12" i="9"/>
  <c r="W13" i="9"/>
  <c r="U12" i="9"/>
  <c r="Q12" i="9"/>
  <c r="J12" i="11"/>
  <c r="W15" i="9"/>
  <c r="P12" i="9"/>
  <c r="I12" i="11"/>
  <c r="S16" i="9"/>
  <c r="V12" i="9"/>
  <c r="S15" i="9"/>
  <c r="U15" i="9"/>
  <c r="T15" i="9"/>
  <c r="S12" i="9"/>
  <c r="R12" i="9"/>
  <c r="X15" i="9"/>
  <c r="W16" i="9"/>
  <c r="W12" i="9"/>
  <c r="X12" i="9"/>
  <c r="V16" i="9"/>
  <c r="V15" i="9"/>
  <c r="P9" i="5"/>
  <c r="N12" i="9"/>
  <c r="Q6" i="5"/>
  <c r="F13" i="9"/>
  <c r="Q9" i="5"/>
  <c r="F16" i="9"/>
  <c r="N14" i="9"/>
  <c r="E14" i="9"/>
  <c r="S6" i="5"/>
  <c r="O13" i="9"/>
  <c r="Q8" i="5"/>
  <c r="F15" i="9"/>
  <c r="X9" i="5"/>
  <c r="U9" i="5"/>
  <c r="V7" i="5"/>
  <c r="W7" i="5"/>
  <c r="U7" i="5"/>
  <c r="U10" i="5" s="1"/>
  <c r="P8" i="5"/>
  <c r="I15" i="33" s="1"/>
  <c r="N15" i="9"/>
  <c r="N16" i="9"/>
  <c r="X6" i="5"/>
  <c r="T6" i="5"/>
  <c r="V6" i="5"/>
  <c r="U6" i="5"/>
  <c r="R6" i="5"/>
  <c r="R9" i="5"/>
  <c r="X7" i="5"/>
  <c r="N13" i="9"/>
  <c r="S7" i="5"/>
  <c r="T7" i="5"/>
  <c r="P7" i="5"/>
  <c r="R7" i="5"/>
  <c r="Q7" i="5"/>
  <c r="J14" i="33" s="1"/>
  <c r="Y5" i="5"/>
  <c r="S10" i="5" l="1"/>
  <c r="J16" i="19"/>
  <c r="J16" i="33"/>
  <c r="K12" i="19"/>
  <c r="K12" i="33"/>
  <c r="I14" i="19"/>
  <c r="I14" i="33"/>
  <c r="J15" i="19"/>
  <c r="J15" i="33"/>
  <c r="J13" i="19"/>
  <c r="J13" i="33"/>
  <c r="J14" i="11"/>
  <c r="J14" i="19"/>
  <c r="I15" i="11"/>
  <c r="I15" i="19"/>
  <c r="U13" i="9"/>
  <c r="Y12" i="9"/>
  <c r="K12" i="11"/>
  <c r="Q12" i="11" s="1"/>
  <c r="P14" i="9"/>
  <c r="I14" i="11"/>
  <c r="V14" i="9"/>
  <c r="Q15" i="9"/>
  <c r="J15" i="11"/>
  <c r="Q13" i="9"/>
  <c r="J13" i="11"/>
  <c r="T14" i="9"/>
  <c r="R16" i="9"/>
  <c r="T13" i="9"/>
  <c r="U16" i="9"/>
  <c r="S14" i="9"/>
  <c r="R13" i="9"/>
  <c r="X13" i="9"/>
  <c r="U14" i="9"/>
  <c r="X16" i="9"/>
  <c r="S13" i="9"/>
  <c r="Q16" i="9"/>
  <c r="J16" i="11"/>
  <c r="P16" i="9"/>
  <c r="P10" i="5"/>
  <c r="AB7" i="5"/>
  <c r="AC7" i="33" s="1"/>
  <c r="AF7" i="33" s="1"/>
  <c r="Y9" i="5"/>
  <c r="AB8" i="5"/>
  <c r="Q14" i="9"/>
  <c r="R10" i="5"/>
  <c r="R14" i="9"/>
  <c r="X10" i="5"/>
  <c r="X14" i="9"/>
  <c r="V10" i="5"/>
  <c r="V13" i="9"/>
  <c r="Y8" i="5"/>
  <c r="P15" i="9"/>
  <c r="W10" i="5"/>
  <c r="W14" i="9"/>
  <c r="Y6" i="5"/>
  <c r="T10" i="5"/>
  <c r="Y7" i="5"/>
  <c r="Q10" i="5"/>
  <c r="K14" i="19" l="1"/>
  <c r="K14" i="33"/>
  <c r="Q14" i="33" s="1"/>
  <c r="Q12" i="33"/>
  <c r="O12" i="33"/>
  <c r="N14" i="33" s="1"/>
  <c r="O14" i="33" s="1"/>
  <c r="N16" i="33" s="1"/>
  <c r="Q16" i="33" s="1"/>
  <c r="K13" i="19"/>
  <c r="K13" i="33"/>
  <c r="Q13" i="33" s="1"/>
  <c r="K15" i="19"/>
  <c r="K15" i="33"/>
  <c r="N15" i="33" s="1"/>
  <c r="O15" i="33" s="1"/>
  <c r="Y8" i="19"/>
  <c r="AB8" i="19" s="1"/>
  <c r="AC8" i="33"/>
  <c r="Y7" i="19"/>
  <c r="O12" i="11"/>
  <c r="N14" i="11" s="1"/>
  <c r="Y13" i="9"/>
  <c r="K13" i="11"/>
  <c r="Q13" i="11" s="1"/>
  <c r="Y15" i="9"/>
  <c r="K15" i="11"/>
  <c r="O15" i="11" s="1"/>
  <c r="AB8" i="9"/>
  <c r="AE8" i="9" s="1"/>
  <c r="AC8" i="11"/>
  <c r="Y16" i="9"/>
  <c r="AB7" i="9"/>
  <c r="AE7" i="9" s="1"/>
  <c r="AC7" i="11"/>
  <c r="AF7" i="11" s="1"/>
  <c r="Y14" i="9"/>
  <c r="K14" i="11"/>
  <c r="Q14" i="11" s="1"/>
  <c r="Y10" i="5"/>
  <c r="AB9" i="5"/>
  <c r="AE16" i="5" s="1"/>
  <c r="Q42" i="33" l="1"/>
  <c r="AF8" i="33"/>
  <c r="AD7" i="33"/>
  <c r="R15" i="33"/>
  <c r="Q15" i="33"/>
  <c r="AC7" i="9"/>
  <c r="AB7" i="19"/>
  <c r="Z7" i="19"/>
  <c r="R15" i="11"/>
  <c r="Q15" i="11"/>
  <c r="O14" i="11"/>
  <c r="N16" i="11" s="1"/>
  <c r="Q16" i="11" s="1"/>
  <c r="Q42" i="11" s="1"/>
  <c r="AF8" i="11"/>
  <c r="AD7" i="11"/>
  <c r="G11" i="9"/>
  <c r="H11" i="9"/>
  <c r="I11" i="9"/>
  <c r="J11" i="9"/>
  <c r="K11" i="9"/>
  <c r="L11" i="9"/>
  <c r="M11" i="9"/>
  <c r="D11" i="9"/>
  <c r="C11" i="9"/>
  <c r="A11" i="9"/>
  <c r="M10" i="9"/>
  <c r="L10" i="9"/>
  <c r="K10" i="9"/>
  <c r="J10" i="9"/>
  <c r="I10" i="9"/>
  <c r="H10" i="9"/>
  <c r="G10" i="9"/>
  <c r="D10" i="9"/>
  <c r="C10" i="9"/>
  <c r="A10" i="9"/>
  <c r="X4" i="4"/>
  <c r="W4" i="4"/>
  <c r="V4" i="4"/>
  <c r="U4" i="4"/>
  <c r="T4" i="4"/>
  <c r="S4" i="4"/>
  <c r="R4" i="4"/>
  <c r="Q4" i="4"/>
  <c r="AA5" i="4" s="1"/>
  <c r="P4" i="4"/>
  <c r="AA4" i="4" s="1"/>
  <c r="R37" i="33" l="1"/>
  <c r="R35" i="33"/>
  <c r="K17" i="11"/>
  <c r="P48" i="11" s="1"/>
  <c r="E10" i="9"/>
  <c r="B10" i="9"/>
  <c r="O11" i="9"/>
  <c r="B11" i="9"/>
  <c r="F11" i="9"/>
  <c r="R6" i="4"/>
  <c r="X6" i="4"/>
  <c r="U6" i="4"/>
  <c r="R5" i="4"/>
  <c r="W6" i="4"/>
  <c r="T6" i="4"/>
  <c r="S6" i="4"/>
  <c r="S11" i="9" l="1"/>
  <c r="U11" i="9"/>
  <c r="T11" i="9"/>
  <c r="X11" i="9"/>
  <c r="W11" i="9"/>
  <c r="R11" i="9"/>
  <c r="P6" i="4"/>
  <c r="Q6" i="4"/>
  <c r="V6" i="4"/>
  <c r="R7" i="4"/>
  <c r="R10" i="9"/>
  <c r="U5" i="4"/>
  <c r="O10" i="9"/>
  <c r="N10" i="9"/>
  <c r="F10" i="9"/>
  <c r="N11" i="9"/>
  <c r="E11" i="9"/>
  <c r="P5" i="4"/>
  <c r="I10" i="33" s="1"/>
  <c r="T5" i="4"/>
  <c r="W5" i="4"/>
  <c r="X5" i="4"/>
  <c r="V5" i="4"/>
  <c r="Q5" i="4"/>
  <c r="J10" i="33" s="1"/>
  <c r="S5" i="4"/>
  <c r="J11" i="19" l="1"/>
  <c r="J11" i="33"/>
  <c r="J34" i="33"/>
  <c r="I11" i="19"/>
  <c r="I11" i="33"/>
  <c r="O35" i="33" s="1"/>
  <c r="Y6" i="4"/>
  <c r="J10" i="11"/>
  <c r="J10" i="19"/>
  <c r="J36" i="19" s="1"/>
  <c r="J49" i="19" s="1"/>
  <c r="I10" i="11"/>
  <c r="I10" i="19"/>
  <c r="V11" i="9"/>
  <c r="Q11" i="9"/>
  <c r="J11" i="11"/>
  <c r="P11" i="9"/>
  <c r="I11" i="11"/>
  <c r="P10" i="9"/>
  <c r="P7" i="4"/>
  <c r="AC5" i="33" s="1"/>
  <c r="Q10" i="9"/>
  <c r="Q7" i="4"/>
  <c r="AC6" i="33" s="1"/>
  <c r="AB4" i="4"/>
  <c r="S7" i="4"/>
  <c r="S10" i="9"/>
  <c r="V7" i="4"/>
  <c r="V10" i="9"/>
  <c r="X7" i="4"/>
  <c r="X10" i="9"/>
  <c r="W7" i="4"/>
  <c r="W10" i="9"/>
  <c r="T7" i="4"/>
  <c r="T10" i="9"/>
  <c r="U7" i="4"/>
  <c r="U10" i="9"/>
  <c r="AB5" i="4"/>
  <c r="Y5" i="4"/>
  <c r="AF6" i="33" l="1"/>
  <c r="AD5" i="33"/>
  <c r="AD13" i="33" s="1"/>
  <c r="I36" i="19"/>
  <c r="I49" i="19" s="1"/>
  <c r="K11" i="19"/>
  <c r="K11" i="33"/>
  <c r="Q11" i="33" s="1"/>
  <c r="K10" i="19"/>
  <c r="K10" i="33"/>
  <c r="AF5" i="33"/>
  <c r="AC13" i="33"/>
  <c r="J34" i="11"/>
  <c r="I34" i="33"/>
  <c r="K11" i="11"/>
  <c r="Q11" i="11" s="1"/>
  <c r="Y11" i="9"/>
  <c r="O40" i="19"/>
  <c r="AC6" i="11"/>
  <c r="Y6" i="19"/>
  <c r="AB6" i="19" s="1"/>
  <c r="AC5" i="11"/>
  <c r="Y5" i="19"/>
  <c r="I34" i="11"/>
  <c r="O35" i="11"/>
  <c r="AF5" i="11"/>
  <c r="Y7" i="4"/>
  <c r="K10" i="11"/>
  <c r="Q10" i="11" s="1"/>
  <c r="AB6" i="4"/>
  <c r="AF13" i="4" s="1"/>
  <c r="AB6" i="9"/>
  <c r="AB5" i="9"/>
  <c r="AE5" i="9" s="1"/>
  <c r="Y10" i="9"/>
  <c r="G6" i="9"/>
  <c r="H6" i="9"/>
  <c r="I6" i="9"/>
  <c r="J6" i="9"/>
  <c r="K6" i="9"/>
  <c r="L6" i="9"/>
  <c r="M6" i="9"/>
  <c r="G7" i="9"/>
  <c r="H7" i="9"/>
  <c r="I7" i="9"/>
  <c r="J7" i="9"/>
  <c r="K7" i="9"/>
  <c r="L7" i="9"/>
  <c r="M7" i="9"/>
  <c r="G8" i="9"/>
  <c r="H8" i="9"/>
  <c r="I8" i="9"/>
  <c r="J8" i="9"/>
  <c r="K8" i="9"/>
  <c r="L8" i="9"/>
  <c r="M8" i="9"/>
  <c r="G9" i="9"/>
  <c r="H9" i="9"/>
  <c r="I9" i="9"/>
  <c r="J9" i="9"/>
  <c r="K9" i="9"/>
  <c r="L9" i="9"/>
  <c r="M9" i="9"/>
  <c r="D9" i="9"/>
  <c r="C9" i="9"/>
  <c r="A9" i="9"/>
  <c r="D8" i="9"/>
  <c r="C8" i="9"/>
  <c r="A8" i="9"/>
  <c r="D7" i="9"/>
  <c r="C7" i="9"/>
  <c r="A7" i="9"/>
  <c r="D6" i="9"/>
  <c r="C6" i="9"/>
  <c r="A6" i="9"/>
  <c r="M5" i="9"/>
  <c r="L5" i="9"/>
  <c r="K5" i="9"/>
  <c r="J5" i="9"/>
  <c r="I5" i="9"/>
  <c r="H5" i="9"/>
  <c r="G5" i="9"/>
  <c r="D5" i="9"/>
  <c r="C5" i="9"/>
  <c r="X4" i="3"/>
  <c r="W4" i="3"/>
  <c r="V4" i="3"/>
  <c r="U4" i="3"/>
  <c r="T4" i="3"/>
  <c r="S4" i="3"/>
  <c r="R4" i="3"/>
  <c r="Q4" i="3"/>
  <c r="AA4" i="3" s="1"/>
  <c r="P4" i="3"/>
  <c r="AA3" i="3" s="1"/>
  <c r="Q10" i="33" l="1"/>
  <c r="R38" i="33" s="1"/>
  <c r="S38" i="33" s="1"/>
  <c r="O10" i="33"/>
  <c r="N19" i="33" s="1"/>
  <c r="AC13" i="11"/>
  <c r="AD5" i="11"/>
  <c r="AD13" i="11" s="1"/>
  <c r="AF6" i="11"/>
  <c r="AB5" i="19"/>
  <c r="Z5" i="19"/>
  <c r="Z13" i="19" s="1"/>
  <c r="Y13" i="19"/>
  <c r="AC5" i="9"/>
  <c r="AE6" i="9"/>
  <c r="E5" i="9"/>
  <c r="B5" i="9"/>
  <c r="E6" i="9"/>
  <c r="B6" i="9"/>
  <c r="F7" i="9"/>
  <c r="B7" i="9"/>
  <c r="E8" i="9"/>
  <c r="B8" i="9"/>
  <c r="E9" i="9"/>
  <c r="B9" i="9"/>
  <c r="E7" i="9"/>
  <c r="O8" i="9"/>
  <c r="W8" i="3"/>
  <c r="U8" i="3"/>
  <c r="X8" i="3"/>
  <c r="X5" i="3"/>
  <c r="F6" i="9"/>
  <c r="N7" i="9"/>
  <c r="O7" i="9"/>
  <c r="P7" i="9"/>
  <c r="T5" i="3"/>
  <c r="U5" i="3"/>
  <c r="R5" i="3"/>
  <c r="V5" i="3"/>
  <c r="O19" i="33" l="1"/>
  <c r="N43" i="33"/>
  <c r="V5" i="9"/>
  <c r="X5" i="9"/>
  <c r="X8" i="9"/>
  <c r="U5" i="9"/>
  <c r="U8" i="9"/>
  <c r="T5" i="9"/>
  <c r="W8" i="9"/>
  <c r="R5" i="9"/>
  <c r="S5" i="3"/>
  <c r="S8" i="3"/>
  <c r="N9" i="9"/>
  <c r="F9" i="9"/>
  <c r="U9" i="3"/>
  <c r="O9" i="9"/>
  <c r="W5" i="3"/>
  <c r="O5" i="9"/>
  <c r="S6" i="3"/>
  <c r="O6" i="9"/>
  <c r="Q8" i="9"/>
  <c r="F8" i="9"/>
  <c r="N5" i="9"/>
  <c r="F5" i="9"/>
  <c r="T8" i="3"/>
  <c r="V8" i="3"/>
  <c r="P8" i="9"/>
  <c r="R8" i="3"/>
  <c r="W6" i="3"/>
  <c r="X9" i="3"/>
  <c r="W9" i="3"/>
  <c r="P5" i="9"/>
  <c r="N8" i="9"/>
  <c r="U6" i="3"/>
  <c r="T6" i="3"/>
  <c r="V6" i="3"/>
  <c r="X6" i="3"/>
  <c r="R6" i="3"/>
  <c r="Q9" i="9"/>
  <c r="R7" i="3"/>
  <c r="S7" i="3"/>
  <c r="U7" i="3"/>
  <c r="W7" i="3"/>
  <c r="V7" i="3"/>
  <c r="Q6" i="9"/>
  <c r="X7" i="3"/>
  <c r="N6" i="9"/>
  <c r="V9" i="3"/>
  <c r="T9" i="3"/>
  <c r="S9" i="3"/>
  <c r="P9" i="9"/>
  <c r="T7" i="3"/>
  <c r="R9" i="3"/>
  <c r="Q7" i="9"/>
  <c r="Q5" i="9"/>
  <c r="P6" i="9"/>
  <c r="X7" i="9" l="1"/>
  <c r="V8" i="9"/>
  <c r="T9" i="9"/>
  <c r="W6" i="9"/>
  <c r="T8" i="9"/>
  <c r="W5" i="9"/>
  <c r="S9" i="9"/>
  <c r="X9" i="9"/>
  <c r="V9" i="9"/>
  <c r="V7" i="9"/>
  <c r="V6" i="9"/>
  <c r="S8" i="9"/>
  <c r="U7" i="9"/>
  <c r="T7" i="9"/>
  <c r="W7" i="9"/>
  <c r="T6" i="9"/>
  <c r="W9" i="9"/>
  <c r="S6" i="9"/>
  <c r="U9" i="9"/>
  <c r="S5" i="9"/>
  <c r="R9" i="9"/>
  <c r="Y9" i="3"/>
  <c r="R7" i="9"/>
  <c r="Y7" i="3"/>
  <c r="R8" i="9"/>
  <c r="Y8" i="3"/>
  <c r="K8" i="33" s="1"/>
  <c r="R6" i="9"/>
  <c r="Y6" i="3"/>
  <c r="Y5" i="3"/>
  <c r="W10" i="3"/>
  <c r="Q32" i="9"/>
  <c r="P32" i="9"/>
  <c r="AB4" i="9"/>
  <c r="AE4" i="9" s="1"/>
  <c r="S10" i="3"/>
  <c r="S7" i="9"/>
  <c r="X10" i="3"/>
  <c r="X6" i="9"/>
  <c r="U6" i="9"/>
  <c r="U10" i="3"/>
  <c r="AB3" i="9"/>
  <c r="T10" i="3"/>
  <c r="R10" i="3"/>
  <c r="V10" i="3"/>
  <c r="K9" i="33" l="1"/>
  <c r="O9" i="33" s="1"/>
  <c r="N20" i="33" s="1"/>
  <c r="O20" i="33" s="1"/>
  <c r="N26" i="33" s="1"/>
  <c r="O26" i="33" s="1"/>
  <c r="AC4" i="3"/>
  <c r="Y9" i="9"/>
  <c r="V32" i="9"/>
  <c r="Y8" i="9"/>
  <c r="T32" i="9"/>
  <c r="K6" i="19"/>
  <c r="K6" i="33"/>
  <c r="K7" i="19"/>
  <c r="K7" i="33"/>
  <c r="Q7" i="33" s="1"/>
  <c r="Q8" i="33"/>
  <c r="O8" i="33"/>
  <c r="N30" i="33" s="1"/>
  <c r="O30" i="33" s="1"/>
  <c r="Y5" i="9"/>
  <c r="K5" i="33"/>
  <c r="R32" i="9"/>
  <c r="X32" i="9"/>
  <c r="S32" i="9"/>
  <c r="K5" i="11"/>
  <c r="Q5" i="11" s="1"/>
  <c r="K5" i="19"/>
  <c r="K8" i="11"/>
  <c r="K8" i="19"/>
  <c r="K9" i="11"/>
  <c r="O9" i="11" s="1"/>
  <c r="N20" i="11" s="1"/>
  <c r="O20" i="11" s="1"/>
  <c r="N26" i="11" s="1"/>
  <c r="O26" i="11" s="1"/>
  <c r="N29" i="11" s="1"/>
  <c r="Q29" i="11" s="1"/>
  <c r="K9" i="19"/>
  <c r="W32" i="9"/>
  <c r="Y6" i="9"/>
  <c r="K6" i="11"/>
  <c r="Q6" i="11" s="1"/>
  <c r="Y7" i="9"/>
  <c r="K7" i="11"/>
  <c r="Q7" i="11" s="1"/>
  <c r="U32" i="9"/>
  <c r="Y10" i="3"/>
  <c r="AC5" i="3" s="1"/>
  <c r="AB13" i="9"/>
  <c r="AC3" i="9"/>
  <c r="AC13" i="9" s="1"/>
  <c r="AE3" i="9"/>
  <c r="I27" i="1"/>
  <c r="I26" i="1"/>
  <c r="I21" i="1"/>
  <c r="I18" i="1"/>
  <c r="I17" i="1"/>
  <c r="J38" i="1"/>
  <c r="J40" i="1" s="1"/>
  <c r="K34" i="33" l="1"/>
  <c r="Q5" i="33"/>
  <c r="Q6" i="33"/>
  <c r="O6" i="33"/>
  <c r="N11" i="33" s="1"/>
  <c r="O11" i="33" s="1"/>
  <c r="N13" i="33" s="1"/>
  <c r="O13" i="33" s="1"/>
  <c r="Y32" i="9"/>
  <c r="P38" i="9" s="1"/>
  <c r="K36" i="19"/>
  <c r="O29" i="11"/>
  <c r="R29" i="11" s="1"/>
  <c r="R38" i="11" s="1"/>
  <c r="O8" i="11"/>
  <c r="N30" i="11" s="1"/>
  <c r="O30" i="11" s="1"/>
  <c r="N18" i="11" s="1"/>
  <c r="Q8" i="11"/>
  <c r="N37" i="19"/>
  <c r="O6" i="11"/>
  <c r="N11" i="11" s="1"/>
  <c r="O11" i="11" s="1"/>
  <c r="N13" i="11" s="1"/>
  <c r="K34" i="11"/>
  <c r="K46" i="19" l="1"/>
  <c r="H11" i="36"/>
  <c r="M36" i="19"/>
  <c r="AD13" i="9"/>
  <c r="AE13" i="9" s="1"/>
  <c r="P34" i="9"/>
  <c r="Q34" i="9" s="1"/>
  <c r="Q37" i="33"/>
  <c r="S37" i="33" s="1"/>
  <c r="T37" i="33" s="1"/>
  <c r="Q35" i="33"/>
  <c r="S35" i="33" s="1"/>
  <c r="I40" i="33"/>
  <c r="AE13" i="33"/>
  <c r="AF13" i="33" s="1"/>
  <c r="I36" i="33"/>
  <c r="J36" i="33" s="1"/>
  <c r="N31" i="33"/>
  <c r="O31" i="33" s="1"/>
  <c r="N32" i="33" s="1"/>
  <c r="O32" i="33" s="1"/>
  <c r="O37" i="33"/>
  <c r="P35" i="33" s="1"/>
  <c r="O36" i="33"/>
  <c r="O39" i="19"/>
  <c r="P39" i="19" s="1"/>
  <c r="O37" i="19"/>
  <c r="I42" i="19"/>
  <c r="AA13" i="19"/>
  <c r="AB13" i="19" s="1"/>
  <c r="I38" i="19"/>
  <c r="J38" i="19" s="1"/>
  <c r="Q18" i="11"/>
  <c r="O18" i="11"/>
  <c r="R18" i="11" s="1"/>
  <c r="I36" i="11"/>
  <c r="J36" i="11" s="1"/>
  <c r="AE13" i="11"/>
  <c r="AF13" i="11" s="1"/>
  <c r="I40" i="11"/>
  <c r="O10" i="11" l="1"/>
  <c r="N19" i="11" s="1"/>
  <c r="L41" i="8"/>
  <c r="E10" i="12" s="1"/>
  <c r="K6" i="8"/>
  <c r="E2" i="12"/>
  <c r="L43" i="8" l="1"/>
  <c r="E9" i="12"/>
  <c r="F9" i="12" s="1"/>
  <c r="N5" i="33"/>
  <c r="O5" i="33" s="1"/>
  <c r="N7" i="33" s="1"/>
  <c r="O7" i="33" s="1"/>
  <c r="O19" i="11"/>
  <c r="N21" i="11" s="1"/>
  <c r="O21" i="11" s="1"/>
  <c r="N5" i="11"/>
  <c r="O5" i="11" s="1"/>
  <c r="N7" i="11" s="1"/>
  <c r="O7" i="11" s="1"/>
  <c r="Q21" i="11" l="1"/>
  <c r="N43" i="11"/>
  <c r="R21" i="11"/>
  <c r="O27" i="11"/>
  <c r="N28" i="11"/>
  <c r="Q22" i="11" l="1"/>
  <c r="O22" i="11"/>
  <c r="R22" i="11" s="1"/>
  <c r="R27" i="11"/>
  <c r="Q27" i="11"/>
  <c r="O28" i="11"/>
  <c r="R28" i="11" s="1"/>
  <c r="Q28" i="11"/>
  <c r="Q38" i="11" s="1"/>
  <c r="S38" i="11" s="1"/>
  <c r="O13" i="11"/>
  <c r="N31" i="11" s="1"/>
  <c r="O31" i="11" s="1"/>
  <c r="N32" i="11" s="1"/>
  <c r="O32" i="11" s="1"/>
  <c r="N17" i="11" s="1"/>
  <c r="Q17" i="11" s="1"/>
  <c r="Q37" i="11"/>
  <c r="R37" i="11" l="1"/>
  <c r="S37" i="11" s="1"/>
  <c r="T37" i="11" s="1"/>
  <c r="O37" i="11"/>
  <c r="P35" i="11" s="1"/>
  <c r="O36" i="11"/>
  <c r="O39" i="11"/>
  <c r="Q35" i="11"/>
  <c r="O17" i="11"/>
  <c r="R17" i="11" s="1"/>
  <c r="R35" i="11" l="1"/>
  <c r="S35" i="11" s="1"/>
  <c r="S17" i="11"/>
</calcChain>
</file>

<file path=xl/sharedStrings.xml><?xml version="1.0" encoding="utf-8"?>
<sst xmlns="http://schemas.openxmlformats.org/spreadsheetml/2006/main" count="1570" uniqueCount="190">
  <si>
    <t>RESOLUCION 00001 DE ENERO 2 DE 2025</t>
  </si>
  <si>
    <t>PROG</t>
  </si>
  <si>
    <t>SUBP</t>
  </si>
  <si>
    <t>PROY</t>
  </si>
  <si>
    <t>SPRY</t>
  </si>
  <si>
    <t>PROD</t>
  </si>
  <si>
    <t>OBJ</t>
  </si>
  <si>
    <t>REC</t>
  </si>
  <si>
    <t>CONCEPTO</t>
  </si>
  <si>
    <t xml:space="preserve"> VALOR </t>
  </si>
  <si>
    <t>LOTE 1</t>
  </si>
  <si>
    <t>LOTE2</t>
  </si>
  <si>
    <t>LOTE3</t>
  </si>
  <si>
    <t>LOTE4</t>
  </si>
  <si>
    <t>LOTE5</t>
  </si>
  <si>
    <t>INVERSIÓN</t>
  </si>
  <si>
    <t>asignación</t>
  </si>
  <si>
    <t>BOGOTA</t>
  </si>
  <si>
    <t>ORIENTE</t>
  </si>
  <si>
    <t xml:space="preserve">ORIENTE </t>
  </si>
  <si>
    <t xml:space="preserve">BOGOTA </t>
  </si>
  <si>
    <t>0800</t>
  </si>
  <si>
    <t>FORTALECIMIENTO DE LA CAPACIDAD Y CALIDAD CIENTÍFICA DE LOS ENSAYOS REALIZADOS EN LOS LABORATORIOS FORENSES  NACIONAL</t>
  </si>
  <si>
    <t>20111D</t>
  </si>
  <si>
    <t>SERVICIOS DE LABORATORIO FORENSE</t>
  </si>
  <si>
    <t>02</t>
  </si>
  <si>
    <t>ADQUISICIÓN DE BIENES Y SERVICIOS</t>
  </si>
  <si>
    <t xml:space="preserve">disponer de insumos, reactivos y equipos según necesidades de los laboratorios forenses </t>
  </si>
  <si>
    <t>MEJORAMIENTO DE LOS PROCEDIMIENTOS Y DE LA CAPACIDAD DE RESPUESTA EN LOS SERVICIOS DE PATOLOGÍA FORENSE A NIVEL  NACIONAL</t>
  </si>
  <si>
    <t>SERVICIO DE INVESTIGACION PENAL, CRIMINALISTICA Y MEDICINA LEGAL</t>
  </si>
  <si>
    <t xml:space="preserve">disponer de equipos, insumos y reactivos a los laboratorios en casos de accidentes de transito </t>
  </si>
  <si>
    <t xml:space="preserve">disponer con bienes y servicios según los requisitos de la NTC ISO/IEC 17025 en casos de accidentes de transito </t>
  </si>
  <si>
    <t>SALAS DE NECROPSIAS DOTADAS</t>
  </si>
  <si>
    <t xml:space="preserve">disponer de equipos, instrumental, insumos y aplicativos en casos de rutina, de muertes colectivas y desastres a nivel nacional </t>
  </si>
  <si>
    <t>FORTALECIMIENTO DEL INSTITUTO NACIONAL DE MEDICINA LEGAL Y CIENCIAS FORENSES EN ATENCIÓN A LOS RETOS DEL POSCONFLICTO A NIVEL  NACIONAL</t>
  </si>
  <si>
    <t>20113A</t>
  </si>
  <si>
    <t xml:space="preserve">contar con enseres, equipos de oficina y equipos para la dotación de los laboratorios forense de antropología </t>
  </si>
  <si>
    <t>SERVICIOS DE GENETICA FORENSE</t>
  </si>
  <si>
    <t xml:space="preserve">Disponer de reactivos, insumos, equipos y herramientas informaticas para los laboratorios de genética </t>
  </si>
  <si>
    <t xml:space="preserve"> </t>
  </si>
  <si>
    <t>VALOR UNITARIO PROMEDIO  (INCLUÍDO IVA) en caso de que aplique o impuestos a que haya lugar</t>
  </si>
  <si>
    <t xml:space="preserve">TOTAL REGIONALIZADO </t>
  </si>
  <si>
    <t xml:space="preserve">REGIONALIZADO </t>
  </si>
  <si>
    <t xml:space="preserve">VALIDACIÓN </t>
  </si>
  <si>
    <t>VER/</t>
  </si>
  <si>
    <t>LOTE</t>
  </si>
  <si>
    <t># ITEM</t>
  </si>
  <si>
    <t>DESCRIPCIÓN</t>
  </si>
  <si>
    <t>PRESENTACIÓN</t>
  </si>
  <si>
    <t>CANTIDAD REGIONALIZADA</t>
  </si>
  <si>
    <t>CANTIDAD TOTAL / ESTIMADA</t>
  </si>
  <si>
    <t xml:space="preserve"> VALOR TOTAL REGIONALIZADO</t>
  </si>
  <si>
    <t xml:space="preserve">VALOR TOTAL </t>
  </si>
  <si>
    <t xml:space="preserve">REGIONAL </t>
  </si>
  <si>
    <t>VALOR TOTAL</t>
  </si>
  <si>
    <t>TOTAL POR LOTE</t>
  </si>
  <si>
    <t xml:space="preserve">VALIDACION </t>
  </si>
  <si>
    <t>BOGOTÁ</t>
  </si>
  <si>
    <t xml:space="preserve">CENTRAL </t>
  </si>
  <si>
    <t xml:space="preserve">SUR </t>
  </si>
  <si>
    <t xml:space="preserve">NORTE </t>
  </si>
  <si>
    <t xml:space="preserve">OCCIDENTE </t>
  </si>
  <si>
    <t xml:space="preserve">NOROCCIDENTE </t>
  </si>
  <si>
    <t xml:space="preserve">SUROCCIDENTE </t>
  </si>
  <si>
    <t xml:space="preserve">NORORIENTE </t>
  </si>
  <si>
    <t>LOTE 2</t>
  </si>
  <si>
    <t>LOTE 3</t>
  </si>
  <si>
    <t xml:space="preserve">LOTE 3 </t>
  </si>
  <si>
    <t>LOTE 4</t>
  </si>
  <si>
    <t xml:space="preserve">LOTE 4 </t>
  </si>
  <si>
    <t>LOTE 5</t>
  </si>
  <si>
    <t xml:space="preserve">TOTAL </t>
  </si>
  <si>
    <t xml:space="preserve">PATOLOGIA </t>
  </si>
  <si>
    <t xml:space="preserve">LABORATORIOS </t>
  </si>
  <si>
    <t>GENÉTICA</t>
  </si>
  <si>
    <t>TOTAL REGIONALIZADO</t>
  </si>
  <si>
    <t xml:space="preserve">porcentaje presupuesto total por regional </t>
  </si>
  <si>
    <t xml:space="preserve">valor presupuesto asignado total </t>
  </si>
  <si>
    <t xml:space="preserve">recursos faltantes </t>
  </si>
  <si>
    <t>Columna1</t>
  </si>
  <si>
    <t xml:space="preserve">CABINAS EXTRACTORAS PARA LABORATORIO DE ESTUPEFACIENTES DE LA REGIONAL BOGOTA (2) CABINA Y (1) CABINA PARA - PATOLOGIA - LABORATORIO DE HISTOTECNOLOGÍA </t>
  </si>
  <si>
    <t>UNIDAD</t>
  </si>
  <si>
    <t>CABINA EXTRACTORA PARA EL GRUPO DE PATOLOGIA FORENSE  DE LA REGIONAL BOGOTA</t>
  </si>
  <si>
    <t>CABINAS EXTRACTORAS PARA EL LABORATORIO DE EVIDENCIA TRAZA  DE LA REGIONAL BOGOTA</t>
  </si>
  <si>
    <t>CABINA EXTRACTORA PARA EL LABORATORIO DE GENÉTICA DE LA REGIONAL BOGOTA</t>
  </si>
  <si>
    <t>CABINA DE SEGURIDAD BIOLÓGICA CLASE II TIPO II PARA EL LABORATORIO DE GENÉTICA VILLAVICENCIO</t>
  </si>
  <si>
    <t xml:space="preserve">info presupuestal </t>
  </si>
  <si>
    <t xml:space="preserve">Suma de valor REG bta </t>
  </si>
  <si>
    <t xml:space="preserve">Suma de valor REG oriente </t>
  </si>
  <si>
    <t xml:space="preserve">total </t>
  </si>
  <si>
    <t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t>
  </si>
  <si>
    <t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t>
  </si>
  <si>
    <t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t>
  </si>
  <si>
    <t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t>
  </si>
  <si>
    <t>Etiquetas de fila</t>
  </si>
  <si>
    <t>Total general</t>
  </si>
  <si>
    <t>MICROSCOPIO ÓPTICO TRINOCULAR</t>
  </si>
  <si>
    <t xml:space="preserve">Estereomicroscopio  con camara </t>
  </si>
  <si>
    <t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t>
  </si>
  <si>
    <t>TOTAL</t>
  </si>
  <si>
    <t>grupo</t>
  </si>
  <si>
    <t xml:space="preserve">codigo rubro </t>
  </si>
  <si>
    <t xml:space="preserve">valor </t>
  </si>
  <si>
    <t>pendiente</t>
  </si>
  <si>
    <t xml:space="preserve">valor unitario  </t>
  </si>
  <si>
    <t xml:space="preserve">valor REG bta </t>
  </si>
  <si>
    <t xml:space="preserve">valor REG oriente </t>
  </si>
  <si>
    <t xml:space="preserve">grupo </t>
  </si>
  <si>
    <t xml:space="preserve">valor rubro </t>
  </si>
  <si>
    <t xml:space="preserve">valor restante </t>
  </si>
  <si>
    <t xml:space="preserve">positivos </t>
  </si>
  <si>
    <t xml:space="preserve">negativos </t>
  </si>
  <si>
    <t>LABORATORIO</t>
  </si>
  <si>
    <t>A-2901-0800-9-20111D-2901002-02</t>
  </si>
  <si>
    <t>PATOLOGIA</t>
  </si>
  <si>
    <t>A-2901-0800-16-20113A-2901002-02</t>
  </si>
  <si>
    <t>A- 2901-0800-14-20111D-2901006-02</t>
  </si>
  <si>
    <t>A-2901-0800-16-20113A-2901007-02</t>
  </si>
  <si>
    <t>B-2901-0800-16-20113A-2901002-02</t>
  </si>
  <si>
    <t>C-2901-0800-14-20111D-2901006-02</t>
  </si>
  <si>
    <t>B-2901-0800-14-20111D-2901006-02</t>
  </si>
  <si>
    <t xml:space="preserve">Procesador de Tejidos </t>
  </si>
  <si>
    <t>uni</t>
  </si>
  <si>
    <t>genetica</t>
  </si>
  <si>
    <t xml:space="preserve">Baño De Flotación  </t>
  </si>
  <si>
    <t xml:space="preserve">Central De Inclusión </t>
  </si>
  <si>
    <t>Criostato</t>
  </si>
  <si>
    <t xml:space="preserve">Micrótomo Motorizado </t>
  </si>
  <si>
    <t xml:space="preserve">Procesador de Tejidos automatico cerrado </t>
  </si>
  <si>
    <t xml:space="preserve">código Rubro = B-2901-0800-14-20111D-2901006-02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</t>
  </si>
  <si>
    <t xml:space="preserve">código Rubro = C-2901-0800-14-20111D-2901010-02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t>
  </si>
  <si>
    <t>Baño ultrasónico para uso en laboratorio</t>
  </si>
  <si>
    <t>Agitador tipo vórtex para tubos</t>
  </si>
  <si>
    <t>Homogenizador de tejidos, vertical con vástago:</t>
  </si>
  <si>
    <t xml:space="preserve">Vórtex multiprobeta / multitubo: </t>
  </si>
  <si>
    <t>Esterilizador o autocleve horizontal y/o sobremesa:</t>
  </si>
  <si>
    <t>Evaporador concentrador de muestras con centrifuga (rapidvap)</t>
  </si>
  <si>
    <t>Evaporador concentrador de muestras (rapidvap)</t>
  </si>
  <si>
    <t>Sistema dilutor dispensador de Líquidos</t>
  </si>
  <si>
    <t>Sistema de esterilización con luz UV-C (254nm) (Crosslinker)</t>
  </si>
  <si>
    <t>Centrifuga de mesa de altas revoluciones con refrigeración:</t>
  </si>
  <si>
    <t>Centrifuga de mesa no refrigerada</t>
  </si>
  <si>
    <t>Centrífuga de Piso refrigerada.</t>
  </si>
  <si>
    <t>Microcentrífuga de alta velocidad tipo MiniSpli</t>
  </si>
  <si>
    <t xml:space="preserve">scaner  3D  portatil e inalambrico  CR de  alta precisión  </t>
  </si>
  <si>
    <t>impresora  3D</t>
  </si>
  <si>
    <t>2901-0800-9-20111D-2901002-02</t>
  </si>
  <si>
    <t>2901-0800-14-20111D-2901006-02</t>
  </si>
  <si>
    <t>2901-0800-14-20111D-2901010-02</t>
  </si>
  <si>
    <t>461 oficio</t>
  </si>
  <si>
    <t>C-2901-0800-14-20111D-2901010-02</t>
  </si>
  <si>
    <t>2901-0800-16-20113A-2901002-02</t>
  </si>
  <si>
    <t>2901-0800-16-20113A-2901007-02</t>
  </si>
  <si>
    <t>lote 7</t>
  </si>
  <si>
    <t xml:space="preserve">Suma de valor restante </t>
  </si>
  <si>
    <t>Suma de LOTE</t>
  </si>
  <si>
    <t xml:space="preserve">código Rubro = C-2901-0800-14-20111D-2901006-02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t>
  </si>
  <si>
    <t>cod</t>
  </si>
  <si>
    <t>r1</t>
  </si>
  <si>
    <t>ru</t>
  </si>
  <si>
    <t xml:space="preserve">VALOR </t>
  </si>
  <si>
    <t xml:space="preserve">LABOTATORIOS </t>
  </si>
  <si>
    <t>GENETICA</t>
  </si>
  <si>
    <t xml:space="preserve">Suma de VALOR TOTAL </t>
  </si>
  <si>
    <t>código Rubro = A- 2901-0800-14-20111D-2901006-02 Nombre del proyecto = MEJORAMIENTO DE LOS PROCEDIMIENTOS Y DE LA CAPACIDAD DE RESPUESTA EN LOS SERVICIOS DE PATOLOGÍA FORENSE A NIVEL  NACIONAL Nombre del Poducto =  SERVICIO DE INVESTIGACION PENAL, CRIMIN</t>
  </si>
  <si>
    <t>código Rubro = A-2901-0800-16-20113A-2901002-02 Nombre del proyecto = FORTALECIMIENTO DEL INSTITUTO NACIONAL DE MEDICINA LEGAL Y CIENCIAS FORENSES EN ATENCIÓN A LOS RETOS DEL POSCONFLICTO A NIVEL  NACIONAL Nombre del Poducto =  SERVICIOS DE LABORATORIO F</t>
  </si>
  <si>
    <t>código Rubro = A-2901-0800-16-20113A-2901007-02 Nombre del proyecto = FORTALECIMIENTO DEL INSTITUTO NACIONAL DE MEDICINA LEGAL Y CIENCIAS FORENSES EN ATENCIÓN A LOS RETOS DEL POSCONFLICTO A NIVEL  NACIONAL Nombre del Poducto =  SERVICIOS DE GENETICA FORE</t>
  </si>
  <si>
    <t>código Rubro = B-2901-0800-16-20113A-2901002-02 Nombre del proyecto = FORTALECIMIENTO DEL INSTITUTO NACIONAL DE MEDICINA LEGAL Y CIENCIAS FORENSES EN ATENCIÓN A LOS RETOS DEL POSCONFLICTO A NIVEL  NACIONAL Nombre del Poducto =  SERVICIOS DE LABORATORIO F</t>
  </si>
  <si>
    <t xml:space="preserve">código Rubro = C-2901-0800-14-20111D-2901006-02 Nombre del proyecto = MEJORAMIENTO DE LOS PROCEDIMIENTOS Y DE LA CAPACIDAD DE RESPUESTA EN LOS SERVICIOS DE PATOLOGÍA FORENSE A NIVEL  NACIONAL Nombre del Poducto =  SALAS DE NECROPSIAS DOTADAS  Nombre del </t>
  </si>
  <si>
    <t>código Rubro = B-2901-0800-14-20111D-2901006-02 Nombre del proyecto = MEJORAMIENTO DE LOS PROCEDIMIENTOS Y DE LA CAPACIDAD DE RESPUESTA EN LOS SERVICIOS DE PATOLOGÍA FORENSE A NIVEL  NACIONAL Nombre del Poducto =  SERVICIO DE INVESTIGACION PENAL, CRIMINA</t>
  </si>
  <si>
    <t>Total 1</t>
  </si>
  <si>
    <t>Total 2</t>
  </si>
  <si>
    <t>Total 3</t>
  </si>
  <si>
    <t>Total 4</t>
  </si>
  <si>
    <t>Total 5</t>
  </si>
  <si>
    <t>Total 6</t>
  </si>
  <si>
    <t>Total A- 2901-0800-14-20111D-2901006-02</t>
  </si>
  <si>
    <t>Total A-2901-0800-16-20113A-2901002-02</t>
  </si>
  <si>
    <t>Total A-2901-0800-16-20113A-2901007-02</t>
  </si>
  <si>
    <t>Total A-2901-0800-9-20111D-2901002-02</t>
  </si>
  <si>
    <t>Total B-2901-0800-16-20113A-2901002-02</t>
  </si>
  <si>
    <t>Total B-2901-0800-14-20111D-2901006-02</t>
  </si>
  <si>
    <t>Total C-2901-0800-14-20111D-2901006-02</t>
  </si>
  <si>
    <t>Semi-microbalanza</t>
  </si>
  <si>
    <t xml:space="preserve">balanza analítica </t>
  </si>
  <si>
    <t>cod y rubro</t>
  </si>
  <si>
    <t>LABOTATORIOS</t>
  </si>
  <si>
    <t>ok</t>
  </si>
  <si>
    <t>no</t>
  </si>
  <si>
    <t>total rubro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</si>
</sst>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</font>
    <font>
      <sz val="6"/>
      <name val="Calibri"/>
      <family val="2"/>
    </font>
    <font>
      <sz val="6"/>
      <color theme="1"/>
      <name val="Calibri"/>
      <family val="2"/>
      <scheme val="minor"/>
    </font>
    <font>
      <b/>
      <sz val="6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Verdana"/>
      <family val="2"/>
    </font>
    <font>
      <sz val="8"/>
      <color theme="5" tint="0.79998168889431442"/>
      <name val="Verdana"/>
      <family val="2"/>
    </font>
    <font>
      <sz val="11"/>
      <color theme="5" tint="0.79998168889431442"/>
      <name val="Calibri"/>
      <family val="2"/>
      <scheme val="minor"/>
    </font>
    <font>
      <sz val="8"/>
      <color theme="5" tint="0.39997558519241921"/>
      <name val="Verdan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D9E2F3"/>
        <bgColor rgb="FFD9E2F3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rgb="FF000000"/>
      </bottom>
      <diagonal/>
    </border>
    <border>
      <left/>
      <right/>
      <top style="thin">
        <color theme="0"/>
      </top>
      <bottom style="thin">
        <color rgb="FF000000"/>
      </bottom>
      <diagonal/>
    </border>
    <border>
      <left/>
      <right style="thin">
        <color rgb="FF000000"/>
      </right>
      <top style="thin">
        <color theme="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000000"/>
      </left>
      <right style="thin">
        <color theme="0"/>
      </right>
      <top/>
      <bottom/>
      <diagonal/>
    </border>
    <border>
      <left style="thin">
        <color rgb="FF00000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rgb="FF000000"/>
      </top>
      <bottom style="thin">
        <color theme="0"/>
      </bottom>
      <diagonal/>
    </border>
    <border>
      <left/>
      <right/>
      <top style="thin">
        <color rgb="FF000000"/>
      </top>
      <bottom style="thin">
        <color theme="0"/>
      </bottom>
      <diagonal/>
    </border>
    <border>
      <left/>
      <right style="thin">
        <color theme="0"/>
      </right>
      <top style="thin">
        <color rgb="FF000000"/>
      </top>
      <bottom style="thin">
        <color theme="0"/>
      </bottom>
      <diagonal/>
    </border>
    <border>
      <left/>
      <right style="thin">
        <color rgb="FF000000"/>
      </right>
      <top style="thin">
        <color rgb="FF000000"/>
      </top>
      <bottom style="thin">
        <color theme="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0" fontId="8" fillId="0" borderId="0"/>
    <xf numFmtId="0" fontId="20" fillId="0" borderId="0"/>
    <xf numFmtId="0" fontId="2" fillId="0" borderId="0"/>
  </cellStyleXfs>
  <cellXfs count="517">
    <xf numFmtId="0" fontId="0" fillId="0" borderId="0" xfId="0"/>
    <xf numFmtId="0" fontId="4" fillId="2" borderId="4" xfId="0" applyFont="1" applyFill="1" applyBorder="1" applyAlignment="1">
      <alignment horizontal="right" vertical="center" wrapText="1"/>
    </xf>
    <xf numFmtId="49" fontId="4" fillId="2" borderId="5" xfId="0" applyNumberFormat="1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vertical="center" wrapText="1"/>
    </xf>
    <xf numFmtId="3" fontId="4" fillId="2" borderId="6" xfId="0" applyNumberFormat="1" applyFont="1" applyFill="1" applyBorder="1" applyAlignment="1">
      <alignment horizontal="right" vertical="center" wrapText="1"/>
    </xf>
    <xf numFmtId="49" fontId="0" fillId="0" borderId="0" xfId="0" applyNumberFormat="1"/>
    <xf numFmtId="3" fontId="0" fillId="0" borderId="0" xfId="0" applyNumberFormat="1"/>
    <xf numFmtId="49" fontId="6" fillId="0" borderId="0" xfId="0" applyNumberFormat="1" applyFont="1"/>
    <xf numFmtId="0" fontId="6" fillId="0" borderId="0" xfId="0" applyFont="1"/>
    <xf numFmtId="49" fontId="4" fillId="3" borderId="5" xfId="0" applyNumberFormat="1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49" fontId="4" fillId="3" borderId="10" xfId="0" applyNumberFormat="1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49" fontId="5" fillId="3" borderId="5" xfId="0" applyNumberFormat="1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horizontal="righ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3" fontId="5" fillId="3" borderId="6" xfId="0" applyNumberFormat="1" applyFont="1" applyFill="1" applyBorder="1" applyAlignment="1">
      <alignment horizontal="right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right" vertical="center" wrapText="1"/>
    </xf>
    <xf numFmtId="49" fontId="4" fillId="4" borderId="5" xfId="0" applyNumberFormat="1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vertical="center" wrapText="1"/>
    </xf>
    <xf numFmtId="3" fontId="4" fillId="4" borderId="6" xfId="0" applyNumberFormat="1" applyFont="1" applyFill="1" applyBorder="1"/>
    <xf numFmtId="0" fontId="5" fillId="4" borderId="4" xfId="0" applyFont="1" applyFill="1" applyBorder="1" applyAlignment="1">
      <alignment horizontal="right" vertical="center" wrapText="1"/>
    </xf>
    <xf numFmtId="49" fontId="5" fillId="4" borderId="5" xfId="0" applyNumberFormat="1" applyFont="1" applyFill="1" applyBorder="1" applyAlignment="1">
      <alignment horizontal="right" vertical="center" wrapText="1"/>
    </xf>
    <xf numFmtId="0" fontId="5" fillId="4" borderId="5" xfId="0" applyFont="1" applyFill="1" applyBorder="1" applyAlignment="1">
      <alignment horizontal="right" vertical="center" wrapText="1"/>
    </xf>
    <xf numFmtId="0" fontId="5" fillId="4" borderId="5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horizontal="right" vertical="center" wrapText="1"/>
    </xf>
    <xf numFmtId="3" fontId="5" fillId="4" borderId="6" xfId="0" applyNumberFormat="1" applyFont="1" applyFill="1" applyBorder="1" applyAlignment="1">
      <alignment horizontal="right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4" xfId="0" applyFont="1" applyFill="1" applyBorder="1" applyAlignment="1">
      <alignment horizontal="right" vertical="center" wrapText="1"/>
    </xf>
    <xf numFmtId="49" fontId="5" fillId="2" borderId="5" xfId="0" applyNumberFormat="1" applyFont="1" applyFill="1" applyBorder="1" applyAlignment="1">
      <alignment horizontal="right" vertical="center" wrapText="1"/>
    </xf>
    <xf numFmtId="0" fontId="5" fillId="2" borderId="5" xfId="0" applyFont="1" applyFill="1" applyBorder="1" applyAlignment="1">
      <alignment horizontal="right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right" vertical="center" wrapText="1"/>
    </xf>
    <xf numFmtId="3" fontId="5" fillId="2" borderId="6" xfId="0" applyNumberFormat="1" applyFont="1" applyFill="1" applyBorder="1" applyAlignment="1">
      <alignment horizontal="right" vertical="center" wrapText="1"/>
    </xf>
    <xf numFmtId="43" fontId="0" fillId="0" borderId="0" xfId="1" applyFont="1"/>
    <xf numFmtId="43" fontId="0" fillId="2" borderId="0" xfId="1" applyFont="1" applyFill="1"/>
    <xf numFmtId="43" fontId="0" fillId="3" borderId="0" xfId="1" applyFont="1" applyFill="1"/>
    <xf numFmtId="0" fontId="0" fillId="3" borderId="0" xfId="0" applyFill="1"/>
    <xf numFmtId="0" fontId="4" fillId="5" borderId="4" xfId="0" applyFont="1" applyFill="1" applyBorder="1" applyAlignment="1">
      <alignment horizontal="right" vertical="center" wrapText="1"/>
    </xf>
    <xf numFmtId="49" fontId="4" fillId="5" borderId="5" xfId="0" applyNumberFormat="1" applyFont="1" applyFill="1" applyBorder="1" applyAlignment="1">
      <alignment horizontal="right" vertical="center" wrapText="1"/>
    </xf>
    <xf numFmtId="0" fontId="4" fillId="5" borderId="5" xfId="0" applyFont="1" applyFill="1" applyBorder="1" applyAlignment="1">
      <alignment horizontal="right" vertical="center" wrapText="1"/>
    </xf>
    <xf numFmtId="49" fontId="4" fillId="5" borderId="5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 wrapText="1"/>
    </xf>
    <xf numFmtId="3" fontId="4" fillId="5" borderId="6" xfId="0" applyNumberFormat="1" applyFont="1" applyFill="1" applyBorder="1" applyAlignment="1">
      <alignment horizontal="right" vertical="center" wrapText="1"/>
    </xf>
    <xf numFmtId="43" fontId="0" fillId="5" borderId="0" xfId="1" applyFont="1" applyFill="1"/>
    <xf numFmtId="0" fontId="0" fillId="5" borderId="0" xfId="0" applyFill="1"/>
    <xf numFmtId="0" fontId="5" fillId="5" borderId="4" xfId="0" applyFont="1" applyFill="1" applyBorder="1" applyAlignment="1">
      <alignment horizontal="right" vertical="center" wrapText="1"/>
    </xf>
    <xf numFmtId="49" fontId="5" fillId="5" borderId="5" xfId="0" applyNumberFormat="1" applyFont="1" applyFill="1" applyBorder="1" applyAlignment="1">
      <alignment horizontal="right" vertical="center" wrapText="1"/>
    </xf>
    <xf numFmtId="0" fontId="5" fillId="5" borderId="5" xfId="0" applyFont="1" applyFill="1" applyBorder="1" applyAlignment="1">
      <alignment horizontal="right" vertical="center" wrapText="1"/>
    </xf>
    <xf numFmtId="49" fontId="5" fillId="5" borderId="5" xfId="0" applyNumberFormat="1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horizontal="right" vertical="center" wrapText="1"/>
    </xf>
    <xf numFmtId="3" fontId="5" fillId="5" borderId="6" xfId="0" applyNumberFormat="1" applyFont="1" applyFill="1" applyBorder="1" applyAlignment="1">
      <alignment horizontal="right" vertical="center" wrapText="1"/>
    </xf>
    <xf numFmtId="0" fontId="5" fillId="6" borderId="5" xfId="0" applyFont="1" applyFill="1" applyBorder="1" applyAlignment="1">
      <alignment horizontal="right" vertical="center" wrapText="1"/>
    </xf>
    <xf numFmtId="49" fontId="5" fillId="6" borderId="5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vertical="center" wrapText="1"/>
    </xf>
    <xf numFmtId="3" fontId="5" fillId="6" borderId="6" xfId="0" applyNumberFormat="1" applyFont="1" applyFill="1" applyBorder="1" applyAlignment="1">
      <alignment horizontal="right" vertical="center" wrapText="1"/>
    </xf>
    <xf numFmtId="43" fontId="5" fillId="2" borderId="6" xfId="0" applyNumberFormat="1" applyFont="1" applyFill="1" applyBorder="1" applyAlignment="1">
      <alignment horizontal="right" vertical="center" wrapText="1"/>
    </xf>
    <xf numFmtId="3" fontId="9" fillId="7" borderId="0" xfId="2" applyNumberFormat="1" applyFont="1" applyFill="1" applyAlignment="1">
      <alignment horizontal="center" vertical="center"/>
    </xf>
    <xf numFmtId="3" fontId="9" fillId="0" borderId="18" xfId="2" applyNumberFormat="1" applyFont="1" applyBorder="1" applyAlignment="1">
      <alignment horizontal="center" vertical="center"/>
    </xf>
    <xf numFmtId="3" fontId="9" fillId="0" borderId="19" xfId="2" applyNumberFormat="1" applyFont="1" applyBorder="1" applyAlignment="1">
      <alignment horizontal="center" vertical="center"/>
    </xf>
    <xf numFmtId="3" fontId="9" fillId="0" borderId="20" xfId="2" applyNumberFormat="1" applyFont="1" applyBorder="1" applyAlignment="1">
      <alignment horizontal="center" vertical="center"/>
    </xf>
    <xf numFmtId="3" fontId="9" fillId="0" borderId="5" xfId="2" applyNumberFormat="1" applyFont="1" applyBorder="1" applyAlignment="1">
      <alignment horizontal="center" vertical="center"/>
    </xf>
    <xf numFmtId="3" fontId="11" fillId="0" borderId="0" xfId="2" applyNumberFormat="1" applyFont="1" applyAlignment="1">
      <alignment horizontal="center" vertical="center"/>
    </xf>
    <xf numFmtId="0" fontId="13" fillId="8" borderId="33" xfId="2" applyFont="1" applyFill="1" applyBorder="1" applyAlignment="1">
      <alignment horizontal="center" vertical="center" wrapText="1"/>
    </xf>
    <xf numFmtId="3" fontId="12" fillId="9" borderId="33" xfId="2" applyNumberFormat="1" applyFont="1" applyFill="1" applyBorder="1" applyAlignment="1">
      <alignment horizontal="center" vertical="center" wrapText="1"/>
    </xf>
    <xf numFmtId="3" fontId="14" fillId="0" borderId="33" xfId="2" applyNumberFormat="1" applyFont="1" applyBorder="1" applyAlignment="1">
      <alignment horizontal="center" vertical="center"/>
    </xf>
    <xf numFmtId="3" fontId="14" fillId="0" borderId="33" xfId="2" applyNumberFormat="1" applyFont="1" applyBorder="1" applyAlignment="1">
      <alignment horizontal="center" vertical="center" wrapText="1"/>
    </xf>
    <xf numFmtId="3" fontId="14" fillId="0" borderId="18" xfId="2" applyNumberFormat="1" applyFont="1" applyBorder="1" applyAlignment="1">
      <alignment horizontal="center" vertical="center"/>
    </xf>
    <xf numFmtId="3" fontId="14" fillId="0" borderId="19" xfId="2" applyNumberFormat="1" applyFont="1" applyBorder="1" applyAlignment="1">
      <alignment horizontal="center" vertical="center"/>
    </xf>
    <xf numFmtId="3" fontId="14" fillId="0" borderId="27" xfId="2" applyNumberFormat="1" applyFont="1" applyBorder="1" applyAlignment="1">
      <alignment horizontal="center" vertical="center"/>
    </xf>
    <xf numFmtId="3" fontId="16" fillId="0" borderId="0" xfId="2" applyNumberFormat="1" applyFont="1" applyAlignment="1">
      <alignment horizontal="center" vertical="center"/>
    </xf>
    <xf numFmtId="3" fontId="14" fillId="0" borderId="34" xfId="2" applyNumberFormat="1" applyFont="1" applyBorder="1" applyAlignment="1">
      <alignment horizontal="center" vertical="center"/>
    </xf>
    <xf numFmtId="3" fontId="14" fillId="0" borderId="0" xfId="2" applyNumberFormat="1" applyFont="1" applyAlignment="1">
      <alignment horizontal="center" vertical="center"/>
    </xf>
    <xf numFmtId="49" fontId="4" fillId="4" borderId="10" xfId="0" applyNumberFormat="1" applyFont="1" applyFill="1" applyBorder="1" applyAlignment="1">
      <alignment horizontal="right" vertical="center" wrapText="1"/>
    </xf>
    <xf numFmtId="3" fontId="10" fillId="0" borderId="19" xfId="2" applyNumberFormat="1" applyFont="1" applyBorder="1" applyAlignment="1">
      <alignment horizontal="center" vertical="center"/>
    </xf>
    <xf numFmtId="3" fontId="11" fillId="0" borderId="19" xfId="2" applyNumberFormat="1" applyFont="1" applyBorder="1" applyAlignment="1">
      <alignment horizontal="center" vertical="center"/>
    </xf>
    <xf numFmtId="3" fontId="16" fillId="0" borderId="19" xfId="2" applyNumberFormat="1" applyFont="1" applyBorder="1" applyAlignment="1">
      <alignment horizontal="center" vertical="center"/>
    </xf>
    <xf numFmtId="3" fontId="9" fillId="0" borderId="38" xfId="2" applyNumberFormat="1" applyFont="1" applyBorder="1" applyAlignment="1">
      <alignment horizontal="center" vertical="center"/>
    </xf>
    <xf numFmtId="3" fontId="12" fillId="0" borderId="38" xfId="2" applyNumberFormat="1" applyFont="1" applyBorder="1" applyAlignment="1">
      <alignment horizontal="center" vertical="center" wrapText="1"/>
    </xf>
    <xf numFmtId="0" fontId="13" fillId="0" borderId="38" xfId="2" applyFont="1" applyBorder="1" applyAlignment="1">
      <alignment horizontal="center" vertical="center" wrapText="1"/>
    </xf>
    <xf numFmtId="3" fontId="14" fillId="0" borderId="38" xfId="2" applyNumberFormat="1" applyFont="1" applyBorder="1" applyAlignment="1">
      <alignment horizontal="center" vertical="center"/>
    </xf>
    <xf numFmtId="3" fontId="16" fillId="0" borderId="34" xfId="2" applyNumberFormat="1" applyFont="1" applyBorder="1" applyAlignment="1">
      <alignment horizontal="center" vertical="center"/>
    </xf>
    <xf numFmtId="3" fontId="16" fillId="0" borderId="34" xfId="2" applyNumberFormat="1" applyFont="1" applyBorder="1" applyAlignment="1">
      <alignment horizontal="center" vertical="center" wrapText="1"/>
    </xf>
    <xf numFmtId="3" fontId="16" fillId="0" borderId="19" xfId="2" applyNumberFormat="1" applyFont="1" applyBorder="1" applyAlignment="1">
      <alignment horizontal="center" vertical="center" wrapText="1"/>
    </xf>
    <xf numFmtId="3" fontId="18" fillId="0" borderId="39" xfId="2" applyNumberFormat="1" applyFont="1" applyBorder="1" applyAlignment="1">
      <alignment horizontal="center" vertical="center"/>
    </xf>
    <xf numFmtId="3" fontId="18" fillId="0" borderId="38" xfId="2" applyNumberFormat="1" applyFont="1" applyBorder="1" applyAlignment="1">
      <alignment horizontal="center" vertical="center"/>
    </xf>
    <xf numFmtId="3" fontId="19" fillId="0" borderId="38" xfId="2" applyNumberFormat="1" applyFont="1" applyBorder="1" applyAlignment="1">
      <alignment horizontal="center" vertical="center"/>
    </xf>
    <xf numFmtId="3" fontId="16" fillId="0" borderId="27" xfId="2" applyNumberFormat="1" applyFont="1" applyBorder="1" applyAlignment="1">
      <alignment horizontal="center" vertical="center"/>
    </xf>
    <xf numFmtId="3" fontId="16" fillId="0" borderId="18" xfId="2" applyNumberFormat="1" applyFont="1" applyBorder="1" applyAlignment="1">
      <alignment horizontal="center" vertical="center"/>
    </xf>
    <xf numFmtId="3" fontId="16" fillId="0" borderId="40" xfId="2" applyNumberFormat="1" applyFont="1" applyBorder="1" applyAlignment="1">
      <alignment horizontal="center" vertical="center"/>
    </xf>
    <xf numFmtId="43" fontId="16" fillId="0" borderId="5" xfId="2" applyNumberFormat="1" applyFont="1" applyBorder="1" applyAlignment="1">
      <alignment horizontal="center" vertical="center"/>
    </xf>
    <xf numFmtId="3" fontId="16" fillId="0" borderId="27" xfId="2" applyNumberFormat="1" applyFont="1" applyBorder="1" applyAlignment="1">
      <alignment horizontal="center" vertical="center" wrapText="1"/>
    </xf>
    <xf numFmtId="3" fontId="16" fillId="0" borderId="20" xfId="2" applyNumberFormat="1" applyFont="1" applyBorder="1" applyAlignment="1">
      <alignment horizontal="center" vertical="center"/>
    </xf>
    <xf numFmtId="3" fontId="18" fillId="10" borderId="39" xfId="2" applyNumberFormat="1" applyFont="1" applyFill="1" applyBorder="1" applyAlignment="1">
      <alignment horizontal="center" vertical="center"/>
    </xf>
    <xf numFmtId="3" fontId="18" fillId="10" borderId="38" xfId="2" applyNumberFormat="1" applyFont="1" applyFill="1" applyBorder="1" applyAlignment="1">
      <alignment horizontal="center" vertical="center"/>
    </xf>
    <xf numFmtId="43" fontId="0" fillId="11" borderId="0" xfId="1" applyFont="1" applyFill="1"/>
    <xf numFmtId="3" fontId="14" fillId="12" borderId="38" xfId="2" applyNumberFormat="1" applyFont="1" applyFill="1" applyBorder="1" applyAlignment="1">
      <alignment horizontal="center" vertical="center" wrapText="1"/>
    </xf>
    <xf numFmtId="3" fontId="14" fillId="13" borderId="38" xfId="2" applyNumberFormat="1" applyFont="1" applyFill="1" applyBorder="1" applyAlignment="1">
      <alignment horizontal="center" vertical="center" wrapText="1"/>
    </xf>
    <xf numFmtId="3" fontId="14" fillId="14" borderId="38" xfId="2" applyNumberFormat="1" applyFont="1" applyFill="1" applyBorder="1" applyAlignment="1">
      <alignment horizontal="center" vertical="center" wrapText="1"/>
    </xf>
    <xf numFmtId="3" fontId="14" fillId="2" borderId="38" xfId="2" applyNumberFormat="1" applyFont="1" applyFill="1" applyBorder="1" applyAlignment="1">
      <alignment horizontal="center" vertical="center" wrapText="1"/>
    </xf>
    <xf numFmtId="3" fontId="14" fillId="14" borderId="19" xfId="2" applyNumberFormat="1" applyFont="1" applyFill="1" applyBorder="1" applyAlignment="1">
      <alignment horizontal="center" vertical="center"/>
    </xf>
    <xf numFmtId="3" fontId="14" fillId="2" borderId="19" xfId="2" applyNumberFormat="1" applyFont="1" applyFill="1" applyBorder="1" applyAlignment="1">
      <alignment horizontal="center" vertical="center"/>
    </xf>
    <xf numFmtId="3" fontId="14" fillId="13" borderId="19" xfId="2" applyNumberFormat="1" applyFont="1" applyFill="1" applyBorder="1" applyAlignment="1">
      <alignment horizontal="center" vertical="center"/>
    </xf>
    <xf numFmtId="3" fontId="10" fillId="0" borderId="0" xfId="2" applyNumberFormat="1" applyFont="1" applyAlignment="1">
      <alignment horizontal="center" vertical="center"/>
    </xf>
    <xf numFmtId="3" fontId="12" fillId="0" borderId="0" xfId="2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43" fontId="0" fillId="0" borderId="0" xfId="0" applyNumberFormat="1"/>
    <xf numFmtId="2" fontId="5" fillId="3" borderId="5" xfId="0" applyNumberFormat="1" applyFont="1" applyFill="1" applyBorder="1" applyAlignment="1">
      <alignment horizontal="right" vertical="center" wrapText="1"/>
    </xf>
    <xf numFmtId="2" fontId="0" fillId="0" borderId="0" xfId="0" applyNumberFormat="1" applyAlignment="1">
      <alignment wrapText="1"/>
    </xf>
    <xf numFmtId="2" fontId="0" fillId="0" borderId="0" xfId="1" applyNumberFormat="1" applyFont="1"/>
    <xf numFmtId="2" fontId="0" fillId="0" borderId="0" xfId="0" applyNumberFormat="1"/>
    <xf numFmtId="2" fontId="4" fillId="4" borderId="1" xfId="0" applyNumberFormat="1" applyFont="1" applyFill="1" applyBorder="1" applyAlignment="1">
      <alignment horizontal="center" vertical="center" wrapText="1"/>
    </xf>
    <xf numFmtId="2" fontId="4" fillId="4" borderId="2" xfId="0" applyNumberFormat="1" applyFont="1" applyFill="1" applyBorder="1" applyAlignment="1">
      <alignment horizontal="center" vertical="center" wrapText="1"/>
    </xf>
    <xf numFmtId="2" fontId="4" fillId="4" borderId="3" xfId="0" applyNumberFormat="1" applyFont="1" applyFill="1" applyBorder="1" applyAlignment="1">
      <alignment horizontal="center" vertical="center" wrapText="1"/>
    </xf>
    <xf numFmtId="2" fontId="4" fillId="4" borderId="4" xfId="0" applyNumberFormat="1" applyFont="1" applyFill="1" applyBorder="1" applyAlignment="1">
      <alignment horizontal="right" vertical="center" wrapText="1"/>
    </xf>
    <xf numFmtId="2" fontId="4" fillId="4" borderId="5" xfId="0" applyNumberFormat="1" applyFont="1" applyFill="1" applyBorder="1" applyAlignment="1">
      <alignment horizontal="right" vertical="center" wrapText="1"/>
    </xf>
    <xf numFmtId="2" fontId="4" fillId="4" borderId="5" xfId="0" applyNumberFormat="1" applyFont="1" applyFill="1" applyBorder="1" applyAlignment="1">
      <alignment vertical="center" wrapText="1"/>
    </xf>
    <xf numFmtId="2" fontId="4" fillId="4" borderId="6" xfId="0" applyNumberFormat="1" applyFont="1" applyFill="1" applyBorder="1"/>
    <xf numFmtId="2" fontId="4" fillId="4" borderId="10" xfId="0" applyNumberFormat="1" applyFont="1" applyFill="1" applyBorder="1" applyAlignment="1">
      <alignment horizontal="right" vertical="center" wrapText="1"/>
    </xf>
    <xf numFmtId="2" fontId="0" fillId="3" borderId="0" xfId="0" applyNumberFormat="1" applyFill="1" applyAlignment="1">
      <alignment wrapText="1"/>
    </xf>
    <xf numFmtId="2" fontId="4" fillId="3" borderId="4" xfId="0" applyNumberFormat="1" applyFont="1" applyFill="1" applyBorder="1" applyAlignment="1">
      <alignment horizontal="right" vertical="center" wrapText="1"/>
    </xf>
    <xf numFmtId="2" fontId="4" fillId="3" borderId="5" xfId="0" applyNumberFormat="1" applyFont="1" applyFill="1" applyBorder="1" applyAlignment="1">
      <alignment horizontal="right" vertical="center" wrapText="1"/>
    </xf>
    <xf numFmtId="2" fontId="4" fillId="3" borderId="10" xfId="0" applyNumberFormat="1" applyFont="1" applyFill="1" applyBorder="1" applyAlignment="1">
      <alignment horizontal="right" vertical="center" wrapText="1"/>
    </xf>
    <xf numFmtId="2" fontId="4" fillId="3" borderId="10" xfId="0" applyNumberFormat="1" applyFont="1" applyFill="1" applyBorder="1" applyAlignment="1">
      <alignment horizontal="center" vertical="center" wrapText="1"/>
    </xf>
    <xf numFmtId="2" fontId="4" fillId="3" borderId="5" xfId="0" applyNumberFormat="1" applyFont="1" applyFill="1" applyBorder="1" applyAlignment="1">
      <alignment vertical="center" wrapText="1"/>
    </xf>
    <xf numFmtId="2" fontId="4" fillId="3" borderId="6" xfId="0" applyNumberFormat="1" applyFont="1" applyFill="1" applyBorder="1" applyAlignment="1">
      <alignment horizontal="right" vertical="center" wrapText="1"/>
    </xf>
    <xf numFmtId="2" fontId="0" fillId="3" borderId="0" xfId="1" applyNumberFormat="1" applyFont="1" applyFill="1"/>
    <xf numFmtId="2" fontId="0" fillId="3" borderId="0" xfId="0" applyNumberFormat="1" applyFill="1"/>
    <xf numFmtId="2" fontId="5" fillId="3" borderId="5" xfId="0" applyNumberFormat="1" applyFont="1" applyFill="1" applyBorder="1" applyAlignment="1">
      <alignment vertical="center" wrapText="1"/>
    </xf>
    <xf numFmtId="2" fontId="5" fillId="3" borderId="5" xfId="0" applyNumberFormat="1" applyFont="1" applyFill="1" applyBorder="1" applyAlignment="1">
      <alignment vertical="center"/>
    </xf>
    <xf numFmtId="2" fontId="5" fillId="3" borderId="6" xfId="0" applyNumberFormat="1" applyFont="1" applyFill="1" applyBorder="1" applyAlignment="1">
      <alignment horizontal="right" vertical="center" wrapText="1"/>
    </xf>
    <xf numFmtId="2" fontId="5" fillId="3" borderId="4" xfId="0" applyNumberFormat="1" applyFont="1" applyFill="1" applyBorder="1" applyAlignment="1">
      <alignment horizontal="right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2" fontId="0" fillId="2" borderId="0" xfId="0" applyNumberFormat="1" applyFill="1" applyAlignment="1">
      <alignment wrapText="1"/>
    </xf>
    <xf numFmtId="2" fontId="4" fillId="2" borderId="4" xfId="0" applyNumberFormat="1" applyFont="1" applyFill="1" applyBorder="1" applyAlignment="1">
      <alignment horizontal="right" vertical="center" wrapText="1"/>
    </xf>
    <xf numFmtId="2" fontId="4" fillId="2" borderId="5" xfId="0" applyNumberFormat="1" applyFont="1" applyFill="1" applyBorder="1" applyAlignment="1">
      <alignment horizontal="right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vertical="center" wrapText="1"/>
    </xf>
    <xf numFmtId="2" fontId="4" fillId="2" borderId="6" xfId="0" applyNumberFormat="1" applyFont="1" applyFill="1" applyBorder="1" applyAlignment="1">
      <alignment horizontal="right" vertical="center" wrapText="1"/>
    </xf>
    <xf numFmtId="2" fontId="0" fillId="2" borderId="0" xfId="1" applyNumberFormat="1" applyFont="1" applyFill="1"/>
    <xf numFmtId="2" fontId="0" fillId="2" borderId="0" xfId="0" applyNumberFormat="1" applyFill="1"/>
    <xf numFmtId="2" fontId="5" fillId="2" borderId="4" xfId="0" applyNumberFormat="1" applyFont="1" applyFill="1" applyBorder="1" applyAlignment="1">
      <alignment horizontal="right" vertical="center" wrapText="1"/>
    </xf>
    <xf numFmtId="2" fontId="5" fillId="2" borderId="5" xfId="0" applyNumberFormat="1" applyFont="1" applyFill="1" applyBorder="1" applyAlignment="1">
      <alignment horizontal="right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vertical="center" wrapText="1"/>
    </xf>
    <xf numFmtId="2" fontId="5" fillId="2" borderId="6" xfId="0" applyNumberFormat="1" applyFont="1" applyFill="1" applyBorder="1" applyAlignment="1">
      <alignment horizontal="right" vertical="center" wrapText="1"/>
    </xf>
    <xf numFmtId="2" fontId="5" fillId="4" borderId="4" xfId="0" applyNumberFormat="1" applyFont="1" applyFill="1" applyBorder="1" applyAlignment="1">
      <alignment horizontal="right" vertical="center" wrapText="1"/>
    </xf>
    <xf numFmtId="2" fontId="5" fillId="4" borderId="5" xfId="0" applyNumberFormat="1" applyFont="1" applyFill="1" applyBorder="1" applyAlignment="1">
      <alignment horizontal="right" vertical="center" wrapText="1"/>
    </xf>
    <xf numFmtId="2" fontId="5" fillId="4" borderId="5" xfId="0" applyNumberFormat="1" applyFont="1" applyFill="1" applyBorder="1" applyAlignment="1">
      <alignment horizontal="center" vertical="center" wrapText="1"/>
    </xf>
    <xf numFmtId="2" fontId="5" fillId="4" borderId="6" xfId="0" applyNumberFormat="1" applyFont="1" applyFill="1" applyBorder="1" applyAlignment="1">
      <alignment horizontal="right" vertical="center" wrapText="1"/>
    </xf>
    <xf numFmtId="2" fontId="0" fillId="5" borderId="0" xfId="0" applyNumberFormat="1" applyFill="1" applyAlignment="1">
      <alignment wrapText="1"/>
    </xf>
    <xf numFmtId="2" fontId="4" fillId="5" borderId="4" xfId="0" applyNumberFormat="1" applyFont="1" applyFill="1" applyBorder="1" applyAlignment="1">
      <alignment horizontal="right" vertical="center" wrapText="1"/>
    </xf>
    <xf numFmtId="2" fontId="4" fillId="5" borderId="5" xfId="0" applyNumberFormat="1" applyFont="1" applyFill="1" applyBorder="1" applyAlignment="1">
      <alignment horizontal="right" vertical="center" wrapText="1"/>
    </xf>
    <xf numFmtId="2" fontId="4" fillId="5" borderId="5" xfId="0" applyNumberFormat="1" applyFont="1" applyFill="1" applyBorder="1" applyAlignment="1">
      <alignment horizontal="center" vertical="center" wrapText="1"/>
    </xf>
    <xf numFmtId="2" fontId="4" fillId="5" borderId="5" xfId="0" applyNumberFormat="1" applyFont="1" applyFill="1" applyBorder="1" applyAlignment="1">
      <alignment vertical="center" wrapText="1"/>
    </xf>
    <xf numFmtId="2" fontId="4" fillId="5" borderId="6" xfId="0" applyNumberFormat="1" applyFont="1" applyFill="1" applyBorder="1" applyAlignment="1">
      <alignment horizontal="right" vertical="center" wrapText="1"/>
    </xf>
    <xf numFmtId="2" fontId="0" fillId="5" borderId="0" xfId="1" applyNumberFormat="1" applyFont="1" applyFill="1"/>
    <xf numFmtId="2" fontId="0" fillId="5" borderId="0" xfId="0" applyNumberFormat="1" applyFill="1"/>
    <xf numFmtId="2" fontId="5" fillId="5" borderId="4" xfId="0" applyNumberFormat="1" applyFont="1" applyFill="1" applyBorder="1" applyAlignment="1">
      <alignment horizontal="right" vertical="center" wrapText="1"/>
    </xf>
    <xf numFmtId="2" fontId="5" fillId="5" borderId="5" xfId="0" applyNumberFormat="1" applyFont="1" applyFill="1" applyBorder="1" applyAlignment="1">
      <alignment horizontal="right" vertical="center" wrapText="1"/>
    </xf>
    <xf numFmtId="2" fontId="5" fillId="5" borderId="5" xfId="0" applyNumberFormat="1" applyFont="1" applyFill="1" applyBorder="1" applyAlignment="1">
      <alignment horizontal="center" vertical="center" wrapText="1"/>
    </xf>
    <xf numFmtId="2" fontId="5" fillId="5" borderId="5" xfId="0" applyNumberFormat="1" applyFont="1" applyFill="1" applyBorder="1" applyAlignment="1">
      <alignment vertical="center" wrapText="1"/>
    </xf>
    <xf numFmtId="2" fontId="5" fillId="5" borderId="6" xfId="0" applyNumberFormat="1" applyFont="1" applyFill="1" applyBorder="1" applyAlignment="1">
      <alignment horizontal="right" vertical="center" wrapText="1"/>
    </xf>
    <xf numFmtId="2" fontId="5" fillId="5" borderId="5" xfId="0" applyNumberFormat="1" applyFont="1" applyFill="1" applyBorder="1" applyAlignment="1">
      <alignment horizontal="right" vertical="center"/>
    </xf>
    <xf numFmtId="2" fontId="5" fillId="5" borderId="5" xfId="0" applyNumberFormat="1" applyFont="1" applyFill="1" applyBorder="1" applyAlignment="1">
      <alignment horizontal="center" vertical="center"/>
    </xf>
    <xf numFmtId="2" fontId="5" fillId="5" borderId="5" xfId="0" applyNumberFormat="1" applyFont="1" applyFill="1" applyBorder="1" applyAlignment="1">
      <alignment vertical="center"/>
    </xf>
    <xf numFmtId="2" fontId="5" fillId="5" borderId="6" xfId="0" applyNumberFormat="1" applyFont="1" applyFill="1" applyBorder="1" applyAlignment="1">
      <alignment horizontal="right" vertical="center"/>
    </xf>
    <xf numFmtId="2" fontId="0" fillId="5" borderId="0" xfId="1" applyNumberFormat="1" applyFont="1" applyFill="1" applyAlignment="1"/>
    <xf numFmtId="2" fontId="5" fillId="4" borderId="5" xfId="0" applyNumberFormat="1" applyFont="1" applyFill="1" applyBorder="1" applyAlignment="1">
      <alignment vertical="center" wrapText="1"/>
    </xf>
    <xf numFmtId="2" fontId="5" fillId="6" borderId="5" xfId="0" applyNumberFormat="1" applyFont="1" applyFill="1" applyBorder="1" applyAlignment="1">
      <alignment horizontal="right" vertical="center" wrapText="1"/>
    </xf>
    <xf numFmtId="2" fontId="5" fillId="6" borderId="5" xfId="0" applyNumberFormat="1" applyFont="1" applyFill="1" applyBorder="1" applyAlignment="1">
      <alignment horizontal="center" vertical="center" wrapText="1"/>
    </xf>
    <xf numFmtId="2" fontId="5" fillId="6" borderId="5" xfId="0" applyNumberFormat="1" applyFont="1" applyFill="1" applyBorder="1" applyAlignment="1">
      <alignment vertical="center" wrapText="1"/>
    </xf>
    <xf numFmtId="2" fontId="5" fillId="6" borderId="6" xfId="0" applyNumberFormat="1" applyFont="1" applyFill="1" applyBorder="1" applyAlignment="1">
      <alignment horizontal="right" vertical="center" wrapText="1"/>
    </xf>
    <xf numFmtId="2" fontId="6" fillId="0" borderId="0" xfId="0" applyNumberFormat="1" applyFont="1" applyAlignment="1">
      <alignment wrapText="1"/>
    </xf>
    <xf numFmtId="3" fontId="14" fillId="15" borderId="38" xfId="2" applyNumberFormat="1" applyFont="1" applyFill="1" applyBorder="1" applyAlignment="1">
      <alignment horizontal="center" vertical="center"/>
    </xf>
    <xf numFmtId="3" fontId="14" fillId="15" borderId="38" xfId="2" applyNumberFormat="1" applyFont="1" applyFill="1" applyBorder="1" applyAlignment="1">
      <alignment horizontal="center" vertical="center" wrapText="1"/>
    </xf>
    <xf numFmtId="3" fontId="14" fillId="15" borderId="0" xfId="2" applyNumberFormat="1" applyFont="1" applyFill="1" applyAlignment="1">
      <alignment horizontal="center" vertical="center"/>
    </xf>
    <xf numFmtId="3" fontId="18" fillId="15" borderId="39" xfId="2" applyNumberFormat="1" applyFont="1" applyFill="1" applyBorder="1" applyAlignment="1">
      <alignment horizontal="center" vertical="center"/>
    </xf>
    <xf numFmtId="3" fontId="14" fillId="15" borderId="18" xfId="2" applyNumberFormat="1" applyFont="1" applyFill="1" applyBorder="1" applyAlignment="1">
      <alignment horizontal="center" vertical="center"/>
    </xf>
    <xf numFmtId="3" fontId="14" fillId="15" borderId="19" xfId="2" applyNumberFormat="1" applyFont="1" applyFill="1" applyBorder="1" applyAlignment="1">
      <alignment horizontal="center" vertical="center"/>
    </xf>
    <xf numFmtId="3" fontId="16" fillId="15" borderId="19" xfId="2" applyNumberFormat="1" applyFont="1" applyFill="1" applyBorder="1" applyAlignment="1">
      <alignment horizontal="center" vertical="center"/>
    </xf>
    <xf numFmtId="3" fontId="19" fillId="15" borderId="38" xfId="2" applyNumberFormat="1" applyFont="1" applyFill="1" applyBorder="1" applyAlignment="1">
      <alignment horizontal="center" vertical="center"/>
    </xf>
    <xf numFmtId="3" fontId="18" fillId="15" borderId="38" xfId="2" applyNumberFormat="1" applyFont="1" applyFill="1" applyBorder="1" applyAlignment="1">
      <alignment horizontal="center" vertical="center"/>
    </xf>
    <xf numFmtId="3" fontId="9" fillId="15" borderId="38" xfId="2" applyNumberFormat="1" applyFont="1" applyFill="1" applyBorder="1" applyAlignment="1">
      <alignment horizontal="center" vertical="center"/>
    </xf>
    <xf numFmtId="3" fontId="14" fillId="15" borderId="34" xfId="2" applyNumberFormat="1" applyFont="1" applyFill="1" applyBorder="1" applyAlignment="1">
      <alignment horizontal="center" vertical="center"/>
    </xf>
    <xf numFmtId="0" fontId="0" fillId="15" borderId="0" xfId="0" applyFill="1"/>
    <xf numFmtId="0" fontId="0" fillId="15" borderId="0" xfId="0" applyFill="1" applyAlignment="1">
      <alignment wrapText="1"/>
    </xf>
    <xf numFmtId="43" fontId="0" fillId="15" borderId="0" xfId="1" applyFont="1" applyFill="1"/>
    <xf numFmtId="3" fontId="9" fillId="0" borderId="38" xfId="2" applyNumberFormat="1" applyFont="1" applyBorder="1" applyAlignment="1">
      <alignment vertical="center"/>
    </xf>
    <xf numFmtId="0" fontId="13" fillId="0" borderId="38" xfId="2" applyFont="1" applyBorder="1" applyAlignment="1">
      <alignment vertical="center" wrapText="1"/>
    </xf>
    <xf numFmtId="3" fontId="12" fillId="0" borderId="38" xfId="2" applyNumberFormat="1" applyFont="1" applyBorder="1" applyAlignment="1">
      <alignment vertical="center" wrapText="1"/>
    </xf>
    <xf numFmtId="3" fontId="10" fillId="0" borderId="38" xfId="2" applyNumberFormat="1" applyFont="1" applyBorder="1" applyAlignment="1">
      <alignment vertical="center"/>
    </xf>
    <xf numFmtId="3" fontId="9" fillId="0" borderId="38" xfId="2" applyNumberFormat="1" applyFont="1" applyBorder="1" applyAlignment="1">
      <alignment vertical="center" wrapText="1"/>
    </xf>
    <xf numFmtId="3" fontId="11" fillId="0" borderId="38" xfId="2" applyNumberFormat="1" applyFont="1" applyBorder="1" applyAlignment="1">
      <alignment vertical="center"/>
    </xf>
    <xf numFmtId="3" fontId="10" fillId="0" borderId="38" xfId="2" applyNumberFormat="1" applyFont="1" applyBorder="1" applyAlignment="1">
      <alignment vertical="center" wrapText="1"/>
    </xf>
    <xf numFmtId="0" fontId="0" fillId="0" borderId="0" xfId="0" pivotButton="1"/>
    <xf numFmtId="3" fontId="10" fillId="0" borderId="0" xfId="2" applyNumberFormat="1" applyFont="1" applyAlignment="1">
      <alignment horizontal="center" vertical="center" wrapText="1"/>
    </xf>
    <xf numFmtId="3" fontId="14" fillId="0" borderId="0" xfId="2" applyNumberFormat="1" applyFont="1" applyAlignment="1">
      <alignment horizontal="center" vertical="center" wrapText="1"/>
    </xf>
    <xf numFmtId="3" fontId="16" fillId="0" borderId="20" xfId="2" applyNumberFormat="1" applyFont="1" applyBorder="1" applyAlignment="1">
      <alignment horizontal="center" vertical="center" wrapText="1"/>
    </xf>
    <xf numFmtId="3" fontId="16" fillId="0" borderId="0" xfId="2" applyNumberFormat="1" applyFont="1" applyAlignment="1">
      <alignment horizontal="center" vertical="center" wrapText="1"/>
    </xf>
    <xf numFmtId="0" fontId="0" fillId="0" borderId="0" xfId="0" pivotButton="1" applyAlignment="1">
      <alignment wrapText="1"/>
    </xf>
    <xf numFmtId="0" fontId="0" fillId="0" borderId="0" xfId="0" applyAlignment="1">
      <alignment horizontal="left" wrapText="1"/>
    </xf>
    <xf numFmtId="3" fontId="0" fillId="0" borderId="0" xfId="0" applyNumberFormat="1" applyAlignment="1">
      <alignment wrapText="1"/>
    </xf>
    <xf numFmtId="2" fontId="22" fillId="3" borderId="5" xfId="0" applyNumberFormat="1" applyFont="1" applyFill="1" applyBorder="1" applyAlignment="1">
      <alignment vertical="center" wrapText="1"/>
    </xf>
    <xf numFmtId="43" fontId="21" fillId="3" borderId="0" xfId="1" applyFont="1" applyFill="1"/>
    <xf numFmtId="0" fontId="0" fillId="12" borderId="0" xfId="0" applyFill="1" applyAlignment="1">
      <alignment wrapText="1"/>
    </xf>
    <xf numFmtId="3" fontId="14" fillId="16" borderId="0" xfId="2" applyNumberFormat="1" applyFont="1" applyFill="1" applyAlignment="1">
      <alignment horizontal="center" vertical="center" wrapText="1"/>
    </xf>
    <xf numFmtId="43" fontId="4" fillId="4" borderId="3" xfId="0" applyNumberFormat="1" applyFont="1" applyFill="1" applyBorder="1" applyAlignment="1">
      <alignment horizontal="center" vertical="center" wrapText="1"/>
    </xf>
    <xf numFmtId="43" fontId="4" fillId="4" borderId="6" xfId="0" applyNumberFormat="1" applyFont="1" applyFill="1" applyBorder="1"/>
    <xf numFmtId="43" fontId="4" fillId="3" borderId="6" xfId="0" applyNumberFormat="1" applyFont="1" applyFill="1" applyBorder="1" applyAlignment="1">
      <alignment horizontal="right" vertical="center" wrapText="1"/>
    </xf>
    <xf numFmtId="43" fontId="5" fillId="3" borderId="6" xfId="0" applyNumberFormat="1" applyFont="1" applyFill="1" applyBorder="1" applyAlignment="1">
      <alignment horizontal="right" vertical="center" wrapText="1"/>
    </xf>
    <xf numFmtId="43" fontId="4" fillId="2" borderId="6" xfId="0" applyNumberFormat="1" applyFont="1" applyFill="1" applyBorder="1" applyAlignment="1">
      <alignment horizontal="right" vertical="center" wrapText="1"/>
    </xf>
    <xf numFmtId="43" fontId="5" fillId="4" borderId="6" xfId="0" applyNumberFormat="1" applyFont="1" applyFill="1" applyBorder="1" applyAlignment="1">
      <alignment horizontal="right" vertical="center" wrapText="1"/>
    </xf>
    <xf numFmtId="43" fontId="4" fillId="5" borderId="6" xfId="0" applyNumberFormat="1" applyFont="1" applyFill="1" applyBorder="1" applyAlignment="1">
      <alignment horizontal="right" vertical="center" wrapText="1"/>
    </xf>
    <xf numFmtId="43" fontId="5" fillId="5" borderId="6" xfId="0" applyNumberFormat="1" applyFont="1" applyFill="1" applyBorder="1" applyAlignment="1">
      <alignment horizontal="right" vertical="center" wrapText="1"/>
    </xf>
    <xf numFmtId="43" fontId="5" fillId="5" borderId="6" xfId="0" applyNumberFormat="1" applyFont="1" applyFill="1" applyBorder="1" applyAlignment="1">
      <alignment horizontal="right" vertical="center"/>
    </xf>
    <xf numFmtId="43" fontId="5" fillId="6" borderId="6" xfId="0" applyNumberFormat="1" applyFont="1" applyFill="1" applyBorder="1" applyAlignment="1">
      <alignment horizontal="right" vertical="center" wrapText="1"/>
    </xf>
    <xf numFmtId="43" fontId="23" fillId="2" borderId="6" xfId="0" applyNumberFormat="1" applyFont="1" applyFill="1" applyBorder="1" applyAlignment="1">
      <alignment horizontal="right" vertical="center" wrapText="1"/>
    </xf>
    <xf numFmtId="43" fontId="0" fillId="5" borderId="0" xfId="1" applyFont="1" applyFill="1" applyAlignment="1"/>
    <xf numFmtId="43" fontId="24" fillId="3" borderId="0" xfId="1" applyFont="1" applyFill="1"/>
    <xf numFmtId="43" fontId="25" fillId="5" borderId="6" xfId="0" applyNumberFormat="1" applyFont="1" applyFill="1" applyBorder="1" applyAlignment="1">
      <alignment horizontal="right" vertical="center"/>
    </xf>
    <xf numFmtId="0" fontId="26" fillId="17" borderId="43" xfId="0" applyFont="1" applyFill="1" applyBorder="1"/>
    <xf numFmtId="43" fontId="26" fillId="17" borderId="44" xfId="0" applyNumberFormat="1" applyFont="1" applyFill="1" applyBorder="1"/>
    <xf numFmtId="3" fontId="9" fillId="4" borderId="0" xfId="2" applyNumberFormat="1" applyFont="1" applyFill="1" applyAlignment="1">
      <alignment horizontal="center" vertical="center"/>
    </xf>
    <xf numFmtId="3" fontId="9" fillId="4" borderId="18" xfId="2" applyNumberFormat="1" applyFont="1" applyFill="1" applyBorder="1" applyAlignment="1">
      <alignment horizontal="center" vertical="center"/>
    </xf>
    <xf numFmtId="3" fontId="9" fillId="4" borderId="19" xfId="2" applyNumberFormat="1" applyFont="1" applyFill="1" applyBorder="1" applyAlignment="1">
      <alignment horizontal="center" vertical="center"/>
    </xf>
    <xf numFmtId="3" fontId="9" fillId="4" borderId="20" xfId="2" applyNumberFormat="1" applyFont="1" applyFill="1" applyBorder="1" applyAlignment="1">
      <alignment horizontal="center" vertical="center"/>
    </xf>
    <xf numFmtId="3" fontId="9" fillId="4" borderId="21" xfId="2" applyNumberFormat="1" applyFont="1" applyFill="1" applyBorder="1" applyAlignment="1">
      <alignment horizontal="center" vertical="center"/>
    </xf>
    <xf numFmtId="3" fontId="11" fillId="4" borderId="0" xfId="2" applyNumberFormat="1" applyFont="1" applyFill="1" applyAlignment="1">
      <alignment horizontal="center" vertical="center"/>
    </xf>
    <xf numFmtId="3" fontId="9" fillId="4" borderId="27" xfId="2" applyNumberFormat="1" applyFont="1" applyFill="1" applyBorder="1" applyAlignment="1">
      <alignment horizontal="center" vertical="center"/>
    </xf>
    <xf numFmtId="0" fontId="13" fillId="4" borderId="33" xfId="2" applyFont="1" applyFill="1" applyBorder="1" applyAlignment="1">
      <alignment horizontal="center" vertical="center" wrapText="1"/>
    </xf>
    <xf numFmtId="3" fontId="12" fillId="4" borderId="33" xfId="2" applyNumberFormat="1" applyFont="1" applyFill="1" applyBorder="1" applyAlignment="1">
      <alignment horizontal="center" vertical="center" wrapText="1"/>
    </xf>
    <xf numFmtId="3" fontId="14" fillId="4" borderId="33" xfId="2" applyNumberFormat="1" applyFont="1" applyFill="1" applyBorder="1" applyAlignment="1">
      <alignment horizontal="center" vertical="center"/>
    </xf>
    <xf numFmtId="3" fontId="14" fillId="4" borderId="33" xfId="2" applyNumberFormat="1" applyFont="1" applyFill="1" applyBorder="1" applyAlignment="1">
      <alignment horizontal="center" vertical="center" wrapText="1"/>
    </xf>
    <xf numFmtId="3" fontId="14" fillId="4" borderId="18" xfId="2" applyNumberFormat="1" applyFont="1" applyFill="1" applyBorder="1" applyAlignment="1">
      <alignment horizontal="center" vertical="center"/>
    </xf>
    <xf numFmtId="3" fontId="14" fillId="4" borderId="19" xfId="2" applyNumberFormat="1" applyFont="1" applyFill="1" applyBorder="1" applyAlignment="1">
      <alignment horizontal="center" vertical="center"/>
    </xf>
    <xf numFmtId="3" fontId="16" fillId="4" borderId="0" xfId="2" applyNumberFormat="1" applyFont="1" applyFill="1" applyAlignment="1">
      <alignment horizontal="center" vertical="center"/>
    </xf>
    <xf numFmtId="3" fontId="9" fillId="4" borderId="9" xfId="2" applyNumberFormat="1" applyFont="1" applyFill="1" applyBorder="1" applyAlignment="1">
      <alignment horizontal="center" vertical="center"/>
    </xf>
    <xf numFmtId="3" fontId="9" fillId="4" borderId="7" xfId="2" applyNumberFormat="1" applyFont="1" applyFill="1" applyBorder="1" applyAlignment="1">
      <alignment horizontal="center" vertical="center"/>
    </xf>
    <xf numFmtId="3" fontId="15" fillId="4" borderId="37" xfId="2" applyNumberFormat="1" applyFont="1" applyFill="1" applyBorder="1" applyAlignment="1">
      <alignment horizontal="center" vertical="center"/>
    </xf>
    <xf numFmtId="3" fontId="15" fillId="4" borderId="35" xfId="2" applyNumberFormat="1" applyFont="1" applyFill="1" applyBorder="1" applyAlignment="1">
      <alignment horizontal="center" vertical="center"/>
    </xf>
    <xf numFmtId="3" fontId="14" fillId="4" borderId="0" xfId="2" applyNumberFormat="1" applyFont="1" applyFill="1" applyAlignment="1">
      <alignment horizontal="center" vertical="center"/>
    </xf>
    <xf numFmtId="3" fontId="14" fillId="4" borderId="33" xfId="0" applyNumberFormat="1" applyFont="1" applyFill="1" applyBorder="1" applyAlignment="1">
      <alignment horizontal="center" vertical="center"/>
    </xf>
    <xf numFmtId="3" fontId="14" fillId="4" borderId="33" xfId="0" applyNumberFormat="1" applyFont="1" applyFill="1" applyBorder="1" applyAlignment="1">
      <alignment horizontal="center" vertical="center" wrapText="1"/>
    </xf>
    <xf numFmtId="3" fontId="9" fillId="4" borderId="0" xfId="3" applyNumberFormat="1" applyFont="1" applyFill="1" applyAlignment="1">
      <alignment horizontal="center" vertical="center"/>
    </xf>
    <xf numFmtId="3" fontId="9" fillId="4" borderId="18" xfId="3" applyNumberFormat="1" applyFont="1" applyFill="1" applyBorder="1" applyAlignment="1">
      <alignment horizontal="center" vertical="center"/>
    </xf>
    <xf numFmtId="3" fontId="9" fillId="4" borderId="19" xfId="3" applyNumberFormat="1" applyFont="1" applyFill="1" applyBorder="1" applyAlignment="1">
      <alignment horizontal="center" vertical="center"/>
    </xf>
    <xf numFmtId="3" fontId="11" fillId="4" borderId="0" xfId="3" applyNumberFormat="1" applyFont="1" applyFill="1" applyAlignment="1">
      <alignment horizontal="center" vertical="center"/>
    </xf>
    <xf numFmtId="0" fontId="13" fillId="4" borderId="33" xfId="3" applyFont="1" applyFill="1" applyBorder="1" applyAlignment="1">
      <alignment horizontal="center" vertical="center" wrapText="1"/>
    </xf>
    <xf numFmtId="3" fontId="12" fillId="4" borderId="33" xfId="3" applyNumberFormat="1" applyFont="1" applyFill="1" applyBorder="1" applyAlignment="1">
      <alignment horizontal="center" vertical="center" wrapText="1"/>
    </xf>
    <xf numFmtId="3" fontId="9" fillId="4" borderId="7" xfId="3" applyNumberFormat="1" applyFont="1" applyFill="1" applyBorder="1" applyAlignment="1">
      <alignment horizontal="center" vertical="center"/>
    </xf>
    <xf numFmtId="3" fontId="14" fillId="4" borderId="33" xfId="3" applyNumberFormat="1" applyFont="1" applyFill="1" applyBorder="1" applyAlignment="1">
      <alignment horizontal="center" vertical="center"/>
    </xf>
    <xf numFmtId="3" fontId="14" fillId="4" borderId="33" xfId="3" applyNumberFormat="1" applyFont="1" applyFill="1" applyBorder="1" applyAlignment="1">
      <alignment horizontal="center" vertical="center" wrapText="1"/>
    </xf>
    <xf numFmtId="3" fontId="14" fillId="4" borderId="18" xfId="3" applyNumberFormat="1" applyFont="1" applyFill="1" applyBorder="1" applyAlignment="1">
      <alignment horizontal="center" vertical="center"/>
    </xf>
    <xf numFmtId="3" fontId="14" fillId="4" borderId="19" xfId="3" applyNumberFormat="1" applyFont="1" applyFill="1" applyBorder="1" applyAlignment="1">
      <alignment horizontal="center" vertical="center"/>
    </xf>
    <xf numFmtId="3" fontId="16" fillId="4" borderId="0" xfId="3" applyNumberFormat="1" applyFont="1" applyFill="1" applyAlignment="1">
      <alignment horizontal="center" vertical="center"/>
    </xf>
    <xf numFmtId="3" fontId="9" fillId="4" borderId="9" xfId="3" applyNumberFormat="1" applyFont="1" applyFill="1" applyBorder="1" applyAlignment="1">
      <alignment horizontal="center" vertical="center"/>
    </xf>
    <xf numFmtId="3" fontId="15" fillId="4" borderId="37" xfId="3" applyNumberFormat="1" applyFont="1" applyFill="1" applyBorder="1" applyAlignment="1">
      <alignment horizontal="center" vertical="center"/>
    </xf>
    <xf numFmtId="3" fontId="20" fillId="4" borderId="35" xfId="3" applyNumberFormat="1" applyFill="1" applyBorder="1" applyAlignment="1">
      <alignment horizontal="center" vertical="center"/>
    </xf>
    <xf numFmtId="3" fontId="14" fillId="4" borderId="0" xfId="3" applyNumberFormat="1" applyFont="1" applyFill="1" applyAlignment="1">
      <alignment horizontal="center" vertical="center"/>
    </xf>
    <xf numFmtId="3" fontId="0" fillId="0" borderId="33" xfId="0" applyNumberFormat="1" applyBorder="1"/>
    <xf numFmtId="3" fontId="12" fillId="4" borderId="32" xfId="2" applyNumberFormat="1" applyFont="1" applyFill="1" applyBorder="1" applyAlignment="1">
      <alignment horizontal="center" vertical="center" wrapText="1"/>
    </xf>
    <xf numFmtId="43" fontId="0" fillId="0" borderId="33" xfId="0" applyNumberFormat="1" applyBorder="1"/>
    <xf numFmtId="43" fontId="0" fillId="0" borderId="14" xfId="0" applyNumberFormat="1" applyBorder="1"/>
    <xf numFmtId="0" fontId="13" fillId="4" borderId="32" xfId="2" applyFont="1" applyFill="1" applyBorder="1" applyAlignment="1">
      <alignment horizontal="center" vertical="center" wrapText="1"/>
    </xf>
    <xf numFmtId="43" fontId="14" fillId="4" borderId="33" xfId="1" applyFont="1" applyFill="1" applyBorder="1" applyAlignment="1">
      <alignment horizontal="center" vertical="center"/>
    </xf>
    <xf numFmtId="43" fontId="0" fillId="4" borderId="33" xfId="0" applyNumberFormat="1" applyFill="1" applyBorder="1"/>
    <xf numFmtId="43" fontId="0" fillId="4" borderId="14" xfId="0" applyNumberFormat="1" applyFill="1" applyBorder="1"/>
    <xf numFmtId="3" fontId="28" fillId="12" borderId="33" xfId="2" applyNumberFormat="1" applyFont="1" applyFill="1" applyBorder="1" applyAlignment="1">
      <alignment horizontal="center" vertical="center"/>
    </xf>
    <xf numFmtId="0" fontId="13" fillId="12" borderId="33" xfId="2" applyFont="1" applyFill="1" applyBorder="1" applyAlignment="1">
      <alignment horizontal="center" vertical="center" wrapText="1"/>
    </xf>
    <xf numFmtId="3" fontId="12" fillId="12" borderId="33" xfId="2" applyNumberFormat="1" applyFont="1" applyFill="1" applyBorder="1" applyAlignment="1">
      <alignment horizontal="center" vertical="center" wrapText="1"/>
    </xf>
    <xf numFmtId="3" fontId="9" fillId="18" borderId="28" xfId="2" applyNumberFormat="1" applyFont="1" applyFill="1" applyBorder="1" applyAlignment="1">
      <alignment horizontal="center" vertical="center"/>
    </xf>
    <xf numFmtId="3" fontId="9" fillId="18" borderId="36" xfId="2" applyNumberFormat="1" applyFont="1" applyFill="1" applyBorder="1" applyAlignment="1">
      <alignment horizontal="center" vertical="center"/>
    </xf>
    <xf numFmtId="3" fontId="9" fillId="18" borderId="28" xfId="3" applyNumberFormat="1" applyFont="1" applyFill="1" applyBorder="1" applyAlignment="1">
      <alignment horizontal="center" vertical="center"/>
    </xf>
    <xf numFmtId="3" fontId="9" fillId="18" borderId="36" xfId="3" applyNumberFormat="1" applyFont="1" applyFill="1" applyBorder="1" applyAlignment="1">
      <alignment horizontal="center" vertical="center"/>
    </xf>
    <xf numFmtId="3" fontId="28" fillId="19" borderId="0" xfId="3" applyNumberFormat="1" applyFont="1" applyFill="1" applyAlignment="1">
      <alignment horizontal="center" vertical="center"/>
    </xf>
    <xf numFmtId="3" fontId="11" fillId="0" borderId="0" xfId="4" applyNumberFormat="1" applyFont="1" applyAlignment="1">
      <alignment horizontal="center" vertical="center"/>
    </xf>
    <xf numFmtId="3" fontId="14" fillId="0" borderId="33" xfId="4" applyNumberFormat="1" applyFont="1" applyBorder="1" applyAlignment="1">
      <alignment horizontal="center" vertical="center"/>
    </xf>
    <xf numFmtId="3" fontId="14" fillId="0" borderId="33" xfId="4" applyNumberFormat="1" applyFont="1" applyBorder="1" applyAlignment="1">
      <alignment horizontal="center" vertical="center" wrapText="1"/>
    </xf>
    <xf numFmtId="3" fontId="14" fillId="0" borderId="0" xfId="4" applyNumberFormat="1" applyFont="1" applyAlignment="1">
      <alignment horizontal="center" vertical="center"/>
    </xf>
    <xf numFmtId="3" fontId="16" fillId="0" borderId="0" xfId="4" applyNumberFormat="1" applyFont="1" applyAlignment="1">
      <alignment horizontal="center" vertical="center"/>
    </xf>
    <xf numFmtId="3" fontId="9" fillId="7" borderId="0" xfId="4" applyNumberFormat="1" applyFont="1" applyFill="1" applyAlignment="1">
      <alignment horizontal="center" vertical="center"/>
    </xf>
    <xf numFmtId="3" fontId="9" fillId="0" borderId="18" xfId="4" applyNumberFormat="1" applyFont="1" applyBorder="1" applyAlignment="1">
      <alignment horizontal="center" vertical="center"/>
    </xf>
    <xf numFmtId="3" fontId="9" fillId="0" borderId="19" xfId="4" applyNumberFormat="1" applyFont="1" applyBorder="1" applyAlignment="1">
      <alignment horizontal="center" vertical="center"/>
    </xf>
    <xf numFmtId="0" fontId="13" fillId="8" borderId="33" xfId="4" applyFont="1" applyFill="1" applyBorder="1" applyAlignment="1">
      <alignment horizontal="center" vertical="center" wrapText="1"/>
    </xf>
    <xf numFmtId="3" fontId="12" fillId="9" borderId="33" xfId="4" applyNumberFormat="1" applyFont="1" applyFill="1" applyBorder="1" applyAlignment="1">
      <alignment horizontal="center" vertical="center" wrapText="1"/>
    </xf>
    <xf numFmtId="3" fontId="14" fillId="0" borderId="18" xfId="4" applyNumberFormat="1" applyFont="1" applyBorder="1" applyAlignment="1">
      <alignment horizontal="center" vertical="center"/>
    </xf>
    <xf numFmtId="3" fontId="14" fillId="0" borderId="19" xfId="4" applyNumberFormat="1" applyFont="1" applyBorder="1" applyAlignment="1">
      <alignment horizontal="center" vertical="center"/>
    </xf>
    <xf numFmtId="3" fontId="9" fillId="0" borderId="7" xfId="4" applyNumberFormat="1" applyFont="1" applyBorder="1" applyAlignment="1">
      <alignment horizontal="center" vertical="center"/>
    </xf>
    <xf numFmtId="3" fontId="9" fillId="0" borderId="28" xfId="4" applyNumberFormat="1" applyFont="1" applyBorder="1" applyAlignment="1">
      <alignment horizontal="center" vertical="center"/>
    </xf>
    <xf numFmtId="3" fontId="9" fillId="0" borderId="36" xfId="4" applyNumberFormat="1" applyFont="1" applyBorder="1" applyAlignment="1">
      <alignment horizontal="center" vertical="center"/>
    </xf>
    <xf numFmtId="3" fontId="9" fillId="0" borderId="2" xfId="4" applyNumberFormat="1" applyFont="1" applyBorder="1" applyAlignment="1">
      <alignment horizontal="center" vertical="center"/>
    </xf>
    <xf numFmtId="3" fontId="9" fillId="0" borderId="9" xfId="4" applyNumberFormat="1" applyFont="1" applyBorder="1" applyAlignment="1">
      <alignment horizontal="center" vertical="center"/>
    </xf>
    <xf numFmtId="3" fontId="15" fillId="0" borderId="37" xfId="4" applyNumberFormat="1" applyFont="1" applyBorder="1" applyAlignment="1">
      <alignment horizontal="center" vertical="center"/>
    </xf>
    <xf numFmtId="3" fontId="15" fillId="0" borderId="35" xfId="4" applyNumberFormat="1" applyFont="1" applyBorder="1" applyAlignment="1">
      <alignment horizontal="center" vertical="center"/>
    </xf>
    <xf numFmtId="3" fontId="9" fillId="12" borderId="7" xfId="2" applyNumberFormat="1" applyFont="1" applyFill="1" applyBorder="1" applyAlignment="1">
      <alignment horizontal="center" vertical="center"/>
    </xf>
    <xf numFmtId="3" fontId="9" fillId="12" borderId="9" xfId="2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3" fontId="14" fillId="0" borderId="16" xfId="4" applyNumberFormat="1" applyFont="1" applyBorder="1" applyAlignment="1">
      <alignment horizontal="center" vertical="center"/>
    </xf>
    <xf numFmtId="0" fontId="0" fillId="0" borderId="0" xfId="0" applyAlignment="1">
      <alignment horizontal="left" wrapText="1" indent="1"/>
    </xf>
    <xf numFmtId="3" fontId="0" fillId="0" borderId="0" xfId="0" applyNumberFormat="1" applyAlignment="1">
      <alignment horizontal="left" wrapText="1"/>
    </xf>
    <xf numFmtId="3" fontId="16" fillId="4" borderId="0" xfId="2" applyNumberFormat="1" applyFont="1" applyFill="1" applyAlignment="1">
      <alignment horizontal="center" vertical="center" wrapText="1"/>
    </xf>
    <xf numFmtId="3" fontId="16" fillId="4" borderId="0" xfId="3" applyNumberFormat="1" applyFont="1" applyFill="1" applyAlignment="1">
      <alignment horizontal="center" vertical="center" wrapText="1"/>
    </xf>
    <xf numFmtId="43" fontId="9" fillId="4" borderId="19" xfId="3" applyNumberFormat="1" applyFont="1" applyFill="1" applyBorder="1" applyAlignment="1">
      <alignment horizontal="center" vertical="center"/>
    </xf>
    <xf numFmtId="43" fontId="14" fillId="4" borderId="19" xfId="3" applyNumberFormat="1" applyFont="1" applyFill="1" applyBorder="1" applyAlignment="1">
      <alignment horizontal="center" vertical="center"/>
    </xf>
    <xf numFmtId="43" fontId="0" fillId="0" borderId="0" xfId="0" applyNumberFormat="1" applyAlignment="1">
      <alignment wrapText="1"/>
    </xf>
    <xf numFmtId="43" fontId="16" fillId="4" borderId="0" xfId="3" applyNumberFormat="1" applyFont="1" applyFill="1" applyAlignment="1">
      <alignment horizontal="center" vertical="center"/>
    </xf>
    <xf numFmtId="43" fontId="1" fillId="0" borderId="33" xfId="0" applyNumberFormat="1" applyFont="1" applyBorder="1"/>
    <xf numFmtId="43" fontId="1" fillId="0" borderId="14" xfId="0" applyNumberFormat="1" applyFont="1" applyBorder="1"/>
    <xf numFmtId="3" fontId="1" fillId="12" borderId="33" xfId="2" applyNumberFormat="1" applyFont="1" applyFill="1" applyBorder="1" applyAlignment="1">
      <alignment horizontal="center" vertical="center"/>
    </xf>
    <xf numFmtId="43" fontId="1" fillId="0" borderId="17" xfId="0" applyNumberFormat="1" applyFont="1" applyBorder="1"/>
    <xf numFmtId="3" fontId="1" fillId="19" borderId="34" xfId="2" applyNumberFormat="1" applyFont="1" applyFill="1" applyBorder="1" applyAlignment="1">
      <alignment horizontal="center" vertical="center"/>
    </xf>
    <xf numFmtId="3" fontId="1" fillId="19" borderId="33" xfId="2" applyNumberFormat="1" applyFont="1" applyFill="1" applyBorder="1" applyAlignment="1">
      <alignment horizontal="center" vertical="center"/>
    </xf>
    <xf numFmtId="3" fontId="9" fillId="0" borderId="2" xfId="2" applyNumberFormat="1" applyFont="1" applyBorder="1" applyAlignment="1">
      <alignment horizontal="center" vertical="center"/>
    </xf>
    <xf numFmtId="3" fontId="14" fillId="0" borderId="2" xfId="2" applyNumberFormat="1" applyFont="1" applyBorder="1" applyAlignment="1">
      <alignment horizontal="center" vertical="center"/>
    </xf>
    <xf numFmtId="3" fontId="14" fillId="0" borderId="5" xfId="2" applyNumberFormat="1" applyFont="1" applyBorder="1" applyAlignment="1">
      <alignment horizontal="center" vertical="center"/>
    </xf>
    <xf numFmtId="0" fontId="26" fillId="17" borderId="0" xfId="0" applyFont="1" applyFill="1"/>
    <xf numFmtId="0" fontId="26" fillId="12" borderId="33" xfId="0" applyFont="1" applyFill="1" applyBorder="1"/>
    <xf numFmtId="3" fontId="0" fillId="20" borderId="33" xfId="0" applyNumberFormat="1" applyFill="1" applyBorder="1"/>
    <xf numFmtId="43" fontId="1" fillId="21" borderId="33" xfId="0" applyNumberFormat="1" applyFont="1" applyFill="1" applyBorder="1"/>
    <xf numFmtId="3" fontId="0" fillId="22" borderId="33" xfId="0" applyNumberFormat="1" applyFill="1" applyBorder="1"/>
    <xf numFmtId="3" fontId="16" fillId="23" borderId="0" xfId="3" applyNumberFormat="1" applyFont="1" applyFill="1" applyAlignment="1">
      <alignment horizontal="center" vertical="center"/>
    </xf>
    <xf numFmtId="3" fontId="14" fillId="0" borderId="18" xfId="2" applyNumberFormat="1" applyFont="1" applyBorder="1" applyAlignment="1">
      <alignment horizontal="center" vertical="center" wrapText="1"/>
    </xf>
    <xf numFmtId="3" fontId="15" fillId="0" borderId="5" xfId="2" applyNumberFormat="1" applyFont="1" applyBorder="1" applyAlignment="1">
      <alignment horizontal="center" vertical="center" wrapText="1"/>
    </xf>
    <xf numFmtId="3" fontId="14" fillId="0" borderId="10" xfId="2" applyNumberFormat="1" applyFont="1" applyBorder="1" applyAlignment="1">
      <alignment horizontal="center" vertical="center" wrapText="1"/>
    </xf>
    <xf numFmtId="3" fontId="14" fillId="0" borderId="19" xfId="2" applyNumberFormat="1" applyFont="1" applyBorder="1" applyAlignment="1">
      <alignment horizontal="center" vertical="center" wrapText="1"/>
    </xf>
    <xf numFmtId="3" fontId="14" fillId="0" borderId="34" xfId="2" applyNumberFormat="1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3" fontId="9" fillId="0" borderId="38" xfId="2" applyNumberFormat="1" applyFont="1" applyBorder="1" applyAlignment="1">
      <alignment horizontal="center" vertical="center"/>
    </xf>
    <xf numFmtId="3" fontId="10" fillId="0" borderId="38" xfId="2" applyNumberFormat="1" applyFont="1" applyBorder="1" applyAlignment="1">
      <alignment horizontal="center" vertical="center"/>
    </xf>
    <xf numFmtId="3" fontId="9" fillId="0" borderId="38" xfId="2" applyNumberFormat="1" applyFont="1" applyBorder="1" applyAlignment="1">
      <alignment horizontal="center" vertical="center" wrapText="1"/>
    </xf>
    <xf numFmtId="3" fontId="16" fillId="0" borderId="5" xfId="2" applyNumberFormat="1" applyFont="1" applyBorder="1" applyAlignment="1">
      <alignment horizontal="center" vertical="center" wrapText="1"/>
    </xf>
    <xf numFmtId="3" fontId="12" fillId="0" borderId="38" xfId="2" applyNumberFormat="1" applyFont="1" applyBorder="1" applyAlignment="1">
      <alignment horizontal="center" vertical="center" wrapText="1"/>
    </xf>
    <xf numFmtId="3" fontId="11" fillId="0" borderId="38" xfId="2" applyNumberFormat="1" applyFont="1" applyBorder="1" applyAlignment="1">
      <alignment horizontal="center" vertical="center"/>
    </xf>
    <xf numFmtId="3" fontId="10" fillId="0" borderId="38" xfId="2" applyNumberFormat="1" applyFont="1" applyBorder="1" applyAlignment="1">
      <alignment horizontal="center" vertical="center" wrapText="1"/>
    </xf>
    <xf numFmtId="3" fontId="16" fillId="0" borderId="5" xfId="2" applyNumberFormat="1" applyFont="1" applyBorder="1" applyAlignment="1">
      <alignment horizontal="center" vertical="center"/>
    </xf>
    <xf numFmtId="3" fontId="14" fillId="0" borderId="38" xfId="2" applyNumberFormat="1" applyFont="1" applyBorder="1" applyAlignment="1">
      <alignment horizontal="center" vertical="center"/>
    </xf>
    <xf numFmtId="3" fontId="17" fillId="0" borderId="38" xfId="2" applyNumberFormat="1" applyFont="1" applyBorder="1" applyAlignment="1">
      <alignment horizontal="center" vertical="center"/>
    </xf>
    <xf numFmtId="3" fontId="12" fillId="7" borderId="22" xfId="2" applyNumberFormat="1" applyFont="1" applyFill="1" applyBorder="1" applyAlignment="1">
      <alignment horizontal="center" vertical="center" wrapText="1"/>
    </xf>
    <xf numFmtId="3" fontId="11" fillId="0" borderId="22" xfId="2" applyNumberFormat="1" applyFont="1" applyBorder="1" applyAlignment="1">
      <alignment horizontal="center" vertical="center"/>
    </xf>
    <xf numFmtId="3" fontId="11" fillId="0" borderId="31" xfId="2" applyNumberFormat="1" applyFont="1" applyBorder="1" applyAlignment="1">
      <alignment horizontal="center" vertical="center"/>
    </xf>
    <xf numFmtId="3" fontId="12" fillId="7" borderId="14" xfId="2" applyNumberFormat="1" applyFont="1" applyFill="1" applyBorder="1" applyAlignment="1">
      <alignment horizontal="center" vertical="center" wrapText="1"/>
    </xf>
    <xf numFmtId="3" fontId="10" fillId="0" borderId="26" xfId="2" applyNumberFormat="1" applyFont="1" applyBorder="1" applyAlignment="1">
      <alignment horizontal="center" vertical="center"/>
    </xf>
    <xf numFmtId="3" fontId="10" fillId="0" borderId="32" xfId="2" applyNumberFormat="1" applyFont="1" applyBorder="1" applyAlignment="1">
      <alignment horizontal="center" vertical="center"/>
    </xf>
    <xf numFmtId="3" fontId="12" fillId="7" borderId="14" xfId="2" applyNumberFormat="1" applyFont="1" applyFill="1" applyBorder="1" applyAlignment="1">
      <alignment horizontal="center" vertical="center"/>
    </xf>
    <xf numFmtId="3" fontId="12" fillId="7" borderId="26" xfId="2" applyNumberFormat="1" applyFont="1" applyFill="1" applyBorder="1" applyAlignment="1">
      <alignment horizontal="center" vertical="center" wrapText="1"/>
    </xf>
    <xf numFmtId="3" fontId="12" fillId="7" borderId="32" xfId="2" applyNumberFormat="1" applyFont="1" applyFill="1" applyBorder="1" applyAlignment="1">
      <alignment horizontal="center" vertical="center" wrapText="1"/>
    </xf>
    <xf numFmtId="3" fontId="12" fillId="7" borderId="23" xfId="2" applyNumberFormat="1" applyFont="1" applyFill="1" applyBorder="1" applyAlignment="1">
      <alignment horizontal="center" vertical="center" wrapText="1"/>
    </xf>
    <xf numFmtId="3" fontId="12" fillId="7" borderId="24" xfId="2" applyNumberFormat="1" applyFont="1" applyFill="1" applyBorder="1" applyAlignment="1">
      <alignment horizontal="center" vertical="center" wrapText="1"/>
    </xf>
    <xf numFmtId="3" fontId="12" fillId="7" borderId="25" xfId="2" applyNumberFormat="1" applyFont="1" applyFill="1" applyBorder="1" applyAlignment="1">
      <alignment horizontal="center" vertical="center" wrapText="1"/>
    </xf>
    <xf numFmtId="3" fontId="10" fillId="0" borderId="29" xfId="2" applyNumberFormat="1" applyFont="1" applyBorder="1" applyAlignment="1">
      <alignment horizontal="center" vertical="center"/>
    </xf>
    <xf numFmtId="3" fontId="10" fillId="0" borderId="30" xfId="2" applyNumberFormat="1" applyFont="1" applyBorder="1" applyAlignment="1">
      <alignment horizontal="center" vertical="center"/>
    </xf>
    <xf numFmtId="3" fontId="10" fillId="0" borderId="31" xfId="2" applyNumberFormat="1" applyFont="1" applyBorder="1" applyAlignment="1">
      <alignment horizontal="center" vertical="center"/>
    </xf>
    <xf numFmtId="3" fontId="9" fillId="7" borderId="11" xfId="2" applyNumberFormat="1" applyFont="1" applyFill="1" applyBorder="1" applyAlignment="1">
      <alignment horizontal="center" vertical="center"/>
    </xf>
    <xf numFmtId="3" fontId="10" fillId="0" borderId="12" xfId="2" applyNumberFormat="1" applyFont="1" applyBorder="1" applyAlignment="1">
      <alignment horizontal="center" vertical="center"/>
    </xf>
    <xf numFmtId="3" fontId="10" fillId="0" borderId="13" xfId="2" applyNumberFormat="1" applyFont="1" applyBorder="1" applyAlignment="1">
      <alignment horizontal="center" vertical="center"/>
    </xf>
    <xf numFmtId="3" fontId="9" fillId="0" borderId="14" xfId="2" applyNumberFormat="1" applyFont="1" applyBorder="1" applyAlignment="1">
      <alignment horizontal="center" vertical="center" wrapText="1"/>
    </xf>
    <xf numFmtId="3" fontId="9" fillId="0" borderId="15" xfId="2" applyNumberFormat="1" applyFont="1" applyBorder="1" applyAlignment="1">
      <alignment horizontal="center" vertical="center"/>
    </xf>
    <xf numFmtId="3" fontId="9" fillId="0" borderId="16" xfId="2" applyNumberFormat="1" applyFont="1" applyBorder="1" applyAlignment="1">
      <alignment horizontal="center" vertical="center"/>
    </xf>
    <xf numFmtId="3" fontId="10" fillId="0" borderId="16" xfId="2" applyNumberFormat="1" applyFont="1" applyBorder="1" applyAlignment="1">
      <alignment horizontal="center" vertical="center"/>
    </xf>
    <xf numFmtId="3" fontId="10" fillId="0" borderId="17" xfId="2" applyNumberFormat="1" applyFont="1" applyBorder="1" applyAlignment="1">
      <alignment horizontal="center" vertical="center"/>
    </xf>
    <xf numFmtId="3" fontId="9" fillId="0" borderId="5" xfId="2" applyNumberFormat="1" applyFont="1" applyBorder="1" applyAlignment="1">
      <alignment horizontal="center" vertical="center"/>
    </xf>
    <xf numFmtId="3" fontId="10" fillId="0" borderId="5" xfId="2" applyNumberFormat="1" applyFont="1" applyBorder="1" applyAlignment="1">
      <alignment horizontal="center" vertical="center"/>
    </xf>
    <xf numFmtId="3" fontId="10" fillId="0" borderId="25" xfId="2" applyNumberFormat="1" applyFont="1" applyBorder="1" applyAlignment="1">
      <alignment horizontal="center" vertical="center"/>
    </xf>
    <xf numFmtId="3" fontId="16" fillId="0" borderId="54" xfId="2" applyNumberFormat="1" applyFont="1" applyBorder="1" applyAlignment="1">
      <alignment horizontal="center" vertical="center" wrapText="1"/>
    </xf>
    <xf numFmtId="3" fontId="16" fillId="0" borderId="0" xfId="2" applyNumberFormat="1" applyFont="1" applyAlignment="1">
      <alignment horizontal="center" vertical="center" wrapText="1"/>
    </xf>
    <xf numFmtId="3" fontId="14" fillId="0" borderId="15" xfId="2" applyNumberFormat="1" applyFont="1" applyBorder="1" applyAlignment="1">
      <alignment horizontal="center" vertical="center"/>
    </xf>
    <xf numFmtId="3" fontId="17" fillId="0" borderId="16" xfId="2" applyNumberFormat="1" applyFont="1" applyBorder="1" applyAlignment="1">
      <alignment horizontal="center" vertical="center"/>
    </xf>
    <xf numFmtId="3" fontId="17" fillId="0" borderId="17" xfId="2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center" wrapText="1"/>
    </xf>
    <xf numFmtId="0" fontId="26" fillId="17" borderId="0" xfId="0" applyFont="1" applyFill="1" applyAlignment="1">
      <alignment horizontal="center"/>
    </xf>
    <xf numFmtId="3" fontId="1" fillId="12" borderId="33" xfId="2" applyNumberFormat="1" applyFont="1" applyFill="1" applyBorder="1" applyAlignment="1">
      <alignment horizontal="center" vertical="center"/>
    </xf>
    <xf numFmtId="3" fontId="16" fillId="12" borderId="15" xfId="2" applyNumberFormat="1" applyFont="1" applyFill="1" applyBorder="1" applyAlignment="1">
      <alignment horizontal="center" vertical="center"/>
    </xf>
    <xf numFmtId="3" fontId="16" fillId="12" borderId="16" xfId="2" applyNumberFormat="1" applyFont="1" applyFill="1" applyBorder="1" applyAlignment="1">
      <alignment horizontal="center" vertical="center"/>
    </xf>
    <xf numFmtId="0" fontId="26" fillId="12" borderId="15" xfId="0" applyFont="1" applyFill="1" applyBorder="1" applyAlignment="1">
      <alignment horizontal="center"/>
    </xf>
    <xf numFmtId="0" fontId="26" fillId="12" borderId="16" xfId="0" applyFont="1" applyFill="1" applyBorder="1" applyAlignment="1">
      <alignment horizontal="center"/>
    </xf>
    <xf numFmtId="0" fontId="26" fillId="12" borderId="17" xfId="0" applyFont="1" applyFill="1" applyBorder="1" applyAlignment="1">
      <alignment horizontal="center"/>
    </xf>
    <xf numFmtId="3" fontId="12" fillId="4" borderId="22" xfId="2" applyNumberFormat="1" applyFont="1" applyFill="1" applyBorder="1" applyAlignment="1">
      <alignment horizontal="center" vertical="center" wrapText="1"/>
    </xf>
    <xf numFmtId="3" fontId="11" fillId="4" borderId="22" xfId="2" applyNumberFormat="1" applyFont="1" applyFill="1" applyBorder="1" applyAlignment="1">
      <alignment horizontal="center" vertical="center"/>
    </xf>
    <xf numFmtId="3" fontId="11" fillId="4" borderId="31" xfId="2" applyNumberFormat="1" applyFont="1" applyFill="1" applyBorder="1" applyAlignment="1">
      <alignment horizontal="center" vertical="center"/>
    </xf>
    <xf numFmtId="3" fontId="12" fillId="4" borderId="14" xfId="2" applyNumberFormat="1" applyFont="1" applyFill="1" applyBorder="1" applyAlignment="1">
      <alignment horizontal="center" vertical="center" wrapText="1"/>
    </xf>
    <xf numFmtId="3" fontId="10" fillId="4" borderId="26" xfId="2" applyNumberFormat="1" applyFont="1" applyFill="1" applyBorder="1" applyAlignment="1">
      <alignment horizontal="center" vertical="center"/>
    </xf>
    <xf numFmtId="3" fontId="10" fillId="4" borderId="32" xfId="2" applyNumberFormat="1" applyFont="1" applyFill="1" applyBorder="1" applyAlignment="1">
      <alignment horizontal="center" vertical="center"/>
    </xf>
    <xf numFmtId="3" fontId="12" fillId="4" borderId="14" xfId="2" applyNumberFormat="1" applyFont="1" applyFill="1" applyBorder="1" applyAlignment="1">
      <alignment horizontal="center" vertical="center"/>
    </xf>
    <xf numFmtId="3" fontId="12" fillId="4" borderId="26" xfId="2" applyNumberFormat="1" applyFont="1" applyFill="1" applyBorder="1" applyAlignment="1">
      <alignment horizontal="center" vertical="center" wrapText="1"/>
    </xf>
    <xf numFmtId="3" fontId="12" fillId="4" borderId="32" xfId="2" applyNumberFormat="1" applyFont="1" applyFill="1" applyBorder="1" applyAlignment="1">
      <alignment horizontal="center" vertical="center" wrapText="1"/>
    </xf>
    <xf numFmtId="3" fontId="12" fillId="4" borderId="23" xfId="2" applyNumberFormat="1" applyFont="1" applyFill="1" applyBorder="1" applyAlignment="1">
      <alignment horizontal="center" vertical="center" wrapText="1"/>
    </xf>
    <xf numFmtId="3" fontId="12" fillId="4" borderId="24" xfId="2" applyNumberFormat="1" applyFont="1" applyFill="1" applyBorder="1" applyAlignment="1">
      <alignment horizontal="center" vertical="center" wrapText="1"/>
    </xf>
    <xf numFmtId="3" fontId="12" fillId="4" borderId="25" xfId="2" applyNumberFormat="1" applyFont="1" applyFill="1" applyBorder="1" applyAlignment="1">
      <alignment horizontal="center" vertical="center" wrapText="1"/>
    </xf>
    <xf numFmtId="3" fontId="10" fillId="4" borderId="29" xfId="2" applyNumberFormat="1" applyFont="1" applyFill="1" applyBorder="1" applyAlignment="1">
      <alignment horizontal="center" vertical="center"/>
    </xf>
    <xf numFmtId="3" fontId="10" fillId="4" borderId="30" xfId="2" applyNumberFormat="1" applyFont="1" applyFill="1" applyBorder="1" applyAlignment="1">
      <alignment horizontal="center" vertical="center"/>
    </xf>
    <xf numFmtId="3" fontId="10" fillId="4" borderId="31" xfId="2" applyNumberFormat="1" applyFont="1" applyFill="1" applyBorder="1" applyAlignment="1">
      <alignment horizontal="center" vertical="center"/>
    </xf>
    <xf numFmtId="0" fontId="27" fillId="4" borderId="33" xfId="0" applyFont="1" applyFill="1" applyBorder="1" applyAlignment="1">
      <alignment horizontal="center" wrapText="1"/>
    </xf>
    <xf numFmtId="0" fontId="27" fillId="4" borderId="14" xfId="0" applyFont="1" applyFill="1" applyBorder="1" applyAlignment="1">
      <alignment horizontal="center" wrapText="1"/>
    </xf>
    <xf numFmtId="3" fontId="14" fillId="4" borderId="15" xfId="2" applyNumberFormat="1" applyFont="1" applyFill="1" applyBorder="1" applyAlignment="1">
      <alignment horizontal="center" vertical="center"/>
    </xf>
    <xf numFmtId="3" fontId="17" fillId="4" borderId="16" xfId="2" applyNumberFormat="1" applyFont="1" applyFill="1" applyBorder="1" applyAlignment="1">
      <alignment horizontal="center" vertical="center"/>
    </xf>
    <xf numFmtId="3" fontId="17" fillId="4" borderId="17" xfId="2" applyNumberFormat="1" applyFont="1" applyFill="1" applyBorder="1" applyAlignment="1">
      <alignment horizontal="center" vertical="center"/>
    </xf>
    <xf numFmtId="3" fontId="9" fillId="18" borderId="7" xfId="2" applyNumberFormat="1" applyFont="1" applyFill="1" applyBorder="1" applyAlignment="1">
      <alignment horizontal="center" vertical="center"/>
    </xf>
    <xf numFmtId="3" fontId="10" fillId="18" borderId="9" xfId="2" applyNumberFormat="1" applyFont="1" applyFill="1" applyBorder="1" applyAlignment="1">
      <alignment horizontal="center" vertical="center"/>
    </xf>
    <xf numFmtId="3" fontId="9" fillId="4" borderId="11" xfId="2" applyNumberFormat="1" applyFont="1" applyFill="1" applyBorder="1" applyAlignment="1">
      <alignment horizontal="center" vertical="center"/>
    </xf>
    <xf numFmtId="3" fontId="10" fillId="4" borderId="12" xfId="2" applyNumberFormat="1" applyFont="1" applyFill="1" applyBorder="1" applyAlignment="1">
      <alignment horizontal="center" vertical="center"/>
    </xf>
    <xf numFmtId="3" fontId="10" fillId="4" borderId="13" xfId="2" applyNumberFormat="1" applyFont="1" applyFill="1" applyBorder="1" applyAlignment="1">
      <alignment horizontal="center" vertical="center"/>
    </xf>
    <xf numFmtId="3" fontId="9" fillId="4" borderId="14" xfId="2" applyNumberFormat="1" applyFont="1" applyFill="1" applyBorder="1" applyAlignment="1">
      <alignment horizontal="center" vertical="center" wrapText="1"/>
    </xf>
    <xf numFmtId="3" fontId="9" fillId="4" borderId="15" xfId="2" applyNumberFormat="1" applyFont="1" applyFill="1" applyBorder="1" applyAlignment="1">
      <alignment horizontal="center" vertical="center"/>
    </xf>
    <xf numFmtId="3" fontId="9" fillId="4" borderId="16" xfId="2" applyNumberFormat="1" applyFont="1" applyFill="1" applyBorder="1" applyAlignment="1">
      <alignment horizontal="center" vertical="center"/>
    </xf>
    <xf numFmtId="3" fontId="10" fillId="4" borderId="16" xfId="2" applyNumberFormat="1" applyFont="1" applyFill="1" applyBorder="1" applyAlignment="1">
      <alignment horizontal="center" vertical="center"/>
    </xf>
    <xf numFmtId="3" fontId="10" fillId="4" borderId="17" xfId="2" applyNumberFormat="1" applyFont="1" applyFill="1" applyBorder="1" applyAlignment="1">
      <alignment horizontal="center" vertical="center"/>
    </xf>
    <xf numFmtId="3" fontId="10" fillId="4" borderId="25" xfId="2" applyNumberFormat="1" applyFont="1" applyFill="1" applyBorder="1" applyAlignment="1">
      <alignment horizontal="center" vertical="center"/>
    </xf>
    <xf numFmtId="3" fontId="9" fillId="3" borderId="7" xfId="2" applyNumberFormat="1" applyFont="1" applyFill="1" applyBorder="1" applyAlignment="1">
      <alignment horizontal="center" vertical="center"/>
    </xf>
    <xf numFmtId="3" fontId="10" fillId="3" borderId="9" xfId="2" applyNumberFormat="1" applyFont="1" applyFill="1" applyBorder="1" applyAlignment="1">
      <alignment horizontal="center" vertical="center"/>
    </xf>
    <xf numFmtId="3" fontId="1" fillId="19" borderId="45" xfId="2" applyNumberFormat="1" applyFont="1" applyFill="1" applyBorder="1" applyAlignment="1">
      <alignment horizontal="center" vertical="center"/>
    </xf>
    <xf numFmtId="3" fontId="1" fillId="19" borderId="46" xfId="2" applyNumberFormat="1" applyFont="1" applyFill="1" applyBorder="1" applyAlignment="1">
      <alignment horizontal="center" vertical="center"/>
    </xf>
    <xf numFmtId="3" fontId="1" fillId="19" borderId="47" xfId="2" applyNumberFormat="1" applyFont="1" applyFill="1" applyBorder="1" applyAlignment="1">
      <alignment horizontal="center" vertical="center"/>
    </xf>
    <xf numFmtId="0" fontId="27" fillId="0" borderId="33" xfId="0" applyFont="1" applyBorder="1" applyAlignment="1">
      <alignment horizontal="center" wrapText="1"/>
    </xf>
    <xf numFmtId="0" fontId="27" fillId="0" borderId="15" xfId="0" applyFont="1" applyBorder="1" applyAlignment="1">
      <alignment horizontal="center" wrapText="1"/>
    </xf>
    <xf numFmtId="3" fontId="12" fillId="4" borderId="49" xfId="2" applyNumberFormat="1" applyFont="1" applyFill="1" applyBorder="1" applyAlignment="1">
      <alignment horizontal="center" vertical="center" wrapText="1"/>
    </xf>
    <xf numFmtId="3" fontId="12" fillId="4" borderId="33" xfId="2" applyNumberFormat="1" applyFont="1" applyFill="1" applyBorder="1" applyAlignment="1">
      <alignment horizontal="center" vertical="center" wrapText="1"/>
    </xf>
    <xf numFmtId="3" fontId="10" fillId="4" borderId="33" xfId="2" applyNumberFormat="1" applyFont="1" applyFill="1" applyBorder="1" applyAlignment="1">
      <alignment horizontal="center" vertical="center"/>
    </xf>
    <xf numFmtId="3" fontId="1" fillId="19" borderId="48" xfId="2" applyNumberFormat="1" applyFont="1" applyFill="1" applyBorder="1" applyAlignment="1">
      <alignment horizontal="center" vertical="center"/>
    </xf>
    <xf numFmtId="3" fontId="10" fillId="4" borderId="50" xfId="2" applyNumberFormat="1" applyFont="1" applyFill="1" applyBorder="1" applyAlignment="1">
      <alignment horizontal="center" vertical="center"/>
    </xf>
    <xf numFmtId="3" fontId="10" fillId="4" borderId="49" xfId="2" applyNumberFormat="1" applyFont="1" applyFill="1" applyBorder="1" applyAlignment="1">
      <alignment horizontal="center" vertical="center"/>
    </xf>
    <xf numFmtId="3" fontId="9" fillId="4" borderId="23" xfId="2" applyNumberFormat="1" applyFont="1" applyFill="1" applyBorder="1" applyAlignment="1">
      <alignment horizontal="center" vertical="center"/>
    </xf>
    <xf numFmtId="3" fontId="9" fillId="4" borderId="24" xfId="2" applyNumberFormat="1" applyFont="1" applyFill="1" applyBorder="1" applyAlignment="1">
      <alignment horizontal="center" vertical="center"/>
    </xf>
    <xf numFmtId="3" fontId="10" fillId="4" borderId="24" xfId="2" applyNumberFormat="1" applyFont="1" applyFill="1" applyBorder="1" applyAlignment="1">
      <alignment horizontal="center" vertical="center"/>
    </xf>
    <xf numFmtId="3" fontId="9" fillId="12" borderId="7" xfId="2" applyNumberFormat="1" applyFont="1" applyFill="1" applyBorder="1" applyAlignment="1">
      <alignment horizontal="center" vertical="center"/>
    </xf>
    <xf numFmtId="3" fontId="9" fillId="12" borderId="9" xfId="2" applyNumberFormat="1" applyFont="1" applyFill="1" applyBorder="1" applyAlignment="1">
      <alignment horizontal="center" vertical="center"/>
    </xf>
    <xf numFmtId="0" fontId="26" fillId="17" borderId="30" xfId="0" applyFont="1" applyFill="1" applyBorder="1" applyAlignment="1">
      <alignment horizontal="center"/>
    </xf>
    <xf numFmtId="0" fontId="27" fillId="4" borderId="15" xfId="0" applyFont="1" applyFill="1" applyBorder="1" applyAlignment="1">
      <alignment horizontal="center" wrapText="1"/>
    </xf>
    <xf numFmtId="0" fontId="27" fillId="4" borderId="16" xfId="0" applyFont="1" applyFill="1" applyBorder="1" applyAlignment="1">
      <alignment horizontal="center" wrapText="1"/>
    </xf>
    <xf numFmtId="0" fontId="27" fillId="0" borderId="16" xfId="0" applyFont="1" applyBorder="1" applyAlignment="1">
      <alignment horizontal="center" wrapText="1"/>
    </xf>
    <xf numFmtId="0" fontId="27" fillId="0" borderId="17" xfId="0" applyFont="1" applyBorder="1" applyAlignment="1">
      <alignment horizontal="center" wrapText="1"/>
    </xf>
    <xf numFmtId="3" fontId="1" fillId="19" borderId="51" xfId="2" applyNumberFormat="1" applyFont="1" applyFill="1" applyBorder="1" applyAlignment="1">
      <alignment horizontal="center" vertical="center"/>
    </xf>
    <xf numFmtId="3" fontId="1" fillId="19" borderId="52" xfId="2" applyNumberFormat="1" applyFont="1" applyFill="1" applyBorder="1" applyAlignment="1">
      <alignment horizontal="center" vertical="center"/>
    </xf>
    <xf numFmtId="3" fontId="1" fillId="19" borderId="53" xfId="2" applyNumberFormat="1" applyFont="1" applyFill="1" applyBorder="1" applyAlignment="1">
      <alignment horizontal="center" vertical="center"/>
    </xf>
    <xf numFmtId="3" fontId="12" fillId="4" borderId="14" xfId="3" applyNumberFormat="1" applyFont="1" applyFill="1" applyBorder="1" applyAlignment="1">
      <alignment horizontal="center" vertical="center" wrapText="1"/>
    </xf>
    <xf numFmtId="3" fontId="12" fillId="4" borderId="26" xfId="3" applyNumberFormat="1" applyFont="1" applyFill="1" applyBorder="1" applyAlignment="1">
      <alignment horizontal="center" vertical="center" wrapText="1"/>
    </xf>
    <xf numFmtId="3" fontId="12" fillId="4" borderId="32" xfId="3" applyNumberFormat="1" applyFont="1" applyFill="1" applyBorder="1" applyAlignment="1">
      <alignment horizontal="center" vertical="center" wrapText="1"/>
    </xf>
    <xf numFmtId="3" fontId="14" fillId="4" borderId="41" xfId="3" applyNumberFormat="1" applyFont="1" applyFill="1" applyBorder="1" applyAlignment="1">
      <alignment horizontal="center" vertical="center"/>
    </xf>
    <xf numFmtId="3" fontId="14" fillId="4" borderId="42" xfId="3" applyNumberFormat="1" applyFont="1" applyFill="1" applyBorder="1" applyAlignment="1">
      <alignment horizontal="center" vertical="center"/>
    </xf>
    <xf numFmtId="3" fontId="14" fillId="4" borderId="15" xfId="3" applyNumberFormat="1" applyFont="1" applyFill="1" applyBorder="1" applyAlignment="1">
      <alignment horizontal="center" vertical="center"/>
    </xf>
    <xf numFmtId="3" fontId="17" fillId="4" borderId="16" xfId="3" applyNumberFormat="1" applyFont="1" applyFill="1" applyBorder="1" applyAlignment="1">
      <alignment horizontal="center" vertical="center"/>
    </xf>
    <xf numFmtId="3" fontId="17" fillId="4" borderId="17" xfId="3" applyNumberFormat="1" applyFont="1" applyFill="1" applyBorder="1" applyAlignment="1">
      <alignment horizontal="center" vertical="center"/>
    </xf>
    <xf numFmtId="3" fontId="9" fillId="4" borderId="14" xfId="3" applyNumberFormat="1" applyFont="1" applyFill="1" applyBorder="1" applyAlignment="1">
      <alignment horizontal="center" vertical="center" wrapText="1"/>
    </xf>
    <xf numFmtId="3" fontId="10" fillId="4" borderId="26" xfId="3" applyNumberFormat="1" applyFont="1" applyFill="1" applyBorder="1" applyAlignment="1">
      <alignment horizontal="center" vertical="center"/>
    </xf>
    <xf numFmtId="3" fontId="10" fillId="4" borderId="32" xfId="3" applyNumberFormat="1" applyFont="1" applyFill="1" applyBorder="1" applyAlignment="1">
      <alignment horizontal="center" vertical="center"/>
    </xf>
    <xf numFmtId="3" fontId="9" fillId="4" borderId="15" xfId="3" applyNumberFormat="1" applyFont="1" applyFill="1" applyBorder="1" applyAlignment="1">
      <alignment horizontal="center" vertical="center"/>
    </xf>
    <xf numFmtId="3" fontId="9" fillId="4" borderId="16" xfId="3" applyNumberFormat="1" applyFont="1" applyFill="1" applyBorder="1" applyAlignment="1">
      <alignment horizontal="center" vertical="center"/>
    </xf>
    <xf numFmtId="3" fontId="10" fillId="4" borderId="16" xfId="3" applyNumberFormat="1" applyFont="1" applyFill="1" applyBorder="1" applyAlignment="1">
      <alignment horizontal="center" vertical="center"/>
    </xf>
    <xf numFmtId="3" fontId="10" fillId="4" borderId="17" xfId="3" applyNumberFormat="1" applyFont="1" applyFill="1" applyBorder="1" applyAlignment="1">
      <alignment horizontal="center" vertical="center"/>
    </xf>
    <xf numFmtId="3" fontId="12" fillId="4" borderId="23" xfId="3" applyNumberFormat="1" applyFont="1" applyFill="1" applyBorder="1" applyAlignment="1">
      <alignment horizontal="center" vertical="center" wrapText="1"/>
    </xf>
    <xf numFmtId="3" fontId="12" fillId="4" borderId="24" xfId="3" applyNumberFormat="1" applyFont="1" applyFill="1" applyBorder="1" applyAlignment="1">
      <alignment horizontal="center" vertical="center" wrapText="1"/>
    </xf>
    <xf numFmtId="3" fontId="10" fillId="4" borderId="25" xfId="3" applyNumberFormat="1" applyFont="1" applyFill="1" applyBorder="1" applyAlignment="1">
      <alignment horizontal="center" vertical="center"/>
    </xf>
    <xf numFmtId="3" fontId="10" fillId="4" borderId="29" xfId="3" applyNumberFormat="1" applyFont="1" applyFill="1" applyBorder="1" applyAlignment="1">
      <alignment horizontal="center" vertical="center"/>
    </xf>
    <xf numFmtId="3" fontId="10" fillId="4" borderId="30" xfId="3" applyNumberFormat="1" applyFont="1" applyFill="1" applyBorder="1" applyAlignment="1">
      <alignment horizontal="center" vertical="center"/>
    </xf>
    <xf numFmtId="3" fontId="10" fillId="4" borderId="31" xfId="3" applyNumberFormat="1" applyFont="1" applyFill="1" applyBorder="1" applyAlignment="1">
      <alignment horizontal="center" vertical="center"/>
    </xf>
    <xf numFmtId="3" fontId="9" fillId="18" borderId="7" xfId="3" applyNumberFormat="1" applyFont="1" applyFill="1" applyBorder="1" applyAlignment="1">
      <alignment horizontal="center" vertical="center"/>
    </xf>
    <xf numFmtId="3" fontId="9" fillId="18" borderId="9" xfId="3" applyNumberFormat="1" applyFont="1" applyFill="1" applyBorder="1" applyAlignment="1">
      <alignment horizontal="center" vertical="center"/>
    </xf>
    <xf numFmtId="0" fontId="27" fillId="20" borderId="33" xfId="0" applyFont="1" applyFill="1" applyBorder="1" applyAlignment="1">
      <alignment horizontal="center" wrapText="1"/>
    </xf>
    <xf numFmtId="3" fontId="9" fillId="4" borderId="11" xfId="3" applyNumberFormat="1" applyFont="1" applyFill="1" applyBorder="1" applyAlignment="1">
      <alignment horizontal="center" vertical="center"/>
    </xf>
    <xf numFmtId="3" fontId="10" fillId="4" borderId="12" xfId="3" applyNumberFormat="1" applyFont="1" applyFill="1" applyBorder="1" applyAlignment="1">
      <alignment horizontal="center" vertical="center"/>
    </xf>
    <xf numFmtId="3" fontId="10" fillId="4" borderId="13" xfId="3" applyNumberFormat="1" applyFont="1" applyFill="1" applyBorder="1" applyAlignment="1">
      <alignment horizontal="center" vertical="center"/>
    </xf>
    <xf numFmtId="3" fontId="12" fillId="4" borderId="22" xfId="3" applyNumberFormat="1" applyFont="1" applyFill="1" applyBorder="1" applyAlignment="1">
      <alignment horizontal="center" vertical="center" wrapText="1"/>
    </xf>
    <xf numFmtId="3" fontId="11" fillId="4" borderId="22" xfId="3" applyNumberFormat="1" applyFont="1" applyFill="1" applyBorder="1" applyAlignment="1">
      <alignment horizontal="center" vertical="center"/>
    </xf>
    <xf numFmtId="3" fontId="11" fillId="4" borderId="31" xfId="3" applyNumberFormat="1" applyFont="1" applyFill="1" applyBorder="1" applyAlignment="1">
      <alignment horizontal="center" vertical="center"/>
    </xf>
    <xf numFmtId="3" fontId="12" fillId="4" borderId="14" xfId="3" applyNumberFormat="1" applyFont="1" applyFill="1" applyBorder="1" applyAlignment="1">
      <alignment horizontal="center" vertical="center"/>
    </xf>
    <xf numFmtId="3" fontId="12" fillId="4" borderId="25" xfId="3" applyNumberFormat="1" applyFont="1" applyFill="1" applyBorder="1" applyAlignment="1">
      <alignment horizontal="center" vertical="center" wrapText="1"/>
    </xf>
    <xf numFmtId="2" fontId="3" fillId="4" borderId="7" xfId="0" applyNumberFormat="1" applyFont="1" applyFill="1" applyBorder="1" applyAlignment="1">
      <alignment horizontal="center"/>
    </xf>
    <xf numFmtId="2" fontId="3" fillId="4" borderId="8" xfId="0" applyNumberFormat="1" applyFont="1" applyFill="1" applyBorder="1" applyAlignment="1">
      <alignment horizontal="center"/>
    </xf>
    <xf numFmtId="2" fontId="3" fillId="4" borderId="9" xfId="0" applyNumberFormat="1" applyFont="1" applyFill="1" applyBorder="1" applyAlignment="1">
      <alignment horizontal="center"/>
    </xf>
    <xf numFmtId="3" fontId="9" fillId="0" borderId="7" xfId="4" applyNumberFormat="1" applyFont="1" applyBorder="1" applyAlignment="1">
      <alignment horizontal="center" vertical="center"/>
    </xf>
    <xf numFmtId="3" fontId="10" fillId="0" borderId="9" xfId="4" applyNumberFormat="1" applyFont="1" applyBorder="1" applyAlignment="1">
      <alignment horizontal="center" vertical="center"/>
    </xf>
    <xf numFmtId="3" fontId="9" fillId="7" borderId="11" xfId="4" applyNumberFormat="1" applyFont="1" applyFill="1" applyBorder="1" applyAlignment="1">
      <alignment horizontal="center" vertical="center"/>
    </xf>
    <xf numFmtId="3" fontId="10" fillId="0" borderId="12" xfId="4" applyNumberFormat="1" applyFont="1" applyBorder="1" applyAlignment="1">
      <alignment horizontal="center" vertical="center"/>
    </xf>
    <xf numFmtId="3" fontId="10" fillId="0" borderId="13" xfId="4" applyNumberFormat="1" applyFont="1" applyBorder="1" applyAlignment="1">
      <alignment horizontal="center" vertical="center"/>
    </xf>
    <xf numFmtId="3" fontId="9" fillId="0" borderId="14" xfId="4" applyNumberFormat="1" applyFont="1" applyBorder="1" applyAlignment="1">
      <alignment horizontal="center" vertical="center" wrapText="1"/>
    </xf>
    <xf numFmtId="3" fontId="10" fillId="0" borderId="26" xfId="4" applyNumberFormat="1" applyFont="1" applyBorder="1" applyAlignment="1">
      <alignment horizontal="center" vertical="center"/>
    </xf>
    <xf numFmtId="3" fontId="10" fillId="0" borderId="32" xfId="4" applyNumberFormat="1" applyFont="1" applyBorder="1" applyAlignment="1">
      <alignment horizontal="center" vertical="center"/>
    </xf>
    <xf numFmtId="3" fontId="9" fillId="0" borderId="15" xfId="4" applyNumberFormat="1" applyFont="1" applyBorder="1" applyAlignment="1">
      <alignment horizontal="center" vertical="center"/>
    </xf>
    <xf numFmtId="3" fontId="9" fillId="0" borderId="16" xfId="4" applyNumberFormat="1" applyFont="1" applyBorder="1" applyAlignment="1">
      <alignment horizontal="center" vertical="center"/>
    </xf>
    <xf numFmtId="3" fontId="10" fillId="0" borderId="16" xfId="4" applyNumberFormat="1" applyFont="1" applyBorder="1" applyAlignment="1">
      <alignment horizontal="center" vertical="center"/>
    </xf>
    <xf numFmtId="3" fontId="10" fillId="0" borderId="17" xfId="4" applyNumberFormat="1" applyFont="1" applyBorder="1" applyAlignment="1">
      <alignment horizontal="center" vertical="center"/>
    </xf>
    <xf numFmtId="3" fontId="12" fillId="7" borderId="14" xfId="4" applyNumberFormat="1" applyFont="1" applyFill="1" applyBorder="1" applyAlignment="1">
      <alignment horizontal="center" vertical="center" wrapText="1"/>
    </xf>
    <xf numFmtId="3" fontId="12" fillId="7" borderId="26" xfId="4" applyNumberFormat="1" applyFont="1" applyFill="1" applyBorder="1" applyAlignment="1">
      <alignment horizontal="center" vertical="center" wrapText="1"/>
    </xf>
    <xf numFmtId="3" fontId="12" fillId="7" borderId="32" xfId="4" applyNumberFormat="1" applyFont="1" applyFill="1" applyBorder="1" applyAlignment="1">
      <alignment horizontal="center" vertical="center" wrapText="1"/>
    </xf>
    <xf numFmtId="3" fontId="12" fillId="7" borderId="23" xfId="4" applyNumberFormat="1" applyFont="1" applyFill="1" applyBorder="1" applyAlignment="1">
      <alignment horizontal="center" vertical="center" wrapText="1"/>
    </xf>
    <xf numFmtId="3" fontId="12" fillId="7" borderId="24" xfId="4" applyNumberFormat="1" applyFont="1" applyFill="1" applyBorder="1" applyAlignment="1">
      <alignment horizontal="center" vertical="center" wrapText="1"/>
    </xf>
    <xf numFmtId="3" fontId="10" fillId="0" borderId="25" xfId="4" applyNumberFormat="1" applyFont="1" applyBorder="1" applyAlignment="1">
      <alignment horizontal="center" vertical="center"/>
    </xf>
    <xf numFmtId="3" fontId="10" fillId="0" borderId="29" xfId="4" applyNumberFormat="1" applyFont="1" applyBorder="1" applyAlignment="1">
      <alignment horizontal="center" vertical="center"/>
    </xf>
    <xf numFmtId="3" fontId="10" fillId="0" borderId="30" xfId="4" applyNumberFormat="1" applyFont="1" applyBorder="1" applyAlignment="1">
      <alignment horizontal="center" vertical="center"/>
    </xf>
    <xf numFmtId="3" fontId="10" fillId="0" borderId="31" xfId="4" applyNumberFormat="1" applyFont="1" applyBorder="1" applyAlignment="1">
      <alignment horizontal="center" vertical="center"/>
    </xf>
    <xf numFmtId="3" fontId="12" fillId="7" borderId="22" xfId="4" applyNumberFormat="1" applyFont="1" applyFill="1" applyBorder="1" applyAlignment="1">
      <alignment horizontal="center" vertical="center" wrapText="1"/>
    </xf>
    <xf numFmtId="3" fontId="11" fillId="0" borderId="22" xfId="4" applyNumberFormat="1" applyFont="1" applyBorder="1" applyAlignment="1">
      <alignment horizontal="center" vertical="center"/>
    </xf>
    <xf numFmtId="3" fontId="11" fillId="0" borderId="31" xfId="4" applyNumberFormat="1" applyFont="1" applyBorder="1" applyAlignment="1">
      <alignment horizontal="center" vertical="center"/>
    </xf>
    <xf numFmtId="3" fontId="12" fillId="7" borderId="14" xfId="4" applyNumberFormat="1" applyFont="1" applyFill="1" applyBorder="1" applyAlignment="1">
      <alignment horizontal="center" vertical="center"/>
    </xf>
    <xf numFmtId="3" fontId="12" fillId="7" borderId="25" xfId="4" applyNumberFormat="1" applyFont="1" applyFill="1" applyBorder="1" applyAlignment="1">
      <alignment horizontal="center" vertical="center" wrapText="1"/>
    </xf>
    <xf numFmtId="3" fontId="14" fillId="0" borderId="15" xfId="4" applyNumberFormat="1" applyFont="1" applyBorder="1" applyAlignment="1">
      <alignment horizontal="center" vertical="center"/>
    </xf>
    <xf numFmtId="3" fontId="17" fillId="0" borderId="16" xfId="4" applyNumberFormat="1" applyFont="1" applyBorder="1" applyAlignment="1">
      <alignment horizontal="center" vertical="center"/>
    </xf>
    <xf numFmtId="3" fontId="17" fillId="0" borderId="17" xfId="4" applyNumberFormat="1" applyFont="1" applyBorder="1" applyAlignment="1">
      <alignment horizontal="center" vertical="center"/>
    </xf>
    <xf numFmtId="0" fontId="26" fillId="17" borderId="30" xfId="0" applyFont="1" applyFill="1" applyBorder="1" applyAlignment="1">
      <alignment horizontal="center" wrapText="1"/>
    </xf>
  </cellXfs>
  <cellStyles count="5">
    <cellStyle name="Millares" xfId="1" builtinId="3"/>
    <cellStyle name="Normal" xfId="0" builtinId="0"/>
    <cellStyle name="Normal 2" xfId="2"/>
    <cellStyle name="Normal 3" xfId="3"/>
    <cellStyle name="Normal 4" xfId="4"/>
  </cellStyles>
  <dxfs count="237">
    <dxf>
      <numFmt numFmtId="35" formatCode="_-* #,##0.00_-;\-* #,##0.00_-;_-* &quot;-&quot;??_-;_-@_-"/>
    </dxf>
    <dxf>
      <alignment wrapText="1"/>
    </dxf>
    <dxf>
      <alignment wrapText="1"/>
    </dxf>
    <dxf>
      <alignment wrapText="1"/>
    </dxf>
    <dxf>
      <numFmt numFmtId="35" formatCode="_-* #,##0.00_-;\-* #,##0.00_-;_-* &quot;-&quot;??_-;_-@_-"/>
    </dxf>
    <dxf>
      <alignment wrapText="1"/>
    </dxf>
    <dxf>
      <alignment wrapText="1"/>
    </dxf>
    <dxf>
      <alignment wrapText="1"/>
    </dxf>
    <dxf>
      <numFmt numFmtId="35" formatCode="_-* #,##0.00_-;\-* #,##0.00_-;_-* &quot;-&quot;??_-;_-@_-"/>
    </dxf>
    <dxf>
      <alignment wrapText="1"/>
    </dxf>
    <dxf>
      <alignment wrapText="1"/>
    </dxf>
    <dxf>
      <alignment wrapText="1"/>
    </dxf>
    <dxf>
      <numFmt numFmtId="35" formatCode="_-* #,##0.00_-;\-* #,##0.00_-;_-* &quot;-&quot;??_-;_-@_-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font>
        <color theme="2" tint="-0.749992370372631"/>
      </font>
    </dxf>
    <dxf>
      <alignment wrapText="1"/>
    </dxf>
    <dxf>
      <alignment wrapText="1"/>
    </dxf>
    <dxf>
      <alignment wrapText="1"/>
    </dxf>
    <dxf>
      <font>
        <color theme="2" tint="-0.74999237037263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/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numFmt numFmtId="35" formatCode="_-* #,##0.00_-;\-* #,##0.00_-;_-* &quot;-&quot;??_-;_-@_-"/>
    </dxf>
    <dxf>
      <numFmt numFmtId="35" formatCode="_-* #,##0.00_-;\-* #,##0.00_-;_-* &quot;-&quot;??_-;_-@_-"/>
    </dxf>
    <dxf>
      <alignment wrapText="1"/>
    </dxf>
    <dxf>
      <alignment wrapText="1"/>
    </dxf>
    <dxf>
      <alignment wrapText="1"/>
    </dxf>
    <dxf>
      <numFmt numFmtId="35" formatCode="_-* #,##0.00_-;\-* #,##0.00_-;_-* &quot;-&quot;??_-;_-@_-"/>
    </dxf>
    <dxf>
      <numFmt numFmtId="35" formatCode="_-* #,##0.00_-;\-* #,##0.00_-;_-* &quot;-&quot;??_-;_-@_-"/>
    </dxf>
    <dxf>
      <alignment wrapText="1"/>
    </dxf>
    <dxf>
      <alignment wrapText="1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font>
        <color theme="2" tint="-0.749992370372631"/>
      </font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/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font>
        <color rgb="FF9C0006"/>
      </font>
      <fill>
        <patternFill>
          <bgColor rgb="FFFFC7CE"/>
        </patternFill>
      </fill>
    </dxf>
    <dxf>
      <alignment wrapText="1"/>
    </dxf>
    <dxf>
      <alignment wrapText="1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35" formatCode="_-* #,##0.00_-;\-* #,##0.00_-;_-* &quot;-&quot;??_-;_-@_-"/>
    </dxf>
    <dxf>
      <numFmt numFmtId="35" formatCode="_-* #,##0.00_-;\-* #,##0.00_-;_-* &quot;-&quot;??_-;_-@_-"/>
    </dxf>
    <dxf>
      <alignment wrapText="1"/>
    </dxf>
    <dxf>
      <alignment wrapText="1"/>
    </dxf>
    <dxf>
      <alignment wrapText="1"/>
    </dxf>
    <dxf>
      <numFmt numFmtId="35" formatCode="_-* #,##0.00_-;\-* #,##0.00_-;_-* &quot;-&quot;??_-;_-@_-"/>
    </dxf>
    <dxf>
      <numFmt numFmtId="35" formatCode="_-* #,##0.00_-;\-* #,##0.00_-;_-* &quot;-&quot;??_-;_-@_-"/>
    </dxf>
    <dxf>
      <alignment wrapText="1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alignment wrapText="1"/>
    </dxf>
    <dxf>
      <alignment wrapText="1"/>
    </dxf>
    <dxf>
      <alignment wrapText="1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alignment wrapText="1" inden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/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.##0"/>
      <fill>
        <patternFill patternType="solid">
          <fgColor indexed="64"/>
          <bgColor theme="0"/>
        </patternFill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/>
      </fill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scheme val="none"/>
      </font>
      <numFmt numFmtId="3" formatCode="#,##0"/>
      <fill>
        <patternFill patternType="none"/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pivotCacheDefinition" Target="pivotCache/pivotCacheDefinition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pivotCacheDefinition" Target="pivotCache/pivotCacheDefinition1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pivotCacheDefinition" Target="pivotCache/pivotCacheDefinition5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pivotCacheDefinition" Target="pivotCache/pivotCacheDefinition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pivotCacheDefinition" Target="pivotCache/pivotCacheDefinition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AntonioAguilarQu/OneDrive%20-%20medicinalegal.gov.co/Documentos/5.%20ADQUISICION%20DE%20EQUIPOS%20INTERMEDIA/ENVIADO%20SG%2012%2008%2025/Estudio%20de%20Mercado/Estudio%20de%20Mercado/Lote%205%20ESTUDIO%20MERCADO%20CENTRIFUG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AntonioAguilarQu/OneDrive%20-%20medicinalegal.gov.co/Documentos/5.%20ADQUISICION%20DE%20EQUIPOS%20INTERMEDIA/ENVIADO%20SG%2012%2008%2025/Estudio%20de%20Mercado/lote%207%20ESTUDIO%20MERCADO%20SEMI%20MICROBALANZ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DOR "/>
      <sheetName val="INGRESO DE DATOS "/>
      <sheetName val="DISTRIBUCION "/>
      <sheetName val="Hoja2"/>
      <sheetName val="HISTORICO"/>
      <sheetName val="DATOS REGIONALIZADO "/>
      <sheetName val="DATOS COTIZACIONES"/>
      <sheetName val="D. MED TEND CENTRAL  (2)"/>
      <sheetName val="VALIDACION DATOS"/>
      <sheetName val="Lote 5 ESTUDIO MERCADO CENTRIFU"/>
    </sheetNames>
    <sheetDataSet>
      <sheetData sheetId="0" refreshError="1"/>
      <sheetData sheetId="1" refreshError="1">
        <row r="4">
          <cell r="A4">
            <v>5</v>
          </cell>
        </row>
        <row r="5">
          <cell r="A5">
            <v>5</v>
          </cell>
        </row>
        <row r="6">
          <cell r="A6">
            <v>5</v>
          </cell>
        </row>
        <row r="7">
          <cell r="A7">
            <v>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DOR "/>
      <sheetName val="INGRESO DE DATOS "/>
      <sheetName val="DISTRIBUCION "/>
      <sheetName val="Hoja2"/>
      <sheetName val="HISTORICO"/>
      <sheetName val="DATOS REGIONALIZADO "/>
      <sheetName val="DATOS COTIZACIONES"/>
      <sheetName val="D. MED TEND CENTRAL  (2)"/>
      <sheetName val="VALIDACION 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B5">
            <v>21</v>
          </cell>
          <cell r="D5" t="str">
            <v>UNIDAD</v>
          </cell>
        </row>
        <row r="6">
          <cell r="D6" t="str">
            <v>UNIDAD</v>
          </cell>
        </row>
      </sheetData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terin Marisol Garzon Ancinez" refreshedDate="45835.36843599537" createdVersion="8" refreshedVersion="8" minRefreshableVersion="3" recordCount="27">
  <cacheSource type="worksheet">
    <worksheetSource ref="A4:O32" sheet="CONS ASIGNACION RUBROS"/>
  </cacheSource>
  <cacheFields count="15">
    <cacheField name="LOTE" numFmtId="3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# ITEM" numFmtId="3">
      <sharedItems containsSemiMixedTypes="0" containsString="0" containsNumber="1" containsInteger="1" minValue="1" maxValue="27"/>
    </cacheField>
    <cacheField name="DESCRIPCIÓN" numFmtId="3">
      <sharedItems/>
    </cacheField>
    <cacheField name="PRESENTACIÓN" numFmtId="3">
      <sharedItems/>
    </cacheField>
    <cacheField name="BOGOTÁ" numFmtId="3">
      <sharedItems containsSemiMixedTypes="0" containsString="0" containsNumber="1" containsInteger="1" minValue="0" maxValue="3"/>
    </cacheField>
    <cacheField name="ORIENTE" numFmtId="3">
      <sharedItems containsSemiMixedTypes="0" containsString="0" containsNumber="1" containsInteger="1" minValue="0" maxValue="2"/>
    </cacheField>
    <cacheField name="CANTIDAD TOTAL / ESTIMADA" numFmtId="3">
      <sharedItems containsSemiMixedTypes="0" containsString="0" containsNumber="1" containsInteger="1" minValue="1" maxValue="3"/>
    </cacheField>
    <cacheField name="valor unitario  " numFmtId="3">
      <sharedItems containsSemiMixedTypes="0" containsString="0" containsNumber="1" containsInteger="1" minValue="2603490" maxValue="246779422"/>
    </cacheField>
    <cacheField name="valor REG bta " numFmtId="3">
      <sharedItems containsSemiMixedTypes="0" containsString="0" containsNumber="1" containsInteger="1" minValue="0" maxValue="250932714" count="19">
        <n v="163862452"/>
        <n v="83104236"/>
        <n v="250932714"/>
        <n v="76999490"/>
        <n v="0"/>
        <n v="161915416"/>
        <n v="7329714"/>
        <n v="101320276"/>
        <n v="179604981"/>
        <n v="133386702"/>
        <n v="246779422"/>
        <n v="14365286"/>
        <n v="19454635"/>
        <n v="29155000"/>
        <n v="72741357"/>
        <n v="192791293"/>
        <n v="228239620"/>
        <n v="19359943"/>
        <n v="15473202"/>
      </sharedItems>
    </cacheField>
    <cacheField name="valor REG oriente " numFmtId="3">
      <sharedItems containsSemiMixedTypes="0" containsString="0" containsNumber="1" containsInteger="1" minValue="0" maxValue="222853680" count="10">
        <n v="0"/>
        <n v="49950288"/>
        <n v="46301988"/>
        <n v="136873800"/>
        <n v="59381000"/>
        <n v="18292580"/>
        <n v="5206980"/>
        <n v="73211033"/>
        <n v="222853680"/>
        <n v="14949098"/>
      </sharedItems>
    </cacheField>
    <cacheField name="VALOR TOTAL " numFmtId="3">
      <sharedItems containsSemiMixedTypes="0" containsString="0" containsNumber="1" containsInteger="1" minValue="5206980" maxValue="250932714"/>
    </cacheField>
    <cacheField name="grupo " numFmtId="3">
      <sharedItems/>
    </cacheField>
    <cacheField name="codigo rubro " numFmtId="3">
      <sharedItems count="7">
        <s v="A-2901-0800-9-20111D-2901002-02"/>
        <s v="A-2901-0800-16-20113A-2901002-02"/>
        <s v="A- 2901-0800-14-20111D-2901006-02"/>
        <s v="A-2901-0800-16-20113A-2901007-02"/>
        <s v="B-2901-0800-16-20113A-2901002-02"/>
        <s v="C-2901-0800-14-20111D-2901006-02"/>
        <s v="B-2901-0800-14-20111D-2901006-02"/>
      </sharedItems>
    </cacheField>
    <cacheField name="valor rubro " numFmtId="3">
      <sharedItems containsSemiMixedTypes="0" containsString="0" containsNumber="1" containsInteger="1" minValue="0" maxValue="570771360"/>
    </cacheField>
    <cacheField name="valor restante " numFmtId="3">
      <sharedItems containsSemiMixedTypes="0" containsString="0" containsNumber="1" containsInteger="1" minValue="-192791293" maxValue="406908908" count="27">
        <n v="406908908"/>
        <n v="104980348"/>
        <n v="155976194"/>
        <n v="23920510"/>
        <n v="250049712"/>
        <n v="32552017"/>
        <n v="188084584"/>
        <n v="292670286"/>
        <n v="-31173073"/>
        <n v="113065305"/>
        <n v="-3386702"/>
        <n v="-133714117"/>
        <n v="-5393874"/>
        <n v="78854005"/>
        <n v="220894712"/>
        <n v="-40189340"/>
        <n v="-192791293"/>
        <n v="-136873800"/>
        <n v="-59381000"/>
        <n v="-18292580"/>
        <n v="215687732"/>
        <n v="-72263426"/>
        <n v="-73211033"/>
        <n v="-7165948"/>
        <n v="8971412"/>
        <n v="70147203"/>
        <n v="8950714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xcel Services" refreshedDate="45847.462508449076" createdVersion="8" refreshedVersion="8" minRefreshableVersion="3" recordCount="28">
  <cacheSource type="worksheet">
    <worksheetSource ref="A4:N32" sheet="CONS ASIGNACION RUBROS"/>
  </cacheSource>
  <cacheFields count="14">
    <cacheField name="LOTE" numFmtId="3">
      <sharedItems containsSemiMixedTypes="0" containsString="0" containsNumber="1" containsInteger="1" minValue="1" maxValue="6"/>
    </cacheField>
    <cacheField name="# ITEM" numFmtId="3">
      <sharedItems containsSemiMixedTypes="0" containsString="0" containsNumber="1" containsInteger="1" minValue="1" maxValue="27"/>
    </cacheField>
    <cacheField name="DESCRIPCIÓN" numFmtId="3">
      <sharedItems/>
    </cacheField>
    <cacheField name="PRESENTACIÓN" numFmtId="3">
      <sharedItems/>
    </cacheField>
    <cacheField name="BOGOTÁ" numFmtId="3">
      <sharedItems containsSemiMixedTypes="0" containsString="0" containsNumber="1" containsInteger="1" minValue="0" maxValue="3"/>
    </cacheField>
    <cacheField name="ORIENTE" numFmtId="3">
      <sharedItems containsSemiMixedTypes="0" containsString="0" containsNumber="1" containsInteger="1" minValue="0" maxValue="2"/>
    </cacheField>
    <cacheField name="CANTIDAD TOTAL / ESTIMADA" numFmtId="3">
      <sharedItems containsSemiMixedTypes="0" containsString="0" containsNumber="1" containsInteger="1" minValue="1" maxValue="3"/>
    </cacheField>
    <cacheField name="valor unitario  " numFmtId="3">
      <sharedItems containsSemiMixedTypes="0" containsString="0" containsNumber="1" containsInteger="1" minValue="2603490" maxValue="192791293"/>
    </cacheField>
    <cacheField name="valor REG bta " numFmtId="3">
      <sharedItems containsSemiMixedTypes="0" containsString="0" containsNumber="1" containsInteger="1" minValue="0" maxValue="250932714" count="21">
        <n v="163862452"/>
        <n v="83104236"/>
        <n v="250932714"/>
        <n v="76999490"/>
        <n v="0"/>
        <n v="161915416"/>
        <n v="7329714"/>
        <n v="101320276"/>
        <n v="179604981"/>
        <n v="133386702"/>
        <n v="113065305"/>
        <n v="133714118"/>
        <n v="14365286"/>
        <n v="19454635"/>
        <n v="29155000"/>
        <n v="72741357"/>
        <n v="192791293"/>
        <n v="228239620"/>
        <n v="19359943"/>
        <n v="15473202"/>
        <n v="246779422" u="1"/>
      </sharedItems>
    </cacheField>
    <cacheField name="valor REG oriente " numFmtId="3">
      <sharedItems containsString="0" containsBlank="1" containsNumber="1" containsInteger="1" minValue="0" maxValue="222853680" count="11">
        <n v="0"/>
        <n v="49950288"/>
        <n v="46301988"/>
        <m/>
        <n v="136873800"/>
        <n v="59381000"/>
        <n v="18292580"/>
        <n v="5206980"/>
        <n v="73211033"/>
        <n v="222853680"/>
        <n v="14949098"/>
      </sharedItems>
    </cacheField>
    <cacheField name="VALOR TOTAL " numFmtId="3">
      <sharedItems containsSemiMixedTypes="0" containsString="0" containsNumber="1" containsInteger="1" minValue="5206980" maxValue="250932714"/>
    </cacheField>
    <cacheField name="grupo " numFmtId="3">
      <sharedItems/>
    </cacheField>
    <cacheField name="codigo rubro " numFmtId="3">
      <sharedItems containsBlank="1" count="8">
        <s v="A-2901-0800-9-20111D-2901002-02"/>
        <s v="A-2901-0800-16-20113A-2901002-02"/>
        <s v="A- 2901-0800-14-20111D-2901006-02"/>
        <s v="A-2901-0800-16-20113A-2901007-02"/>
        <s v="B-2901-0800-16-20113A-2901002-02"/>
        <s v="C-2901-0800-14-20111D-2901006-02"/>
        <s v="B-2901-0800-14-20111D-2901006-02"/>
        <m u="1"/>
      </sharedItems>
    </cacheField>
    <cacheField name="valor rubro " numFmtId="3">
      <sharedItems containsSemiMixedTypes="0" containsString="0" containsNumber="1" containsInteger="1" minValue="0" maxValue="46521837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aterin Marisol Garzon Ancinez" refreshedDate="45862.395424652779" createdVersion="8" refreshedVersion="8" minRefreshableVersion="3" recordCount="28">
  <cacheSource type="worksheet">
    <worksheetSource ref="A4:P32" sheet="CONS ASIGNACION RUBROS"/>
  </cacheSource>
  <cacheFields count="16">
    <cacheField name="LOTE" numFmtId="3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# ITEM" numFmtId="3">
      <sharedItems containsSemiMixedTypes="0" containsString="0" containsNumber="1" containsInteger="1" minValue="1" maxValue="27"/>
    </cacheField>
    <cacheField name="DESCRIPCIÓN" numFmtId="3">
      <sharedItems/>
    </cacheField>
    <cacheField name="PRESENTACIÓN" numFmtId="3">
      <sharedItems/>
    </cacheField>
    <cacheField name="BOGOTÁ" numFmtId="3">
      <sharedItems containsSemiMixedTypes="0" containsString="0" containsNumber="1" containsInteger="1" minValue="0" maxValue="3"/>
    </cacheField>
    <cacheField name="ORIENTE" numFmtId="3">
      <sharedItems containsSemiMixedTypes="0" containsString="0" containsNumber="1" containsInteger="1" minValue="0" maxValue="2"/>
    </cacheField>
    <cacheField name="CANTIDAD TOTAL / ESTIMADA" numFmtId="3">
      <sharedItems containsSemiMixedTypes="0" containsString="0" containsNumber="1" containsInteger="1" minValue="1" maxValue="3"/>
    </cacheField>
    <cacheField name="valor unitario  " numFmtId="3">
      <sharedItems containsSemiMixedTypes="0" containsString="0" containsNumber="1" containsInteger="1" minValue="2603490" maxValue="192791293"/>
    </cacheField>
    <cacheField name="valor REG bta " numFmtId="3">
      <sharedItems containsSemiMixedTypes="0" containsString="0" containsNumber="1" containsInteger="1" minValue="0" maxValue="250867767"/>
    </cacheField>
    <cacheField name="valor REG oriente " numFmtId="3">
      <sharedItems containsString="0" containsBlank="1" containsNumber="1" containsInteger="1" minValue="0" maxValue="222853680"/>
    </cacheField>
    <cacheField name="VALOR TOTAL " numFmtId="3">
      <sharedItems containsSemiMixedTypes="0" containsString="0" containsNumber="1" containsInteger="1" minValue="5206980" maxValue="250867767"/>
    </cacheField>
    <cacheField name="grupo " numFmtId="3">
      <sharedItems/>
    </cacheField>
    <cacheField name="codigo rubro " numFmtId="3">
      <sharedItems/>
    </cacheField>
    <cacheField name="valor rubro " numFmtId="3">
      <sharedItems containsString="0" containsBlank="1" containsNumber="1" containsInteger="1" minValue="0" maxValue="465218379"/>
    </cacheField>
    <cacheField name="valor restante " numFmtId="3">
      <sharedItems containsString="0" containsBlank="1" containsNumber="1" containsInteger="1" minValue="-228239620" maxValue="382132884"/>
    </cacheField>
    <cacheField name="info presupuestal " numFmtId="3">
      <sharedItems count="9" longText="1">
        <s v="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"/>
        <s v="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"/>
        <s v="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"/>
        <s v="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"/>
        <s v="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"/>
        <s v="código Rubro = C-2901-0800-14-20111D-2901006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"/>
        <s v="código Rubro = B-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"/>
        <e v="#N/A" u="1"/>
        <s v="código Rubro = B-2901-0800-14-20111D-2901006-02 Nombre del proyecto = VERDADERO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Caterin Marisol Garzon Ancinez" refreshedDate="45862.395978819448" createdVersion="8" refreshedVersion="8" minRefreshableVersion="3" recordCount="28">
  <cacheSource type="worksheet">
    <worksheetSource ref="A4:R32" sheet="CONS ASIGNACION RUBROS"/>
  </cacheSource>
  <cacheFields count="18">
    <cacheField name="LOTE" numFmtId="3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# ITEM" numFmtId="3">
      <sharedItems containsSemiMixedTypes="0" containsString="0" containsNumber="1" containsInteger="1" minValue="1" maxValue="27"/>
    </cacheField>
    <cacheField name="DESCRIPCIÓN" numFmtId="3">
      <sharedItems/>
    </cacheField>
    <cacheField name="PRESENTACIÓN" numFmtId="3">
      <sharedItems/>
    </cacheField>
    <cacheField name="BOGOTÁ" numFmtId="3">
      <sharedItems containsSemiMixedTypes="0" containsString="0" containsNumber="1" containsInteger="1" minValue="0" maxValue="3"/>
    </cacheField>
    <cacheField name="ORIENTE" numFmtId="3">
      <sharedItems containsSemiMixedTypes="0" containsString="0" containsNumber="1" containsInteger="1" minValue="0" maxValue="2"/>
    </cacheField>
    <cacheField name="CANTIDAD TOTAL / ESTIMADA" numFmtId="3">
      <sharedItems containsSemiMixedTypes="0" containsString="0" containsNumber="1" containsInteger="1" minValue="1" maxValue="3"/>
    </cacheField>
    <cacheField name="valor unitario  " numFmtId="3">
      <sharedItems containsSemiMixedTypes="0" containsString="0" containsNumber="1" containsInteger="1" minValue="2603490" maxValue="192791293"/>
    </cacheField>
    <cacheField name="valor REG bta " numFmtId="3">
      <sharedItems containsSemiMixedTypes="0" containsString="0" containsNumber="1" containsInteger="1" minValue="0" maxValue="250867767"/>
    </cacheField>
    <cacheField name="valor REG oriente " numFmtId="3">
      <sharedItems containsString="0" containsBlank="1" containsNumber="1" containsInteger="1" minValue="0" maxValue="222853680"/>
    </cacheField>
    <cacheField name="VALOR TOTAL " numFmtId="3">
      <sharedItems containsSemiMixedTypes="0" containsString="0" containsNumber="1" containsInteger="1" minValue="5206980" maxValue="250867767"/>
    </cacheField>
    <cacheField name="grupo " numFmtId="3">
      <sharedItems/>
    </cacheField>
    <cacheField name="codigo rubro " numFmtId="3">
      <sharedItems/>
    </cacheField>
    <cacheField name="valor rubro " numFmtId="3">
      <sharedItems containsString="0" containsBlank="1" containsNumber="1" containsInteger="1" minValue="0" maxValue="465218379"/>
    </cacheField>
    <cacheField name="valor restante " numFmtId="3">
      <sharedItems containsString="0" containsBlank="1" containsNumber="1" containsInteger="1" minValue="-228239620" maxValue="382132884"/>
    </cacheField>
    <cacheField name="info presupuestal " numFmtId="3">
      <sharedItems count="7" longText="1">
        <s v="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"/>
        <s v="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"/>
        <s v="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"/>
        <s v="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"/>
        <s v="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"/>
        <s v="código Rubro = C-2901-0800-14-20111D-2901006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"/>
        <s v="código Rubro = B-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"/>
      </sharedItems>
    </cacheField>
    <cacheField name="positivos " numFmtId="3">
      <sharedItems containsString="0" containsBlank="1" containsNumber="1" containsInteger="1" minValue="0" maxValue="250867767"/>
    </cacheField>
    <cacheField name="negativos " numFmtId="3">
      <sharedItems containsString="0" containsBlank="1" containsNumber="1" containsInteger="1" minValue="-228239620" maxValue="-33867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Caterin Ancinez" refreshedDate="45889.44967465278" createdVersion="8" refreshedVersion="8" minRefreshableVersion="3" recordCount="31">
  <cacheSource type="worksheet">
    <worksheetSource ref="A4:N35" sheet="CONS ASIGNACION RUBROS (2)"/>
  </cacheSource>
  <cacheFields count="14">
    <cacheField name="LOTE" numFmtId="3">
      <sharedItems containsSemiMixedTypes="0" containsString="0" containsNumber="1" containsInteger="1" minValue="1" maxValue="13" count="13">
        <n v="1"/>
        <n v="2"/>
        <n v="3"/>
        <n v="4"/>
        <n v="5"/>
        <n v="6"/>
        <n v="7"/>
        <n v="8"/>
        <n v="9"/>
        <n v="10"/>
        <n v="11"/>
        <n v="12"/>
        <n v="13"/>
      </sharedItems>
    </cacheField>
    <cacheField name="# ITEM" numFmtId="3">
      <sharedItems containsSemiMixedTypes="0" containsString="0" containsNumber="1" containsInteger="1" minValue="1" maxValue="29"/>
    </cacheField>
    <cacheField name="DESCRIPCIÓN" numFmtId="3">
      <sharedItems/>
    </cacheField>
    <cacheField name="PRESENTACIÓN" numFmtId="3">
      <sharedItems/>
    </cacheField>
    <cacheField name="BOGOTÁ" numFmtId="3">
      <sharedItems containsSemiMixedTypes="0" containsString="0" containsNumber="1" containsInteger="1" minValue="0" maxValue="3"/>
    </cacheField>
    <cacheField name="ORIENTE" numFmtId="3">
      <sharedItems containsSemiMixedTypes="0" containsString="0" containsNumber="1" containsInteger="1" minValue="0" maxValue="2"/>
    </cacheField>
    <cacheField name="CANTIDAD TOTAL / ESTIMADA" numFmtId="3">
      <sharedItems containsSemiMixedTypes="0" containsString="0" containsNumber="1" containsInteger="1" minValue="1" maxValue="3"/>
    </cacheField>
    <cacheField name="valor unitario  " numFmtId="3">
      <sharedItems containsSemiMixedTypes="0" containsString="0" containsNumber="1" containsInteger="1" minValue="2603490" maxValue="192791293"/>
    </cacheField>
    <cacheField name="valor REG bta " numFmtId="3">
      <sharedItems containsSemiMixedTypes="0" containsString="0" containsNumber="1" containsInteger="1" minValue="0" maxValue="228239620"/>
    </cacheField>
    <cacheField name="valor REG oriente " numFmtId="3">
      <sharedItems containsString="0" containsBlank="1" containsNumber="1" containsInteger="1" minValue="0" maxValue="216627055"/>
    </cacheField>
    <cacheField name="VALOR TOTAL " numFmtId="3">
      <sharedItems containsSemiMixedTypes="0" containsString="0" containsNumber="1" containsInteger="1" minValue="5206980" maxValue="228239620"/>
    </cacheField>
    <cacheField name="grupo " numFmtId="3">
      <sharedItems/>
    </cacheField>
    <cacheField name="codigo rubro " numFmtId="3">
      <sharedItems/>
    </cacheField>
    <cacheField name="cod y rubro" numFmtId="3">
      <sharedItems count="8" longText="1">
        <s v="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"/>
        <s v="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"/>
        <s v="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"/>
        <s v="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"/>
        <s v="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"/>
        <s v="código Rubro = C-2901-0800-14-20111D-2901010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"/>
        <s v="código Rubro = B-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"/>
        <s v="código Rubro = C-2901-0800-14-20111D-2901006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x v="0"/>
    <n v="1"/>
    <s v="CABINAS EXTRACTORAS PARA LABORATORIO DE ESTUPEFACIENTES DE LA REGIONAL BOGOTA"/>
    <s v="UNIDAD"/>
    <n v="2"/>
    <n v="0"/>
    <n v="2"/>
    <n v="81931226"/>
    <x v="0"/>
    <x v="0"/>
    <n v="163862452"/>
    <s v="LABORATORIO"/>
    <x v="0"/>
    <n v="570771360"/>
    <x v="0"/>
  </r>
  <r>
    <x v="0"/>
    <n v="2"/>
    <s v="CABINA EXTRACTORA PARA EL GRUPO DE PATOLOGIA FORENSE  DE LA REGIONAL BOGOTA"/>
    <s v="UNIDAD"/>
    <n v="1"/>
    <n v="0"/>
    <n v="1"/>
    <n v="83104236"/>
    <x v="1"/>
    <x v="0"/>
    <n v="83104236"/>
    <s v="PATOLOGIA"/>
    <x v="1"/>
    <n v="188084584"/>
    <x v="1"/>
  </r>
  <r>
    <x v="0"/>
    <n v="3"/>
    <s v="CABINAS EXTRACTORAS PARA EL LABORATORIO DE EVIDENCIA TRAZA  DE LA REGIONAL BOGOTA"/>
    <s v="UNIDAD"/>
    <n v="3"/>
    <n v="0"/>
    <n v="3"/>
    <n v="83644238"/>
    <x v="2"/>
    <x v="0"/>
    <n v="250932714"/>
    <s v="LABORATORIO"/>
    <x v="0"/>
    <n v="406908908"/>
    <x v="2"/>
  </r>
  <r>
    <x v="0"/>
    <n v="4"/>
    <s v="CABINA EXTRACTORA PARA EL LABORATORIO DE GENÉTICA DE LA REGIONAL BOGOTA"/>
    <s v="UNIDAD"/>
    <n v="1"/>
    <n v="0"/>
    <n v="1"/>
    <n v="76999490"/>
    <x v="3"/>
    <x v="0"/>
    <n v="76999490"/>
    <s v="GENÉTICA"/>
    <x v="2"/>
    <n v="100920000"/>
    <x v="3"/>
  </r>
  <r>
    <x v="0"/>
    <n v="5"/>
    <s v="CABINA EXTRACTORA PARA EL LABORATORIO DE GENÉTICA VILLAVICENCIO"/>
    <s v="UNIDAD"/>
    <n v="0"/>
    <n v="1"/>
    <n v="1"/>
    <n v="49950288"/>
    <x v="4"/>
    <x v="1"/>
    <n v="49950288"/>
    <s v="GENÉTICA"/>
    <x v="3"/>
    <n v="300000000"/>
    <x v="4"/>
  </r>
  <r>
    <x v="1"/>
    <n v="6"/>
    <s v="MICROSCOPIO ÓPTICO TRINOCULAR"/>
    <s v="UNIDAD"/>
    <n v="0"/>
    <n v="1"/>
    <n v="1"/>
    <n v="46301988"/>
    <x v="4"/>
    <x v="2"/>
    <n v="46301988"/>
    <s v="LABORATORIO"/>
    <x v="4"/>
    <n v="78854005"/>
    <x v="5"/>
  </r>
  <r>
    <x v="1"/>
    <n v="7"/>
    <s v="Estereomicroscopio  con camara "/>
    <s v="UNIDAD"/>
    <n v="1"/>
    <n v="0"/>
    <n v="1"/>
    <n v="161915416"/>
    <x v="5"/>
    <x v="0"/>
    <n v="161915416"/>
    <s v="PATOLOGIA"/>
    <x v="1"/>
    <n v="350000000"/>
    <x v="6"/>
  </r>
  <r>
    <x v="2"/>
    <n v="8"/>
    <s v="Baño De Flotación  "/>
    <s v="UNIDAD"/>
    <n v="1"/>
    <n v="0"/>
    <n v="1"/>
    <n v="7329714"/>
    <x v="6"/>
    <x v="0"/>
    <n v="7329714"/>
    <s v="PATOLOGIA"/>
    <x v="5"/>
    <n v="300000000"/>
    <x v="7"/>
  </r>
  <r>
    <x v="2"/>
    <n v="9"/>
    <s v="Central De Inclusión "/>
    <s v="UNIDAD"/>
    <n v="1"/>
    <n v="0"/>
    <n v="1"/>
    <n v="101320276"/>
    <x v="7"/>
    <x v="0"/>
    <n v="101320276"/>
    <s v="PATOLOGIA"/>
    <x v="1"/>
    <n v="70147203"/>
    <x v="8"/>
  </r>
  <r>
    <x v="2"/>
    <n v="10"/>
    <s v="Criostato"/>
    <s v="UNIDAD"/>
    <n v="1"/>
    <n v="0"/>
    <n v="1"/>
    <n v="179604981"/>
    <x v="8"/>
    <x v="0"/>
    <n v="179604981"/>
    <s v="PATOLOGIA"/>
    <x v="5"/>
    <n v="292670286"/>
    <x v="9"/>
  </r>
  <r>
    <x v="2"/>
    <n v="11"/>
    <s v="Micrótomo Motorizado "/>
    <s v="UNIDAD"/>
    <n v="1"/>
    <n v="0"/>
    <n v="1"/>
    <n v="133386702"/>
    <x v="9"/>
    <x v="0"/>
    <n v="133386702"/>
    <s v="PATOLOGIA"/>
    <x v="6"/>
    <n v="130000000"/>
    <x v="10"/>
  </r>
  <r>
    <x v="2"/>
    <n v="12"/>
    <s v="Procesador de Tejidos "/>
    <s v="UNIDAD"/>
    <n v="1"/>
    <n v="0"/>
    <n v="1"/>
    <n v="246779422"/>
    <x v="10"/>
    <x v="0"/>
    <n v="246779422"/>
    <s v="PATOLOGIA"/>
    <x v="5"/>
    <n v="113065305"/>
    <x v="11"/>
  </r>
  <r>
    <x v="3"/>
    <n v="13"/>
    <s v="Baño ultrasónico para uso en laboratorio"/>
    <s v="UNIDAD"/>
    <n v="2"/>
    <n v="0"/>
    <n v="2"/>
    <n v="7182643"/>
    <x v="11"/>
    <x v="0"/>
    <n v="14365286"/>
    <s v="LABORATORIO"/>
    <x v="2"/>
    <n v="8971412"/>
    <x v="12"/>
  </r>
  <r>
    <x v="3"/>
    <n v="14"/>
    <s v="Homogenizador de tejidos, vertical con vástago:"/>
    <s v="UNIDAD"/>
    <n v="1"/>
    <n v="0"/>
    <n v="1"/>
    <n v="19454635"/>
    <x v="12"/>
    <x v="0"/>
    <n v="19454635"/>
    <s v="LABORATORIO"/>
    <x v="4"/>
    <n v="98308640"/>
    <x v="13"/>
  </r>
  <r>
    <x v="3"/>
    <n v="15"/>
    <s v="Esterilizador o autocleve horizontal y/o sobremesa:"/>
    <s v="UNIDAD"/>
    <n v="1"/>
    <n v="0"/>
    <n v="1"/>
    <n v="29155000"/>
    <x v="13"/>
    <x v="0"/>
    <n v="29155000"/>
    <s v="GENÉTICA"/>
    <x v="3"/>
    <n v="250049712"/>
    <x v="14"/>
  </r>
  <r>
    <x v="3"/>
    <n v="16"/>
    <s v="Vórtex multiprobeta / multitubo: "/>
    <s v="UNIDAD"/>
    <n v="3"/>
    <n v="0"/>
    <n v="3"/>
    <n v="24247119"/>
    <x v="14"/>
    <x v="0"/>
    <n v="72741357"/>
    <s v="LABORATORIO"/>
    <x v="4"/>
    <n v="32552017"/>
    <x v="15"/>
  </r>
  <r>
    <x v="3"/>
    <n v="17"/>
    <s v="Evaporador concentrador de muestras con centrifuga (rapidvap)"/>
    <s v="UNIDAD"/>
    <n v="1"/>
    <n v="0"/>
    <n v="1"/>
    <n v="192791293"/>
    <x v="15"/>
    <x v="0"/>
    <n v="192791293"/>
    <s v="LABORATORIO"/>
    <x v="4"/>
    <n v="0"/>
    <x v="16"/>
  </r>
  <r>
    <x v="3"/>
    <n v="18"/>
    <s v="Evaporador concentrador de muestras (rapidvap)"/>
    <s v="UNIDAD"/>
    <n v="0"/>
    <n v="1"/>
    <n v="1"/>
    <n v="136873800"/>
    <x v="4"/>
    <x v="3"/>
    <n v="136873800"/>
    <s v="LABORATORIO"/>
    <x v="4"/>
    <n v="0"/>
    <x v="17"/>
  </r>
  <r>
    <x v="3"/>
    <n v="19"/>
    <s v="Sistema dilutor dispensador de Líquidos"/>
    <s v="UNIDAD"/>
    <n v="0"/>
    <n v="1"/>
    <n v="1"/>
    <n v="59381000"/>
    <x v="4"/>
    <x v="4"/>
    <n v="59381000"/>
    <s v="LABORATORIO"/>
    <x v="4"/>
    <n v="0"/>
    <x v="18"/>
  </r>
  <r>
    <x v="3"/>
    <n v="20"/>
    <s v="Sistema de esterilización con luz UV-C (254nm) (Crosslinker)"/>
    <s v="UNIDAD"/>
    <n v="0"/>
    <n v="1"/>
    <n v="1"/>
    <n v="18292580"/>
    <x v="4"/>
    <x v="5"/>
    <n v="18292580"/>
    <s v="LABORATORIO"/>
    <x v="4"/>
    <n v="0"/>
    <x v="19"/>
  </r>
  <r>
    <x v="3"/>
    <n v="21"/>
    <s v="Agitador tipo vórtex para tubos"/>
    <s v="UNIDAD"/>
    <n v="0"/>
    <n v="2"/>
    <n v="2"/>
    <n v="2603490"/>
    <x v="4"/>
    <x v="6"/>
    <n v="5206980"/>
    <s v="GENÉTICA"/>
    <x v="3"/>
    <n v="220894712"/>
    <x v="20"/>
  </r>
  <r>
    <x v="4"/>
    <n v="22"/>
    <s v="Centrifuga de mesa de altas revoluciones con refrigeración:"/>
    <s v="UNIDAD"/>
    <n v="2"/>
    <n v="0"/>
    <n v="2"/>
    <n v="114119810"/>
    <x v="16"/>
    <x v="0"/>
    <n v="228239620"/>
    <s v="LABORATORIO"/>
    <x v="0"/>
    <n v="155976194"/>
    <x v="21"/>
  </r>
  <r>
    <x v="4"/>
    <n v="23"/>
    <s v="Centrifuga de mesa no refrigerada"/>
    <s v="UNIDAD"/>
    <n v="0"/>
    <n v="1"/>
    <n v="1"/>
    <n v="73211033"/>
    <x v="4"/>
    <x v="7"/>
    <n v="73211033"/>
    <s v="LABORATORIO"/>
    <x v="0"/>
    <n v="0"/>
    <x v="22"/>
  </r>
  <r>
    <x v="4"/>
    <n v="24"/>
    <s v="Centrífuga de Piso refrigerada."/>
    <s v="UNIDAD"/>
    <n v="0"/>
    <n v="2"/>
    <n v="2"/>
    <n v="111426840"/>
    <x v="4"/>
    <x v="8"/>
    <n v="222853680"/>
    <s v="GENÉTICA"/>
    <x v="3"/>
    <n v="215687732"/>
    <x v="23"/>
  </r>
  <r>
    <x v="4"/>
    <n v="25"/>
    <s v="Microcentrífuga de alta velocidad tipo MiniSpli"/>
    <s v="UNIDAD"/>
    <n v="0"/>
    <n v="2"/>
    <n v="2"/>
    <n v="7474549"/>
    <x v="4"/>
    <x v="9"/>
    <n v="14949098"/>
    <s v="GENÉTICA"/>
    <x v="2"/>
    <n v="23920510"/>
    <x v="24"/>
  </r>
  <r>
    <x v="5"/>
    <n v="26"/>
    <s v="scaner  3D  CR de  alta precisión "/>
    <s v="UNIDAD"/>
    <n v="1"/>
    <n v="0"/>
    <n v="1"/>
    <n v="19359943"/>
    <x v="17"/>
    <x v="0"/>
    <n v="19359943"/>
    <s v="PATOLOGIA"/>
    <x v="1"/>
    <n v="89507146"/>
    <x v="25"/>
  </r>
  <r>
    <x v="5"/>
    <n v="27"/>
    <s v="impresora  de resina 3D"/>
    <s v="UNIDAD"/>
    <n v="1"/>
    <n v="0"/>
    <n v="1"/>
    <n v="15473202"/>
    <x v="18"/>
    <x v="0"/>
    <n v="15473202"/>
    <s v="PATOLOGIA"/>
    <x v="1"/>
    <n v="104980348"/>
    <x v="2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n v="1"/>
    <n v="1"/>
    <s v="CABINAS EXTRACTORAS PARA LABORATORIO DE ESTUPEFACIENTES DE LA REGIONAL BOGOTA"/>
    <s v="UNIDAD"/>
    <n v="2"/>
    <n v="0"/>
    <n v="2"/>
    <n v="81931226"/>
    <x v="0"/>
    <x v="0"/>
    <n v="163862452"/>
    <s v="LABORATORIO"/>
    <x v="0"/>
    <n v="455552981"/>
  </r>
  <r>
    <n v="1"/>
    <n v="2"/>
    <s v="CABINA EXTRACTORA PARA EL GRUPO DE PATOLOGIA FORENSE  DE LA REGIONAL BOGOTA"/>
    <s v="UNIDAD"/>
    <n v="1"/>
    <n v="0"/>
    <n v="1"/>
    <n v="83104236"/>
    <x v="1"/>
    <x v="0"/>
    <n v="83104236"/>
    <s v="PATOLOGIA"/>
    <x v="1"/>
    <n v="465218379"/>
  </r>
  <r>
    <n v="1"/>
    <n v="3"/>
    <s v="CABINAS EXTRACTORAS PARA EL LABORATORIO DE EVIDENCIA TRAZA  DE LA REGIONAL BOGOTA"/>
    <s v="UNIDAD"/>
    <n v="3"/>
    <n v="0"/>
    <n v="3"/>
    <n v="83644238"/>
    <x v="2"/>
    <x v="0"/>
    <n v="250932714"/>
    <s v="LABORATORIO"/>
    <x v="0"/>
    <n v="291690529"/>
  </r>
  <r>
    <n v="1"/>
    <n v="4"/>
    <s v="CABINA EXTRACTORA PARA EL LABORATORIO DE GENÉTICA DE LA REGIONAL BOGOTA"/>
    <s v="UNIDAD"/>
    <n v="1"/>
    <n v="0"/>
    <n v="1"/>
    <n v="76999490"/>
    <x v="3"/>
    <x v="0"/>
    <n v="76999490"/>
    <s v="GENÉTICA"/>
    <x v="2"/>
    <n v="100920000"/>
  </r>
  <r>
    <n v="1"/>
    <n v="5"/>
    <s v="CABINA EXTRACTORA PARA EL LABORATORIO DE GENÉTICA VILLAVICENCIO"/>
    <s v="UNIDAD"/>
    <n v="0"/>
    <n v="1"/>
    <n v="1"/>
    <n v="49950288"/>
    <x v="4"/>
    <x v="1"/>
    <n v="49950288"/>
    <s v="GENÉTICA"/>
    <x v="3"/>
    <n v="300000000"/>
  </r>
  <r>
    <n v="2"/>
    <n v="6"/>
    <s v="MICROSCOPIO ÓPTICO TRINOCULAR"/>
    <s v="UNIDAD"/>
    <n v="0"/>
    <n v="1"/>
    <n v="1"/>
    <n v="46301988"/>
    <x v="4"/>
    <x v="2"/>
    <n v="46301988"/>
    <s v="LABORATORIO"/>
    <x v="4"/>
    <n v="78854005"/>
  </r>
  <r>
    <n v="2"/>
    <n v="7"/>
    <s v="Estereomicroscopio  con camara "/>
    <s v="UNIDAD"/>
    <n v="1"/>
    <n v="0"/>
    <n v="1"/>
    <n v="161915416"/>
    <x v="5"/>
    <x v="0"/>
    <n v="161915416"/>
    <s v="PATOLOGIA"/>
    <x v="1"/>
    <n v="382114143"/>
  </r>
  <r>
    <n v="3"/>
    <n v="8"/>
    <s v="Baño De Flotación  "/>
    <s v="UNIDAD"/>
    <n v="1"/>
    <n v="0"/>
    <n v="1"/>
    <n v="7329714"/>
    <x v="6"/>
    <x v="0"/>
    <n v="7329714"/>
    <s v="PATOLOGIA"/>
    <x v="5"/>
    <n v="300000000"/>
  </r>
  <r>
    <n v="3"/>
    <n v="9"/>
    <s v="Central De Inclusión "/>
    <s v="UNIDAD"/>
    <n v="1"/>
    <n v="0"/>
    <n v="1"/>
    <n v="101320276"/>
    <x v="7"/>
    <x v="0"/>
    <n v="101320276"/>
    <s v="PATOLOGIA"/>
    <x v="1"/>
    <n v="220198727"/>
  </r>
  <r>
    <n v="3"/>
    <n v="10"/>
    <s v="Criostato"/>
    <s v="UNIDAD"/>
    <n v="1"/>
    <n v="0"/>
    <n v="1"/>
    <n v="179604981"/>
    <x v="8"/>
    <x v="0"/>
    <n v="179604981"/>
    <s v="PATOLOGIA"/>
    <x v="5"/>
    <n v="292670286"/>
  </r>
  <r>
    <n v="3"/>
    <n v="11"/>
    <s v="Micrótomo Motorizado "/>
    <s v="UNIDAD"/>
    <n v="1"/>
    <n v="0"/>
    <n v="1"/>
    <n v="133386702"/>
    <x v="9"/>
    <x v="0"/>
    <n v="133386702"/>
    <s v="PATOLOGIA"/>
    <x v="6"/>
    <n v="130000000"/>
  </r>
  <r>
    <n v="3"/>
    <n v="12"/>
    <s v="Procesador de Tejidos "/>
    <s v="UNIDAD"/>
    <n v="1"/>
    <n v="0"/>
    <n v="1"/>
    <n v="113065305"/>
    <x v="10"/>
    <x v="0"/>
    <n v="113065305"/>
    <s v="PATOLOGIA"/>
    <x v="5"/>
    <n v="113065305"/>
  </r>
  <r>
    <n v="3"/>
    <n v="12"/>
    <s v="Procesador de Tejidos "/>
    <s v="uni"/>
    <n v="1"/>
    <n v="0"/>
    <n v="1"/>
    <n v="133714117"/>
    <x v="11"/>
    <x v="3"/>
    <n v="133714118"/>
    <s v="PATOLOGIA"/>
    <x v="1"/>
    <n v="84045306"/>
  </r>
  <r>
    <n v="4"/>
    <n v="13"/>
    <s v="Baño ultrasónico para uso en laboratorio"/>
    <s v="UNIDAD"/>
    <n v="2"/>
    <n v="0"/>
    <n v="2"/>
    <n v="7182643"/>
    <x v="12"/>
    <x v="0"/>
    <n v="14365286"/>
    <s v="LABORATORIO"/>
    <x v="2"/>
    <n v="8971412"/>
  </r>
  <r>
    <n v="4"/>
    <n v="14"/>
    <s v="Homogenizador de tejidos, vertical con vástago:"/>
    <s v="UNIDAD"/>
    <n v="1"/>
    <n v="0"/>
    <n v="1"/>
    <n v="19454635"/>
    <x v="13"/>
    <x v="0"/>
    <n v="19454635"/>
    <s v="LABORATORIO"/>
    <x v="4"/>
    <n v="98308640"/>
  </r>
  <r>
    <n v="4"/>
    <n v="15"/>
    <s v="Esterilizador o autocleve horizontal y/o sobremesa:"/>
    <s v="UNIDAD"/>
    <n v="1"/>
    <n v="0"/>
    <n v="1"/>
    <n v="29155000"/>
    <x v="14"/>
    <x v="0"/>
    <n v="29155000"/>
    <s v="GENÉTICA"/>
    <x v="3"/>
    <n v="250049712"/>
  </r>
  <r>
    <n v="4"/>
    <n v="16"/>
    <s v="Vórtex multiprobeta / multitubo: "/>
    <s v="UNIDAD"/>
    <n v="3"/>
    <n v="0"/>
    <n v="3"/>
    <n v="24247119"/>
    <x v="15"/>
    <x v="0"/>
    <n v="72741357"/>
    <s v="LABORATORIO"/>
    <x v="4"/>
    <n v="32552017"/>
  </r>
  <r>
    <n v="4"/>
    <n v="17"/>
    <s v="Evaporador concentrador de muestras con centrifuga (rapidvap)"/>
    <s v="UNIDAD"/>
    <n v="1"/>
    <n v="0"/>
    <n v="1"/>
    <n v="192791293"/>
    <x v="16"/>
    <x v="0"/>
    <n v="192791293"/>
    <s v="LABORATORIO"/>
    <x v="4"/>
    <n v="0"/>
  </r>
  <r>
    <n v="4"/>
    <n v="18"/>
    <s v="Evaporador concentrador de muestras (rapidvap)"/>
    <s v="UNIDAD"/>
    <n v="0"/>
    <n v="1"/>
    <n v="1"/>
    <n v="136873800"/>
    <x v="4"/>
    <x v="4"/>
    <n v="136873800"/>
    <s v="LABORATORIO"/>
    <x v="4"/>
    <n v="0"/>
  </r>
  <r>
    <n v="4"/>
    <n v="19"/>
    <s v="Sistema dilutor dispensador de Líquidos"/>
    <s v="UNIDAD"/>
    <n v="0"/>
    <n v="1"/>
    <n v="1"/>
    <n v="59381000"/>
    <x v="4"/>
    <x v="5"/>
    <n v="59381000"/>
    <s v="LABORATORIO"/>
    <x v="4"/>
    <n v="0"/>
  </r>
  <r>
    <n v="4"/>
    <n v="20"/>
    <s v="Sistema de esterilización con luz UV-C (254nm) (Crosslinker)"/>
    <s v="UNIDAD"/>
    <n v="0"/>
    <n v="1"/>
    <n v="1"/>
    <n v="18292580"/>
    <x v="4"/>
    <x v="6"/>
    <n v="18292580"/>
    <s v="LABORATORIO"/>
    <x v="4"/>
    <n v="0"/>
  </r>
  <r>
    <n v="4"/>
    <n v="21"/>
    <s v="Agitador tipo vórtex para tubos"/>
    <s v="UNIDAD"/>
    <n v="0"/>
    <n v="2"/>
    <n v="2"/>
    <n v="2603490"/>
    <x v="4"/>
    <x v="7"/>
    <n v="5206980"/>
    <s v="GENÉTICA"/>
    <x v="3"/>
    <n v="220894712"/>
  </r>
  <r>
    <n v="5"/>
    <n v="22"/>
    <s v="Centrifuga de mesa de altas revoluciones con refrigeración:"/>
    <s v="UNIDAD"/>
    <n v="2"/>
    <n v="0"/>
    <n v="2"/>
    <n v="114119810"/>
    <x v="17"/>
    <x v="0"/>
    <n v="228239620"/>
    <s v="LABORATORIO"/>
    <x v="4"/>
    <n v="0"/>
  </r>
  <r>
    <n v="5"/>
    <n v="23"/>
    <s v="Centrifuga de mesa no refrigerada"/>
    <s v="UNIDAD"/>
    <n v="0"/>
    <n v="1"/>
    <n v="1"/>
    <n v="73211033"/>
    <x v="4"/>
    <x v="8"/>
    <n v="73211033"/>
    <s v="LABORATORIO"/>
    <x v="0"/>
    <n v="40757815"/>
  </r>
  <r>
    <n v="5"/>
    <n v="24"/>
    <s v="Centrífuga de Piso refrigerada."/>
    <s v="UNIDAD"/>
    <n v="0"/>
    <n v="2"/>
    <n v="2"/>
    <n v="111426840"/>
    <x v="4"/>
    <x v="9"/>
    <n v="222853680"/>
    <s v="GENÉTICA"/>
    <x v="3"/>
    <n v="215687732"/>
  </r>
  <r>
    <n v="5"/>
    <n v="25"/>
    <s v="Microcentrífuga de alta velocidad tipo MiniSpli"/>
    <s v="UNIDAD"/>
    <n v="0"/>
    <n v="2"/>
    <n v="2"/>
    <n v="7474549"/>
    <x v="4"/>
    <x v="10"/>
    <n v="14949098"/>
    <s v="GENÉTICA"/>
    <x v="2"/>
    <n v="23920510"/>
  </r>
  <r>
    <n v="6"/>
    <n v="26"/>
    <s v="scaner  3D  CR de  alta precisión "/>
    <s v="UNIDAD"/>
    <n v="1"/>
    <n v="0"/>
    <n v="1"/>
    <n v="19359943"/>
    <x v="18"/>
    <x v="0"/>
    <n v="19359943"/>
    <s v="PATOLOGIA"/>
    <x v="1"/>
    <n v="118878451"/>
  </r>
  <r>
    <n v="6"/>
    <n v="27"/>
    <s v="impresora  de resina 3D"/>
    <s v="UNIDAD"/>
    <n v="1"/>
    <n v="0"/>
    <n v="1"/>
    <n v="15473202"/>
    <x v="19"/>
    <x v="0"/>
    <n v="15473202"/>
    <s v="PATOLOGIA"/>
    <x v="1"/>
    <n v="9951850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n v="1"/>
    <s v="CABINAS EXTRACTORAS PARA LABORATORIO DE ESTUPEFACIENTES DE LA REGIONAL BOGOTA"/>
    <s v="UNIDAD"/>
    <n v="2"/>
    <n v="0"/>
    <n v="2"/>
    <n v="81909046"/>
    <n v="163818092"/>
    <n v="0"/>
    <n v="163818092"/>
    <s v="LABORATORIO"/>
    <s v="A-2901-0800-9-20111D-2901002-02"/>
    <n v="455552981"/>
    <n v="291734889"/>
    <x v="0"/>
  </r>
  <r>
    <x v="0"/>
    <n v="2"/>
    <s v="CABINA EXTRACTORA PARA EL GRUPO DE PATOLOGIA FORENSE  DE LA REGIONAL BOGOTA"/>
    <s v="UNIDAD"/>
    <n v="1"/>
    <n v="0"/>
    <n v="1"/>
    <n v="83085495"/>
    <n v="83085495"/>
    <n v="0"/>
    <n v="83085495"/>
    <s v="PATOLOGIA"/>
    <s v="A-2901-0800-16-20113A-2901002-02"/>
    <n v="465218379"/>
    <n v="382132884"/>
    <x v="1"/>
  </r>
  <r>
    <x v="0"/>
    <n v="3"/>
    <s v="CABINAS EXTRACTORAS PARA EL LABORATORIO DE EVIDENCIA TRAZA  DE LA REGIONAL BOGOTA"/>
    <s v="UNIDAD"/>
    <n v="3"/>
    <n v="0"/>
    <n v="3"/>
    <n v="83622589"/>
    <n v="250867767"/>
    <n v="0"/>
    <n v="250867767"/>
    <s v="LABORATORIO"/>
    <s v="A-2901-0800-9-20111D-2901002-02"/>
    <n v="291734889"/>
    <n v="40867122"/>
    <x v="0"/>
  </r>
  <r>
    <x v="0"/>
    <n v="4"/>
    <s v="CABINA EXTRACTORA PARA EL LABORATORIO DE GENÉTICA DE LA REGIONAL BOGOTA"/>
    <s v="UNIDAD"/>
    <n v="1"/>
    <n v="0"/>
    <n v="1"/>
    <n v="76980664"/>
    <n v="76980664"/>
    <n v="0"/>
    <n v="76980664"/>
    <s v="GENÉTICA"/>
    <s v="A- 2901-0800-14-20111D-2901006-02"/>
    <n v="100920000"/>
    <n v="23939336"/>
    <x v="2"/>
  </r>
  <r>
    <x v="0"/>
    <n v="5"/>
    <s v="CABINA EXTRACTORA PARA EL LABORATORIO DE GENÉTICA VILLAVICENCIO"/>
    <s v="UNIDAD"/>
    <n v="0"/>
    <n v="1"/>
    <n v="1"/>
    <n v="53949297"/>
    <n v="0"/>
    <n v="53949297"/>
    <n v="53949297"/>
    <s v="GENÉTICA"/>
    <s v="A-2901-0800-16-20113A-2901007-02"/>
    <n v="300000000"/>
    <n v="246050703"/>
    <x v="3"/>
  </r>
  <r>
    <x v="1"/>
    <n v="6"/>
    <s v="MICROSCOPIO ÓPTICO TRINOCULAR"/>
    <s v="UNIDAD"/>
    <n v="0"/>
    <n v="1"/>
    <n v="1"/>
    <n v="46301988"/>
    <n v="0"/>
    <n v="46301988"/>
    <n v="46301988"/>
    <s v="LABORATORIO"/>
    <s v="B-2901-0800-16-20113A-2901002-02"/>
    <n v="98308640"/>
    <n v="52006652"/>
    <x v="4"/>
  </r>
  <r>
    <x v="1"/>
    <n v="7"/>
    <s v="Estereomicroscopio  con camara "/>
    <s v="UNIDAD"/>
    <n v="1"/>
    <n v="0"/>
    <n v="1"/>
    <n v="161915416"/>
    <n v="161915416"/>
    <n v="0"/>
    <n v="161915416"/>
    <s v="PATOLOGIA"/>
    <s v="A-2901-0800-16-20113A-2901002-02"/>
    <n v="382132884"/>
    <n v="220217468"/>
    <x v="1"/>
  </r>
  <r>
    <x v="2"/>
    <n v="8"/>
    <s v="Baño De Flotación  "/>
    <s v="UNIDAD"/>
    <n v="1"/>
    <n v="0"/>
    <n v="1"/>
    <n v="7329714"/>
    <n v="7329714"/>
    <n v="0"/>
    <n v="7329714"/>
    <s v="PATOLOGIA"/>
    <s v="C-2901-0800-14-20111D-2901006-02"/>
    <n v="300000000"/>
    <n v="292670286"/>
    <x v="5"/>
  </r>
  <r>
    <x v="2"/>
    <n v="9"/>
    <s v="Central De Inclusión "/>
    <s v="UNIDAD"/>
    <n v="1"/>
    <n v="0"/>
    <n v="1"/>
    <n v="101320276"/>
    <n v="101320276"/>
    <n v="0"/>
    <n v="101320276"/>
    <s v="PATOLOGIA"/>
    <s v="A-2901-0800-16-20113A-2901002-02"/>
    <n v="220217468"/>
    <n v="118897192"/>
    <x v="1"/>
  </r>
  <r>
    <x v="2"/>
    <n v="10"/>
    <s v="Criostato"/>
    <s v="UNIDAD"/>
    <n v="1"/>
    <n v="0"/>
    <n v="1"/>
    <n v="179604981"/>
    <n v="179604981"/>
    <n v="0"/>
    <n v="179604981"/>
    <s v="PATOLOGIA"/>
    <s v="C-2901-0800-14-20111D-2901006-02"/>
    <n v="292670286"/>
    <n v="113065305"/>
    <x v="5"/>
  </r>
  <r>
    <x v="2"/>
    <n v="11"/>
    <s v="Micrótomo Motorizado "/>
    <s v="UNIDAD"/>
    <n v="1"/>
    <n v="0"/>
    <n v="1"/>
    <n v="133386702"/>
    <n v="133386702"/>
    <n v="0"/>
    <n v="133386702"/>
    <s v="PATOLOGIA"/>
    <s v="B-2901-0800-14-20111D-2901006-02"/>
    <n v="130000000"/>
    <n v="-3386702"/>
    <x v="6"/>
  </r>
  <r>
    <x v="2"/>
    <n v="12"/>
    <s v="Procesador de Tejidos "/>
    <s v="UNIDAD"/>
    <n v="1"/>
    <n v="0"/>
    <n v="1"/>
    <n v="113065305"/>
    <n v="113065305"/>
    <n v="0"/>
    <n v="113065305"/>
    <s v="PATOLOGIA"/>
    <s v="C-2901-0800-14-20111D-2901006-02"/>
    <n v="113065305"/>
    <m/>
    <x v="5"/>
  </r>
  <r>
    <x v="2"/>
    <n v="12"/>
    <s v="Procesador de Tejidos "/>
    <s v="uni"/>
    <n v="1"/>
    <n v="0"/>
    <n v="1"/>
    <n v="133714117"/>
    <n v="133714117"/>
    <m/>
    <n v="133714117"/>
    <s v="PATOLOGIA"/>
    <s v="A-2901-0800-16-20113A-2901002-02"/>
    <n v="84064047"/>
    <n v="-49650070"/>
    <x v="1"/>
  </r>
  <r>
    <x v="3"/>
    <n v="13"/>
    <s v="Baño ultrasónico para uso en laboratorio"/>
    <s v="UNIDAD"/>
    <n v="2"/>
    <n v="0"/>
    <n v="2"/>
    <n v="7182643"/>
    <n v="14365286"/>
    <n v="0"/>
    <n v="14365286"/>
    <s v="LABORATORIO"/>
    <s v="A- 2901-0800-14-20111D-2901006-02"/>
    <n v="8990238"/>
    <n v="-5375048"/>
    <x v="2"/>
  </r>
  <r>
    <x v="3"/>
    <n v="14"/>
    <s v="Homogenizador de tejidos, vertical con vástago:"/>
    <s v="UNIDAD"/>
    <n v="1"/>
    <n v="0"/>
    <n v="1"/>
    <n v="19454635"/>
    <n v="19454635"/>
    <n v="0"/>
    <n v="19454635"/>
    <s v="LABORATORIO"/>
    <s v="B-2901-0800-16-20113A-2901002-02"/>
    <n v="52006652"/>
    <n v="32552017"/>
    <x v="4"/>
  </r>
  <r>
    <x v="3"/>
    <n v="15"/>
    <s v="Esterilizador o autocleve horizontal y/o sobremesa:"/>
    <s v="UNIDAD"/>
    <n v="1"/>
    <n v="0"/>
    <n v="1"/>
    <n v="29155000"/>
    <n v="29155000"/>
    <n v="0"/>
    <n v="29155000"/>
    <s v="GENÉTICA"/>
    <s v="A-2901-0800-16-20113A-2901007-02"/>
    <n v="246050703"/>
    <n v="216895703"/>
    <x v="3"/>
  </r>
  <r>
    <x v="3"/>
    <n v="16"/>
    <s v="Vórtex multiprobeta / multitubo: "/>
    <s v="UNIDAD"/>
    <n v="3"/>
    <n v="0"/>
    <n v="3"/>
    <n v="24247119"/>
    <n v="72741357"/>
    <n v="0"/>
    <n v="72741357"/>
    <s v="LABORATORIO"/>
    <s v="B-2901-0800-16-20113A-2901002-02"/>
    <n v="32552017"/>
    <n v="-40189340"/>
    <x v="4"/>
  </r>
  <r>
    <x v="3"/>
    <n v="17"/>
    <s v="Evaporador concentrador de muestras con centrifuga (rapidvap)"/>
    <s v="UNIDAD"/>
    <n v="1"/>
    <n v="0"/>
    <n v="1"/>
    <n v="192791293"/>
    <n v="192791293"/>
    <n v="0"/>
    <n v="192791293"/>
    <s v="LABORATORIO"/>
    <s v="B-2901-0800-16-20113A-2901002-02"/>
    <m/>
    <n v="-192791293"/>
    <x v="4"/>
  </r>
  <r>
    <x v="3"/>
    <n v="18"/>
    <s v="Evaporador concentrador de muestras (rapidvap)"/>
    <s v="UNIDAD"/>
    <n v="0"/>
    <n v="1"/>
    <n v="1"/>
    <n v="136873800"/>
    <n v="0"/>
    <n v="136873800"/>
    <n v="136873800"/>
    <s v="LABORATORIO"/>
    <s v="B-2901-0800-16-20113A-2901002-02"/>
    <n v="0"/>
    <n v="-136873800"/>
    <x v="4"/>
  </r>
  <r>
    <x v="3"/>
    <n v="19"/>
    <s v="Sistema dilutor dispensador de Líquidos"/>
    <s v="UNIDAD"/>
    <n v="0"/>
    <n v="1"/>
    <n v="1"/>
    <n v="59381000"/>
    <n v="0"/>
    <n v="59381000"/>
    <n v="59381000"/>
    <s v="LABORATORIO"/>
    <s v="B-2901-0800-16-20113A-2901002-02"/>
    <n v="0"/>
    <n v="-59381000"/>
    <x v="4"/>
  </r>
  <r>
    <x v="3"/>
    <n v="20"/>
    <s v="Sistema de esterilización con luz UV-C (254nm) (Crosslinker)"/>
    <s v="UNIDAD"/>
    <n v="0"/>
    <n v="1"/>
    <n v="1"/>
    <n v="18292580"/>
    <n v="0"/>
    <n v="18292580"/>
    <n v="18292580"/>
    <s v="LABORATORIO"/>
    <s v="B-2901-0800-16-20113A-2901002-02"/>
    <n v="0"/>
    <n v="-18292580"/>
    <x v="4"/>
  </r>
  <r>
    <x v="3"/>
    <n v="21"/>
    <s v="Agitador tipo vórtex para tubos"/>
    <s v="UNIDAD"/>
    <n v="0"/>
    <n v="2"/>
    <n v="2"/>
    <n v="2603490"/>
    <n v="0"/>
    <n v="5206980"/>
    <n v="5206980"/>
    <s v="GENÉTICA"/>
    <s v="A-2901-0800-16-20113A-2901007-02"/>
    <n v="216895703"/>
    <n v="211688723"/>
    <x v="3"/>
  </r>
  <r>
    <x v="4"/>
    <n v="22"/>
    <s v="Centrifuga de mesa de altas revoluciones con refrigeración:"/>
    <s v="UNIDAD"/>
    <n v="2"/>
    <n v="0"/>
    <n v="2"/>
    <n v="114119810"/>
    <n v="228239620"/>
    <n v="0"/>
    <n v="228239620"/>
    <s v="LABORATORIO"/>
    <s v="B-2901-0800-16-20113A-2901002-02"/>
    <n v="0"/>
    <n v="-228239620"/>
    <x v="4"/>
  </r>
  <r>
    <x v="4"/>
    <n v="23"/>
    <s v="Centrifuga de mesa no refrigerada"/>
    <s v="UNIDAD"/>
    <n v="0"/>
    <n v="1"/>
    <n v="1"/>
    <n v="73211033"/>
    <n v="0"/>
    <n v="73211033"/>
    <n v="73211033"/>
    <s v="LABORATORIO"/>
    <s v="A-2901-0800-9-20111D-2901002-02"/>
    <n v="40867122"/>
    <n v="-32343911"/>
    <x v="0"/>
  </r>
  <r>
    <x v="4"/>
    <n v="24"/>
    <s v="Centrífuga de Piso refrigerada."/>
    <s v="UNIDAD"/>
    <n v="0"/>
    <n v="2"/>
    <n v="2"/>
    <n v="111426840"/>
    <n v="0"/>
    <n v="222853680"/>
    <n v="222853680"/>
    <s v="GENÉTICA"/>
    <s v="A-2901-0800-16-20113A-2901007-02"/>
    <n v="211688723"/>
    <n v="-11164957"/>
    <x v="3"/>
  </r>
  <r>
    <x v="4"/>
    <n v="25"/>
    <s v="Microcentrífuga de alta velocidad tipo MiniSpli"/>
    <s v="UNIDAD"/>
    <n v="0"/>
    <n v="2"/>
    <n v="2"/>
    <n v="7474549"/>
    <n v="0"/>
    <n v="14949098"/>
    <n v="14949098"/>
    <s v="GENÉTICA"/>
    <s v="A- 2901-0800-14-20111D-2901006-02"/>
    <n v="23939336"/>
    <n v="8990238"/>
    <x v="2"/>
  </r>
  <r>
    <x v="5"/>
    <n v="26"/>
    <s v="scaner  3D  CR de  alta precisión "/>
    <s v="UNIDAD"/>
    <n v="1"/>
    <n v="0"/>
    <n v="1"/>
    <n v="19359943"/>
    <n v="19359943"/>
    <n v="0"/>
    <n v="19359943"/>
    <s v="PATOLOGIA"/>
    <s v="A-2901-0800-16-20113A-2901002-02"/>
    <n v="118897192"/>
    <n v="99537249"/>
    <x v="1"/>
  </r>
  <r>
    <x v="5"/>
    <n v="27"/>
    <s v="impresora  de resina 3D"/>
    <s v="UNIDAD"/>
    <n v="1"/>
    <n v="0"/>
    <n v="1"/>
    <n v="15473202"/>
    <n v="15473202"/>
    <n v="0"/>
    <n v="15473202"/>
    <s v="PATOLOGIA"/>
    <s v="A-2901-0800-16-20113A-2901002-02"/>
    <n v="99537249"/>
    <n v="84064047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n v="1"/>
    <s v="CABINAS EXTRACTORAS PARA LABORATORIO DE ESTUPEFACIENTES DE LA REGIONAL BOGOTA"/>
    <s v="UNIDAD"/>
    <n v="2"/>
    <n v="0"/>
    <n v="2"/>
    <n v="81909046"/>
    <n v="163818092"/>
    <n v="0"/>
    <n v="163818092"/>
    <s v="LABORATORIO"/>
    <s v="A-2901-0800-9-20111D-2901002-02"/>
    <n v="455552981"/>
    <n v="291734889"/>
    <x v="0"/>
    <n v="163818092"/>
    <m/>
  </r>
  <r>
    <x v="0"/>
    <n v="2"/>
    <s v="CABINA EXTRACTORA PARA EL GRUPO DE PATOLOGIA FORENSE  DE LA REGIONAL BOGOTA"/>
    <s v="UNIDAD"/>
    <n v="1"/>
    <n v="0"/>
    <n v="1"/>
    <n v="83085495"/>
    <n v="83085495"/>
    <n v="0"/>
    <n v="83085495"/>
    <s v="PATOLOGIA"/>
    <s v="A-2901-0800-16-20113A-2901002-02"/>
    <n v="465218379"/>
    <n v="382132884"/>
    <x v="1"/>
    <n v="83085495"/>
    <m/>
  </r>
  <r>
    <x v="0"/>
    <n v="3"/>
    <s v="CABINAS EXTRACTORAS PARA EL LABORATORIO DE EVIDENCIA TRAZA  DE LA REGIONAL BOGOTA"/>
    <s v="UNIDAD"/>
    <n v="3"/>
    <n v="0"/>
    <n v="3"/>
    <n v="83622589"/>
    <n v="250867767"/>
    <n v="0"/>
    <n v="250867767"/>
    <s v="LABORATORIO"/>
    <s v="A-2901-0800-9-20111D-2901002-02"/>
    <n v="291734889"/>
    <n v="40867122"/>
    <x v="0"/>
    <n v="250867767"/>
    <m/>
  </r>
  <r>
    <x v="0"/>
    <n v="4"/>
    <s v="CABINA EXTRACTORA PARA EL LABORATORIO DE GENÉTICA DE LA REGIONAL BOGOTA"/>
    <s v="UNIDAD"/>
    <n v="1"/>
    <n v="0"/>
    <n v="1"/>
    <n v="76980664"/>
    <n v="76980664"/>
    <n v="0"/>
    <n v="76980664"/>
    <s v="GENÉTICA"/>
    <s v="A- 2901-0800-14-20111D-2901006-02"/>
    <n v="100920000"/>
    <n v="23939336"/>
    <x v="2"/>
    <n v="76980664"/>
    <m/>
  </r>
  <r>
    <x v="0"/>
    <n v="5"/>
    <s v="CABINA EXTRACTORA PARA EL LABORATORIO DE GENÉTICA VILLAVICENCIO"/>
    <s v="UNIDAD"/>
    <n v="0"/>
    <n v="1"/>
    <n v="1"/>
    <n v="53949297"/>
    <n v="0"/>
    <n v="53949297"/>
    <n v="53949297"/>
    <s v="GENÉTICA"/>
    <s v="A-2901-0800-16-20113A-2901007-02"/>
    <n v="300000000"/>
    <n v="246050703"/>
    <x v="3"/>
    <n v="53949297"/>
    <m/>
  </r>
  <r>
    <x v="1"/>
    <n v="6"/>
    <s v="MICROSCOPIO ÓPTICO TRINOCULAR"/>
    <s v="UNIDAD"/>
    <n v="0"/>
    <n v="1"/>
    <n v="1"/>
    <n v="46301988"/>
    <n v="0"/>
    <n v="46301988"/>
    <n v="46301988"/>
    <s v="LABORATORIO"/>
    <s v="B-2901-0800-16-20113A-2901002-02"/>
    <n v="98308640"/>
    <n v="52006652"/>
    <x v="4"/>
    <n v="46301988"/>
    <m/>
  </r>
  <r>
    <x v="1"/>
    <n v="7"/>
    <s v="Estereomicroscopio  con camara "/>
    <s v="UNIDAD"/>
    <n v="1"/>
    <n v="0"/>
    <n v="1"/>
    <n v="161915416"/>
    <n v="161915416"/>
    <n v="0"/>
    <n v="161915416"/>
    <s v="PATOLOGIA"/>
    <s v="A-2901-0800-16-20113A-2901002-02"/>
    <n v="382132884"/>
    <n v="220217468"/>
    <x v="1"/>
    <n v="161915416"/>
    <m/>
  </r>
  <r>
    <x v="2"/>
    <n v="8"/>
    <s v="Baño De Flotación  "/>
    <s v="UNIDAD"/>
    <n v="1"/>
    <n v="0"/>
    <n v="1"/>
    <n v="7329714"/>
    <n v="7329714"/>
    <n v="0"/>
    <n v="7329714"/>
    <s v="PATOLOGIA"/>
    <s v="C-2901-0800-14-20111D-2901006-02"/>
    <n v="300000000"/>
    <n v="292670286"/>
    <x v="5"/>
    <n v="7329714"/>
    <m/>
  </r>
  <r>
    <x v="2"/>
    <n v="9"/>
    <s v="Central De Inclusión "/>
    <s v="UNIDAD"/>
    <n v="1"/>
    <n v="0"/>
    <n v="1"/>
    <n v="101320276"/>
    <n v="101320276"/>
    <n v="0"/>
    <n v="101320276"/>
    <s v="PATOLOGIA"/>
    <s v="A-2901-0800-16-20113A-2901002-02"/>
    <n v="220217468"/>
    <n v="118897192"/>
    <x v="1"/>
    <n v="101320276"/>
    <m/>
  </r>
  <r>
    <x v="2"/>
    <n v="10"/>
    <s v="Criostato"/>
    <s v="UNIDAD"/>
    <n v="1"/>
    <n v="0"/>
    <n v="1"/>
    <n v="179604981"/>
    <n v="179604981"/>
    <n v="0"/>
    <n v="179604981"/>
    <s v="PATOLOGIA"/>
    <s v="C-2901-0800-14-20111D-2901006-02"/>
    <n v="292670286"/>
    <n v="113065305"/>
    <x v="5"/>
    <n v="179604981"/>
    <m/>
  </r>
  <r>
    <x v="2"/>
    <n v="11"/>
    <s v="Micrótomo Motorizado "/>
    <s v="UNIDAD"/>
    <n v="1"/>
    <n v="0"/>
    <n v="1"/>
    <n v="133386702"/>
    <n v="133386702"/>
    <n v="0"/>
    <n v="133386702"/>
    <s v="PATOLOGIA"/>
    <s v="B-2901-0800-14-20111D-2901006-02"/>
    <n v="130000000"/>
    <n v="-3386702"/>
    <x v="6"/>
    <n v="130000000"/>
    <n v="-3386702"/>
  </r>
  <r>
    <x v="2"/>
    <n v="12"/>
    <s v="Procesador de Tejidos "/>
    <s v="UNIDAD"/>
    <n v="1"/>
    <n v="0"/>
    <n v="1"/>
    <n v="113065305"/>
    <n v="113065305"/>
    <n v="0"/>
    <n v="113065305"/>
    <s v="PATOLOGIA"/>
    <s v="C-2901-0800-14-20111D-2901006-02"/>
    <n v="113065305"/>
    <m/>
    <x v="5"/>
    <n v="113065305"/>
    <m/>
  </r>
  <r>
    <x v="2"/>
    <n v="12"/>
    <s v="Procesador de Tejidos "/>
    <s v="uni"/>
    <n v="1"/>
    <n v="0"/>
    <n v="1"/>
    <n v="133714117"/>
    <n v="133714117"/>
    <m/>
    <n v="133714117"/>
    <s v="PATOLOGIA"/>
    <s v="A-2901-0800-16-20113A-2901002-02"/>
    <n v="84064047"/>
    <n v="-49650070"/>
    <x v="1"/>
    <n v="84064047"/>
    <n v="-49650070"/>
  </r>
  <r>
    <x v="3"/>
    <n v="13"/>
    <s v="Baño ultrasónico para uso en laboratorio"/>
    <s v="UNIDAD"/>
    <n v="2"/>
    <n v="0"/>
    <n v="2"/>
    <n v="7182643"/>
    <n v="14365286"/>
    <n v="0"/>
    <n v="14365286"/>
    <s v="LABORATORIO"/>
    <s v="A- 2901-0800-14-20111D-2901006-02"/>
    <n v="8990238"/>
    <n v="-5375048"/>
    <x v="2"/>
    <n v="8990238"/>
    <n v="-5375048"/>
  </r>
  <r>
    <x v="3"/>
    <n v="14"/>
    <s v="Homogenizador de tejidos, vertical con vástago:"/>
    <s v="UNIDAD"/>
    <n v="1"/>
    <n v="0"/>
    <n v="1"/>
    <n v="19454635"/>
    <n v="19454635"/>
    <n v="0"/>
    <n v="19454635"/>
    <s v="LABORATORIO"/>
    <s v="B-2901-0800-16-20113A-2901002-02"/>
    <n v="52006652"/>
    <n v="32552017"/>
    <x v="4"/>
    <n v="19454635"/>
    <m/>
  </r>
  <r>
    <x v="3"/>
    <n v="15"/>
    <s v="Esterilizador o autocleve horizontal y/o sobremesa:"/>
    <s v="UNIDAD"/>
    <n v="1"/>
    <n v="0"/>
    <n v="1"/>
    <n v="29155000"/>
    <n v="29155000"/>
    <n v="0"/>
    <n v="29155000"/>
    <s v="GENÉTICA"/>
    <s v="A-2901-0800-16-20113A-2901007-02"/>
    <n v="246050703"/>
    <n v="216895703"/>
    <x v="3"/>
    <n v="29155000"/>
    <m/>
  </r>
  <r>
    <x v="3"/>
    <n v="16"/>
    <s v="Vórtex multiprobeta / multitubo: "/>
    <s v="UNIDAD"/>
    <n v="3"/>
    <n v="0"/>
    <n v="3"/>
    <n v="24247119"/>
    <n v="72741357"/>
    <n v="0"/>
    <n v="72741357"/>
    <s v="LABORATORIO"/>
    <s v="B-2901-0800-16-20113A-2901002-02"/>
    <n v="32552017"/>
    <n v="-40189340"/>
    <x v="4"/>
    <n v="32552017"/>
    <n v="-40189340"/>
  </r>
  <r>
    <x v="3"/>
    <n v="17"/>
    <s v="Evaporador concentrador de muestras con centrifuga (rapidvap)"/>
    <s v="UNIDAD"/>
    <n v="1"/>
    <n v="0"/>
    <n v="1"/>
    <n v="192791293"/>
    <n v="192791293"/>
    <n v="0"/>
    <n v="192791293"/>
    <s v="LABORATORIO"/>
    <s v="B-2901-0800-16-20113A-2901002-02"/>
    <m/>
    <n v="-192791293"/>
    <x v="4"/>
    <n v="0"/>
    <n v="-192791293"/>
  </r>
  <r>
    <x v="3"/>
    <n v="18"/>
    <s v="Evaporador concentrador de muestras (rapidvap)"/>
    <s v="UNIDAD"/>
    <n v="0"/>
    <n v="1"/>
    <n v="1"/>
    <n v="136873800"/>
    <n v="0"/>
    <n v="136873800"/>
    <n v="136873800"/>
    <s v="LABORATORIO"/>
    <s v="B-2901-0800-16-20113A-2901002-02"/>
    <n v="0"/>
    <n v="-136873800"/>
    <x v="4"/>
    <m/>
    <n v="-136873800"/>
  </r>
  <r>
    <x v="3"/>
    <n v="19"/>
    <s v="Sistema dilutor dispensador de Líquidos"/>
    <s v="UNIDAD"/>
    <n v="0"/>
    <n v="1"/>
    <n v="1"/>
    <n v="59381000"/>
    <n v="0"/>
    <n v="59381000"/>
    <n v="59381000"/>
    <s v="LABORATORIO"/>
    <s v="B-2901-0800-16-20113A-2901002-02"/>
    <n v="0"/>
    <n v="-59381000"/>
    <x v="4"/>
    <m/>
    <n v="-59381000"/>
  </r>
  <r>
    <x v="3"/>
    <n v="20"/>
    <s v="Sistema de esterilización con luz UV-C (254nm) (Crosslinker)"/>
    <s v="UNIDAD"/>
    <n v="0"/>
    <n v="1"/>
    <n v="1"/>
    <n v="18292580"/>
    <n v="0"/>
    <n v="18292580"/>
    <n v="18292580"/>
    <s v="LABORATORIO"/>
    <s v="B-2901-0800-16-20113A-2901002-02"/>
    <n v="0"/>
    <n v="-18292580"/>
    <x v="4"/>
    <m/>
    <n v="-18292580"/>
  </r>
  <r>
    <x v="3"/>
    <n v="21"/>
    <s v="Agitador tipo vórtex para tubos"/>
    <s v="UNIDAD"/>
    <n v="0"/>
    <n v="2"/>
    <n v="2"/>
    <n v="2603490"/>
    <n v="0"/>
    <n v="5206980"/>
    <n v="5206980"/>
    <s v="GENÉTICA"/>
    <s v="A-2901-0800-16-20113A-2901007-02"/>
    <n v="216895703"/>
    <n v="211688723"/>
    <x v="3"/>
    <n v="5206980"/>
    <m/>
  </r>
  <r>
    <x v="4"/>
    <n v="22"/>
    <s v="Centrifuga de mesa de altas revoluciones con refrigeración:"/>
    <s v="UNIDAD"/>
    <n v="2"/>
    <n v="0"/>
    <n v="2"/>
    <n v="114119810"/>
    <n v="228239620"/>
    <n v="0"/>
    <n v="228239620"/>
    <s v="LABORATORIO"/>
    <s v="B-2901-0800-16-20113A-2901002-02"/>
    <n v="0"/>
    <n v="-228239620"/>
    <x v="4"/>
    <n v="0"/>
    <n v="-228239620"/>
  </r>
  <r>
    <x v="4"/>
    <n v="23"/>
    <s v="Centrifuga de mesa no refrigerada"/>
    <s v="UNIDAD"/>
    <n v="0"/>
    <n v="1"/>
    <n v="1"/>
    <n v="73211033"/>
    <n v="0"/>
    <n v="73211033"/>
    <n v="73211033"/>
    <s v="LABORATORIO"/>
    <s v="A-2901-0800-9-20111D-2901002-02"/>
    <n v="40867122"/>
    <n v="-32343911"/>
    <x v="0"/>
    <n v="40867122"/>
    <n v="-32343911"/>
  </r>
  <r>
    <x v="4"/>
    <n v="24"/>
    <s v="Centrífuga de Piso refrigerada."/>
    <s v="UNIDAD"/>
    <n v="0"/>
    <n v="2"/>
    <n v="2"/>
    <n v="111426840"/>
    <n v="0"/>
    <n v="222853680"/>
    <n v="222853680"/>
    <s v="GENÉTICA"/>
    <s v="A-2901-0800-16-20113A-2901007-02"/>
    <n v="211688723"/>
    <n v="-11164957"/>
    <x v="3"/>
    <n v="211688723"/>
    <n v="-11164957"/>
  </r>
  <r>
    <x v="4"/>
    <n v="25"/>
    <s v="Microcentrífuga de alta velocidad tipo MiniSpli"/>
    <s v="UNIDAD"/>
    <n v="0"/>
    <n v="2"/>
    <n v="2"/>
    <n v="7474549"/>
    <n v="0"/>
    <n v="14949098"/>
    <n v="14949098"/>
    <s v="GENÉTICA"/>
    <s v="A- 2901-0800-14-20111D-2901006-02"/>
    <n v="23939336"/>
    <n v="8990238"/>
    <x v="2"/>
    <n v="14949098"/>
    <m/>
  </r>
  <r>
    <x v="5"/>
    <n v="26"/>
    <s v="scaner  3D  CR de  alta precisión "/>
    <s v="UNIDAD"/>
    <n v="1"/>
    <n v="0"/>
    <n v="1"/>
    <n v="19359943"/>
    <n v="19359943"/>
    <n v="0"/>
    <n v="19359943"/>
    <s v="PATOLOGIA"/>
    <s v="A-2901-0800-16-20113A-2901002-02"/>
    <n v="118897192"/>
    <n v="99537249"/>
    <x v="1"/>
    <n v="19359943"/>
    <m/>
  </r>
  <r>
    <x v="5"/>
    <n v="27"/>
    <s v="impresora  de resina 3D"/>
    <s v="UNIDAD"/>
    <n v="1"/>
    <n v="0"/>
    <n v="1"/>
    <n v="15473202"/>
    <n v="15473202"/>
    <n v="0"/>
    <n v="15473202"/>
    <s v="PATOLOGIA"/>
    <s v="A-2901-0800-16-20113A-2901002-02"/>
    <n v="99537249"/>
    <n v="84064047"/>
    <x v="1"/>
    <n v="15473202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n v="1"/>
    <s v="CABINAS EXTRACTORAS PARA LABORATORIO DE ESTUPEFACIENTES DE LA REGIONAL BOGOTA (2) CABINA Y (1) CABINA PARA - PATOLOGIA - LABORATORIO DE HISTOTECNOLOGÍA "/>
    <s v="UNIDAD"/>
    <n v="3"/>
    <n v="0"/>
    <n v="3"/>
    <n v="64542518"/>
    <n v="193627554"/>
    <n v="0"/>
    <n v="193627554"/>
    <s v="LABORATORIO"/>
    <s v="A-2901-0800-9-20111D-2901002-02"/>
    <x v="0"/>
  </r>
  <r>
    <x v="0"/>
    <n v="2"/>
    <s v="CABINA EXTRACTORA PARA EL GRUPO DE PATOLOGIA FORENSE  DE LA REGIONAL BOGOTA"/>
    <s v="UNIDAD"/>
    <n v="1"/>
    <n v="0"/>
    <n v="1"/>
    <n v="60791847"/>
    <n v="60791847"/>
    <n v="0"/>
    <n v="60791847"/>
    <s v="PATOLOGIA"/>
    <s v="A-2901-0800-16-20113A-2901002-02"/>
    <x v="1"/>
  </r>
  <r>
    <x v="0"/>
    <n v="3"/>
    <s v="CABINAS EXTRACTORAS PARA EL LABORATORIO DE EVIDENCIA TRAZA  DE LA REGIONAL BOGOTA"/>
    <s v="UNIDAD"/>
    <n v="3"/>
    <n v="0"/>
    <n v="3"/>
    <n v="55298393"/>
    <n v="165895179"/>
    <n v="0"/>
    <n v="165895179"/>
    <s v="LABORATORIO"/>
    <s v="A-2901-0800-9-20111D-2901002-02"/>
    <x v="0"/>
  </r>
  <r>
    <x v="0"/>
    <n v="4"/>
    <s v="CABINA EXTRACTORA PARA EL LABORATORIO DE GENÉTICA DE LA REGIONAL BOGOTA"/>
    <s v="UNIDAD"/>
    <n v="1"/>
    <n v="0"/>
    <n v="1"/>
    <n v="54100886"/>
    <n v="54100886"/>
    <n v="0"/>
    <n v="54100886"/>
    <s v="GENÉTICA"/>
    <s v="A- 2901-0800-14-20111D-2901006-02"/>
    <x v="2"/>
  </r>
  <r>
    <x v="0"/>
    <n v="5"/>
    <s v="CABINA DE SEGURIDAD BIOLÓGICA CLASE II TIPO II PARA EL LABORATORIO DE GENÉTICA VILLAVICENCIO"/>
    <s v="UNIDAD"/>
    <n v="0"/>
    <n v="1"/>
    <n v="1"/>
    <n v="43091313"/>
    <n v="0"/>
    <n v="43091313"/>
    <n v="43091313"/>
    <s v="GENÉTICA"/>
    <s v="A-2901-0800-16-20113A-2901007-02"/>
    <x v="3"/>
  </r>
  <r>
    <x v="1"/>
    <n v="6"/>
    <s v="MICROSCOPIO ÓPTICO TRINOCULAR"/>
    <s v="UNIDAD"/>
    <n v="0"/>
    <n v="1"/>
    <n v="1"/>
    <n v="46301988"/>
    <n v="0"/>
    <n v="46301988"/>
    <n v="46301988"/>
    <s v="LABORATORIO"/>
    <s v="B-2901-0800-16-20113A-2901002-02"/>
    <x v="4"/>
  </r>
  <r>
    <x v="1"/>
    <n v="7"/>
    <s v="Estereomicroscopio  con camara "/>
    <s v="UNIDAD"/>
    <n v="1"/>
    <n v="0"/>
    <n v="1"/>
    <n v="161915416"/>
    <n v="161915416"/>
    <n v="0"/>
    <n v="161915416"/>
    <s v="PATOLOGIA"/>
    <s v="A-2901-0800-16-20113A-2901002-02"/>
    <x v="1"/>
  </r>
  <r>
    <x v="2"/>
    <n v="8"/>
    <s v="Baño De Flotación  "/>
    <s v="UNIDAD"/>
    <n v="1"/>
    <n v="0"/>
    <n v="1"/>
    <n v="7329714"/>
    <n v="7329714"/>
    <n v="0"/>
    <n v="7329714"/>
    <s v="PATOLOGIA"/>
    <s v="C-2901-0800-14-20111D-2901010-02"/>
    <x v="5"/>
  </r>
  <r>
    <x v="2"/>
    <n v="9"/>
    <s v="Central De Inclusión "/>
    <s v="UNIDAD"/>
    <n v="1"/>
    <n v="0"/>
    <n v="1"/>
    <n v="101320276"/>
    <n v="101320276"/>
    <n v="0"/>
    <n v="101320276"/>
    <s v="PATOLOGIA"/>
    <s v="A-2901-0800-16-20113A-2901002-02"/>
    <x v="1"/>
  </r>
  <r>
    <x v="2"/>
    <n v="10"/>
    <s v="Criostato"/>
    <s v="UNIDAD"/>
    <n v="1"/>
    <n v="0"/>
    <n v="1"/>
    <n v="179604981"/>
    <n v="179604981"/>
    <n v="0"/>
    <n v="179604981"/>
    <s v="PATOLOGIA"/>
    <s v="C-2901-0800-14-20111D-2901010-02"/>
    <x v="5"/>
  </r>
  <r>
    <x v="2"/>
    <n v="11"/>
    <s v="Micrótomo Motorizado "/>
    <s v="UNIDAD"/>
    <n v="1"/>
    <n v="0"/>
    <n v="1"/>
    <n v="133386702"/>
    <n v="133386702"/>
    <n v="0"/>
    <n v="133386702"/>
    <s v="PATOLOGIA"/>
    <s v="B-2901-0800-14-20111D-2901006-02"/>
    <x v="6"/>
  </r>
  <r>
    <x v="2"/>
    <n v="12"/>
    <s v="Procesador de Tejidos automatico cerrado "/>
    <s v="UNIDAD"/>
    <n v="1"/>
    <n v="0"/>
    <n v="1"/>
    <n v="113065305"/>
    <n v="113065305"/>
    <n v="0"/>
    <n v="113065305"/>
    <s v="PATOLOGIA"/>
    <s v="C-2901-0800-14-20111D-2901010-02"/>
    <x v="5"/>
  </r>
  <r>
    <x v="2"/>
    <n v="12"/>
    <s v="Procesador de Tejidos "/>
    <s v="uni"/>
    <n v="1"/>
    <n v="0"/>
    <n v="1"/>
    <n v="133714117"/>
    <n v="133714117"/>
    <m/>
    <n v="133714117"/>
    <s v="PATOLOGIA"/>
    <s v="A-2901-0800-16-20113A-2901002-02"/>
    <x v="1"/>
  </r>
  <r>
    <x v="3"/>
    <n v="13"/>
    <s v="Baño ultrasónico para uso en laboratorio"/>
    <s v="UNIDAD"/>
    <n v="2"/>
    <n v="0"/>
    <n v="2"/>
    <n v="7182643"/>
    <n v="14365286"/>
    <n v="0"/>
    <n v="14365286"/>
    <s v="LABORATORIO"/>
    <s v="A- 2901-0800-14-20111D-2901006-02"/>
    <x v="2"/>
  </r>
  <r>
    <x v="3"/>
    <n v="14"/>
    <s v="Agitador tipo vórtex para tubos"/>
    <s v="UNIDAD"/>
    <n v="0"/>
    <n v="2"/>
    <n v="2"/>
    <n v="2603490"/>
    <n v="0"/>
    <n v="5206980"/>
    <n v="5206980"/>
    <s v="LABORATORIO"/>
    <s v="B-2901-0800-16-20113A-2901002-02"/>
    <x v="4"/>
  </r>
  <r>
    <x v="4"/>
    <n v="15"/>
    <s v="Centrifuga de mesa de altas revoluciones con refrigeración:"/>
    <s v="UNIDAD"/>
    <n v="2"/>
    <n v="0"/>
    <n v="2"/>
    <n v="114119810"/>
    <n v="228239620"/>
    <n v="0"/>
    <n v="228239620"/>
    <s v="LABORATORIO"/>
    <s v="B-2901-0800-16-20113A-2901002-02"/>
    <x v="4"/>
  </r>
  <r>
    <x v="4"/>
    <n v="16"/>
    <s v="Centrifuga de mesa no refrigerada"/>
    <s v="UNIDAD"/>
    <n v="0"/>
    <n v="1"/>
    <n v="1"/>
    <n v="73211033"/>
    <n v="0"/>
    <n v="73211033"/>
    <n v="73211033"/>
    <s v="LABORATORIO"/>
    <s v="A-2901-0800-9-20111D-2901002-02"/>
    <x v="0"/>
  </r>
  <r>
    <x v="4"/>
    <n v="17"/>
    <s v="Centrífuga de Piso refrigerada."/>
    <s v="UNIDAD"/>
    <n v="0"/>
    <n v="2"/>
    <n v="2"/>
    <n v="111426840"/>
    <n v="0"/>
    <n v="216627055"/>
    <n v="216627055"/>
    <s v="GENÉTICA"/>
    <s v="A-2901-0800-16-20113A-2901007-02"/>
    <x v="3"/>
  </r>
  <r>
    <x v="4"/>
    <n v="17"/>
    <s v="Centrífuga de Piso refrigerada."/>
    <s v="UNIDAD"/>
    <n v="0"/>
    <n v="2"/>
    <n v="2"/>
    <n v="111426840"/>
    <n v="0"/>
    <n v="6226625"/>
    <n v="6226625"/>
    <s v="GENÉTICA"/>
    <s v="B-2901-0800-16-20113A-2901002-02"/>
    <x v="4"/>
  </r>
  <r>
    <x v="4"/>
    <n v="18"/>
    <s v="Microcentrífuga de alta velocidad tipo MiniSpli"/>
    <s v="UNIDAD"/>
    <n v="0"/>
    <n v="2"/>
    <n v="2"/>
    <n v="7474549"/>
    <n v="0"/>
    <n v="14949098"/>
    <n v="14949098"/>
    <s v="GENÉTICA"/>
    <s v="A- 2901-0800-14-20111D-2901006-02"/>
    <x v="2"/>
  </r>
  <r>
    <x v="5"/>
    <n v="19"/>
    <s v="scaner  3D  portatil e inalambrico  CR de  alta precisión  "/>
    <s v="UNIDAD"/>
    <n v="1"/>
    <n v="0"/>
    <n v="1"/>
    <n v="19359943"/>
    <n v="19359943"/>
    <n v="0"/>
    <n v="19359943"/>
    <s v="PATOLOGIA"/>
    <s v="A-2901-0800-16-20113A-2901002-02"/>
    <x v="1"/>
  </r>
  <r>
    <x v="5"/>
    <n v="20"/>
    <s v="impresora  de resina 3D"/>
    <s v="UNIDAD"/>
    <n v="1"/>
    <n v="0"/>
    <n v="1"/>
    <n v="15473202"/>
    <n v="15473202"/>
    <n v="0"/>
    <n v="15473202"/>
    <s v="PATOLOGIA"/>
    <s v="A-2901-0800-16-20113A-2901002-02"/>
    <x v="1"/>
  </r>
  <r>
    <x v="6"/>
    <n v="21"/>
    <s v="Semi-microbalanza"/>
    <s v="UNIDAD"/>
    <n v="1"/>
    <n v="0"/>
    <n v="1"/>
    <n v="129972575"/>
    <n v="129972575"/>
    <n v="0"/>
    <n v="129972575"/>
    <s v="genetica"/>
    <s v="A-2901-0800-16-20113A-2901007-02"/>
    <x v="3"/>
  </r>
  <r>
    <x v="6"/>
    <n v="22"/>
    <s v="balanza analítica "/>
    <s v="UNIDAD"/>
    <n v="1"/>
    <n v="0"/>
    <n v="1"/>
    <n v="40050596"/>
    <n v="40050596"/>
    <n v="0"/>
    <n v="40050596"/>
    <s v="LABOTATORIOS"/>
    <s v="A-2901-0800-9-20111D-2901002-02"/>
    <x v="0"/>
  </r>
  <r>
    <x v="7"/>
    <n v="23"/>
    <s v="Homogenizador de tejidos, vertical con vástago:"/>
    <s v="UNIDAD"/>
    <n v="1"/>
    <n v="0"/>
    <n v="1"/>
    <n v="19454635"/>
    <n v="19454635"/>
    <n v="0"/>
    <n v="19454635"/>
    <s v="GENÉTICA"/>
    <s v="B-2901-0800-16-20113A-2901002-02"/>
    <x v="4"/>
  </r>
  <r>
    <x v="7"/>
    <n v="24"/>
    <s v="Vórtex multiprobeta / multitubo: "/>
    <s v="UNIDAD"/>
    <n v="3"/>
    <n v="0"/>
    <n v="3"/>
    <n v="24247119"/>
    <n v="72741357"/>
    <n v="0"/>
    <n v="72741357"/>
    <s v="LABORATORIO"/>
    <s v="B-2901-0800-16-20113A-2901002-02"/>
    <x v="4"/>
  </r>
  <r>
    <x v="8"/>
    <n v="25"/>
    <s v="Esterilizador o autocleve horizontal y/o sobremesa:"/>
    <s v="UNIDAD"/>
    <n v="1"/>
    <n v="0"/>
    <n v="1"/>
    <n v="29155000"/>
    <n v="29155000"/>
    <n v="0"/>
    <n v="29155000"/>
    <s v="LABORATORIO"/>
    <s v="A-2901-0800-16-20113A-2901007-02"/>
    <x v="3"/>
  </r>
  <r>
    <x v="9"/>
    <n v="26"/>
    <s v="Evaporador concentrador de muestras con centrifuga (rapidvap)"/>
    <s v="UNIDAD"/>
    <n v="1"/>
    <n v="0"/>
    <n v="1"/>
    <n v="192791293"/>
    <n v="192791293"/>
    <n v="0"/>
    <n v="192791293"/>
    <s v="LABORATORIO"/>
    <s v="B-2901-0800-16-20113A-2901002-02"/>
    <x v="4"/>
  </r>
  <r>
    <x v="10"/>
    <n v="27"/>
    <s v="Evaporador concentrador de muestras (rapidvap)"/>
    <s v="UNIDAD"/>
    <n v="0"/>
    <n v="1"/>
    <n v="1"/>
    <n v="136873800"/>
    <n v="0"/>
    <n v="136873800"/>
    <n v="136873800"/>
    <s v="LABORATORIO"/>
    <s v="B-2901-0800-16-20113A-2901002-02"/>
    <x v="4"/>
  </r>
  <r>
    <x v="11"/>
    <n v="28"/>
    <s v="Sistema dilutor dispensador de Líquidos"/>
    <s v="UNIDAD"/>
    <n v="0"/>
    <n v="1"/>
    <n v="1"/>
    <n v="59381000"/>
    <n v="0"/>
    <n v="59381000"/>
    <n v="59381000"/>
    <s v="LABORATORIO"/>
    <s v="B-2901-0800-16-20113A-2901002-02"/>
    <x v="4"/>
  </r>
  <r>
    <x v="12"/>
    <n v="29"/>
    <s v="Sistema de esterilización con luz UV-C (254nm) (Crosslinker)"/>
    <s v="UNIDAD"/>
    <n v="0"/>
    <n v="1"/>
    <n v="1"/>
    <n v="18292580"/>
    <n v="0"/>
    <n v="18292580"/>
    <n v="18292580"/>
    <s v="GENÉTICA"/>
    <s v="A-2901-0800-16-20113A-2901007-0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aDinámica2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C28:E34" firstHeaderRow="0" firstDataRow="1" firstDataCol="1"/>
  <pivotFields count="14">
    <pivotField axis="axisRow" numFmtId="3" showAll="0">
      <items count="14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6">
    <i>
      <x/>
    </i>
    <i r="1">
      <x/>
    </i>
    <i r="1">
      <x v="1"/>
    </i>
    <i r="1">
      <x v="2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1">
    <format dxfId="226">
      <pivotArea dataOnly="0" labelOnly="1" fieldPosition="0">
        <references count="1">
          <reference field="13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aDinámica3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C15:E19" firstHeaderRow="0" firstDataRow="1" firstDataCol="1"/>
  <pivotFields count="14">
    <pivotField axis="axisRow" numFmtId="3" showAll="0">
      <items count="14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4">
    <i>
      <x v="1"/>
    </i>
    <i r="1">
      <x v="1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1">
    <format dxfId="218">
      <pivotArea dataOnly="0" labelOnly="1" fieldPosition="0">
        <references count="2">
          <reference field="0" count="0" selected="0"/>
          <reference field="13" count="2">
            <x v="1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aDinámica11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G12:AI17" firstHeaderRow="0" firstDataRow="1" firstDataCol="1"/>
  <pivotFields count="14">
    <pivotField axis="axisRow" numFmtId="3" showAll="0">
      <items count="14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5">
    <i>
      <x v="2"/>
    </i>
    <i r="1">
      <x v="1"/>
    </i>
    <i r="1">
      <x v="4"/>
    </i>
    <i r="1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190">
      <pivotArea dataOnly="0" labelOnly="1" fieldPosition="0">
        <references count="1">
          <reference field="13" count="0"/>
        </references>
      </pivotArea>
    </format>
    <format dxfId="189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aDinámica4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C25:E30" firstHeaderRow="0" firstDataRow="1" firstDataCol="1"/>
  <pivotFields count="14">
    <pivotField axis="axisRow" numFmtId="3" showAll="0">
      <items count="14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5">
    <i>
      <x v="2"/>
    </i>
    <i r="1">
      <x v="1"/>
    </i>
    <i r="1">
      <x v="4"/>
    </i>
    <i r="1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9">
    <format dxfId="199">
      <pivotArea type="all" dataOnly="0" outline="0" fieldPosition="0"/>
    </format>
    <format dxfId="198">
      <pivotArea outline="0" collapsedLevelsAreSubtotals="1" fieldPosition="0"/>
    </format>
    <format dxfId="197">
      <pivotArea field="0" type="button" dataOnly="0" labelOnly="1" outline="0" axis="axisRow" fieldPosition="0"/>
    </format>
    <format dxfId="196">
      <pivotArea dataOnly="0" labelOnly="1" fieldPosition="0">
        <references count="1">
          <reference field="0" count="0"/>
        </references>
      </pivotArea>
    </format>
    <format dxfId="195">
      <pivotArea dataOnly="0" labelOnly="1" grandRow="1" outline="0" fieldPosition="0"/>
    </format>
    <format dxfId="194">
      <pivotArea dataOnly="0" labelOnly="1" fieldPosition="0">
        <references count="2">
          <reference field="0" count="0" selected="0"/>
          <reference field="13" count="3">
            <x v="1"/>
            <x v="4"/>
            <x v="6"/>
          </reference>
        </references>
      </pivotArea>
    </format>
    <format dxfId="19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92">
      <pivotArea collapsedLevelsAreSubtotals="1" fieldPosition="0">
        <references count="2">
          <reference field="0" count="0" selected="0"/>
          <reference field="13" count="3">
            <x v="1"/>
            <x v="4"/>
            <x v="6"/>
          </reference>
        </references>
      </pivotArea>
    </format>
    <format dxfId="191">
      <pivotArea dataOnly="0" labelOnly="1" fieldPosition="0">
        <references count="2">
          <reference field="0" count="0" selected="0"/>
          <reference field="13" count="3">
            <x v="1"/>
            <x v="4"/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aDinámica2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F8:AH12" firstHeaderRow="0" firstDataRow="1" firstDataCol="1"/>
  <pivotFields count="14">
    <pivotField axis="axisRow" numFmtId="3" showAll="0">
      <items count="14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4">
    <i>
      <x v="3"/>
    </i>
    <i r="1">
      <x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174">
      <pivotArea dataOnly="0" labelOnly="1" fieldPosition="0">
        <references count="1">
          <reference field="13" count="0"/>
        </references>
      </pivotArea>
    </format>
    <format dxfId="173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name="TablaDinámica12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F10:AH16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6">
    <i>
      <x v="4"/>
    </i>
    <i r="1">
      <x/>
    </i>
    <i r="1">
      <x v="2"/>
    </i>
    <i r="1">
      <x v="3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 numFmtId="43"/>
  </dataFields>
  <formats count="5">
    <format dxfId="160">
      <pivotArea dataOnly="0" labelOnly="1" fieldPosition="0">
        <references count="1">
          <reference field="13" count="0"/>
        </references>
      </pivotArea>
    </format>
    <format dxfId="159">
      <pivotArea collapsedLevelsAreSubtotals="1" fieldPosition="0">
        <references count="2">
          <reference field="0" count="0" selected="0"/>
          <reference field="13" count="4">
            <x v="0"/>
            <x v="2"/>
            <x v="3"/>
            <x v="5"/>
          </reference>
        </references>
      </pivotArea>
    </format>
    <format dxfId="158">
      <pivotArea dataOnly="0" labelOnly="1" fieldPosition="0">
        <references count="2">
          <reference field="0" count="0" selected="0"/>
          <reference field="13" count="4">
            <x v="0"/>
            <x v="2"/>
            <x v="3"/>
            <x v="5"/>
          </reference>
        </references>
      </pivotArea>
    </format>
    <format dxfId="15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56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name="TablaDinámica1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F22:AH28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x="4"/>
        <item h="1"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6">
    <i>
      <x v="4"/>
    </i>
    <i r="1">
      <x/>
    </i>
    <i r="1">
      <x v="2"/>
    </i>
    <i r="1">
      <x v="3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 numFmtId="43"/>
  </dataFields>
  <formats count="5">
    <format dxfId="165">
      <pivotArea dataOnly="0" labelOnly="1" fieldPosition="0">
        <references count="1">
          <reference field="13" count="0"/>
        </references>
      </pivotArea>
    </format>
    <format dxfId="164">
      <pivotArea collapsedLevelsAreSubtotals="1" fieldPosition="0">
        <references count="2">
          <reference field="0" count="0" selected="0"/>
          <reference field="13" count="4">
            <x v="0"/>
            <x v="2"/>
            <x v="3"/>
            <x v="5"/>
          </reference>
        </references>
      </pivotArea>
    </format>
    <format dxfId="163">
      <pivotArea dataOnly="0" labelOnly="1" fieldPosition="0">
        <references count="2">
          <reference field="0" count="0" selected="0"/>
          <reference field="13" count="4">
            <x v="0"/>
            <x v="2"/>
            <x v="3"/>
            <x v="5"/>
          </reference>
        </references>
      </pivotArea>
    </format>
    <format dxfId="16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61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name="TablaDinámica2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G14:AI17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3">
    <i>
      <x v="5"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148">
      <pivotArea dataOnly="0" labelOnly="1" fieldPosition="0">
        <references count="1">
          <reference field="13" count="0"/>
        </references>
      </pivotArea>
    </format>
    <format dxfId="147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name="TablaDinámica6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D11" firstHeaderRow="0" firstDataRow="1" firstDataCol="1"/>
  <pivotFields count="16">
    <pivotField dataField="1" numFmtId="3" showAll="0"/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numFmtId="3" showAll="0"/>
    <pivotField dataField="1" numFmtId="3" showAll="0"/>
    <pivotField numFmtId="3" showAll="0"/>
    <pivotField showAll="0"/>
    <pivotField showAll="0"/>
    <pivotField numFmtId="3" showAll="0"/>
    <pivotField dataField="1" numFmtId="3" showAll="0"/>
    <pivotField axis="axisRow" showAll="0">
      <items count="10">
        <item x="2"/>
        <item x="1"/>
        <item x="3"/>
        <item x="0"/>
        <item m="1" x="8"/>
        <item x="4"/>
        <item x="5"/>
        <item x="6"/>
        <item m="1" x="7"/>
        <item t="default"/>
      </items>
    </pivotField>
  </pivotFields>
  <rowFields count="1">
    <field x="15"/>
  </rowFields>
  <rowItems count="8">
    <i>
      <x/>
    </i>
    <i>
      <x v="1"/>
    </i>
    <i>
      <x v="2"/>
    </i>
    <i>
      <x v="3"/>
    </i>
    <i>
      <x v="5"/>
    </i>
    <i>
      <x v="6"/>
    </i>
    <i>
      <x v="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a de valor REG oriente " fld="9" baseField="0" baseItem="0" numFmtId="3"/>
    <dataField name="Suma de valor restante " fld="14" baseField="0" baseItem="0" numFmtId="3"/>
    <dataField name="Suma de LOTE" fld="0" baseField="0" baseItem="0" numFmtId="3"/>
  </dataFields>
  <formats count="4">
    <format dxfId="139">
      <pivotArea type="all" dataOnly="0" outline="0" fieldPosition="0"/>
    </format>
    <format dxfId="138">
      <pivotArea field="15" type="button" dataOnly="0" labelOnly="1" outline="0" axis="axisRow" fieldPosition="0"/>
    </format>
    <format dxfId="137">
      <pivotArea dataOnly="0" labelOnly="1" fieldPosition="0">
        <references count="1">
          <reference field="15" count="0"/>
        </references>
      </pivotArea>
    </format>
    <format dxfId="136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name="TablaDinámica2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I2:K7" firstHeaderRow="1" firstDataRow="1" firstDataCol="2"/>
  <pivotFields count="14">
    <pivotField compact="0" numFmtId="3" outline="0" showAll="0"/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axis="axisRow" dataField="1" compact="0" numFmtId="3" outline="0" showAll="0">
      <items count="12">
        <item h="1" x="0"/>
        <item x="7"/>
        <item x="10"/>
        <item x="6"/>
        <item x="2"/>
        <item x="1"/>
        <item x="5"/>
        <item x="8"/>
        <item x="4"/>
        <item x="9"/>
        <item h="1" x="3"/>
        <item t="default"/>
      </items>
    </pivotField>
    <pivotField compact="0" numFmtId="3" outline="0" showAll="0"/>
    <pivotField compact="0" outline="0" showAll="0"/>
    <pivotField axis="axisRow" compact="0" outline="0" showAll="0">
      <items count="9">
        <item sd="0" x="2"/>
        <item x="1"/>
        <item sd="0" x="3"/>
        <item sd="0" x="0"/>
        <item x="6"/>
        <item sd="0" x="4"/>
        <item x="5"/>
        <item m="1" x="7"/>
        <item t="default"/>
      </items>
    </pivotField>
    <pivotField compact="0" numFmtId="3" outline="0" showAll="0"/>
  </pivotFields>
  <rowFields count="2">
    <field x="12"/>
    <field x="9"/>
  </rowFields>
  <rowItems count="5">
    <i>
      <x/>
    </i>
    <i>
      <x v="2"/>
    </i>
    <i>
      <x v="3"/>
    </i>
    <i>
      <x v="5"/>
    </i>
    <i t="grand">
      <x/>
    </i>
  </rowItems>
  <colItems count="1">
    <i/>
  </colItems>
  <dataFields count="1">
    <dataField name="Suma de valor REG oriente " fld="9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name="Tabla dinámica2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29:C52" firstHeaderRow="1" firstDataRow="1" firstDataCol="2"/>
  <pivotFields count="15">
    <pivotField axis="axisRow" compact="0" numFmtId="3" outline="0" showAll="0">
      <items count="7">
        <item x="0"/>
        <item x="1"/>
        <item x="2"/>
        <item x="3"/>
        <item x="4"/>
        <item x="5"/>
        <item t="default"/>
      </items>
    </pivotField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outline="0" showAll="0"/>
    <pivotField axis="axisRow" compact="0" outline="0" showAll="0">
      <items count="8">
        <item x="2"/>
        <item x="1"/>
        <item x="3"/>
        <item x="0"/>
        <item x="6"/>
        <item x="4"/>
        <item x="5"/>
        <item t="default"/>
      </items>
    </pivotField>
    <pivotField compact="0" numFmtId="3" outline="0" showAll="0"/>
    <pivotField dataField="1" compact="0" numFmtId="3" outline="0" showAll="0"/>
  </pivotFields>
  <rowFields count="2">
    <field x="0"/>
    <field x="12"/>
  </rowFields>
  <rowItems count="23">
    <i>
      <x/>
      <x/>
    </i>
    <i r="1">
      <x v="1"/>
    </i>
    <i r="1">
      <x v="2"/>
    </i>
    <i r="1">
      <x v="3"/>
    </i>
    <i t="default">
      <x/>
    </i>
    <i>
      <x v="1"/>
      <x v="1"/>
    </i>
    <i r="1">
      <x v="5"/>
    </i>
    <i t="default">
      <x v="1"/>
    </i>
    <i>
      <x v="2"/>
      <x v="1"/>
    </i>
    <i r="1">
      <x v="4"/>
    </i>
    <i r="1">
      <x v="6"/>
    </i>
    <i t="default">
      <x v="2"/>
    </i>
    <i>
      <x v="3"/>
      <x/>
    </i>
    <i r="1">
      <x v="2"/>
    </i>
    <i r="1">
      <x v="5"/>
    </i>
    <i t="default">
      <x v="3"/>
    </i>
    <i>
      <x v="4"/>
      <x/>
    </i>
    <i r="1">
      <x v="2"/>
    </i>
    <i r="1">
      <x v="3"/>
    </i>
    <i t="default">
      <x v="4"/>
    </i>
    <i>
      <x v="5"/>
      <x v="1"/>
    </i>
    <i t="default">
      <x v="5"/>
    </i>
    <i t="grand">
      <x/>
    </i>
  </rowItems>
  <colItems count="1">
    <i/>
  </colItems>
  <dataFields count="1">
    <dataField name="Suma de valor restante " fld="14" baseField="12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name="Tabla dinámica1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3:C11" firstHeaderRow="0" firstDataRow="1" firstDataCol="1"/>
  <pivotFields count="16">
    <pivotField dataField="1" compact="0" numFmtId="3" outline="0" showAll="0">
      <items count="7">
        <item h="1" x="0"/>
        <item h="1" x="1"/>
        <item h="1" x="2"/>
        <item x="3"/>
        <item h="1" x="4"/>
        <item h="1" x="5"/>
        <item t="default"/>
      </items>
    </pivotField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dataField="1"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axis="axisRow" compact="0" outline="0" showAll="0">
      <items count="10">
        <item n="código Rubro = A- 2901-0800-14-20111D-2901006-02 Nombre del proyecto = MEJORAMIENTO DE LOS PROCEDIMIENTOS Y DE LA CAPACIDAD DE RESPUESTA EN LOS SERVICIOS DE PATOLOGÍA FORENSE A NIVEL  NACIONAL Nombre del Poducto =  SERVICIO DE INVESTIGACION PENAL, CRIMIN" x="2"/>
        <item n="código Rubro = A-2901-0800-16-20113A-2901002-02 Nombre del proyecto = FORTALECIMIENTO DEL INSTITUTO NACIONAL DE MEDICINA LEGAL Y CIENCIAS FORENSES EN ATENCIÓN A LOS RETOS DEL POSCONFLICTO A NIVEL  NACIONAL Nombre del Poducto =  SERVICIOS DE LABORATORIO F" x="1"/>
        <item n="código Rubro = A-2901-0800-16-20113A-2901007-02 Nombre del proyecto = FORTALECIMIENTO DEL INSTITUTO NACIONAL DE MEDICINA LEGAL Y CIENCIAS FORENSES EN ATENCIÓN A LOS RETOS DEL POSCONFLICTO A NIVEL  NACIONAL Nombre del Poducto =  SERVICIOS DE GENETICA FORE" x="3"/>
        <item x="0"/>
        <item m="1" x="8"/>
        <item n="código Rubro = B-2901-0800-16-20113A-2901002-02 Nombre del proyecto = FORTALECIMIENTO DEL INSTITUTO NACIONAL DE MEDICINA LEGAL Y CIENCIAS FORENSES EN ATENCIÓN A LOS RETOS DEL POSCONFLICTO A NIVEL  NACIONAL Nombre del Poducto =  SERVICIOS DE LABORATORIO F" x="4"/>
        <item n="código Rubro = C-2901-0800-14-20111D-2901006-02 Nombre del proyecto = MEJORAMIENTO DE LOS PROCEDIMIENTOS Y DE LA CAPACIDAD DE RESPUESTA EN LOS SERVICIOS DE PATOLOGÍA FORENSE A NIVEL  NACIONAL Nombre del Poducto =  SALAS DE NECROPSIAS DOTADAS  Nombre del " x="5"/>
        <item n="código Rubro = B-2901-0800-14-20111D-2901006-02 Nombre del proyecto = MEJORAMIENTO DE LOS PROCEDIMIENTOS Y DE LA CAPACIDAD DE RESPUESTA EN LOS SERVICIOS DE PATOLOGÍA FORENSE A NIVEL  NACIONAL Nombre del Poducto =  SERVICIO DE INVESTIGACION PENAL, CRIMINA" x="6"/>
        <item m="1" x="7"/>
        <item t="default"/>
      </items>
    </pivotField>
  </pivotFields>
  <rowFields count="1">
    <field x="15"/>
  </rowFields>
  <rowItems count="8">
    <i>
      <x/>
    </i>
    <i>
      <x v="1"/>
    </i>
    <i>
      <x v="2"/>
    </i>
    <i>
      <x v="3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TOTAL " fld="10" baseField="0" baseItem="0" numFmtId="3"/>
    <dataField name="Suma de LOTE" fld="0" baseField="0" baseItem="0" numFmtId="3"/>
  </dataFields>
  <formats count="1">
    <format dxfId="123">
      <pivotArea field="0" type="button" dataOnly="0" labelOnly="1" outline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name="TablaDinámica1" cacheId="1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E2:F10" firstHeaderRow="1" firstDataRow="1" firstDataCol="1"/>
  <pivotFields count="14">
    <pivotField compact="0" numFmtId="3" outline="0" showAll="0"/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dataField="1" compact="0" numFmtId="3" outline="0" showAll="0"/>
    <pivotField compact="0" outline="0" showAll="0"/>
    <pivotField axis="axisRow" compact="0" outline="0" showAll="0">
      <items count="9">
        <item x="2"/>
        <item x="1"/>
        <item x="3"/>
        <item x="0"/>
        <item x="6"/>
        <item x="4"/>
        <item x="5"/>
        <item m="1" x="7"/>
        <item t="default"/>
      </items>
    </pivotField>
    <pivotField compact="0" numFmtId="3" outline="0" showAll="0"/>
  </pivotFields>
  <rowFields count="1">
    <field x="1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uma de VALOR TOTAL " fld="10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name="TablaDinámica5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105:D149" firstHeaderRow="1" firstDataRow="1" firstDataCol="3"/>
  <pivotFields count="15">
    <pivotField axis="axisRow" compact="0" numFmtId="3" outline="0" showAll="0">
      <items count="7">
        <item x="0"/>
        <item x="1"/>
        <item x="2"/>
        <item x="3"/>
        <item x="4"/>
        <item x="5"/>
        <item t="default"/>
      </items>
    </pivotField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>
      <items count="20">
        <item x="4"/>
        <item x="6"/>
        <item x="11"/>
        <item x="18"/>
        <item x="17"/>
        <item x="12"/>
        <item x="13"/>
        <item x="14"/>
        <item x="3"/>
        <item x="1"/>
        <item x="7"/>
        <item x="9"/>
        <item x="5"/>
        <item x="0"/>
        <item x="8"/>
        <item x="15"/>
        <item x="16"/>
        <item x="10"/>
        <item x="2"/>
        <item t="default"/>
      </items>
    </pivotField>
    <pivotField axis="axisRow" compact="0" numFmtId="3" outline="0" showAll="0">
      <items count="11">
        <item x="0"/>
        <item x="6"/>
        <item x="9"/>
        <item x="5"/>
        <item x="2"/>
        <item x="1"/>
        <item x="4"/>
        <item x="7"/>
        <item x="3"/>
        <item x="8"/>
        <item t="default"/>
      </items>
    </pivotField>
    <pivotField compact="0" numFmtId="3" outline="0" showAll="0"/>
    <pivotField compact="0" outline="0" showAll="0"/>
    <pivotField axis="axisRow" compact="0" outline="0" showAll="0">
      <items count="8">
        <item x="2"/>
        <item x="1"/>
        <item x="3"/>
        <item x="0"/>
        <item x="6"/>
        <item x="4"/>
        <item x="5"/>
        <item t="default"/>
      </items>
    </pivotField>
    <pivotField compact="0" numFmtId="3" outline="0" showAll="0"/>
    <pivotField dataField="1" compact="0" numFmtId="3" outline="0" showAll="0"/>
  </pivotFields>
  <rowFields count="3">
    <field x="0"/>
    <field x="12"/>
    <field x="9"/>
  </rowFields>
  <rowItems count="44">
    <i>
      <x/>
      <x/>
      <x/>
    </i>
    <i t="default" r="1">
      <x/>
    </i>
    <i r="1">
      <x v="1"/>
      <x/>
    </i>
    <i t="default" r="1">
      <x v="1"/>
    </i>
    <i r="1">
      <x v="2"/>
      <x v="5"/>
    </i>
    <i t="default" r="1">
      <x v="2"/>
    </i>
    <i r="1">
      <x v="3"/>
      <x/>
    </i>
    <i t="default" r="1">
      <x v="3"/>
    </i>
    <i t="default">
      <x/>
    </i>
    <i>
      <x v="1"/>
      <x v="1"/>
      <x/>
    </i>
    <i t="default" r="1">
      <x v="1"/>
    </i>
    <i r="1">
      <x v="5"/>
      <x v="4"/>
    </i>
    <i t="default" r="1">
      <x v="5"/>
    </i>
    <i t="default">
      <x v="1"/>
    </i>
    <i>
      <x v="2"/>
      <x v="1"/>
      <x/>
    </i>
    <i t="default" r="1">
      <x v="1"/>
    </i>
    <i r="1">
      <x v="4"/>
      <x/>
    </i>
    <i t="default" r="1">
      <x v="4"/>
    </i>
    <i r="1">
      <x v="6"/>
      <x/>
    </i>
    <i t="default" r="1">
      <x v="6"/>
    </i>
    <i t="default">
      <x v="2"/>
    </i>
    <i>
      <x v="3"/>
      <x/>
      <x/>
    </i>
    <i t="default" r="1">
      <x/>
    </i>
    <i r="1">
      <x v="2"/>
      <x/>
    </i>
    <i r="2">
      <x v="1"/>
    </i>
    <i t="default" r="1">
      <x v="2"/>
    </i>
    <i r="1">
      <x v="5"/>
      <x/>
    </i>
    <i r="2">
      <x v="3"/>
    </i>
    <i r="2">
      <x v="6"/>
    </i>
    <i r="2">
      <x v="8"/>
    </i>
    <i t="default" r="1">
      <x v="5"/>
    </i>
    <i t="default">
      <x v="3"/>
    </i>
    <i>
      <x v="4"/>
      <x/>
      <x v="2"/>
    </i>
    <i t="default" r="1">
      <x/>
    </i>
    <i r="1">
      <x v="2"/>
      <x v="9"/>
    </i>
    <i t="default" r="1">
      <x v="2"/>
    </i>
    <i r="1">
      <x v="3"/>
      <x/>
    </i>
    <i r="2">
      <x v="7"/>
    </i>
    <i t="default" r="1">
      <x v="3"/>
    </i>
    <i t="default">
      <x v="4"/>
    </i>
    <i>
      <x v="5"/>
      <x v="1"/>
      <x/>
    </i>
    <i t="default" r="1">
      <x v="1"/>
    </i>
    <i t="default">
      <x v="5"/>
    </i>
    <i t="grand">
      <x/>
    </i>
  </rowItems>
  <colItems count="1">
    <i/>
  </colItems>
  <dataFields count="1">
    <dataField name="Suma de valor restante " fld="14" baseField="12" baseItem="0" numFmtId="3"/>
  </dataFields>
  <formats count="1">
    <format dxfId="124">
      <pivotArea field="12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name="TablaDinámica4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54:D102" firstHeaderRow="1" firstDataRow="1" firstDataCol="3"/>
  <pivotFields count="15">
    <pivotField axis="axisRow" compact="0" numFmtId="3" outline="0" showAll="0">
      <items count="7">
        <item x="0"/>
        <item x="1"/>
        <item x="2"/>
        <item x="3"/>
        <item x="4"/>
        <item x="5"/>
        <item t="default"/>
      </items>
    </pivotField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axis="axisRow" compact="0" numFmtId="3" outline="0" showAll="0">
      <items count="20">
        <item x="4"/>
        <item x="6"/>
        <item x="11"/>
        <item x="18"/>
        <item x="17"/>
        <item x="12"/>
        <item x="13"/>
        <item x="14"/>
        <item x="3"/>
        <item x="1"/>
        <item x="7"/>
        <item x="9"/>
        <item x="5"/>
        <item x="0"/>
        <item x="8"/>
        <item x="15"/>
        <item x="16"/>
        <item x="10"/>
        <item x="2"/>
        <item t="default"/>
      </items>
    </pivotField>
    <pivotField compact="0" numFmtId="3" outline="0" showAll="0"/>
    <pivotField compact="0" numFmtId="3" outline="0" showAll="0"/>
    <pivotField compact="0" outline="0" showAll="0"/>
    <pivotField axis="axisRow" compact="0" outline="0" showAll="0">
      <items count="8">
        <item x="2"/>
        <item x="1"/>
        <item x="3"/>
        <item x="0"/>
        <item x="6"/>
        <item x="4"/>
        <item x="5"/>
        <item t="default"/>
      </items>
    </pivotField>
    <pivotField compact="0" numFmtId="3" outline="0" showAll="0"/>
    <pivotField dataField="1" compact="0" numFmtId="3" outline="0" showAll="0"/>
  </pivotFields>
  <rowFields count="3">
    <field x="0"/>
    <field x="12"/>
    <field x="8"/>
  </rowFields>
  <rowItems count="48">
    <i>
      <x/>
      <x/>
      <x v="8"/>
    </i>
    <i t="default" r="1">
      <x/>
    </i>
    <i r="1">
      <x v="1"/>
      <x v="9"/>
    </i>
    <i t="default" r="1">
      <x v="1"/>
    </i>
    <i r="1">
      <x v="2"/>
      <x/>
    </i>
    <i t="default" r="1">
      <x v="2"/>
    </i>
    <i r="1">
      <x v="3"/>
      <x v="13"/>
    </i>
    <i r="2">
      <x v="18"/>
    </i>
    <i t="default" r="1">
      <x v="3"/>
    </i>
    <i t="default">
      <x/>
    </i>
    <i>
      <x v="1"/>
      <x v="1"/>
      <x v="12"/>
    </i>
    <i t="default" r="1">
      <x v="1"/>
    </i>
    <i r="1">
      <x v="5"/>
      <x/>
    </i>
    <i t="default" r="1">
      <x v="5"/>
    </i>
    <i t="default">
      <x v="1"/>
    </i>
    <i>
      <x v="2"/>
      <x v="1"/>
      <x v="10"/>
    </i>
    <i t="default" r="1">
      <x v="1"/>
    </i>
    <i r="1">
      <x v="4"/>
      <x v="11"/>
    </i>
    <i t="default" r="1">
      <x v="4"/>
    </i>
    <i r="1">
      <x v="6"/>
      <x v="1"/>
    </i>
    <i r="2">
      <x v="14"/>
    </i>
    <i r="2">
      <x v="17"/>
    </i>
    <i t="default" r="1">
      <x v="6"/>
    </i>
    <i t="default">
      <x v="2"/>
    </i>
    <i>
      <x v="3"/>
      <x/>
      <x v="2"/>
    </i>
    <i t="default" r="1">
      <x/>
    </i>
    <i r="1">
      <x v="2"/>
      <x/>
    </i>
    <i r="2">
      <x v="6"/>
    </i>
    <i t="default" r="1">
      <x v="2"/>
    </i>
    <i r="1">
      <x v="5"/>
      <x/>
    </i>
    <i r="2">
      <x v="5"/>
    </i>
    <i r="2">
      <x v="7"/>
    </i>
    <i r="2">
      <x v="15"/>
    </i>
    <i t="default" r="1">
      <x v="5"/>
    </i>
    <i t="default">
      <x v="3"/>
    </i>
    <i>
      <x v="4"/>
      <x/>
      <x/>
    </i>
    <i t="default" r="1">
      <x/>
    </i>
    <i r="1">
      <x v="2"/>
      <x/>
    </i>
    <i t="default" r="1">
      <x v="2"/>
    </i>
    <i r="1">
      <x v="3"/>
      <x/>
    </i>
    <i r="2">
      <x v="16"/>
    </i>
    <i t="default" r="1">
      <x v="3"/>
    </i>
    <i t="default">
      <x v="4"/>
    </i>
    <i>
      <x v="5"/>
      <x v="1"/>
      <x v="3"/>
    </i>
    <i r="2">
      <x v="4"/>
    </i>
    <i t="default" r="1">
      <x v="1"/>
    </i>
    <i t="default">
      <x v="5"/>
    </i>
    <i t="grand">
      <x/>
    </i>
  </rowItems>
  <colItems count="1">
    <i/>
  </colItems>
  <dataFields count="1">
    <dataField name="Suma de valor restante " fld="14" baseField="12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name="TablaDinámica3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F5:AH9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h="1" x="4"/>
        <item h="1" x="5"/>
        <item x="6"/>
        <item h="1"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4">
    <i>
      <x v="6"/>
    </i>
    <i r="1">
      <x v="2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122">
      <pivotArea dataOnly="0" labelOnly="1" fieldPosition="0">
        <references count="1">
          <reference field="13" count="0"/>
        </references>
      </pivotArea>
    </format>
    <format dxfId="121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name="TablaDinámica5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H10:AJ13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3">
    <i>
      <x v="7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112">
      <pivotArea dataOnly="0" labelOnly="1" fieldPosition="0">
        <references count="1">
          <reference field="13" count="0"/>
        </references>
      </pivotArea>
    </format>
    <format dxfId="111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name="TablaDinámica6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F9:AH12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h="1" x="4"/>
        <item h="1" x="5"/>
        <item h="1" x="6"/>
        <item h="1" x="7"/>
        <item x="8"/>
        <item h="1"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3">
    <i>
      <x v="8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103">
      <pivotArea dataOnly="0" labelOnly="1" fieldPosition="0">
        <references count="1">
          <reference field="13" count="0"/>
        </references>
      </pivotArea>
    </format>
    <format dxfId="102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name="TablaDinámica7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G6:AI9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h="1"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3">
    <i>
      <x v="9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94">
      <pivotArea dataOnly="0" labelOnly="1" fieldPosition="0">
        <references count="1">
          <reference field="13" count="0"/>
        </references>
      </pivotArea>
    </format>
    <format dxfId="93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name="TablaDinámica8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F5:AH8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h="1"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3">
    <i>
      <x v="10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85">
      <pivotArea dataOnly="0" labelOnly="1" fieldPosition="0">
        <references count="1">
          <reference field="13" count="0"/>
        </references>
      </pivotArea>
    </format>
    <format dxfId="84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name="TablaDinámica9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G5:AI8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3">
    <i>
      <x v="11"/>
    </i>
    <i r="1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76">
      <pivotArea dataOnly="0" labelOnly="1" fieldPosition="0">
        <references count="1">
          <reference field="13" count="0"/>
        </references>
      </pivotArea>
    </format>
    <format dxfId="75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name="TablaDinámica10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F5:AH8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3">
    <i>
      <x v="12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2">
    <format dxfId="67">
      <pivotArea dataOnly="0" labelOnly="1" fieldPosition="0">
        <references count="1">
          <reference field="13" count="0"/>
        </references>
      </pivotArea>
    </format>
    <format dxfId="66">
      <pivotArea dataOnly="0" labelOnly="1" fieldPosition="0">
        <references count="2">
          <reference field="0" count="0" selected="0"/>
          <reference field="13" count="2">
            <x v="0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name="TablaDinámica1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6" firstHeaderRow="0" firstDataRow="1" firstDataCol="1"/>
  <pivotFields count="14">
    <pivotField axis="axisRow" numFmtId="3" showAl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3">
    <i>
      <x v="12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16">
    <format dxfId="58">
      <pivotArea field="0" type="button" dataOnly="0" labelOnly="1" outline="0" axis="axisRow" fieldPosition="0"/>
    </format>
    <format dxfId="57">
      <pivotArea dataOnly="0" labelOnly="1" fieldPosition="0">
        <references count="1">
          <reference field="0" count="0"/>
        </references>
      </pivotArea>
    </format>
    <format dxfId="56">
      <pivotArea dataOnly="0" labelOnly="1" grandRow="1" outline="0" fieldPosition="0"/>
    </format>
    <format dxfId="55">
      <pivotArea dataOnly="0" labelOnly="1" fieldPosition="0">
        <references count="2">
          <reference field="0" count="1" selected="0">
            <x v="0"/>
          </reference>
          <reference field="13" count="4">
            <x v="0"/>
            <x v="1"/>
            <x v="2"/>
            <x v="3"/>
          </reference>
        </references>
      </pivotArea>
    </format>
    <format dxfId="54">
      <pivotArea dataOnly="0" labelOnly="1" fieldPosition="0">
        <references count="2">
          <reference field="0" count="1" selected="0">
            <x v="1"/>
          </reference>
          <reference field="13" count="2">
            <x v="1"/>
            <x v="5"/>
          </reference>
        </references>
      </pivotArea>
    </format>
    <format dxfId="53">
      <pivotArea dataOnly="0" labelOnly="1" fieldPosition="0">
        <references count="2">
          <reference field="0" count="1" selected="0">
            <x v="2"/>
          </reference>
          <reference field="13" count="3">
            <x v="1"/>
            <x v="4"/>
            <x v="6"/>
          </reference>
        </references>
      </pivotArea>
    </format>
    <format dxfId="52">
      <pivotArea dataOnly="0" labelOnly="1" fieldPosition="0">
        <references count="2">
          <reference field="0" count="1" selected="0">
            <x v="3"/>
          </reference>
          <reference field="13" count="2">
            <x v="0"/>
            <x v="5"/>
          </reference>
        </references>
      </pivotArea>
    </format>
    <format dxfId="51">
      <pivotArea dataOnly="0" labelOnly="1" fieldPosition="0">
        <references count="2">
          <reference field="0" count="1" selected="0">
            <x v="4"/>
          </reference>
          <reference field="13" count="4">
            <x v="0"/>
            <x v="2"/>
            <x v="3"/>
            <x v="5"/>
          </reference>
        </references>
      </pivotArea>
    </format>
    <format dxfId="50">
      <pivotArea dataOnly="0" labelOnly="1" fieldPosition="0">
        <references count="2">
          <reference field="0" count="1" selected="0">
            <x v="5"/>
          </reference>
          <reference field="13" count="1">
            <x v="1"/>
          </reference>
        </references>
      </pivotArea>
    </format>
    <format dxfId="49">
      <pivotArea dataOnly="0" labelOnly="1" fieldPosition="0">
        <references count="2">
          <reference field="0" count="1" selected="0">
            <x v="6"/>
          </reference>
          <reference field="13" count="2">
            <x v="2"/>
            <x v="3"/>
          </reference>
        </references>
      </pivotArea>
    </format>
    <format dxfId="48">
      <pivotArea dataOnly="0" labelOnly="1" fieldPosition="0">
        <references count="2">
          <reference field="0" count="1" selected="0">
            <x v="7"/>
          </reference>
          <reference field="13" count="1">
            <x v="5"/>
          </reference>
        </references>
      </pivotArea>
    </format>
    <format dxfId="47">
      <pivotArea dataOnly="0" labelOnly="1" fieldPosition="0">
        <references count="2">
          <reference field="0" count="1" selected="0">
            <x v="8"/>
          </reference>
          <reference field="13" count="1">
            <x v="2"/>
          </reference>
        </references>
      </pivotArea>
    </format>
    <format dxfId="46">
      <pivotArea dataOnly="0" labelOnly="1" fieldPosition="0">
        <references count="2">
          <reference field="0" count="1" selected="0">
            <x v="9"/>
          </reference>
          <reference field="13" count="1">
            <x v="5"/>
          </reference>
        </references>
      </pivotArea>
    </format>
    <format dxfId="45">
      <pivotArea dataOnly="0" labelOnly="1" fieldPosition="0">
        <references count="2">
          <reference field="0" count="1" selected="0">
            <x v="10"/>
          </reference>
          <reference field="13" count="1">
            <x v="5"/>
          </reference>
        </references>
      </pivotArea>
    </format>
    <format dxfId="44">
      <pivotArea dataOnly="0" labelOnly="1" fieldPosition="0">
        <references count="2">
          <reference field="0" count="1" selected="0">
            <x v="11"/>
          </reference>
          <reference field="13" count="1">
            <x v="5"/>
          </reference>
        </references>
      </pivotArea>
    </format>
    <format dxfId="43">
      <pivotArea dataOnly="0" labelOnly="1" fieldPosition="0">
        <references count="2">
          <reference field="0" count="1" selected="0">
            <x v="12"/>
          </reference>
          <reference field="13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name="TablaDinámica1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1" firstHeaderRow="0" firstDataRow="1" firstDataCol="1"/>
  <pivotFields count="14">
    <pivotField numFmtId="3" showAll="0"/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1">
    <field x="13"/>
  </rowFields>
  <rowItems count="8">
    <i>
      <x/>
    </i>
    <i>
      <x v="1"/>
    </i>
    <i>
      <x v="2"/>
    </i>
    <i>
      <x v="3"/>
    </i>
    <i>
      <x v="4"/>
    </i>
    <i>
      <x v="5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5">
    <format dxfId="38">
      <pivotArea field="13" type="button" dataOnly="0" labelOnly="1" outline="0" axis="axisRow" fieldPosition="0"/>
    </format>
    <format dxfId="37">
      <pivotArea dataOnly="0" labelOnly="1" fieldPosition="0">
        <references count="1">
          <reference field="13" count="0"/>
        </references>
      </pivotArea>
    </format>
    <format dxfId="36">
      <pivotArea dataOnly="0" labelOnly="1" grandRow="1" outline="0" fieldPosition="0"/>
    </format>
    <format dxfId="35">
      <pivotArea outline="0" collapsedLevelsAreSubtotals="1" fieldPosition="0"/>
    </format>
    <format dxfId="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5.xml><?xml version="1.0" encoding="utf-8"?>
<pivotTableDefinition xmlns="http://schemas.openxmlformats.org/spreadsheetml/2006/main" name="TablaDinámica2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19:B33" firstHeaderRow="1" firstDataRow="1" firstDataCol="1"/>
  <pivotFields count="14">
    <pivotField axis="axisRow" numFmtId="3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numFmtId="3" showAll="0"/>
    <pivotField showAll="0"/>
    <pivotField dataField="1" numFmtId="3" showAll="0"/>
    <pivotField showAll="0"/>
    <pivotField showAll="0"/>
    <pivotField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uma de VALOR TOTAL " fld="10" baseField="0" baseItem="0" numFmtId="43"/>
  </dataFields>
  <formats count="4">
    <format dxfId="42">
      <pivotArea field="13" type="button" dataOnly="0" labelOnly="1" outline="0"/>
    </format>
    <format dxfId="41">
      <pivotArea dataOnly="0" labelOnly="1" grandRow="1" outline="0" fieldPosition="0"/>
    </format>
    <format dxfId="40">
      <pivotArea outline="0" collapsedLevelsAreSubtotals="1" fieldPosition="0"/>
    </format>
    <format dxfId="39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6.xml><?xml version="1.0" encoding="utf-8"?>
<pivotTableDefinition xmlns="http://schemas.openxmlformats.org/spreadsheetml/2006/main" name="TablaDinámica1" cacheId="4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41" firstHeaderRow="0" firstDataRow="1" firstDataCol="1"/>
  <pivotFields count="14">
    <pivotField axis="axisRow" numFmtId="3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numFmtId="3" showAll="0"/>
    <pivotField showAll="0"/>
    <pivotField showAll="0"/>
    <pivotField numFmtId="3" showAll="0"/>
    <pivotField numFmtId="3" showAll="0"/>
    <pivotField numFmtId="3" showAll="0"/>
    <pivotField numFmtId="3" showAll="0"/>
    <pivotField dataField="1" numFmtId="3" showAll="0"/>
    <pivotField dataField="1" showAll="0"/>
    <pivotField numFmtId="3" showAll="0"/>
    <pivotField showAll="0"/>
    <pivotField showAll="0"/>
    <pivotField axis="axisRow" showAll="0">
      <items count="9">
        <item x="2"/>
        <item x="1"/>
        <item x="3"/>
        <item x="0"/>
        <item x="6"/>
        <item x="4"/>
        <item m="1" x="7"/>
        <item x="5"/>
        <item t="default"/>
      </items>
    </pivotField>
  </pivotFields>
  <rowFields count="2">
    <field x="0"/>
    <field x="13"/>
  </rowFields>
  <rowItems count="38">
    <i>
      <x/>
    </i>
    <i r="1">
      <x/>
    </i>
    <i r="1">
      <x v="1"/>
    </i>
    <i r="1">
      <x v="2"/>
    </i>
    <i r="1">
      <x v="3"/>
    </i>
    <i>
      <x v="1"/>
    </i>
    <i r="1">
      <x v="1"/>
    </i>
    <i r="1">
      <x v="5"/>
    </i>
    <i>
      <x v="2"/>
    </i>
    <i r="1">
      <x v="1"/>
    </i>
    <i r="1">
      <x v="4"/>
    </i>
    <i r="1">
      <x v="7"/>
    </i>
    <i>
      <x v="3"/>
    </i>
    <i r="1">
      <x/>
    </i>
    <i r="1">
      <x v="5"/>
    </i>
    <i>
      <x v="4"/>
    </i>
    <i r="1">
      <x/>
    </i>
    <i r="1">
      <x v="2"/>
    </i>
    <i r="1">
      <x v="3"/>
    </i>
    <i r="1">
      <x v="5"/>
    </i>
    <i>
      <x v="5"/>
    </i>
    <i r="1">
      <x v="1"/>
    </i>
    <i>
      <x v="6"/>
    </i>
    <i r="1">
      <x v="2"/>
    </i>
    <i r="1">
      <x v="3"/>
    </i>
    <i>
      <x v="7"/>
    </i>
    <i r="1">
      <x v="5"/>
    </i>
    <i>
      <x v="8"/>
    </i>
    <i r="1">
      <x v="2"/>
    </i>
    <i>
      <x v="9"/>
    </i>
    <i r="1">
      <x v="5"/>
    </i>
    <i>
      <x v="10"/>
    </i>
    <i r="1">
      <x v="5"/>
    </i>
    <i>
      <x v="11"/>
    </i>
    <i r="1">
      <x v="5"/>
    </i>
    <i>
      <x v="12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7.xml><?xml version="1.0" encoding="utf-8"?>
<pivotTableDefinition xmlns="http://schemas.openxmlformats.org/spreadsheetml/2006/main" name="TablaDinámica1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2:B10" firstHeaderRow="1" firstDataRow="1" firstDataCol="1"/>
  <pivotFields count="16">
    <pivotField compact="0" numFmtId="3" outline="0" showAll="0">
      <items count="7">
        <item x="0"/>
        <item x="1"/>
        <item x="2"/>
        <item x="3"/>
        <item x="4"/>
        <item x="5"/>
        <item t="default"/>
      </items>
    </pivotField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dataField="1" compact="0" numFmtId="3" outline="0" showAll="0"/>
    <pivotField compact="0" numFmtId="3" outline="0" showAll="0"/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axis="axisRow" compact="0" outline="0" showAll="0">
      <items count="10">
        <item x="2"/>
        <item x="1"/>
        <item x="3"/>
        <item x="0"/>
        <item m="1" x="8"/>
        <item x="4"/>
        <item x="5"/>
        <item x="6"/>
        <item m="1" x="7"/>
        <item t="default"/>
      </items>
    </pivotField>
  </pivotFields>
  <rowFields count="1">
    <field x="15"/>
  </rowFields>
  <rowItems count="8">
    <i>
      <x/>
    </i>
    <i>
      <x v="1"/>
    </i>
    <i>
      <x v="2"/>
    </i>
    <i>
      <x v="3"/>
    </i>
    <i>
      <x v="5"/>
    </i>
    <i>
      <x v="6"/>
    </i>
    <i>
      <x v="7"/>
    </i>
    <i t="grand">
      <x/>
    </i>
  </rowItems>
  <colItems count="1">
    <i/>
  </colItems>
  <dataFields count="1">
    <dataField name="Suma de valor REG bta " fld="8" baseField="0" baseItem="0" numFmtId="3"/>
  </dataFields>
  <formats count="4">
    <format dxfId="19">
      <pivotArea field="0" type="button" dataOnly="0" labelOnly="1" outline="0"/>
    </format>
    <format dxfId="18">
      <pivotArea field="15" type="button" dataOnly="0" labelOnly="1" outline="0" axis="axisRow" fieldPosition="0"/>
    </format>
    <format dxfId="17">
      <pivotArea dataOnly="0" labelOnly="1" outline="0" fieldPosition="0">
        <references count="1">
          <reference field="15" count="0"/>
        </references>
      </pivotArea>
    </format>
    <format dxfId="16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8.xml><?xml version="1.0" encoding="utf-8"?>
<pivotTableDefinition xmlns="http://schemas.openxmlformats.org/spreadsheetml/2006/main" name="TablaDinámica3" cacheId="2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D2:E10" firstHeaderRow="1" firstDataRow="1" firstDataCol="1"/>
  <pivotFields count="16">
    <pivotField compact="0" numFmtId="3" outline="0" showAll="0">
      <items count="7">
        <item x="0"/>
        <item x="1"/>
        <item x="2"/>
        <item x="3"/>
        <item x="4"/>
        <item x="5"/>
        <item t="default"/>
      </items>
    </pivotField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dataField="1" compact="0" numFmtId="3" outline="0" showAll="0"/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axis="axisRow" compact="0" outline="0" showAll="0">
      <items count="10">
        <item x="2"/>
        <item x="1"/>
        <item x="3"/>
        <item x="0"/>
        <item m="1" x="8"/>
        <item x="4"/>
        <item x="5"/>
        <item x="6"/>
        <item m="1" x="7"/>
        <item t="default"/>
      </items>
    </pivotField>
  </pivotFields>
  <rowFields count="1">
    <field x="15"/>
  </rowFields>
  <rowItems count="8">
    <i>
      <x/>
    </i>
    <i>
      <x v="1"/>
    </i>
    <i>
      <x v="2"/>
    </i>
    <i>
      <x v="3"/>
    </i>
    <i>
      <x v="5"/>
    </i>
    <i>
      <x v="6"/>
    </i>
    <i>
      <x v="7"/>
    </i>
    <i t="grand">
      <x/>
    </i>
  </rowItems>
  <colItems count="1">
    <i/>
  </colItems>
  <dataFields count="1">
    <dataField name="Suma de valor REG oriente " fld="9" baseField="0" baseItem="0" numFmtId="3"/>
  </dataFields>
  <formats count="4">
    <format dxfId="23">
      <pivotArea field="0" type="button" dataOnly="0" labelOnly="1" outline="0"/>
    </format>
    <format dxfId="22">
      <pivotArea field="15" type="button" dataOnly="0" labelOnly="1" outline="0" axis="axisRow" fieldPosition="0"/>
    </format>
    <format dxfId="21">
      <pivotArea dataOnly="0" labelOnly="1" outline="0" fieldPosition="0">
        <references count="1">
          <reference field="15" count="0"/>
        </references>
      </pivotArea>
    </format>
    <format dxfId="2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9.xml><?xml version="1.0" encoding="utf-8"?>
<pivotTableDefinition xmlns="http://schemas.openxmlformats.org/spreadsheetml/2006/main" name="TablaDinámica1" cacheId="3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16:D40" firstHeaderRow="0" firstDataRow="1" firstDataCol="2"/>
  <pivotFields count="18">
    <pivotField axis="axisRow" compact="0" numFmtId="3" outline="0" showAll="0">
      <items count="7">
        <item x="0"/>
        <item x="1"/>
        <item x="2"/>
        <item x="3"/>
        <item x="4"/>
        <item x="5"/>
        <item t="default"/>
      </items>
    </pivotField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dataField="1" compact="0" numFmtId="3" outline="0" showAll="0"/>
    <pivotField dataField="1" compact="0" outline="0" multipleItemSelectionAllowed="1" showAll="0"/>
    <pivotField compact="0" numFmtId="3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8">
        <item sd="0" x="2"/>
        <item sd="0" x="1"/>
        <item sd="0" x="3"/>
        <item sd="0" x="0"/>
        <item sd="0" x="6"/>
        <item sd="0" x="4"/>
        <item sd="0" x="5"/>
        <item t="default"/>
      </items>
    </pivotField>
    <pivotField compact="0" outline="0" showAll="0"/>
    <pivotField compact="0" outline="0" showAll="0"/>
  </pivotFields>
  <rowFields count="2">
    <field x="0"/>
    <field x="15"/>
  </rowFields>
  <rowItems count="24">
    <i>
      <x/>
      <x/>
    </i>
    <i r="1">
      <x v="1"/>
    </i>
    <i r="1">
      <x v="2"/>
    </i>
    <i r="1">
      <x v="3"/>
    </i>
    <i t="default">
      <x/>
    </i>
    <i>
      <x v="1"/>
      <x v="1"/>
    </i>
    <i r="1">
      <x v="5"/>
    </i>
    <i t="default">
      <x v="1"/>
    </i>
    <i>
      <x v="2"/>
      <x v="1"/>
    </i>
    <i r="1">
      <x v="4"/>
    </i>
    <i r="1">
      <x v="6"/>
    </i>
    <i t="default">
      <x v="2"/>
    </i>
    <i>
      <x v="3"/>
      <x/>
    </i>
    <i r="1">
      <x v="2"/>
    </i>
    <i r="1">
      <x v="5"/>
    </i>
    <i t="default">
      <x v="3"/>
    </i>
    <i>
      <x v="4"/>
      <x/>
    </i>
    <i r="1">
      <x v="2"/>
    </i>
    <i r="1">
      <x v="3"/>
    </i>
    <i r="1">
      <x v="5"/>
    </i>
    <i t="default">
      <x v="4"/>
    </i>
    <i>
      <x v="5"/>
      <x v="1"/>
    </i>
    <i t="default"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4">
    <format dxfId="11">
      <pivotArea field="15" type="button" dataOnly="0" labelOnly="1" outline="0" axis="axisRow" fieldPosition="1"/>
    </format>
    <format dxfId="10">
      <pivotArea dataOnly="0" labelOnly="1" outline="0" fieldPosition="0">
        <references count="1">
          <reference field="15" count="0"/>
        </references>
      </pivotArea>
    </format>
    <format dxfId="9">
      <pivotArea dataOnly="0" labelOnly="1" grandRow="1" outline="0" fieldPosition="0"/>
    </format>
    <format dxfId="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0.xml><?xml version="1.0" encoding="utf-8"?>
<pivotTableDefinition xmlns="http://schemas.openxmlformats.org/spreadsheetml/2006/main" name="Tabla dinámica3" cacheId="3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4:C12" firstHeaderRow="0" firstDataRow="1" firstDataCol="1"/>
  <pivotFields count="18">
    <pivotField compact="0" numFmtId="3" outline="0" showAll="0"/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dataField="1" compact="0" numFmtId="3" outline="0" showAll="0"/>
    <pivotField dataField="1" compact="0" outline="0" multipleItemSelectionAllowed="1" showAll="0"/>
    <pivotField compact="0" numFmtId="3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8">
        <item sd="0" x="2"/>
        <item sd="0" x="1"/>
        <item sd="0" x="3"/>
        <item sd="0" x="0"/>
        <item sd="0" x="6"/>
        <item sd="0" x="4"/>
        <item sd="0" x="5"/>
        <item t="default"/>
      </items>
    </pivotField>
    <pivotField compact="0" outline="0" showAll="0"/>
    <pivotField compact="0" outline="0" showAll="0"/>
  </pivotFields>
  <rowFields count="1">
    <field x="1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4">
    <format dxfId="15">
      <pivotArea field="15" type="button" dataOnly="0" labelOnly="1" outline="0" axis="axisRow" fieldPosition="0"/>
    </format>
    <format dxfId="14">
      <pivotArea dataOnly="0" labelOnly="1" outline="0" fieldPosition="0">
        <references count="1">
          <reference field="15" count="0"/>
        </references>
      </pivotArea>
    </format>
    <format dxfId="13">
      <pivotArea dataOnly="0" labelOnly="1" grandRow="1" outline="0" fieldPosition="0"/>
    </format>
    <format dxfId="1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1.xml><?xml version="1.0" encoding="utf-8"?>
<pivotTableDefinition xmlns="http://schemas.openxmlformats.org/spreadsheetml/2006/main" name="Tabla dinámica3" cacheId="3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4:C12" firstHeaderRow="0" firstDataRow="1" firstDataCol="1"/>
  <pivotFields count="18">
    <pivotField compact="0" numFmtId="3" outline="0" showAll="0"/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dataField="1" compact="0" numFmtId="3" outline="0" showAll="0"/>
    <pivotField dataField="1" compact="0" outline="0" multipleItemSelectionAllowed="1" showAll="0"/>
    <pivotField compact="0" numFmtId="3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8">
        <item sd="0" x="2"/>
        <item sd="0" x="1"/>
        <item sd="0" x="3"/>
        <item sd="0" x="0"/>
        <item sd="0" x="6"/>
        <item sd="0" x="4"/>
        <item sd="0" x="5"/>
        <item t="default"/>
      </items>
    </pivotField>
    <pivotField compact="0" outline="0" showAll="0"/>
    <pivotField compact="0" outline="0" showAll="0"/>
  </pivotFields>
  <rowFields count="1">
    <field x="15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4">
    <format dxfId="3">
      <pivotArea field="15" type="button" dataOnly="0" labelOnly="1" outline="0" axis="axisRow" fieldPosition="0"/>
    </format>
    <format dxfId="2">
      <pivotArea dataOnly="0" labelOnly="1" outline="0" fieldPosition="0">
        <references count="1">
          <reference field="15" count="0"/>
        </references>
      </pivotArea>
    </format>
    <format dxfId="1">
      <pivotArea dataOnly="0" labelOnly="1" grandRow="1" outline="0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2.xml><?xml version="1.0" encoding="utf-8"?>
<pivotTableDefinition xmlns="http://schemas.openxmlformats.org/spreadsheetml/2006/main" name="TablaDinámica1" cacheId="3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compact="0" compactData="0" multipleFieldFilters="0">
  <location ref="A16:D22" firstHeaderRow="0" firstDataRow="1" firstDataCol="2"/>
  <pivotFields count="18">
    <pivotField axis="axisRow" compact="0" numFmtId="3" outline="0" showAll="0">
      <items count="7">
        <item x="0"/>
        <item h="1" x="1"/>
        <item h="1" x="2"/>
        <item h="1" x="3"/>
        <item h="1" x="4"/>
        <item h="1" x="5"/>
        <item t="default"/>
      </items>
    </pivotField>
    <pivotField compact="0" numFmtId="3" outline="0" showAll="0"/>
    <pivotField compact="0" outline="0" showAll="0"/>
    <pivotField compact="0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dataField="1" compact="0" numFmtId="3" outline="0" showAll="0"/>
    <pivotField dataField="1" compact="0" outline="0" multipleItemSelectionAllowed="1" showAll="0"/>
    <pivotField compact="0" numFmtId="3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8">
        <item sd="0" x="2"/>
        <item n="código Rubro = A-2901-0800-16-20113A-2901002-02 Nombre del proyecto = FORTALECIMIENTO DEL INSTITUTO NACIONAL DE MEDICINA LEGAL Y CIENCIAS FORENSES EN ATENCIÓN A LOS RETOS DEL POSCONFLICTO A NIVEL  NACIONAL Nombre del Poducto =  SERVICIOS DE LABORATORIO F" sd="0" x="1"/>
        <item sd="0" x="3"/>
        <item sd="0" x="0"/>
        <item sd="0" x="6"/>
        <item sd="0" x="4"/>
        <item sd="0" x="5"/>
        <item t="default"/>
      </items>
    </pivotField>
    <pivotField compact="0" outline="0" showAll="0"/>
    <pivotField compact="0" outline="0" showAll="0"/>
  </pivotFields>
  <rowFields count="2">
    <field x="0"/>
    <field x="15"/>
  </rowFields>
  <rowItems count="6">
    <i>
      <x/>
      <x/>
    </i>
    <i r="1">
      <x v="1"/>
    </i>
    <i r="1">
      <x v="2"/>
    </i>
    <i r="1">
      <x v="3"/>
    </i>
    <i t="default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valor REG bta " fld="8" baseField="0" baseItem="0" numFmtId="3"/>
    <dataField name="Suma de valor REG oriente " fld="9" baseField="0" baseItem="0"/>
  </dataFields>
  <formats count="4">
    <format dxfId="7">
      <pivotArea field="15" type="button" dataOnly="0" labelOnly="1" outline="0" axis="axisRow" fieldPosition="1"/>
    </format>
    <format dxfId="6">
      <pivotArea dataOnly="0" labelOnly="1" outline="0" fieldPosition="0">
        <references count="1">
          <reference field="15" count="0"/>
        </references>
      </pivotArea>
    </format>
    <format dxfId="5">
      <pivotArea dataOnly="0" labelOnly="1" grandRow="1" outline="0" fieldPosition="0"/>
    </format>
    <format dxfId="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6" name="Tabla37" displayName="Tabla37" ref="AA2:AE13" totalsRowShown="0" headerRowDxfId="236" dataDxfId="234" headerRowBorderDxfId="235" tableBorderDxfId="233" totalsRowBorderDxfId="232">
  <autoFilter ref="AA2:AE13"/>
  <tableColumns count="5">
    <tableColumn id="1" name="REGIONAL " dataDxfId="231"/>
    <tableColumn id="2" name="VALOR TOTAL" dataDxfId="230"/>
    <tableColumn id="5" name="TOTAL POR LOTE" dataDxfId="229" dataCellStyle="Normal 2"/>
    <tableColumn id="3" name="VALIDACION " dataDxfId="228"/>
    <tableColumn id="4" name="VER/" dataDxfId="227">
      <calculatedColumnFormula>+EXACT(AB3,AD3)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a3" displayName="Tabla3" ref="AA2:AC5" totalsRowShown="0" headerRowDxfId="225" headerRowBorderDxfId="224" tableBorderDxfId="223" totalsRowBorderDxfId="222">
  <autoFilter ref="AA2:AC5"/>
  <tableColumns count="3">
    <tableColumn id="1" name="REGIONAL " dataDxfId="221"/>
    <tableColumn id="2" name="VALOR TOTAL" dataDxfId="220"/>
    <tableColumn id="3" name="Columna1" dataDxfId="219">
      <calculatedColumnFormula>+Y8=Tabla3[[#This Row],[VALOR TOTAL]]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a33" displayName="Tabla33" ref="AA3:AB6" totalsRowShown="0" headerRowDxfId="217" dataDxfId="215" headerRowBorderDxfId="216" tableBorderDxfId="214" totalsRowBorderDxfId="213">
  <autoFilter ref="AA3:AB6"/>
  <tableColumns count="2">
    <tableColumn id="1" name="REGIONAL " dataDxfId="212"/>
    <tableColumn id="2" name="VALOR TOTAL" dataDxfId="2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4" name="Tabla3791025" displayName="Tabla3791025" ref="AB2:AF13" totalsRowShown="0" headerRowDxfId="209" dataDxfId="207" headerRowBorderDxfId="208" tableBorderDxfId="206" totalsRowBorderDxfId="205">
  <autoFilter ref="AB2:AF13"/>
  <tableColumns count="5">
    <tableColumn id="1" name="REGIONAL " dataDxfId="204"/>
    <tableColumn id="2" name="VALOR TOTAL" dataDxfId="203"/>
    <tableColumn id="5" name="TOTAL POR LOTE" dataDxfId="202" dataCellStyle="Normal 2"/>
    <tableColumn id="3" name="VALIDACION " dataDxfId="201"/>
    <tableColumn id="4" name="VER/" dataDxfId="200">
      <calculatedColumnFormula>+EXACT(AC3,AE3)</calculatedColumnFormula>
    </tableColumn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3" name="Tabla34" displayName="Tabla34" ref="AA6:AB9" totalsRowShown="0" headerRowDxfId="188" dataDxfId="186" headerRowBorderDxfId="187" tableBorderDxfId="185" totalsRowBorderDxfId="184">
  <autoFilter ref="AA6:AB9"/>
  <tableColumns count="2">
    <tableColumn id="1" name="REGIONAL " dataDxfId="183"/>
    <tableColumn id="2" name="VALOR TOTAL" dataDxfId="182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4" name="Tabla35" displayName="Tabla35" ref="AA6:AB9" totalsRowShown="0" headerRowDxfId="181" dataDxfId="179" headerRowBorderDxfId="180" tableBorderDxfId="178" totalsRowBorderDxfId="177">
  <autoFilter ref="AA6:AB9"/>
  <tableColumns count="2">
    <tableColumn id="1" name="REGIONAL " dataDxfId="176"/>
    <tableColumn id="2" name="VALOR TOTAL" dataDxfId="175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11" name="Tabla3512" displayName="Tabla3512" ref="AA2:AB5" totalsRowShown="0" headerRowDxfId="172" dataDxfId="170" headerRowBorderDxfId="171" tableBorderDxfId="169" totalsRowBorderDxfId="168">
  <autoFilter ref="AA2:AB5"/>
  <tableColumns count="2">
    <tableColumn id="1" name="REGIONAL " dataDxfId="167"/>
    <tableColumn id="2" name="VALOR TOTAL" dataDxfId="16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7" name="Tabla38" displayName="Tabla38" ref="AA2:AB5" totalsRowShown="0" headerRowDxfId="155" dataDxfId="153" headerRowBorderDxfId="154" tableBorderDxfId="152" totalsRowBorderDxfId="151">
  <autoFilter ref="AA2:AB5"/>
  <tableColumns count="2">
    <tableColumn id="1" name="REGIONAL " dataDxfId="150"/>
    <tableColumn id="2" name="VALOR TOTAL" dataDxfId="149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5" name="Tabla36" displayName="Tabla36" ref="AB4:AC7" totalsRowShown="0" headerRowDxfId="146" dataDxfId="144" headerRowBorderDxfId="145" tableBorderDxfId="143" totalsRowBorderDxfId="142">
  <autoFilter ref="AB4:AC7"/>
  <tableColumns count="2">
    <tableColumn id="1" name="REGIONAL " dataDxfId="141"/>
    <tableColumn id="2" name="VALOR TOTAL" dataDxfId="140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8" name="Tabla379" displayName="Tabla379" ref="AB2:AF13" totalsRowShown="0" headerRowDxfId="134" dataDxfId="132" headerRowBorderDxfId="133" tableBorderDxfId="131" totalsRowBorderDxfId="130">
  <autoFilter ref="AB2:AF13"/>
  <tableColumns count="5">
    <tableColumn id="1" name="REGIONAL " dataDxfId="129"/>
    <tableColumn id="2" name="VALOR TOTAL" dataDxfId="128"/>
    <tableColumn id="5" name="TOTAL POR LOTE" dataDxfId="127" dataCellStyle="Normal 2"/>
    <tableColumn id="3" name="VALIDACION " dataDxfId="126"/>
    <tableColumn id="4" name="VER/" dataDxfId="125">
      <calculatedColumnFormula>+EXACT(AC3,AE3)</calculatedColumnFormula>
    </tableColumn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10" name="Tabla311" displayName="Tabla311" ref="AA2:AD5" totalsRowShown="0" headerRowDxfId="120" headerRowBorderDxfId="119" tableBorderDxfId="118" totalsRowBorderDxfId="117">
  <autoFilter ref="AA2:AD5"/>
  <tableColumns count="4">
    <tableColumn id="1" name="REGIONAL " dataDxfId="116"/>
    <tableColumn id="2" name="VALOR TOTAL" dataDxfId="115"/>
    <tableColumn id="3" name="VALIDACION " dataDxfId="114"/>
    <tableColumn id="4" name="VER/" dataDxfId="113">
      <calculatedColumnFormula>+EXACT(AB3,AC3)</calculatedColumnFormula>
    </tableColumn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5" name="Tabla3516" displayName="Tabla3516" ref="AA2:AB5" totalsRowShown="0" headerRowDxfId="110" dataDxfId="108" headerRowBorderDxfId="109" tableBorderDxfId="107" totalsRowBorderDxfId="106">
  <autoFilter ref="AA2:AB5"/>
  <tableColumns count="2">
    <tableColumn id="1" name="REGIONAL " dataDxfId="105"/>
    <tableColumn id="2" name="VALOR TOTAL" dataDxfId="104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16" name="Tabla3517" displayName="Tabla3517" ref="AA3:AB5" totalsRowShown="0" headerRowDxfId="101" dataDxfId="99" headerRowBorderDxfId="100" tableBorderDxfId="98" totalsRowBorderDxfId="97">
  <autoFilter ref="AA3:AB5"/>
  <tableColumns count="2">
    <tableColumn id="1" name="REGIONAL " dataDxfId="96"/>
    <tableColumn id="2" name="VALOR TOTAL" dataDxfId="95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id="20" name="Tabla3521" displayName="Tabla3521" ref="AA2:AB5" totalsRowShown="0" headerRowDxfId="92" dataDxfId="90" headerRowBorderDxfId="91" tableBorderDxfId="89" totalsRowBorderDxfId="88">
  <autoFilter ref="AA2:AB5"/>
  <tableColumns count="2">
    <tableColumn id="1" name="REGIONAL " dataDxfId="87"/>
    <tableColumn id="2" name="VALOR TOTAL" dataDxfId="86"/>
  </tableColumns>
  <tableStyleInfo name="TableStyleMedium7" showFirstColumn="0" showLastColumn="0" showRowStripes="1" showColumnStripes="0"/>
</table>
</file>

<file path=xl/tables/table15.xml><?xml version="1.0" encoding="utf-8"?>
<table xmlns="http://schemas.openxmlformats.org/spreadsheetml/2006/main" id="21" name="Tabla3522" displayName="Tabla3522" ref="AB2:AC5" totalsRowShown="0" headerRowDxfId="83" dataDxfId="81" headerRowBorderDxfId="82" tableBorderDxfId="80" totalsRowBorderDxfId="79">
  <autoFilter ref="AB2:AC5"/>
  <tableColumns count="2">
    <tableColumn id="1" name="REGIONAL " dataDxfId="78"/>
    <tableColumn id="2" name="VALOR TOTAL" dataDxfId="77"/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id="22" name="Tabla3523" displayName="Tabla3523" ref="AB2:AC5" totalsRowShown="0" headerRowDxfId="74" dataDxfId="72" headerRowBorderDxfId="73" tableBorderDxfId="71" totalsRowBorderDxfId="70">
  <autoFilter ref="AB2:AC5"/>
  <tableColumns count="2">
    <tableColumn id="1" name="REGIONAL " dataDxfId="69"/>
    <tableColumn id="2" name="VALOR TOTAL" dataDxfId="68"/>
  </tableColumns>
  <tableStyleInfo name="TableStyleMedium7" showFirstColumn="0" showLastColumn="0" showRowStripes="1" showColumnStripes="0"/>
</table>
</file>

<file path=xl/tables/table17.xml><?xml version="1.0" encoding="utf-8"?>
<table xmlns="http://schemas.openxmlformats.org/spreadsheetml/2006/main" id="23" name="Tabla3524" displayName="Tabla3524" ref="AB2:AC5" totalsRowShown="0" headerRowDxfId="65" dataDxfId="63" headerRowBorderDxfId="64" tableBorderDxfId="62" totalsRowBorderDxfId="61">
  <autoFilter ref="AB2:AC5"/>
  <tableColumns count="2">
    <tableColumn id="1" name="REGIONAL " dataDxfId="60"/>
    <tableColumn id="2" name="VALOR TOTAL" dataDxfId="59"/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id="9" name="Tabla37910" displayName="Tabla37910" ref="X2:AB13" totalsRowShown="0" headerRowDxfId="33" dataDxfId="31" headerRowBorderDxfId="32" tableBorderDxfId="30" totalsRowBorderDxfId="29">
  <autoFilter ref="X2:AB13"/>
  <tableColumns count="5">
    <tableColumn id="1" name="REGIONAL " dataDxfId="28"/>
    <tableColumn id="2" name="VALOR TOTAL" dataDxfId="27"/>
    <tableColumn id="5" name="TOTAL POR LOTE" dataDxfId="26" dataCellStyle="Normal 2"/>
    <tableColumn id="3" name="VALIDACION " dataDxfId="25"/>
    <tableColumn id="4" name="VER/" dataDxfId="24">
      <calculatedColumnFormula>+EXACT(Y3,AA3)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4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2.xml"/><Relationship Id="rId2" Type="http://schemas.openxmlformats.org/officeDocument/2006/relationships/pivotTable" Target="../pivotTables/pivotTable11.xml"/><Relationship Id="rId1" Type="http://schemas.openxmlformats.org/officeDocument/2006/relationships/pivotTable" Target="../pivotTables/pivotTable10.xml"/><Relationship Id="rId6" Type="http://schemas.openxmlformats.org/officeDocument/2006/relationships/pivotTable" Target="../pivotTables/pivotTable15.xml"/><Relationship Id="rId5" Type="http://schemas.openxmlformats.org/officeDocument/2006/relationships/pivotTable" Target="../pivotTables/pivotTable14.xml"/><Relationship Id="rId4" Type="http://schemas.openxmlformats.org/officeDocument/2006/relationships/pivotTable" Target="../pivotTables/pivotTable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printerSettings" Target="../printerSettings/printerSettings13.bin"/><Relationship Id="rId1" Type="http://schemas.openxmlformats.org/officeDocument/2006/relationships/pivotTable" Target="../pivotTables/pivotTable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printerSettings" Target="../printerSettings/printerSettings15.bin"/><Relationship Id="rId1" Type="http://schemas.openxmlformats.org/officeDocument/2006/relationships/pivotTable" Target="../pivotTables/pivotTable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printerSettings" Target="../printerSettings/printerSettings16.bin"/><Relationship Id="rId1" Type="http://schemas.openxmlformats.org/officeDocument/2006/relationships/pivotTable" Target="../pivotTables/pivotTable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printerSettings" Target="../printerSettings/printerSettings17.bin"/><Relationship Id="rId1" Type="http://schemas.openxmlformats.org/officeDocument/2006/relationships/pivotTable" Target="../pivotTables/pivotTable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.xml"/><Relationship Id="rId2" Type="http://schemas.openxmlformats.org/officeDocument/2006/relationships/printerSettings" Target="../printerSettings/printerSettings18.bin"/><Relationship Id="rId1" Type="http://schemas.openxmlformats.org/officeDocument/2006/relationships/pivotTable" Target="../pivotTables/pivotTable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printerSettings" Target="../printerSettings/printerSettings19.bin"/><Relationship Id="rId1" Type="http://schemas.openxmlformats.org/officeDocument/2006/relationships/pivotTable" Target="../pivotTables/pivotTable22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ivotTable" Target="../pivotTables/pivotTable23.x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5.xml"/><Relationship Id="rId1" Type="http://schemas.openxmlformats.org/officeDocument/2006/relationships/pivotTable" Target="../pivotTables/pivot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6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8.xml"/><Relationship Id="rId1" Type="http://schemas.openxmlformats.org/officeDocument/2006/relationships/pivotTable" Target="../pivotTables/pivotTable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0.xml"/><Relationship Id="rId1" Type="http://schemas.openxmlformats.org/officeDocument/2006/relationships/pivotTable" Target="../pivotTables/pivotTable29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2.xml"/><Relationship Id="rId1" Type="http://schemas.openxmlformats.org/officeDocument/2006/relationships/pivotTable" Target="../pivotTables/pivotTable3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view="pageBreakPreview" topLeftCell="B27" zoomScaleNormal="100" zoomScaleSheetLayoutView="100" zoomScalePageLayoutView="145" workbookViewId="0">
      <selection activeCell="H44" sqref="H44"/>
    </sheetView>
  </sheetViews>
  <sheetFormatPr baseColWidth="10" defaultColWidth="11.42578125" defaultRowHeight="15" x14ac:dyDescent="0.25"/>
  <cols>
    <col min="1" max="1" width="6.7109375" customWidth="1"/>
    <col min="2" max="3" width="5.7109375" customWidth="1"/>
    <col min="4" max="4" width="7.28515625" customWidth="1"/>
    <col min="5" max="5" width="8" customWidth="1"/>
    <col min="6" max="7" width="4.28515625" customWidth="1"/>
    <col min="8" max="8" width="56" customWidth="1"/>
    <col min="9" max="9" width="16.5703125" bestFit="1" customWidth="1"/>
    <col min="10" max="10" width="19.28515625" style="48" customWidth="1"/>
  </cols>
  <sheetData>
    <row r="1" spans="1:19" ht="18" x14ac:dyDescent="0.25">
      <c r="A1" s="343" t="s">
        <v>0</v>
      </c>
      <c r="B1" s="344"/>
      <c r="C1" s="344"/>
      <c r="D1" s="344"/>
      <c r="E1" s="344"/>
      <c r="F1" s="344"/>
      <c r="G1" s="344"/>
      <c r="H1" s="344"/>
      <c r="I1" s="345"/>
    </row>
    <row r="2" spans="1:19" ht="21" x14ac:dyDescent="0.25">
      <c r="A2" s="25" t="s">
        <v>1</v>
      </c>
      <c r="B2" s="26" t="s">
        <v>2</v>
      </c>
      <c r="C2" s="26" t="s">
        <v>3</v>
      </c>
      <c r="D2" s="26" t="s">
        <v>4</v>
      </c>
      <c r="E2" s="26" t="s">
        <v>5</v>
      </c>
      <c r="F2" s="26" t="s">
        <v>6</v>
      </c>
      <c r="G2" s="26" t="s">
        <v>7</v>
      </c>
      <c r="H2" s="27" t="s">
        <v>8</v>
      </c>
      <c r="I2" s="28" t="s">
        <v>9</v>
      </c>
      <c r="K2" t="s">
        <v>10</v>
      </c>
      <c r="M2" t="s">
        <v>11</v>
      </c>
      <c r="O2" t="s">
        <v>12</v>
      </c>
      <c r="Q2" t="s">
        <v>13</v>
      </c>
      <c r="S2" t="s">
        <v>14</v>
      </c>
    </row>
    <row r="3" spans="1:19" x14ac:dyDescent="0.25">
      <c r="A3" s="29"/>
      <c r="B3" s="30"/>
      <c r="C3" s="30"/>
      <c r="D3" s="30"/>
      <c r="E3" s="30"/>
      <c r="F3" s="30"/>
      <c r="G3" s="30"/>
      <c r="H3" s="31" t="s">
        <v>15</v>
      </c>
      <c r="I3" s="32">
        <v>114155647000</v>
      </c>
      <c r="J3" s="48" t="s">
        <v>16</v>
      </c>
      <c r="K3" t="s">
        <v>17</v>
      </c>
      <c r="L3" t="s">
        <v>18</v>
      </c>
      <c r="M3" t="s">
        <v>17</v>
      </c>
      <c r="N3" t="s">
        <v>19</v>
      </c>
      <c r="O3" t="s">
        <v>17</v>
      </c>
      <c r="P3" t="s">
        <v>19</v>
      </c>
      <c r="Q3" t="s">
        <v>20</v>
      </c>
      <c r="R3" t="s">
        <v>18</v>
      </c>
      <c r="S3" t="s">
        <v>17</v>
      </c>
    </row>
    <row r="4" spans="1:19" x14ac:dyDescent="0.25">
      <c r="A4" s="29"/>
      <c r="B4" s="30"/>
      <c r="C4" s="30"/>
      <c r="D4" s="30"/>
      <c r="E4" s="30"/>
      <c r="F4" s="88"/>
      <c r="G4" s="30"/>
      <c r="H4" s="31" t="str">
        <f>+CONCATENATE(A7,"-",B7,"-",C7,"-",D7,"-",E7,"-",F7)</f>
        <v>2901-0800-9-20111D-2901002-02</v>
      </c>
      <c r="I4" s="32"/>
    </row>
    <row r="5" spans="1:19" s="51" customFormat="1" ht="31.5" x14ac:dyDescent="0.25">
      <c r="A5" s="13">
        <v>2901</v>
      </c>
      <c r="B5" s="11" t="s">
        <v>21</v>
      </c>
      <c r="C5" s="14">
        <v>9</v>
      </c>
      <c r="D5" s="14"/>
      <c r="E5" s="14"/>
      <c r="F5" s="15"/>
      <c r="G5" s="14">
        <v>10</v>
      </c>
      <c r="H5" s="12" t="s">
        <v>22</v>
      </c>
      <c r="I5" s="16">
        <v>11474400000</v>
      </c>
      <c r="J5" s="50"/>
    </row>
    <row r="6" spans="1:19" s="51" customFormat="1" x14ac:dyDescent="0.25">
      <c r="A6" s="17">
        <v>2901</v>
      </c>
      <c r="B6" s="18" t="s">
        <v>21</v>
      </c>
      <c r="C6" s="19">
        <v>9</v>
      </c>
      <c r="D6" s="19" t="s">
        <v>23</v>
      </c>
      <c r="E6" s="20">
        <v>2901002</v>
      </c>
      <c r="F6" s="19"/>
      <c r="G6" s="19"/>
      <c r="H6" s="21" t="s">
        <v>24</v>
      </c>
      <c r="I6" s="22"/>
      <c r="J6" s="50"/>
    </row>
    <row r="7" spans="1:19" s="51" customFormat="1" x14ac:dyDescent="0.25">
      <c r="A7" s="17">
        <v>2901</v>
      </c>
      <c r="B7" s="18" t="s">
        <v>21</v>
      </c>
      <c r="C7" s="19">
        <v>9</v>
      </c>
      <c r="D7" s="19" t="s">
        <v>23</v>
      </c>
      <c r="E7" s="19">
        <v>2901002</v>
      </c>
      <c r="F7" s="23" t="s">
        <v>25</v>
      </c>
      <c r="G7" s="19">
        <v>10</v>
      </c>
      <c r="H7" s="21" t="s">
        <v>26</v>
      </c>
      <c r="I7" s="24">
        <v>11474400000</v>
      </c>
      <c r="J7" s="50">
        <v>115218379</v>
      </c>
    </row>
    <row r="8" spans="1:19" s="51" customFormat="1" ht="21" x14ac:dyDescent="0.25">
      <c r="A8" s="17"/>
      <c r="B8" s="18"/>
      <c r="C8" s="19"/>
      <c r="D8" s="19"/>
      <c r="E8" s="19"/>
      <c r="F8" s="23"/>
      <c r="G8" s="19"/>
      <c r="H8" s="21" t="s">
        <v>27</v>
      </c>
      <c r="I8" s="24"/>
      <c r="J8" s="50">
        <v>100000000</v>
      </c>
    </row>
    <row r="9" spans="1:19" s="51" customFormat="1" ht="21" x14ac:dyDescent="0.25">
      <c r="A9" s="17"/>
      <c r="B9" s="18"/>
      <c r="C9" s="19"/>
      <c r="D9" s="19"/>
      <c r="E9" s="19"/>
      <c r="F9" s="23"/>
      <c r="G9" s="19"/>
      <c r="H9" s="21" t="s">
        <v>27</v>
      </c>
      <c r="I9" s="24"/>
      <c r="J9" s="50">
        <v>295552981</v>
      </c>
    </row>
    <row r="10" spans="1:19" s="51" customFormat="1" ht="21" x14ac:dyDescent="0.25">
      <c r="A10" s="17"/>
      <c r="B10" s="18"/>
      <c r="C10" s="19"/>
      <c r="D10" s="19"/>
      <c r="E10" s="19"/>
      <c r="F10" s="23"/>
      <c r="G10" s="19"/>
      <c r="H10" s="21" t="s">
        <v>27</v>
      </c>
      <c r="I10" s="24"/>
      <c r="J10" s="50">
        <v>30000000</v>
      </c>
    </row>
    <row r="11" spans="1:19" s="51" customFormat="1" ht="21" x14ac:dyDescent="0.25">
      <c r="A11" s="17"/>
      <c r="B11" s="18"/>
      <c r="C11" s="19"/>
      <c r="D11" s="19"/>
      <c r="E11" s="19"/>
      <c r="F11" s="23"/>
      <c r="G11" s="19"/>
      <c r="H11" s="21" t="s">
        <v>27</v>
      </c>
      <c r="I11" s="24"/>
      <c r="J11" s="50">
        <v>30000000</v>
      </c>
    </row>
    <row r="12" spans="1:19" s="51" customFormat="1" x14ac:dyDescent="0.25">
      <c r="A12" s="17"/>
      <c r="B12" s="18"/>
      <c r="C12" s="19"/>
      <c r="D12" s="19"/>
      <c r="E12" s="19"/>
      <c r="F12" s="23"/>
      <c r="G12" s="19"/>
      <c r="H12" s="21"/>
      <c r="I12" s="24">
        <f>+SUM(J7:J11)</f>
        <v>570771360</v>
      </c>
      <c r="J12" s="50"/>
    </row>
    <row r="13" spans="1:19" s="51" customFormat="1" x14ac:dyDescent="0.25">
      <c r="A13" s="17"/>
      <c r="B13" s="18"/>
      <c r="C13" s="19"/>
      <c r="D13" s="19"/>
      <c r="E13" s="19"/>
      <c r="F13" s="23"/>
      <c r="G13" s="19"/>
      <c r="H13" s="31" t="str">
        <f>+CONCATENATE(A16,"-",B16,"-",C16,"-",D16,"-",E16,"-",F16)</f>
        <v>2901-0800-14-20111D-2901006-02</v>
      </c>
      <c r="I13" s="24"/>
      <c r="J13" s="50"/>
    </row>
    <row r="14" spans="1:19" s="40" customFormat="1" ht="31.5" x14ac:dyDescent="0.25">
      <c r="A14" s="1">
        <v>2901</v>
      </c>
      <c r="B14" s="2" t="s">
        <v>21</v>
      </c>
      <c r="C14" s="3">
        <v>14</v>
      </c>
      <c r="D14" s="3"/>
      <c r="E14" s="3"/>
      <c r="F14" s="4"/>
      <c r="G14" s="3">
        <v>21</v>
      </c>
      <c r="H14" s="5" t="s">
        <v>28</v>
      </c>
      <c r="I14" s="6">
        <v>1191767000</v>
      </c>
      <c r="J14" s="49"/>
    </row>
    <row r="15" spans="1:19" s="40" customFormat="1" ht="21" x14ac:dyDescent="0.25">
      <c r="A15" s="41">
        <v>2901</v>
      </c>
      <c r="B15" s="42" t="s">
        <v>21</v>
      </c>
      <c r="C15" s="43">
        <v>14</v>
      </c>
      <c r="D15" s="43" t="s">
        <v>23</v>
      </c>
      <c r="E15" s="43">
        <v>2901006</v>
      </c>
      <c r="F15" s="44"/>
      <c r="G15" s="43"/>
      <c r="H15" s="45" t="s">
        <v>29</v>
      </c>
      <c r="I15" s="46"/>
      <c r="J15" s="49"/>
    </row>
    <row r="16" spans="1:19" s="40" customFormat="1" x14ac:dyDescent="0.25">
      <c r="A16" s="41">
        <v>2901</v>
      </c>
      <c r="B16" s="42" t="s">
        <v>21</v>
      </c>
      <c r="C16" s="43">
        <v>14</v>
      </c>
      <c r="D16" s="43" t="s">
        <v>23</v>
      </c>
      <c r="E16" s="43">
        <v>2901006</v>
      </c>
      <c r="F16" s="44" t="s">
        <v>25</v>
      </c>
      <c r="G16" s="43">
        <v>10</v>
      </c>
      <c r="H16" s="45" t="s">
        <v>26</v>
      </c>
      <c r="I16" s="47">
        <v>4332952000</v>
      </c>
      <c r="J16" s="49"/>
    </row>
    <row r="17" spans="1:10" s="40" customFormat="1" ht="21" x14ac:dyDescent="0.25">
      <c r="A17" s="41"/>
      <c r="B17" s="42"/>
      <c r="C17" s="43"/>
      <c r="D17" s="43"/>
      <c r="E17" s="43"/>
      <c r="F17" s="44"/>
      <c r="G17" s="43"/>
      <c r="H17" s="45" t="s">
        <v>30</v>
      </c>
      <c r="I17" s="47">
        <f>+J17</f>
        <v>100920000</v>
      </c>
      <c r="J17" s="49">
        <v>100920000</v>
      </c>
    </row>
    <row r="18" spans="1:10" s="40" customFormat="1" ht="21" x14ac:dyDescent="0.25">
      <c r="A18" s="41"/>
      <c r="B18" s="42"/>
      <c r="C18" s="43"/>
      <c r="D18" s="43"/>
      <c r="E18" s="43"/>
      <c r="F18" s="44"/>
      <c r="G18" s="43"/>
      <c r="H18" s="45" t="s">
        <v>31</v>
      </c>
      <c r="I18" s="47">
        <f>+J18</f>
        <v>130000000</v>
      </c>
      <c r="J18" s="49">
        <v>130000000</v>
      </c>
    </row>
    <row r="19" spans="1:10" s="40" customFormat="1" x14ac:dyDescent="0.25">
      <c r="A19" s="41">
        <v>2901</v>
      </c>
      <c r="B19" s="42" t="s">
        <v>21</v>
      </c>
      <c r="C19" s="43">
        <v>14</v>
      </c>
      <c r="D19" s="43" t="s">
        <v>23</v>
      </c>
      <c r="E19" s="43">
        <v>2901006</v>
      </c>
      <c r="F19" s="44" t="s">
        <v>25</v>
      </c>
      <c r="G19" s="43">
        <v>21</v>
      </c>
      <c r="H19" s="45" t="s">
        <v>26</v>
      </c>
      <c r="I19" s="47">
        <v>1191767000</v>
      </c>
      <c r="J19" s="49"/>
    </row>
    <row r="20" spans="1:10" s="40" customFormat="1" x14ac:dyDescent="0.25">
      <c r="A20" s="41">
        <v>2901</v>
      </c>
      <c r="B20" s="42" t="s">
        <v>21</v>
      </c>
      <c r="C20" s="43">
        <v>14</v>
      </c>
      <c r="D20" s="43" t="s">
        <v>23</v>
      </c>
      <c r="E20" s="43">
        <v>2901010</v>
      </c>
      <c r="F20" s="44"/>
      <c r="G20" s="43"/>
      <c r="H20" s="45" t="s">
        <v>32</v>
      </c>
      <c r="I20" s="46"/>
      <c r="J20" s="49"/>
    </row>
    <row r="21" spans="1:10" s="40" customFormat="1" ht="31.5" x14ac:dyDescent="0.25">
      <c r="A21" s="41"/>
      <c r="B21" s="42"/>
      <c r="C21" s="43"/>
      <c r="D21" s="43"/>
      <c r="E21" s="43"/>
      <c r="F21" s="44"/>
      <c r="G21" s="43"/>
      <c r="H21" s="45" t="s">
        <v>33</v>
      </c>
      <c r="I21" s="71">
        <f>+J21</f>
        <v>300000000</v>
      </c>
      <c r="J21" s="49">
        <v>300000000</v>
      </c>
    </row>
    <row r="22" spans="1:10" x14ac:dyDescent="0.25">
      <c r="A22" s="33"/>
      <c r="B22" s="34"/>
      <c r="C22" s="35"/>
      <c r="D22" s="35"/>
      <c r="E22" s="35"/>
      <c r="F22" s="39"/>
      <c r="G22" s="35"/>
      <c r="H22" s="36"/>
      <c r="I22" s="37"/>
    </row>
    <row r="23" spans="1:10" s="59" customFormat="1" ht="31.5" x14ac:dyDescent="0.25">
      <c r="A23" s="52">
        <v>2901</v>
      </c>
      <c r="B23" s="53" t="s">
        <v>21</v>
      </c>
      <c r="C23" s="54">
        <v>16</v>
      </c>
      <c r="D23" s="54"/>
      <c r="E23" s="54"/>
      <c r="F23" s="55"/>
      <c r="G23" s="54">
        <v>10</v>
      </c>
      <c r="H23" s="56" t="s">
        <v>34</v>
      </c>
      <c r="I23" s="57">
        <v>21856000000</v>
      </c>
      <c r="J23" s="58"/>
    </row>
    <row r="24" spans="1:10" s="59" customFormat="1" x14ac:dyDescent="0.25">
      <c r="A24" s="60">
        <v>2901</v>
      </c>
      <c r="B24" s="61" t="s">
        <v>21</v>
      </c>
      <c r="C24" s="62">
        <v>16</v>
      </c>
      <c r="D24" s="62" t="s">
        <v>35</v>
      </c>
      <c r="E24" s="62">
        <v>2901002</v>
      </c>
      <c r="F24" s="63"/>
      <c r="G24" s="62"/>
      <c r="H24" s="64" t="s">
        <v>24</v>
      </c>
      <c r="I24" s="65"/>
      <c r="J24" s="58"/>
    </row>
    <row r="25" spans="1:10" s="59" customFormat="1" x14ac:dyDescent="0.25">
      <c r="A25" s="60">
        <v>2901</v>
      </c>
      <c r="B25" s="61" t="s">
        <v>21</v>
      </c>
      <c r="C25" s="62">
        <v>16</v>
      </c>
      <c r="D25" s="62" t="s">
        <v>35</v>
      </c>
      <c r="E25" s="62">
        <v>2901002</v>
      </c>
      <c r="F25" s="63" t="s">
        <v>25</v>
      </c>
      <c r="G25" s="62">
        <v>10</v>
      </c>
      <c r="H25" s="64" t="s">
        <v>26</v>
      </c>
      <c r="I25" s="66">
        <v>14263763540</v>
      </c>
      <c r="J25" s="58"/>
    </row>
    <row r="26" spans="1:10" s="59" customFormat="1" ht="21" x14ac:dyDescent="0.25">
      <c r="A26" s="60"/>
      <c r="B26" s="61"/>
      <c r="C26" s="62"/>
      <c r="D26" s="62"/>
      <c r="E26" s="62"/>
      <c r="F26" s="63"/>
      <c r="G26" s="62"/>
      <c r="H26" s="64" t="s">
        <v>36</v>
      </c>
      <c r="I26" s="66">
        <f>+J26</f>
        <v>350000000</v>
      </c>
      <c r="J26" s="58">
        <v>350000000</v>
      </c>
    </row>
    <row r="27" spans="1:10" s="59" customFormat="1" ht="21" x14ac:dyDescent="0.25">
      <c r="A27" s="60"/>
      <c r="B27" s="61"/>
      <c r="C27" s="62"/>
      <c r="D27" s="62"/>
      <c r="E27" s="62"/>
      <c r="F27" s="63"/>
      <c r="G27" s="62"/>
      <c r="H27" s="64" t="s">
        <v>27</v>
      </c>
      <c r="I27" s="66">
        <f>+J27</f>
        <v>98308640</v>
      </c>
      <c r="J27" s="58">
        <v>98308640</v>
      </c>
    </row>
    <row r="28" spans="1:10" s="59" customFormat="1" x14ac:dyDescent="0.25">
      <c r="A28" s="60"/>
      <c r="B28" s="61"/>
      <c r="C28" s="62"/>
      <c r="D28" s="62"/>
      <c r="E28" s="62"/>
      <c r="F28" s="63"/>
      <c r="G28" s="62"/>
      <c r="H28" s="64"/>
      <c r="I28" s="66"/>
      <c r="J28" s="58"/>
    </row>
    <row r="29" spans="1:10" x14ac:dyDescent="0.25">
      <c r="A29" s="33"/>
      <c r="B29" s="34"/>
      <c r="C29" s="35"/>
      <c r="D29" s="35"/>
      <c r="E29" s="35"/>
      <c r="F29" s="39"/>
      <c r="G29" s="35"/>
      <c r="H29" s="36"/>
      <c r="I29" s="38"/>
    </row>
    <row r="30" spans="1:10" x14ac:dyDescent="0.25">
      <c r="A30" s="33"/>
      <c r="B30" s="34"/>
      <c r="C30" s="35"/>
      <c r="D30" s="35"/>
      <c r="E30" s="35"/>
      <c r="F30" s="39"/>
      <c r="G30" s="35"/>
      <c r="H30" s="36"/>
      <c r="I30" s="38"/>
    </row>
    <row r="31" spans="1:10" x14ac:dyDescent="0.25">
      <c r="A31" s="33">
        <v>2901</v>
      </c>
      <c r="B31" s="34" t="s">
        <v>21</v>
      </c>
      <c r="C31" s="35">
        <v>16</v>
      </c>
      <c r="D31" s="35" t="s">
        <v>35</v>
      </c>
      <c r="E31" s="35">
        <v>2901007</v>
      </c>
      <c r="F31" s="39"/>
      <c r="G31" s="35"/>
      <c r="H31" s="36" t="s">
        <v>37</v>
      </c>
      <c r="I31" s="37"/>
    </row>
    <row r="32" spans="1:10" x14ac:dyDescent="0.25">
      <c r="A32" s="33">
        <v>2901</v>
      </c>
      <c r="B32" s="34" t="s">
        <v>21</v>
      </c>
      <c r="C32" s="67">
        <v>16</v>
      </c>
      <c r="D32" s="67" t="s">
        <v>35</v>
      </c>
      <c r="E32" s="67">
        <v>2901007</v>
      </c>
      <c r="F32" s="68" t="s">
        <v>25</v>
      </c>
      <c r="G32" s="67">
        <v>10</v>
      </c>
      <c r="H32" s="69" t="s">
        <v>26</v>
      </c>
      <c r="I32" s="70">
        <v>5531215836</v>
      </c>
    </row>
    <row r="33" spans="1:10" ht="21" x14ac:dyDescent="0.25">
      <c r="A33" s="33"/>
      <c r="B33" s="34"/>
      <c r="C33" s="67"/>
      <c r="D33" s="67"/>
      <c r="E33" s="67"/>
      <c r="F33" s="68"/>
      <c r="G33" s="67"/>
      <c r="H33" s="69" t="s">
        <v>38</v>
      </c>
      <c r="I33" s="70"/>
      <c r="J33" s="48">
        <v>100000000</v>
      </c>
    </row>
    <row r="34" spans="1:10" ht="21" x14ac:dyDescent="0.25">
      <c r="A34" s="33"/>
      <c r="B34" s="34"/>
      <c r="C34" s="67"/>
      <c r="D34" s="67"/>
      <c r="E34" s="67"/>
      <c r="F34" s="68"/>
      <c r="G34" s="67"/>
      <c r="H34" s="69" t="s">
        <v>38</v>
      </c>
      <c r="I34" s="70"/>
      <c r="J34" s="48">
        <v>200000000</v>
      </c>
    </row>
    <row r="35" spans="1:10" x14ac:dyDescent="0.25">
      <c r="A35" s="33"/>
      <c r="B35" s="34"/>
      <c r="C35" s="67"/>
      <c r="D35" s="67"/>
      <c r="E35" s="67"/>
      <c r="F35" s="68"/>
      <c r="G35" s="67"/>
      <c r="H35" s="69"/>
      <c r="I35" s="70"/>
      <c r="J35" s="48">
        <v>130000000</v>
      </c>
    </row>
    <row r="36" spans="1:10" x14ac:dyDescent="0.25">
      <c r="A36" s="33"/>
      <c r="B36" s="34"/>
      <c r="C36" s="35"/>
      <c r="D36" s="35"/>
      <c r="E36" s="35"/>
      <c r="F36" s="39"/>
      <c r="G36" s="35"/>
      <c r="H36" s="36"/>
      <c r="I36" s="38">
        <f>+SUM(J33:J35)</f>
        <v>430000000</v>
      </c>
    </row>
    <row r="37" spans="1:10" x14ac:dyDescent="0.25">
      <c r="A37" s="7"/>
      <c r="B37" s="7"/>
      <c r="C37" s="7"/>
      <c r="D37" s="7"/>
      <c r="E37" s="7"/>
      <c r="F37" s="7"/>
      <c r="G37" s="7"/>
      <c r="I37" s="8"/>
    </row>
    <row r="38" spans="1:10" x14ac:dyDescent="0.25">
      <c r="A38" s="9"/>
      <c r="B38" s="7"/>
      <c r="C38" s="7"/>
      <c r="D38" s="7"/>
      <c r="E38" s="7"/>
      <c r="F38" s="7"/>
      <c r="G38" s="7"/>
      <c r="I38" s="8"/>
      <c r="J38" s="48">
        <f>SUM(J5:J36)</f>
        <v>1980000000</v>
      </c>
    </row>
    <row r="39" spans="1:10" x14ac:dyDescent="0.25">
      <c r="A39" s="9"/>
      <c r="B39" s="7"/>
      <c r="C39" s="7"/>
      <c r="D39" s="7"/>
      <c r="E39" s="7"/>
      <c r="F39" s="7"/>
      <c r="G39" s="7"/>
      <c r="I39" s="8"/>
      <c r="J39" s="48">
        <v>1850000000</v>
      </c>
    </row>
    <row r="40" spans="1:10" x14ac:dyDescent="0.25">
      <c r="A40" s="10"/>
      <c r="B40" s="7"/>
      <c r="C40" s="7"/>
      <c r="D40" s="7"/>
      <c r="E40" s="7"/>
      <c r="F40" s="7"/>
      <c r="G40" s="7"/>
      <c r="I40" s="8"/>
      <c r="J40" s="110">
        <f>+J39-J38</f>
        <v>-130000000</v>
      </c>
    </row>
    <row r="41" spans="1:10" x14ac:dyDescent="0.25">
      <c r="A41" s="10"/>
      <c r="B41" s="7"/>
      <c r="C41" s="7"/>
      <c r="D41" s="7"/>
      <c r="E41" s="7"/>
      <c r="F41" s="7"/>
      <c r="G41" s="7"/>
      <c r="I41" s="8"/>
    </row>
    <row r="42" spans="1:10" x14ac:dyDescent="0.25">
      <c r="A42" s="10"/>
      <c r="B42" s="7"/>
      <c r="C42" s="7"/>
      <c r="D42" s="7"/>
      <c r="E42" s="7"/>
      <c r="F42" s="7"/>
      <c r="G42" s="7"/>
      <c r="I42" s="8"/>
    </row>
  </sheetData>
  <mergeCells count="1">
    <mergeCell ref="A1:I1"/>
  </mergeCells>
  <pageMargins left="0.7" right="0.7" top="0.75" bottom="0.75" header="0.3" footer="0.3"/>
  <pageSetup scale="38" fitToHeight="0" orientation="portrait" horizontalDpi="4294967293" r:id="rId1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141"/>
  <sheetViews>
    <sheetView view="pageBreakPreview" topLeftCell="Z1" zoomScaleNormal="100" zoomScaleSheetLayoutView="100" workbookViewId="0">
      <selection activeCell="Z1" sqref="Z1"/>
    </sheetView>
  </sheetViews>
  <sheetFormatPr baseColWidth="10" defaultColWidth="14.42578125" defaultRowHeight="15" customHeight="1" zeroHeight="1" x14ac:dyDescent="0.25"/>
  <cols>
    <col min="1" max="1" width="4.28515625" style="91" bestFit="1" customWidth="1"/>
    <col min="2" max="2" width="5" style="91" bestFit="1" customWidth="1"/>
    <col min="3" max="3" width="26.7109375" style="98" customWidth="1"/>
    <col min="4" max="4" width="16.7109375" style="91" customWidth="1"/>
    <col min="5" max="6" width="11.5703125" style="91" customWidth="1"/>
    <col min="7" max="13" width="11.5703125" style="91" hidden="1" customWidth="1"/>
    <col min="14" max="14" width="11.5703125" style="91" customWidth="1"/>
    <col min="15" max="15" width="14.28515625" style="91" customWidth="1"/>
    <col min="16" max="17" width="13" style="91" customWidth="1"/>
    <col min="18" max="23" width="13" style="91" hidden="1" customWidth="1"/>
    <col min="24" max="24" width="15.7109375" style="91" hidden="1" customWidth="1"/>
    <col min="25" max="25" width="14.7109375" style="91" customWidth="1"/>
    <col min="26" max="27" width="11.42578125" style="91" customWidth="1"/>
    <col min="28" max="29" width="15" style="91" customWidth="1"/>
    <col min="30" max="30" width="13.7109375" style="91" customWidth="1"/>
    <col min="31" max="39" width="11.42578125" style="91" customWidth="1"/>
    <col min="40" max="16384" width="14.42578125" style="91"/>
  </cols>
  <sheetData>
    <row r="1" spans="1:39" s="90" customFormat="1" ht="8.25" x14ac:dyDescent="0.25">
      <c r="A1" s="92"/>
      <c r="B1" s="346" t="s">
        <v>39</v>
      </c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8" t="s">
        <v>40</v>
      </c>
      <c r="P1" s="346" t="s">
        <v>41</v>
      </c>
      <c r="Q1" s="346"/>
      <c r="R1" s="346"/>
      <c r="S1" s="346"/>
      <c r="T1" s="346"/>
      <c r="U1" s="346"/>
      <c r="V1" s="346"/>
      <c r="W1" s="346"/>
      <c r="X1" s="347"/>
      <c r="Y1" s="347"/>
      <c r="Z1" s="73"/>
      <c r="AA1" s="74" t="s">
        <v>42</v>
      </c>
      <c r="AB1" s="89"/>
      <c r="AC1" s="89"/>
      <c r="AD1" s="74" t="s">
        <v>43</v>
      </c>
      <c r="AE1" s="74" t="s">
        <v>44</v>
      </c>
      <c r="AF1" s="74"/>
      <c r="AG1" s="74"/>
      <c r="AH1" s="74"/>
      <c r="AI1" s="74"/>
      <c r="AJ1" s="74"/>
      <c r="AK1" s="74"/>
      <c r="AL1" s="74"/>
      <c r="AM1" s="74"/>
    </row>
    <row r="2" spans="1:39" s="90" customFormat="1" ht="7.9" customHeight="1" x14ac:dyDescent="0.25">
      <c r="A2" s="350" t="s">
        <v>45</v>
      </c>
      <c r="B2" s="350" t="s">
        <v>46</v>
      </c>
      <c r="C2" s="350" t="s">
        <v>47</v>
      </c>
      <c r="D2" s="350" t="s">
        <v>48</v>
      </c>
      <c r="E2" s="350" t="s">
        <v>49</v>
      </c>
      <c r="F2" s="350"/>
      <c r="G2" s="350"/>
      <c r="H2" s="350"/>
      <c r="I2" s="350"/>
      <c r="J2" s="350"/>
      <c r="K2" s="350"/>
      <c r="L2" s="350"/>
      <c r="M2" s="350"/>
      <c r="N2" s="350" t="s">
        <v>50</v>
      </c>
      <c r="O2" s="347"/>
      <c r="P2" s="350" t="s">
        <v>51</v>
      </c>
      <c r="Q2" s="350"/>
      <c r="R2" s="350"/>
      <c r="S2" s="350"/>
      <c r="T2" s="350"/>
      <c r="U2" s="350"/>
      <c r="V2" s="350"/>
      <c r="W2" s="350"/>
      <c r="X2" s="347"/>
      <c r="Y2" s="350" t="s">
        <v>52</v>
      </c>
      <c r="Z2" s="73"/>
      <c r="AA2" s="75" t="s">
        <v>53</v>
      </c>
      <c r="AB2" s="75" t="s">
        <v>54</v>
      </c>
      <c r="AC2" s="75" t="s">
        <v>55</v>
      </c>
      <c r="AD2" s="75" t="s">
        <v>56</v>
      </c>
      <c r="AE2" s="75" t="s">
        <v>44</v>
      </c>
      <c r="AF2" s="74"/>
      <c r="AG2" s="74"/>
      <c r="AH2" s="74"/>
      <c r="AI2" s="74"/>
      <c r="AJ2" s="74"/>
      <c r="AK2" s="74"/>
      <c r="AL2" s="74"/>
      <c r="AM2" s="74"/>
    </row>
    <row r="3" spans="1:39" s="90" customFormat="1" ht="13.9" customHeight="1" x14ac:dyDescent="0.25">
      <c r="A3" s="351"/>
      <c r="B3" s="347"/>
      <c r="C3" s="352"/>
      <c r="D3" s="350"/>
      <c r="E3" s="347"/>
      <c r="F3" s="347"/>
      <c r="G3" s="347"/>
      <c r="H3" s="347"/>
      <c r="I3" s="347"/>
      <c r="J3" s="347"/>
      <c r="K3" s="347"/>
      <c r="L3" s="347"/>
      <c r="M3" s="347"/>
      <c r="N3" s="350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50"/>
      <c r="Z3" s="108" t="s">
        <v>10</v>
      </c>
      <c r="AA3" s="109" t="str">
        <f>+P4</f>
        <v>BOGOTÁ</v>
      </c>
      <c r="AB3" s="109">
        <f>+SUM(P5:P9)</f>
        <v>474415466</v>
      </c>
      <c r="AC3" s="109">
        <f t="shared" ref="AC3" si="0">+SUM(AB3:AB4)</f>
        <v>517506779</v>
      </c>
      <c r="AD3" s="100"/>
      <c r="AE3" s="92" t="b">
        <f t="shared" ref="AE3:AE13" si="1">+EXACT(AB3,AD3)</f>
        <v>0</v>
      </c>
      <c r="AF3" s="73"/>
      <c r="AG3" s="74"/>
      <c r="AH3" s="74"/>
      <c r="AI3" s="74"/>
      <c r="AJ3" s="74"/>
      <c r="AK3" s="74"/>
      <c r="AL3" s="74"/>
      <c r="AM3" s="74"/>
    </row>
    <row r="4" spans="1:39" s="90" customFormat="1" ht="18" x14ac:dyDescent="0.25">
      <c r="A4" s="351"/>
      <c r="B4" s="347"/>
      <c r="C4" s="352"/>
      <c r="D4" s="350"/>
      <c r="E4" s="94" t="s">
        <v>57</v>
      </c>
      <c r="F4" s="94" t="s">
        <v>18</v>
      </c>
      <c r="G4" s="94" t="s">
        <v>58</v>
      </c>
      <c r="H4" s="94" t="s">
        <v>59</v>
      </c>
      <c r="I4" s="94" t="s">
        <v>60</v>
      </c>
      <c r="J4" s="94" t="s">
        <v>61</v>
      </c>
      <c r="K4" s="94" t="s">
        <v>62</v>
      </c>
      <c r="L4" s="94" t="s">
        <v>63</v>
      </c>
      <c r="M4" s="94" t="s">
        <v>64</v>
      </c>
      <c r="N4" s="350"/>
      <c r="O4" s="347"/>
      <c r="P4" s="93" t="str">
        <f>+E4</f>
        <v>BOGOTÁ</v>
      </c>
      <c r="Q4" s="93" t="str">
        <f t="shared" ref="Q4:X4" si="2">+F4</f>
        <v>ORIENTE</v>
      </c>
      <c r="R4" s="93" t="str">
        <f t="shared" si="2"/>
        <v xml:space="preserve">CENTRAL </v>
      </c>
      <c r="S4" s="93" t="str">
        <f t="shared" si="2"/>
        <v xml:space="preserve">SUR </v>
      </c>
      <c r="T4" s="93" t="str">
        <f t="shared" si="2"/>
        <v xml:space="preserve">NORTE </v>
      </c>
      <c r="U4" s="93" t="str">
        <f t="shared" si="2"/>
        <v xml:space="preserve">OCCIDENTE </v>
      </c>
      <c r="V4" s="93" t="str">
        <f t="shared" si="2"/>
        <v xml:space="preserve">NOROCCIDENTE </v>
      </c>
      <c r="W4" s="93" t="str">
        <f t="shared" si="2"/>
        <v xml:space="preserve">SUROCCIDENTE </v>
      </c>
      <c r="X4" s="93" t="str">
        <f t="shared" si="2"/>
        <v xml:space="preserve">NORORIENTE </v>
      </c>
      <c r="Y4" s="350"/>
      <c r="Z4" s="108" t="s">
        <v>10</v>
      </c>
      <c r="AA4" s="109" t="str">
        <f>+Q4</f>
        <v>ORIENTE</v>
      </c>
      <c r="AB4" s="109">
        <f>SUM(Q5:Q9)</f>
        <v>43091313</v>
      </c>
      <c r="AC4" s="109"/>
      <c r="AD4" s="100"/>
      <c r="AE4" s="92" t="b">
        <f t="shared" si="1"/>
        <v>0</v>
      </c>
      <c r="AF4" s="73"/>
      <c r="AG4" s="74"/>
      <c r="AH4" s="74"/>
      <c r="AI4" s="74"/>
      <c r="AJ4" s="74"/>
      <c r="AK4" s="74"/>
      <c r="AL4" s="74"/>
      <c r="AM4" s="74"/>
    </row>
    <row r="5" spans="1:39" ht="56.25" x14ac:dyDescent="0.25">
      <c r="A5" s="95">
        <f>+'DATOS REGIONALIZADO LOTE 1'!A5</f>
        <v>1</v>
      </c>
      <c r="B5" s="95">
        <f>+'DATOS REGIONALIZADO LOTE 1'!B5</f>
        <v>1</v>
      </c>
      <c r="C5" s="111" t="str">
        <f>+'DATOS REGIONALIZADO LOTE 1'!C5</f>
        <v xml:space="preserve">CABINAS EXTRACTORAS PARA LABORATORIO DE ESTUPEFACIENTES DE LA REGIONAL BOGOTA (2) CABINA Y (1) CABINA PARA - PATOLOGIA - LABORATORIO DE HISTOTECNOLOGÍA </v>
      </c>
      <c r="D5" s="95" t="str">
        <f>+'DATOS REGIONALIZADO LOTE 1'!D5</f>
        <v>UNIDAD</v>
      </c>
      <c r="E5" s="95">
        <f>+'DATOS REGIONALIZADO LOTE 1'!E5</f>
        <v>3</v>
      </c>
      <c r="F5" s="95">
        <f>+'DATOS REGIONALIZADO LOTE 1'!F5</f>
        <v>0</v>
      </c>
      <c r="G5" s="95">
        <f>+'DATOS REGIONALIZADO LOTE 1'!G5</f>
        <v>0</v>
      </c>
      <c r="H5" s="95">
        <f>+'DATOS REGIONALIZADO LOTE 1'!H5</f>
        <v>0</v>
      </c>
      <c r="I5" s="95">
        <f>+'DATOS REGIONALIZADO LOTE 1'!I5</f>
        <v>0</v>
      </c>
      <c r="J5" s="95">
        <f>+'DATOS REGIONALIZADO LOTE 1'!J5</f>
        <v>0</v>
      </c>
      <c r="K5" s="95">
        <f>+'DATOS REGIONALIZADO LOTE 1'!K5</f>
        <v>0</v>
      </c>
      <c r="L5" s="95">
        <f>+'DATOS REGIONALIZADO LOTE 1'!L5</f>
        <v>0</v>
      </c>
      <c r="M5" s="95">
        <f>+'DATOS REGIONALIZADO LOTE 1'!M5</f>
        <v>0</v>
      </c>
      <c r="N5" s="95">
        <f>+'DATOS REGIONALIZADO LOTE 1'!N5</f>
        <v>3</v>
      </c>
      <c r="O5" s="95">
        <f>+'DATOS REGIONALIZADO LOTE 1'!O5</f>
        <v>64542518</v>
      </c>
      <c r="P5" s="95">
        <f>+'DATOS REGIONALIZADO LOTE 1'!P5</f>
        <v>193627554</v>
      </c>
      <c r="Q5" s="95">
        <f>+'DATOS REGIONALIZADO LOTE 1'!Q5</f>
        <v>0</v>
      </c>
      <c r="R5" s="95">
        <f>+'DATOS REGIONALIZADO LOTE 1'!R5</f>
        <v>0</v>
      </c>
      <c r="S5" s="95">
        <f>+'DATOS REGIONALIZADO LOTE 1'!S5</f>
        <v>0</v>
      </c>
      <c r="T5" s="95">
        <f>+'DATOS REGIONALIZADO LOTE 1'!T5</f>
        <v>0</v>
      </c>
      <c r="U5" s="95">
        <f>+'DATOS REGIONALIZADO LOTE 1'!U5</f>
        <v>0</v>
      </c>
      <c r="V5" s="95">
        <f>+'DATOS REGIONALIZADO LOTE 1'!V5</f>
        <v>0</v>
      </c>
      <c r="W5" s="95">
        <f>+'DATOS REGIONALIZADO LOTE 1'!W5</f>
        <v>0</v>
      </c>
      <c r="X5" s="95">
        <f>+'DATOS REGIONALIZADO LOTE 1'!X5</f>
        <v>0</v>
      </c>
      <c r="Y5" s="95">
        <f>+'DATOS REGIONALIZADO LOTE 1'!Y5</f>
        <v>193627554</v>
      </c>
      <c r="Z5" s="99" t="s">
        <v>65</v>
      </c>
      <c r="AA5" s="100" t="s">
        <v>57</v>
      </c>
      <c r="AB5" s="100">
        <f>+'DATOS REGIONALIZADO LOTE 2'!P7</f>
        <v>161915416</v>
      </c>
      <c r="AC5" s="100">
        <f>+Tabla37[[#This Row],[VALOR TOTAL]]+AB6</f>
        <v>208217404</v>
      </c>
      <c r="AD5" s="100"/>
      <c r="AE5" s="92" t="b">
        <f>+EXACT(AB5,AD5)</f>
        <v>0</v>
      </c>
      <c r="AF5" s="82"/>
      <c r="AG5" s="83"/>
      <c r="AH5" s="83"/>
      <c r="AI5" s="83"/>
      <c r="AJ5" s="83"/>
      <c r="AK5" s="83"/>
      <c r="AL5" s="83"/>
      <c r="AM5" s="83"/>
    </row>
    <row r="6" spans="1:39" ht="33.75" x14ac:dyDescent="0.25">
      <c r="A6" s="95">
        <f>+'DATOS REGIONALIZADO LOTE 1'!A6</f>
        <v>1</v>
      </c>
      <c r="B6" s="95">
        <f>+'DATOS REGIONALIZADO LOTE 1'!B6</f>
        <v>2</v>
      </c>
      <c r="C6" s="113" t="str">
        <f>+'DATOS REGIONALIZADO LOTE 1'!C6</f>
        <v>CABINA EXTRACTORA PARA EL GRUPO DE PATOLOGIA FORENSE  DE LA REGIONAL BOGOTA</v>
      </c>
      <c r="D6" s="95" t="str">
        <f>+'DATOS REGIONALIZADO LOTE 1'!D6</f>
        <v>UNIDAD</v>
      </c>
      <c r="E6" s="95">
        <f>+'DATOS REGIONALIZADO LOTE 1'!E6</f>
        <v>1</v>
      </c>
      <c r="F6" s="95">
        <f>+'DATOS REGIONALIZADO LOTE 1'!F6</f>
        <v>0</v>
      </c>
      <c r="G6" s="95">
        <f>+'DATOS REGIONALIZADO LOTE 1'!G6</f>
        <v>0</v>
      </c>
      <c r="H6" s="95">
        <f>+'DATOS REGIONALIZADO LOTE 1'!H6</f>
        <v>0</v>
      </c>
      <c r="I6" s="95">
        <f>+'DATOS REGIONALIZADO LOTE 1'!I6</f>
        <v>0</v>
      </c>
      <c r="J6" s="95">
        <f>+'DATOS REGIONALIZADO LOTE 1'!J6</f>
        <v>0</v>
      </c>
      <c r="K6" s="95">
        <f>+'DATOS REGIONALIZADO LOTE 1'!K6</f>
        <v>0</v>
      </c>
      <c r="L6" s="95">
        <f>+'DATOS REGIONALIZADO LOTE 1'!L6</f>
        <v>0</v>
      </c>
      <c r="M6" s="95">
        <f>+'DATOS REGIONALIZADO LOTE 1'!M6</f>
        <v>0</v>
      </c>
      <c r="N6" s="95">
        <f>+'DATOS REGIONALIZADO LOTE 1'!N6</f>
        <v>1</v>
      </c>
      <c r="O6" s="95">
        <f>+'DATOS REGIONALIZADO LOTE 1'!O6</f>
        <v>60791847</v>
      </c>
      <c r="P6" s="95">
        <f>+'DATOS REGIONALIZADO LOTE 1'!P6</f>
        <v>60791847</v>
      </c>
      <c r="Q6" s="95">
        <f>+'DATOS REGIONALIZADO LOTE 1'!Q6</f>
        <v>0</v>
      </c>
      <c r="R6" s="95">
        <f>+'DATOS REGIONALIZADO LOTE 1'!R6</f>
        <v>0</v>
      </c>
      <c r="S6" s="95">
        <f>+'DATOS REGIONALIZADO LOTE 1'!S6</f>
        <v>0</v>
      </c>
      <c r="T6" s="95">
        <f>+'DATOS REGIONALIZADO LOTE 1'!T6</f>
        <v>0</v>
      </c>
      <c r="U6" s="95">
        <f>+'DATOS REGIONALIZADO LOTE 1'!U6</f>
        <v>0</v>
      </c>
      <c r="V6" s="95">
        <f>+'DATOS REGIONALIZADO LOTE 1'!V6</f>
        <v>0</v>
      </c>
      <c r="W6" s="95">
        <f>+'DATOS REGIONALIZADO LOTE 1'!W6</f>
        <v>0</v>
      </c>
      <c r="X6" s="95">
        <f>+'DATOS REGIONALIZADO LOTE 1'!X6</f>
        <v>0</v>
      </c>
      <c r="Y6" s="95">
        <f>+'DATOS REGIONALIZADO LOTE 1'!Y6</f>
        <v>60791847</v>
      </c>
      <c r="Z6" s="99" t="s">
        <v>65</v>
      </c>
      <c r="AA6" s="100" t="s">
        <v>18</v>
      </c>
      <c r="AB6" s="100">
        <f>+'DATOS REGIONALIZADO LOTE 2'!Q7</f>
        <v>46301988</v>
      </c>
      <c r="AC6" s="100"/>
      <c r="AD6" s="100"/>
      <c r="AE6" s="92" t="b">
        <f>+EXACT(AB6,AD6)</f>
        <v>0</v>
      </c>
      <c r="AF6" s="82"/>
      <c r="AG6" s="83"/>
      <c r="AH6" s="83"/>
      <c r="AI6" s="83"/>
      <c r="AJ6" s="83"/>
      <c r="AK6" s="83"/>
      <c r="AL6" s="83"/>
      <c r="AM6" s="83"/>
    </row>
    <row r="7" spans="1:39" ht="33.75" x14ac:dyDescent="0.25">
      <c r="A7" s="95">
        <f>+'DATOS REGIONALIZADO LOTE 1'!A7</f>
        <v>1</v>
      </c>
      <c r="B7" s="95">
        <f>+'DATOS REGIONALIZADO LOTE 1'!B7</f>
        <v>3</v>
      </c>
      <c r="C7" s="111" t="str">
        <f>+'DATOS REGIONALIZADO LOTE 1'!C7</f>
        <v>CABINAS EXTRACTORAS PARA EL LABORATORIO DE EVIDENCIA TRAZA  DE LA REGIONAL BOGOTA</v>
      </c>
      <c r="D7" s="95" t="str">
        <f>+'DATOS REGIONALIZADO LOTE 1'!D7</f>
        <v>UNIDAD</v>
      </c>
      <c r="E7" s="95">
        <f>+'DATOS REGIONALIZADO LOTE 1'!E7</f>
        <v>3</v>
      </c>
      <c r="F7" s="95">
        <f>+'DATOS REGIONALIZADO LOTE 1'!F7</f>
        <v>0</v>
      </c>
      <c r="G7" s="95">
        <f>+'DATOS REGIONALIZADO LOTE 1'!G7</f>
        <v>0</v>
      </c>
      <c r="H7" s="95">
        <f>+'DATOS REGIONALIZADO LOTE 1'!H7</f>
        <v>0</v>
      </c>
      <c r="I7" s="95">
        <f>+'DATOS REGIONALIZADO LOTE 1'!I7</f>
        <v>0</v>
      </c>
      <c r="J7" s="95">
        <f>+'DATOS REGIONALIZADO LOTE 1'!J7</f>
        <v>0</v>
      </c>
      <c r="K7" s="95">
        <f>+'DATOS REGIONALIZADO LOTE 1'!K7</f>
        <v>0</v>
      </c>
      <c r="L7" s="95">
        <f>+'DATOS REGIONALIZADO LOTE 1'!L7</f>
        <v>0</v>
      </c>
      <c r="M7" s="95">
        <f>+'DATOS REGIONALIZADO LOTE 1'!M7</f>
        <v>0</v>
      </c>
      <c r="N7" s="95">
        <f>+'DATOS REGIONALIZADO LOTE 1'!N7</f>
        <v>3</v>
      </c>
      <c r="O7" s="95">
        <f>+'DATOS REGIONALIZADO LOTE 1'!O7</f>
        <v>55298393</v>
      </c>
      <c r="P7" s="95">
        <f>+'DATOS REGIONALIZADO LOTE 1'!P7</f>
        <v>165895179</v>
      </c>
      <c r="Q7" s="95">
        <f>+'DATOS REGIONALIZADO LOTE 1'!Q7</f>
        <v>0</v>
      </c>
      <c r="R7" s="95">
        <f>+'DATOS REGIONALIZADO LOTE 1'!R7</f>
        <v>0</v>
      </c>
      <c r="S7" s="95">
        <f>+'DATOS REGIONALIZADO LOTE 1'!S7</f>
        <v>0</v>
      </c>
      <c r="T7" s="95">
        <f>+'DATOS REGIONALIZADO LOTE 1'!T7</f>
        <v>0</v>
      </c>
      <c r="U7" s="95">
        <f>+'DATOS REGIONALIZADO LOTE 1'!U7</f>
        <v>0</v>
      </c>
      <c r="V7" s="95">
        <f>+'DATOS REGIONALIZADO LOTE 1'!V7</f>
        <v>0</v>
      </c>
      <c r="W7" s="95">
        <f>+'DATOS REGIONALIZADO LOTE 1'!W7</f>
        <v>0</v>
      </c>
      <c r="X7" s="95">
        <f>+'DATOS REGIONALIZADO LOTE 1'!X7</f>
        <v>0</v>
      </c>
      <c r="Y7" s="95">
        <f>+'DATOS REGIONALIZADO LOTE 1'!Y7</f>
        <v>165895179</v>
      </c>
      <c r="Z7" s="108" t="s">
        <v>66</v>
      </c>
      <c r="AA7" s="109" t="s">
        <v>57</v>
      </c>
      <c r="AB7" s="109">
        <f>+Tabla34[[#This Row],[VALOR TOTAL]]</f>
        <v>668421095</v>
      </c>
      <c r="AC7" s="109">
        <f>+Tabla37[[#This Row],[VALOR TOTAL]]+AB8</f>
        <v>668421095</v>
      </c>
      <c r="AD7" s="100"/>
      <c r="AE7" s="92" t="b">
        <f>+EXACT(AB7,AD7)</f>
        <v>0</v>
      </c>
      <c r="AF7" s="82"/>
      <c r="AG7" s="83"/>
      <c r="AH7" s="83"/>
      <c r="AI7" s="83"/>
      <c r="AJ7" s="83"/>
      <c r="AK7" s="83"/>
      <c r="AL7" s="83"/>
      <c r="AM7" s="83"/>
    </row>
    <row r="8" spans="1:39" ht="36.75" customHeight="1" x14ac:dyDescent="0.25">
      <c r="A8" s="95">
        <f>+'DATOS REGIONALIZADO LOTE 1'!A8</f>
        <v>1</v>
      </c>
      <c r="B8" s="95">
        <f>+'DATOS REGIONALIZADO LOTE 1'!B8</f>
        <v>4</v>
      </c>
      <c r="C8" s="112" t="str">
        <f>+'DATOS REGIONALIZADO LOTE 1'!C8</f>
        <v>CABINA EXTRACTORA PARA EL LABORATORIO DE GENÉTICA DE LA REGIONAL BOGOTA</v>
      </c>
      <c r="D8" s="95" t="str">
        <f>+'DATOS REGIONALIZADO LOTE 1'!D8</f>
        <v>UNIDAD</v>
      </c>
      <c r="E8" s="95">
        <f>+'DATOS REGIONALIZADO LOTE 1'!E8</f>
        <v>1</v>
      </c>
      <c r="F8" s="95">
        <f>+'DATOS REGIONALIZADO LOTE 1'!F8</f>
        <v>0</v>
      </c>
      <c r="G8" s="95">
        <f>+'DATOS REGIONALIZADO LOTE 1'!G8</f>
        <v>0</v>
      </c>
      <c r="H8" s="95">
        <f>+'DATOS REGIONALIZADO LOTE 1'!H8</f>
        <v>0</v>
      </c>
      <c r="I8" s="95">
        <f>+'DATOS REGIONALIZADO LOTE 1'!I8</f>
        <v>0</v>
      </c>
      <c r="J8" s="95">
        <f>+'DATOS REGIONALIZADO LOTE 1'!J8</f>
        <v>0</v>
      </c>
      <c r="K8" s="95">
        <f>+'DATOS REGIONALIZADO LOTE 1'!K8</f>
        <v>0</v>
      </c>
      <c r="L8" s="95">
        <f>+'DATOS REGIONALIZADO LOTE 1'!L8</f>
        <v>0</v>
      </c>
      <c r="M8" s="95">
        <f>+'DATOS REGIONALIZADO LOTE 1'!M8</f>
        <v>0</v>
      </c>
      <c r="N8" s="95">
        <f>+'DATOS REGIONALIZADO LOTE 1'!N8</f>
        <v>1</v>
      </c>
      <c r="O8" s="95">
        <f>+'DATOS REGIONALIZADO LOTE 1'!O8</f>
        <v>54100886</v>
      </c>
      <c r="P8" s="95">
        <f>+'DATOS REGIONALIZADO LOTE 1'!P8</f>
        <v>54100886</v>
      </c>
      <c r="Q8" s="95">
        <f>+'DATOS REGIONALIZADO LOTE 1'!Q8</f>
        <v>0</v>
      </c>
      <c r="R8" s="95">
        <f>+'DATOS REGIONALIZADO LOTE 1'!R8</f>
        <v>0</v>
      </c>
      <c r="S8" s="95">
        <f>+'DATOS REGIONALIZADO LOTE 1'!S8</f>
        <v>0</v>
      </c>
      <c r="T8" s="95">
        <f>+'DATOS REGIONALIZADO LOTE 1'!T8</f>
        <v>0</v>
      </c>
      <c r="U8" s="95">
        <f>+'DATOS REGIONALIZADO LOTE 1'!U8</f>
        <v>0</v>
      </c>
      <c r="V8" s="95">
        <f>+'DATOS REGIONALIZADO LOTE 1'!V8</f>
        <v>0</v>
      </c>
      <c r="W8" s="95">
        <f>+'DATOS REGIONALIZADO LOTE 1'!W8</f>
        <v>0</v>
      </c>
      <c r="X8" s="95">
        <f>+'DATOS REGIONALIZADO LOTE 1'!X8</f>
        <v>0</v>
      </c>
      <c r="Y8" s="95">
        <f>+'DATOS REGIONALIZADO LOTE 1'!Y8</f>
        <v>54100886</v>
      </c>
      <c r="Z8" s="108" t="s">
        <v>67</v>
      </c>
      <c r="AA8" s="109" t="s">
        <v>18</v>
      </c>
      <c r="AB8" s="109">
        <f>+Tabla34[[#This Row],[VALOR TOTAL]]</f>
        <v>0</v>
      </c>
      <c r="AC8" s="109"/>
      <c r="AD8" s="100"/>
      <c r="AE8" s="92" t="b">
        <f>+EXACT(AB8,AD8)</f>
        <v>0</v>
      </c>
      <c r="AF8" s="82"/>
      <c r="AG8" s="83"/>
      <c r="AH8" s="83"/>
      <c r="AI8" s="83"/>
      <c r="AJ8" s="83"/>
      <c r="AK8" s="83"/>
      <c r="AL8" s="83"/>
      <c r="AM8" s="83"/>
    </row>
    <row r="9" spans="1:39" ht="30" customHeight="1" x14ac:dyDescent="0.25">
      <c r="A9" s="95">
        <f>+'DATOS REGIONALIZADO LOTE 1'!A9</f>
        <v>1</v>
      </c>
      <c r="B9" s="95">
        <f>+'DATOS REGIONALIZADO LOTE 1'!B9</f>
        <v>5</v>
      </c>
      <c r="C9" s="112" t="str">
        <f>+'DATOS REGIONALIZADO LOTE 1'!C9</f>
        <v>CABINA DE SEGURIDAD BIOLÓGICA CLASE II TIPO II PARA EL LABORATORIO DE GENÉTICA VILLAVICENCIO</v>
      </c>
      <c r="D9" s="95" t="str">
        <f>+'DATOS REGIONALIZADO LOTE 1'!D9</f>
        <v>UNIDAD</v>
      </c>
      <c r="E9" s="95">
        <f>+'DATOS REGIONALIZADO LOTE 1'!E9</f>
        <v>0</v>
      </c>
      <c r="F9" s="95">
        <f>+'DATOS REGIONALIZADO LOTE 1'!F9</f>
        <v>1</v>
      </c>
      <c r="G9" s="95">
        <f>+'DATOS REGIONALIZADO LOTE 1'!G9</f>
        <v>0</v>
      </c>
      <c r="H9" s="95">
        <f>+'DATOS REGIONALIZADO LOTE 1'!H9</f>
        <v>0</v>
      </c>
      <c r="I9" s="95">
        <f>+'DATOS REGIONALIZADO LOTE 1'!I9</f>
        <v>0</v>
      </c>
      <c r="J9" s="95">
        <f>+'DATOS REGIONALIZADO LOTE 1'!J9</f>
        <v>0</v>
      </c>
      <c r="K9" s="95">
        <f>+'DATOS REGIONALIZADO LOTE 1'!K9</f>
        <v>0</v>
      </c>
      <c r="L9" s="95">
        <f>+'DATOS REGIONALIZADO LOTE 1'!L9</f>
        <v>0</v>
      </c>
      <c r="M9" s="95">
        <f>+'DATOS REGIONALIZADO LOTE 1'!M9</f>
        <v>0</v>
      </c>
      <c r="N9" s="95">
        <f>+'DATOS REGIONALIZADO LOTE 1'!N9</f>
        <v>1</v>
      </c>
      <c r="O9" s="95">
        <f>+'DATOS REGIONALIZADO LOTE 1'!O9</f>
        <v>43091313</v>
      </c>
      <c r="P9" s="95">
        <f>+'DATOS REGIONALIZADO LOTE 1'!P9</f>
        <v>0</v>
      </c>
      <c r="Q9" s="95">
        <f>+'DATOS REGIONALIZADO LOTE 1'!Q9</f>
        <v>43091313</v>
      </c>
      <c r="R9" s="95">
        <f>+'DATOS REGIONALIZADO LOTE 1'!R9</f>
        <v>0</v>
      </c>
      <c r="S9" s="95">
        <f>+'DATOS REGIONALIZADO LOTE 1'!S9</f>
        <v>0</v>
      </c>
      <c r="T9" s="95">
        <f>+'DATOS REGIONALIZADO LOTE 1'!T9</f>
        <v>0</v>
      </c>
      <c r="U9" s="95">
        <f>+'DATOS REGIONALIZADO LOTE 1'!U9</f>
        <v>0</v>
      </c>
      <c r="V9" s="95">
        <f>+'DATOS REGIONALIZADO LOTE 1'!V9</f>
        <v>0</v>
      </c>
      <c r="W9" s="95">
        <f>+'DATOS REGIONALIZADO LOTE 1'!W9</f>
        <v>0</v>
      </c>
      <c r="X9" s="95">
        <f>+'DATOS REGIONALIZADO LOTE 1'!X9</f>
        <v>0</v>
      </c>
      <c r="Y9" s="95">
        <f>+'DATOS REGIONALIZADO LOTE 1'!Y9</f>
        <v>43091313</v>
      </c>
      <c r="Z9" s="99" t="s">
        <v>68</v>
      </c>
      <c r="AA9" s="100" t="s">
        <v>57</v>
      </c>
      <c r="AB9" s="100">
        <f>+'DATOS REGIONALIZADO LOTE 4 tota'!AB7</f>
        <v>328507571</v>
      </c>
      <c r="AC9" s="100">
        <f>+Tabla37[[#This Row],[VALOR TOTAL]]+AB10</f>
        <v>548261931</v>
      </c>
      <c r="AD9" s="100"/>
      <c r="AE9" s="92" t="b">
        <f t="shared" ref="AE9:AE10" si="3">+EXACT(AB9,AD9)</f>
        <v>0</v>
      </c>
      <c r="AF9" s="82"/>
      <c r="AG9" s="83"/>
      <c r="AH9" s="83"/>
      <c r="AI9" s="83"/>
      <c r="AJ9" s="83"/>
      <c r="AK9" s="83"/>
      <c r="AL9" s="83"/>
      <c r="AM9" s="83"/>
    </row>
    <row r="10" spans="1:39" x14ac:dyDescent="0.25">
      <c r="A10" s="95">
        <f>+'DATOS REGIONALIZADO LOTE 2'!A5</f>
        <v>2</v>
      </c>
      <c r="B10" s="95">
        <f>+'DATOS REGIONALIZADO LOTE 2'!B5</f>
        <v>6</v>
      </c>
      <c r="C10" s="111" t="str">
        <f>+'DATOS REGIONALIZADO LOTE 2'!C5</f>
        <v>MICROSCOPIO ÓPTICO TRINOCULAR</v>
      </c>
      <c r="D10" s="95" t="str">
        <f>+'DATOS REGIONALIZADO LOTE 2'!D5</f>
        <v>UNIDAD</v>
      </c>
      <c r="E10" s="95">
        <f>+'DATOS REGIONALIZADO LOTE 2'!E5</f>
        <v>0</v>
      </c>
      <c r="F10" s="95">
        <f>+'DATOS REGIONALIZADO LOTE 2'!F5</f>
        <v>1</v>
      </c>
      <c r="G10" s="95">
        <f>+'DATOS REGIONALIZADO LOTE 2'!G5</f>
        <v>0</v>
      </c>
      <c r="H10" s="95">
        <f>+'DATOS REGIONALIZADO LOTE 2'!H5</f>
        <v>0</v>
      </c>
      <c r="I10" s="95">
        <f>+'DATOS REGIONALIZADO LOTE 2'!I5</f>
        <v>0</v>
      </c>
      <c r="J10" s="95">
        <f>+'DATOS REGIONALIZADO LOTE 2'!J5</f>
        <v>0</v>
      </c>
      <c r="K10" s="95">
        <f>+'DATOS REGIONALIZADO LOTE 2'!K5</f>
        <v>0</v>
      </c>
      <c r="L10" s="95">
        <f>+'DATOS REGIONALIZADO LOTE 2'!L5</f>
        <v>0</v>
      </c>
      <c r="M10" s="95">
        <f>+'DATOS REGIONALIZADO LOTE 2'!M5</f>
        <v>0</v>
      </c>
      <c r="N10" s="95">
        <f>+'DATOS REGIONALIZADO LOTE 2'!N5</f>
        <v>1</v>
      </c>
      <c r="O10" s="95">
        <f>+'DATOS REGIONALIZADO LOTE 2'!O5</f>
        <v>46301988</v>
      </c>
      <c r="P10" s="95">
        <f>+'DATOS REGIONALIZADO LOTE 2'!P5</f>
        <v>0</v>
      </c>
      <c r="Q10" s="95">
        <f>+'DATOS REGIONALIZADO LOTE 2'!Q5</f>
        <v>46301988</v>
      </c>
      <c r="R10" s="95">
        <f>+'DATOS REGIONALIZADO LOTE 2'!R5</f>
        <v>0</v>
      </c>
      <c r="S10" s="95">
        <f>+'DATOS REGIONALIZADO LOTE 2'!S5</f>
        <v>0</v>
      </c>
      <c r="T10" s="95">
        <f>+'DATOS REGIONALIZADO LOTE 2'!T5</f>
        <v>0</v>
      </c>
      <c r="U10" s="95">
        <f>+'DATOS REGIONALIZADO LOTE 2'!U5</f>
        <v>0</v>
      </c>
      <c r="V10" s="95">
        <f>+'DATOS REGIONALIZADO LOTE 2'!V5</f>
        <v>0</v>
      </c>
      <c r="W10" s="95">
        <f>+'DATOS REGIONALIZADO LOTE 2'!W5</f>
        <v>0</v>
      </c>
      <c r="X10" s="95">
        <f>+'DATOS REGIONALIZADO LOTE 2'!X5</f>
        <v>0</v>
      </c>
      <c r="Y10" s="95">
        <f>+'DATOS REGIONALIZADO LOTE 2'!Y5</f>
        <v>46301988</v>
      </c>
      <c r="Z10" s="99" t="s">
        <v>69</v>
      </c>
      <c r="AA10" s="100" t="s">
        <v>18</v>
      </c>
      <c r="AB10" s="100">
        <f>+'DATOS REGIONALIZADO LOTE 4 tota'!AB8</f>
        <v>219754360</v>
      </c>
      <c r="AC10" s="100"/>
      <c r="AD10" s="100"/>
      <c r="AE10" s="92" t="b">
        <f t="shared" si="3"/>
        <v>0</v>
      </c>
      <c r="AF10" s="82"/>
      <c r="AG10" s="83"/>
      <c r="AH10" s="83"/>
      <c r="AI10" s="83"/>
      <c r="AJ10" s="83"/>
      <c r="AK10" s="83"/>
      <c r="AL10" s="83"/>
      <c r="AM10" s="83"/>
    </row>
    <row r="11" spans="1:39" x14ac:dyDescent="0.25">
      <c r="A11" s="95">
        <f>+'DATOS REGIONALIZADO LOTE 2'!A6</f>
        <v>2</v>
      </c>
      <c r="B11" s="95">
        <f>+'DATOS REGIONALIZADO LOTE 2'!B6</f>
        <v>7</v>
      </c>
      <c r="C11" s="113" t="str">
        <f>+'DATOS REGIONALIZADO LOTE 2'!C6</f>
        <v xml:space="preserve">Estereomicroscopio  con camara </v>
      </c>
      <c r="D11" s="95" t="str">
        <f>+'DATOS REGIONALIZADO LOTE 2'!D6</f>
        <v>UNIDAD</v>
      </c>
      <c r="E11" s="95">
        <f>+'DATOS REGIONALIZADO LOTE 2'!E6</f>
        <v>1</v>
      </c>
      <c r="F11" s="95">
        <f>+'DATOS REGIONALIZADO LOTE 2'!F6</f>
        <v>0</v>
      </c>
      <c r="G11" s="95">
        <f>+'DATOS REGIONALIZADO LOTE 2'!G6</f>
        <v>0</v>
      </c>
      <c r="H11" s="95">
        <f>+'DATOS REGIONALIZADO LOTE 2'!H6</f>
        <v>0</v>
      </c>
      <c r="I11" s="95">
        <f>+'DATOS REGIONALIZADO LOTE 2'!I6</f>
        <v>0</v>
      </c>
      <c r="J11" s="95">
        <f>+'DATOS REGIONALIZADO LOTE 2'!J6</f>
        <v>0</v>
      </c>
      <c r="K11" s="95">
        <f>+'DATOS REGIONALIZADO LOTE 2'!K6</f>
        <v>0</v>
      </c>
      <c r="L11" s="95">
        <f>+'DATOS REGIONALIZADO LOTE 2'!L6</f>
        <v>0</v>
      </c>
      <c r="M11" s="95">
        <f>+'DATOS REGIONALIZADO LOTE 2'!M6</f>
        <v>0</v>
      </c>
      <c r="N11" s="95">
        <f>+'DATOS REGIONALIZADO LOTE 2'!N6</f>
        <v>1</v>
      </c>
      <c r="O11" s="95">
        <f>+'DATOS REGIONALIZADO LOTE 2'!O6</f>
        <v>161915416</v>
      </c>
      <c r="P11" s="95">
        <f>+'DATOS REGIONALIZADO LOTE 2'!P6</f>
        <v>161915416</v>
      </c>
      <c r="Q11" s="95">
        <f>+'DATOS REGIONALIZADO LOTE 2'!Q6</f>
        <v>0</v>
      </c>
      <c r="R11" s="95">
        <f>+'DATOS REGIONALIZADO LOTE 2'!R6</f>
        <v>0</v>
      </c>
      <c r="S11" s="95">
        <f>+'DATOS REGIONALIZADO LOTE 2'!S6</f>
        <v>0</v>
      </c>
      <c r="T11" s="95">
        <f>+'DATOS REGIONALIZADO LOTE 2'!T6</f>
        <v>0</v>
      </c>
      <c r="U11" s="95">
        <f>+'DATOS REGIONALIZADO LOTE 2'!U6</f>
        <v>0</v>
      </c>
      <c r="V11" s="95">
        <f>+'DATOS REGIONALIZADO LOTE 2'!V6</f>
        <v>0</v>
      </c>
      <c r="W11" s="95">
        <f>+'DATOS REGIONALIZADO LOTE 2'!W6</f>
        <v>0</v>
      </c>
      <c r="X11" s="95">
        <f>+'DATOS REGIONALIZADO LOTE 2'!X6</f>
        <v>0</v>
      </c>
      <c r="Y11" s="95">
        <f>+'DATOS REGIONALIZADO LOTE 2'!Y6</f>
        <v>161915416</v>
      </c>
      <c r="Z11" s="108" t="s">
        <v>70</v>
      </c>
      <c r="AA11" s="109" t="s">
        <v>57</v>
      </c>
      <c r="AB11" s="109" t="e">
        <f>+Tabla36[[#This Row],[VALOR TOTAL]]</f>
        <v>#VALUE!</v>
      </c>
      <c r="AC11" s="109" t="e">
        <f>+Tabla37[[#This Row],[VALOR TOTAL]]+AB12</f>
        <v>#VALUE!</v>
      </c>
      <c r="AD11" s="100"/>
      <c r="AE11" s="92" t="e">
        <f>+EXACT(AB11,AD11)</f>
        <v>#VALUE!</v>
      </c>
      <c r="AF11" s="82"/>
      <c r="AG11" s="83"/>
      <c r="AH11" s="83"/>
      <c r="AI11" s="83"/>
      <c r="AJ11" s="83"/>
      <c r="AK11" s="83"/>
      <c r="AL11" s="83"/>
      <c r="AM11" s="83"/>
    </row>
    <row r="12" spans="1:39" x14ac:dyDescent="0.25">
      <c r="A12" s="95">
        <f>+'DATOS REGIONALIZADO LOTE 3'!A5</f>
        <v>3</v>
      </c>
      <c r="B12" s="95">
        <f>+'DATOS REGIONALIZADO LOTE 3'!B5</f>
        <v>8</v>
      </c>
      <c r="C12" s="113" t="str">
        <f>+'DATOS REGIONALIZADO LOTE 3'!C5</f>
        <v xml:space="preserve">Baño De Flotación  </v>
      </c>
      <c r="D12" s="95" t="str">
        <f>+'DATOS REGIONALIZADO LOTE 3'!D5</f>
        <v>UNIDAD</v>
      </c>
      <c r="E12" s="95">
        <f>+'DATOS REGIONALIZADO LOTE 3'!E5</f>
        <v>1</v>
      </c>
      <c r="F12" s="95">
        <f>+'DATOS REGIONALIZADO LOTE 3'!F5</f>
        <v>0</v>
      </c>
      <c r="G12" s="95">
        <f>+'DATOS REGIONALIZADO LOTE 3'!G5</f>
        <v>0</v>
      </c>
      <c r="H12" s="95">
        <f>+'DATOS REGIONALIZADO LOTE 3'!H5</f>
        <v>0</v>
      </c>
      <c r="I12" s="95">
        <f>+'DATOS REGIONALIZADO LOTE 3'!I5</f>
        <v>0</v>
      </c>
      <c r="J12" s="95">
        <f>+'DATOS REGIONALIZADO LOTE 3'!J5</f>
        <v>0</v>
      </c>
      <c r="K12" s="95">
        <f>+'DATOS REGIONALIZADO LOTE 3'!K5</f>
        <v>0</v>
      </c>
      <c r="L12" s="95">
        <f>+'DATOS REGIONALIZADO LOTE 3'!L5</f>
        <v>0</v>
      </c>
      <c r="M12" s="95">
        <f>+'DATOS REGIONALIZADO LOTE 3'!M5</f>
        <v>0</v>
      </c>
      <c r="N12" s="95">
        <f>+'DATOS REGIONALIZADO LOTE 3'!N5</f>
        <v>1</v>
      </c>
      <c r="O12" s="95">
        <f>+'DATOS REGIONALIZADO LOTE 3'!O5</f>
        <v>7329714</v>
      </c>
      <c r="P12" s="95">
        <f>+'DATOS REGIONALIZADO LOTE 3'!P5</f>
        <v>7329714</v>
      </c>
      <c r="Q12" s="95">
        <f>+'DATOS REGIONALIZADO LOTE 3'!Q5</f>
        <v>0</v>
      </c>
      <c r="R12" s="95">
        <f>+'DATOS REGIONALIZADO LOTE 3'!R5</f>
        <v>0</v>
      </c>
      <c r="S12" s="95">
        <f>+'DATOS REGIONALIZADO LOTE 3'!S5</f>
        <v>0</v>
      </c>
      <c r="T12" s="95">
        <f>+'DATOS REGIONALIZADO LOTE 3'!T5</f>
        <v>0</v>
      </c>
      <c r="U12" s="95">
        <f>+'DATOS REGIONALIZADO LOTE 3'!U5</f>
        <v>0</v>
      </c>
      <c r="V12" s="95">
        <f>+'DATOS REGIONALIZADO LOTE 3'!V5</f>
        <v>0</v>
      </c>
      <c r="W12" s="95">
        <f>+'DATOS REGIONALIZADO LOTE 3'!W5</f>
        <v>0</v>
      </c>
      <c r="X12" s="95">
        <f>+'DATOS REGIONALIZADO LOTE 3'!X5</f>
        <v>0</v>
      </c>
      <c r="Y12" s="95">
        <f>+'DATOS REGIONALIZADO LOTE 3'!Y5</f>
        <v>7329714</v>
      </c>
      <c r="Z12" s="108" t="s">
        <v>70</v>
      </c>
      <c r="AA12" s="109" t="s">
        <v>18</v>
      </c>
      <c r="AB12" s="109" t="e">
        <f>+Tabla36[[#This Row],[VALOR TOTAL]]</f>
        <v>#VALUE!</v>
      </c>
      <c r="AC12" s="109"/>
      <c r="AD12" s="100"/>
      <c r="AE12" s="92" t="e">
        <f>+EXACT(AB12,AD12)</f>
        <v>#VALUE!</v>
      </c>
      <c r="AF12" s="82"/>
      <c r="AG12" s="83"/>
      <c r="AH12" s="83"/>
      <c r="AI12" s="83"/>
      <c r="AJ12" s="83"/>
      <c r="AK12" s="83"/>
      <c r="AL12" s="83"/>
      <c r="AM12" s="83"/>
    </row>
    <row r="13" spans="1:39" x14ac:dyDescent="0.25">
      <c r="A13" s="95">
        <f>+'DATOS REGIONALIZADO LOTE 3'!A6</f>
        <v>3</v>
      </c>
      <c r="B13" s="95">
        <f>+'DATOS REGIONALIZADO LOTE 3'!B6</f>
        <v>9</v>
      </c>
      <c r="C13" s="113" t="str">
        <f>+'DATOS REGIONALIZADO LOTE 3'!C6</f>
        <v xml:space="preserve">Central De Inclusión </v>
      </c>
      <c r="D13" s="95" t="str">
        <f>+'DATOS REGIONALIZADO LOTE 3'!D6</f>
        <v>UNIDAD</v>
      </c>
      <c r="E13" s="95">
        <f>+'DATOS REGIONALIZADO LOTE 3'!E6</f>
        <v>1</v>
      </c>
      <c r="F13" s="95">
        <f>+'DATOS REGIONALIZADO LOTE 3'!F6</f>
        <v>0</v>
      </c>
      <c r="G13" s="95">
        <f>+'DATOS REGIONALIZADO LOTE 3'!G6</f>
        <v>0</v>
      </c>
      <c r="H13" s="95">
        <f>+'DATOS REGIONALIZADO LOTE 3'!H6</f>
        <v>0</v>
      </c>
      <c r="I13" s="95">
        <f>+'DATOS REGIONALIZADO LOTE 3'!I6</f>
        <v>0</v>
      </c>
      <c r="J13" s="95">
        <f>+'DATOS REGIONALIZADO LOTE 3'!J6</f>
        <v>0</v>
      </c>
      <c r="K13" s="95">
        <f>+'DATOS REGIONALIZADO LOTE 3'!K6</f>
        <v>0</v>
      </c>
      <c r="L13" s="95">
        <f>+'DATOS REGIONALIZADO LOTE 3'!L6</f>
        <v>0</v>
      </c>
      <c r="M13" s="95">
        <f>+'DATOS REGIONALIZADO LOTE 3'!M6</f>
        <v>0</v>
      </c>
      <c r="N13" s="95">
        <f>+'DATOS REGIONALIZADO LOTE 3'!N6</f>
        <v>1</v>
      </c>
      <c r="O13" s="95">
        <f>+'DATOS REGIONALIZADO LOTE 3'!O6</f>
        <v>101320276</v>
      </c>
      <c r="P13" s="95">
        <f>+'DATOS REGIONALIZADO LOTE 3'!P6</f>
        <v>101320276</v>
      </c>
      <c r="Q13" s="95">
        <f>+'DATOS REGIONALIZADO LOTE 3'!Q6</f>
        <v>0</v>
      </c>
      <c r="R13" s="95">
        <f>+'DATOS REGIONALIZADO LOTE 3'!R6</f>
        <v>0</v>
      </c>
      <c r="S13" s="95">
        <f>+'DATOS REGIONALIZADO LOTE 3'!S6</f>
        <v>0</v>
      </c>
      <c r="T13" s="95">
        <f>+'DATOS REGIONALIZADO LOTE 3'!T6</f>
        <v>0</v>
      </c>
      <c r="U13" s="95">
        <f>+'DATOS REGIONALIZADO LOTE 3'!U6</f>
        <v>0</v>
      </c>
      <c r="V13" s="95">
        <f>+'DATOS REGIONALIZADO LOTE 3'!V6</f>
        <v>0</v>
      </c>
      <c r="W13" s="95">
        <f>+'DATOS REGIONALIZADO LOTE 3'!W6</f>
        <v>0</v>
      </c>
      <c r="X13" s="95">
        <f>+'DATOS REGIONALIZADO LOTE 3'!X6</f>
        <v>0</v>
      </c>
      <c r="Y13" s="95">
        <f>+'DATOS REGIONALIZADO LOTE 3'!Y6</f>
        <v>101320276</v>
      </c>
      <c r="Z13" s="99"/>
      <c r="AA13" s="101" t="s">
        <v>71</v>
      </c>
      <c r="AB13" s="101" t="e">
        <f>+SUM(AB3:AB12)</f>
        <v>#VALUE!</v>
      </c>
      <c r="AC13" s="101" t="e">
        <f>+SUM(AC3:AC12)</f>
        <v>#VALUE!</v>
      </c>
      <c r="AD13" s="100">
        <f>+Y32</f>
        <v>2516493785</v>
      </c>
      <c r="AE13" s="92" t="e">
        <f t="shared" si="1"/>
        <v>#VALUE!</v>
      </c>
      <c r="AF13" s="82"/>
      <c r="AG13" s="83"/>
      <c r="AH13" s="83"/>
      <c r="AI13" s="83"/>
      <c r="AJ13" s="83"/>
      <c r="AK13" s="83"/>
      <c r="AL13" s="83"/>
      <c r="AM13" s="83"/>
    </row>
    <row r="14" spans="1:39" ht="11.25" x14ac:dyDescent="0.25">
      <c r="A14" s="95">
        <f>+'DATOS REGIONALIZADO LOTE 3'!A7</f>
        <v>3</v>
      </c>
      <c r="B14" s="95">
        <f>+'DATOS REGIONALIZADO LOTE 3'!B7</f>
        <v>10</v>
      </c>
      <c r="C14" s="113" t="str">
        <f>+'DATOS REGIONALIZADO LOTE 3'!C7</f>
        <v>Criostato</v>
      </c>
      <c r="D14" s="95" t="str">
        <f>+'DATOS REGIONALIZADO LOTE 3'!D7</f>
        <v>UNIDAD</v>
      </c>
      <c r="E14" s="95">
        <f>+'DATOS REGIONALIZADO LOTE 3'!E7</f>
        <v>1</v>
      </c>
      <c r="F14" s="95">
        <f>+'DATOS REGIONALIZADO LOTE 3'!F7</f>
        <v>0</v>
      </c>
      <c r="G14" s="95">
        <f>+'DATOS REGIONALIZADO LOTE 3'!G7</f>
        <v>0</v>
      </c>
      <c r="H14" s="95">
        <f>+'DATOS REGIONALIZADO LOTE 3'!H7</f>
        <v>0</v>
      </c>
      <c r="I14" s="95">
        <f>+'DATOS REGIONALIZADO LOTE 3'!I7</f>
        <v>0</v>
      </c>
      <c r="J14" s="95">
        <f>+'DATOS REGIONALIZADO LOTE 3'!J7</f>
        <v>0</v>
      </c>
      <c r="K14" s="95">
        <f>+'DATOS REGIONALIZADO LOTE 3'!K7</f>
        <v>0</v>
      </c>
      <c r="L14" s="95">
        <f>+'DATOS REGIONALIZADO LOTE 3'!L7</f>
        <v>0</v>
      </c>
      <c r="M14" s="95">
        <f>+'DATOS REGIONALIZADO LOTE 3'!M7</f>
        <v>0</v>
      </c>
      <c r="N14" s="95">
        <f>+'DATOS REGIONALIZADO LOTE 3'!N7</f>
        <v>1</v>
      </c>
      <c r="O14" s="95">
        <f>+'DATOS REGIONALIZADO LOTE 3'!O7</f>
        <v>179604981</v>
      </c>
      <c r="P14" s="95">
        <f>+'DATOS REGIONALIZADO LOTE 3'!P7</f>
        <v>179604981</v>
      </c>
      <c r="Q14" s="95">
        <f>+'DATOS REGIONALIZADO LOTE 3'!Q7</f>
        <v>0</v>
      </c>
      <c r="R14" s="95">
        <f>+'DATOS REGIONALIZADO LOTE 3'!R7</f>
        <v>0</v>
      </c>
      <c r="S14" s="95">
        <f>+'DATOS REGIONALIZADO LOTE 3'!S7</f>
        <v>0</v>
      </c>
      <c r="T14" s="95">
        <f>+'DATOS REGIONALIZADO LOTE 3'!T7</f>
        <v>0</v>
      </c>
      <c r="U14" s="95">
        <f>+'DATOS REGIONALIZADO LOTE 3'!U7</f>
        <v>0</v>
      </c>
      <c r="V14" s="95">
        <f>+'DATOS REGIONALIZADO LOTE 3'!V7</f>
        <v>0</v>
      </c>
      <c r="W14" s="95">
        <f>+'DATOS REGIONALIZADO LOTE 3'!W7</f>
        <v>0</v>
      </c>
      <c r="X14" s="95">
        <f>+'DATOS REGIONALIZADO LOTE 3'!X7</f>
        <v>0</v>
      </c>
      <c r="Y14" s="95">
        <f>+'DATOS REGIONALIZADO LOTE 3'!Y7</f>
        <v>179604981</v>
      </c>
      <c r="Z14" s="82"/>
      <c r="AA14" s="86"/>
      <c r="AB14" s="86"/>
      <c r="AC14" s="86"/>
      <c r="AD14" s="86"/>
      <c r="AE14" s="86"/>
      <c r="AF14" s="83"/>
      <c r="AG14" s="83"/>
      <c r="AH14" s="83"/>
      <c r="AI14" s="83"/>
      <c r="AJ14" s="83"/>
      <c r="AK14" s="83"/>
      <c r="AL14" s="83"/>
      <c r="AM14" s="83"/>
    </row>
    <row r="15" spans="1:39" ht="11.25" x14ac:dyDescent="0.25">
      <c r="A15" s="95">
        <f>+'DATOS REGIONALIZADO LOTE 3'!A8</f>
        <v>3</v>
      </c>
      <c r="B15" s="95">
        <f>+'DATOS REGIONALIZADO LOTE 3'!B8</f>
        <v>11</v>
      </c>
      <c r="C15" s="113" t="str">
        <f>+'DATOS REGIONALIZADO LOTE 3'!C8</f>
        <v xml:space="preserve">Micrótomo Motorizado </v>
      </c>
      <c r="D15" s="95" t="str">
        <f>+'DATOS REGIONALIZADO LOTE 3'!D8</f>
        <v>UNIDAD</v>
      </c>
      <c r="E15" s="95">
        <f>+'DATOS REGIONALIZADO LOTE 3'!E8</f>
        <v>1</v>
      </c>
      <c r="F15" s="95">
        <f>+'DATOS REGIONALIZADO LOTE 3'!F8</f>
        <v>0</v>
      </c>
      <c r="G15" s="95">
        <f>+'DATOS REGIONALIZADO LOTE 3'!G8</f>
        <v>0</v>
      </c>
      <c r="H15" s="95">
        <f>+'DATOS REGIONALIZADO LOTE 3'!H8</f>
        <v>0</v>
      </c>
      <c r="I15" s="95">
        <f>+'DATOS REGIONALIZADO LOTE 3'!I8</f>
        <v>0</v>
      </c>
      <c r="J15" s="95">
        <f>+'DATOS REGIONALIZADO LOTE 3'!J8</f>
        <v>0</v>
      </c>
      <c r="K15" s="95">
        <f>+'DATOS REGIONALIZADO LOTE 3'!K8</f>
        <v>0</v>
      </c>
      <c r="L15" s="95">
        <f>+'DATOS REGIONALIZADO LOTE 3'!L8</f>
        <v>0</v>
      </c>
      <c r="M15" s="95">
        <f>+'DATOS REGIONALIZADO LOTE 3'!M8</f>
        <v>0</v>
      </c>
      <c r="N15" s="95">
        <f>+'DATOS REGIONALIZADO LOTE 3'!N8</f>
        <v>1</v>
      </c>
      <c r="O15" s="95">
        <f>+'DATOS REGIONALIZADO LOTE 3'!O8</f>
        <v>133386702</v>
      </c>
      <c r="P15" s="95">
        <f>+'DATOS REGIONALIZADO LOTE 3'!P8</f>
        <v>133386702</v>
      </c>
      <c r="Q15" s="95">
        <f>+'DATOS REGIONALIZADO LOTE 3'!Q8</f>
        <v>0</v>
      </c>
      <c r="R15" s="95">
        <f>+'DATOS REGIONALIZADO LOTE 3'!R8</f>
        <v>0</v>
      </c>
      <c r="S15" s="95">
        <f>+'DATOS REGIONALIZADO LOTE 3'!S8</f>
        <v>0</v>
      </c>
      <c r="T15" s="95">
        <f>+'DATOS REGIONALIZADO LOTE 3'!T8</f>
        <v>0</v>
      </c>
      <c r="U15" s="95">
        <f>+'DATOS REGIONALIZADO LOTE 3'!U8</f>
        <v>0</v>
      </c>
      <c r="V15" s="95">
        <f>+'DATOS REGIONALIZADO LOTE 3'!V8</f>
        <v>0</v>
      </c>
      <c r="W15" s="95">
        <f>+'DATOS REGIONALIZADO LOTE 3'!W8</f>
        <v>0</v>
      </c>
      <c r="X15" s="95">
        <f>+'DATOS REGIONALIZADO LOTE 3'!X8</f>
        <v>0</v>
      </c>
      <c r="Y15" s="95">
        <f>+'DATOS REGIONALIZADO LOTE 3'!Y8</f>
        <v>133386702</v>
      </c>
      <c r="Z15" s="82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</row>
    <row r="16" spans="1:39" ht="22.5" x14ac:dyDescent="0.25">
      <c r="A16" s="95">
        <f>+'DATOS REGIONALIZADO LOTE 3'!A9</f>
        <v>3</v>
      </c>
      <c r="B16" s="95">
        <f>+'DATOS REGIONALIZADO LOTE 3'!B9</f>
        <v>12</v>
      </c>
      <c r="C16" s="113" t="str">
        <f>+'DATOS REGIONALIZADO LOTE 3'!C9</f>
        <v xml:space="preserve">Procesador de Tejidos automatico cerrado </v>
      </c>
      <c r="D16" s="95" t="str">
        <f>+'DATOS REGIONALIZADO LOTE 3'!D9</f>
        <v>UNIDAD</v>
      </c>
      <c r="E16" s="95">
        <f>+'DATOS REGIONALIZADO LOTE 3'!E9</f>
        <v>1</v>
      </c>
      <c r="F16" s="95">
        <f>+'DATOS REGIONALIZADO LOTE 3'!F9</f>
        <v>0</v>
      </c>
      <c r="G16" s="95">
        <f>+'DATOS REGIONALIZADO LOTE 3'!G9</f>
        <v>0</v>
      </c>
      <c r="H16" s="95">
        <f>+'DATOS REGIONALIZADO LOTE 3'!H9</f>
        <v>0</v>
      </c>
      <c r="I16" s="95">
        <f>+'DATOS REGIONALIZADO LOTE 3'!I9</f>
        <v>0</v>
      </c>
      <c r="J16" s="95">
        <f>+'DATOS REGIONALIZADO LOTE 3'!J9</f>
        <v>0</v>
      </c>
      <c r="K16" s="95">
        <f>+'DATOS REGIONALIZADO LOTE 3'!K9</f>
        <v>0</v>
      </c>
      <c r="L16" s="95">
        <f>+'DATOS REGIONALIZADO LOTE 3'!L9</f>
        <v>0</v>
      </c>
      <c r="M16" s="95">
        <f>+'DATOS REGIONALIZADO LOTE 3'!M9</f>
        <v>0</v>
      </c>
      <c r="N16" s="95">
        <f>+'DATOS REGIONALIZADO LOTE 3'!N9</f>
        <v>1</v>
      </c>
      <c r="O16" s="95">
        <f>+'DATOS REGIONALIZADO LOTE 3'!O9</f>
        <v>246779422</v>
      </c>
      <c r="P16" s="95">
        <f>+'DATOS REGIONALIZADO LOTE 3'!P9</f>
        <v>246779422</v>
      </c>
      <c r="Q16" s="95">
        <f>+'DATOS REGIONALIZADO LOTE 3'!Q9</f>
        <v>0</v>
      </c>
      <c r="R16" s="95">
        <f>+'DATOS REGIONALIZADO LOTE 3'!R9</f>
        <v>0</v>
      </c>
      <c r="S16" s="95">
        <f>+'DATOS REGIONALIZADO LOTE 3'!S9</f>
        <v>0</v>
      </c>
      <c r="T16" s="95">
        <f>+'DATOS REGIONALIZADO LOTE 3'!T9</f>
        <v>0</v>
      </c>
      <c r="U16" s="95">
        <f>+'DATOS REGIONALIZADO LOTE 3'!U9</f>
        <v>0</v>
      </c>
      <c r="V16" s="95">
        <f>+'DATOS REGIONALIZADO LOTE 3'!V9</f>
        <v>0</v>
      </c>
      <c r="W16" s="95">
        <f>+'DATOS REGIONALIZADO LOTE 3'!W9</f>
        <v>0</v>
      </c>
      <c r="X16" s="95">
        <f>+'DATOS REGIONALIZADO LOTE 3'!X9</f>
        <v>0</v>
      </c>
      <c r="Y16" s="95">
        <f>+'DATOS REGIONALIZADO LOTE 3'!Y9</f>
        <v>246779422</v>
      </c>
      <c r="Z16" s="82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</row>
    <row r="17" spans="1:39" ht="22.5" x14ac:dyDescent="0.25">
      <c r="A17" s="95">
        <f>+'DATOS REGIONALIZADO LOTE 4 tota'!A5</f>
        <v>4</v>
      </c>
      <c r="B17" s="95">
        <f>+'DATOS REGIONALIZADO LOTE 4 tota'!B5</f>
        <v>13</v>
      </c>
      <c r="C17" s="114" t="str">
        <f>+'DATOS REGIONALIZADO LOTE 4 tota'!C5</f>
        <v>Baño ultrasónico para uso en laboratorio</v>
      </c>
      <c r="D17" s="95" t="str">
        <f>+'DATOS REGIONALIZADO LOTE 4 tota'!D5</f>
        <v>UNIDAD</v>
      </c>
      <c r="E17" s="95">
        <f>+'DATOS REGIONALIZADO LOTE 4 tota'!E5</f>
        <v>2</v>
      </c>
      <c r="F17" s="95">
        <f>+'DATOS REGIONALIZADO LOTE 4 tota'!F5</f>
        <v>0</v>
      </c>
      <c r="G17" s="95">
        <f>+'DATOS REGIONALIZADO LOTE 4 tota'!G5</f>
        <v>0</v>
      </c>
      <c r="H17" s="95">
        <f>+'DATOS REGIONALIZADO LOTE 4 tota'!H5</f>
        <v>0</v>
      </c>
      <c r="I17" s="95">
        <f>+'DATOS REGIONALIZADO LOTE 4 tota'!I5</f>
        <v>0</v>
      </c>
      <c r="J17" s="95">
        <f>+'DATOS REGIONALIZADO LOTE 4 tota'!J5</f>
        <v>0</v>
      </c>
      <c r="K17" s="95">
        <f>+'DATOS REGIONALIZADO LOTE 4 tota'!K5</f>
        <v>0</v>
      </c>
      <c r="L17" s="95">
        <f>+'DATOS REGIONALIZADO LOTE 4 tota'!L5</f>
        <v>0</v>
      </c>
      <c r="M17" s="95">
        <f>+'DATOS REGIONALIZADO LOTE 4 tota'!M5</f>
        <v>0</v>
      </c>
      <c r="N17" s="95">
        <f>+'DATOS REGIONALIZADO LOTE 4 tota'!N5</f>
        <v>2</v>
      </c>
      <c r="O17" s="95">
        <f>+'DATOS REGIONALIZADO LOTE 4 tota'!O5</f>
        <v>7182643</v>
      </c>
      <c r="P17" s="95">
        <f>+'DATOS REGIONALIZADO LOTE 4 tota'!P5</f>
        <v>14365286</v>
      </c>
      <c r="Q17" s="95">
        <f>+'DATOS REGIONALIZADO LOTE 4 tota'!Q5</f>
        <v>0</v>
      </c>
      <c r="R17" s="95">
        <f>+'DATOS REGIONALIZADO LOTE 4 tota'!R5</f>
        <v>0</v>
      </c>
      <c r="S17" s="95">
        <f>+'DATOS REGIONALIZADO LOTE 4 tota'!S5</f>
        <v>0</v>
      </c>
      <c r="T17" s="95">
        <f>+'DATOS REGIONALIZADO LOTE 4 tota'!T5</f>
        <v>0</v>
      </c>
      <c r="U17" s="95">
        <f>+'DATOS REGIONALIZADO LOTE 4 tota'!U5</f>
        <v>0</v>
      </c>
      <c r="V17" s="95">
        <f>+'DATOS REGIONALIZADO LOTE 4 tota'!V5</f>
        <v>0</v>
      </c>
      <c r="W17" s="95">
        <f>+'DATOS REGIONALIZADO LOTE 4 tota'!W5</f>
        <v>0</v>
      </c>
      <c r="X17" s="95">
        <f>+'DATOS REGIONALIZADO LOTE 4 tota'!X5</f>
        <v>0</v>
      </c>
      <c r="Y17" s="95">
        <f>+'DATOS REGIONALIZADO LOTE 4 tota'!Y5</f>
        <v>14365286</v>
      </c>
      <c r="Z17" s="82"/>
      <c r="AA17" s="115" t="s">
        <v>72</v>
      </c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</row>
    <row r="18" spans="1:39" ht="11.25" x14ac:dyDescent="0.25">
      <c r="A18" s="95">
        <f>+'DATOS REGIONALIZADO LOTE 4 tota'!A6</f>
        <v>4</v>
      </c>
      <c r="B18" s="95">
        <f>+'DATOS REGIONALIZADO LOTE 4 tota'!B6</f>
        <v>14</v>
      </c>
      <c r="C18" s="114" t="str">
        <f>+'DATOS REGIONALIZADO LOTE 4 tota'!C6</f>
        <v>Agitador tipo vórtex para tubos</v>
      </c>
      <c r="D18" s="95" t="str">
        <f>+'DATOS REGIONALIZADO LOTE 4 tota'!D6</f>
        <v>UNIDAD</v>
      </c>
      <c r="E18" s="95">
        <f>+'DATOS REGIONALIZADO LOTE 4 tota'!E6</f>
        <v>0</v>
      </c>
      <c r="F18" s="95">
        <f>+'DATOS REGIONALIZADO LOTE 4 tota'!F6</f>
        <v>2</v>
      </c>
      <c r="G18" s="95">
        <f>+'DATOS REGIONALIZADO LOTE 4 tota'!G6</f>
        <v>0</v>
      </c>
      <c r="H18" s="95">
        <f>+'DATOS REGIONALIZADO LOTE 4 tota'!H6</f>
        <v>0</v>
      </c>
      <c r="I18" s="95">
        <f>+'DATOS REGIONALIZADO LOTE 4 tota'!I6</f>
        <v>0</v>
      </c>
      <c r="J18" s="95">
        <f>+'DATOS REGIONALIZADO LOTE 4 tota'!J6</f>
        <v>0</v>
      </c>
      <c r="K18" s="95">
        <f>+'DATOS REGIONALIZADO LOTE 4 tota'!K6</f>
        <v>0</v>
      </c>
      <c r="L18" s="95">
        <f>+'DATOS REGIONALIZADO LOTE 4 tota'!L6</f>
        <v>0</v>
      </c>
      <c r="M18" s="95">
        <f>+'DATOS REGIONALIZADO LOTE 4 tota'!M6</f>
        <v>0</v>
      </c>
      <c r="N18" s="95">
        <f>+'DATOS REGIONALIZADO LOTE 4 tota'!N6</f>
        <v>2</v>
      </c>
      <c r="O18" s="95">
        <f>+'DATOS REGIONALIZADO LOTE 4 tota'!O6</f>
        <v>2603490</v>
      </c>
      <c r="P18" s="95">
        <f>+'DATOS REGIONALIZADO LOTE 4 tota'!P6</f>
        <v>0</v>
      </c>
      <c r="Q18" s="95">
        <f>+'DATOS REGIONALIZADO LOTE 4 tota'!Q6</f>
        <v>5206980</v>
      </c>
      <c r="R18" s="95">
        <f>+'DATOS REGIONALIZADO LOTE 4 tota'!R6</f>
        <v>0</v>
      </c>
      <c r="S18" s="95">
        <f>+'DATOS REGIONALIZADO LOTE 4 tota'!S6</f>
        <v>0</v>
      </c>
      <c r="T18" s="95">
        <f>+'DATOS REGIONALIZADO LOTE 4 tota'!T6</f>
        <v>0</v>
      </c>
      <c r="U18" s="95">
        <f>+'DATOS REGIONALIZADO LOTE 4 tota'!U6</f>
        <v>0</v>
      </c>
      <c r="V18" s="95">
        <f>+'DATOS REGIONALIZADO LOTE 4 tota'!V6</f>
        <v>0</v>
      </c>
      <c r="W18" s="95">
        <f>+'DATOS REGIONALIZADO LOTE 4 tota'!W6</f>
        <v>0</v>
      </c>
      <c r="X18" s="95">
        <f>+'DATOS REGIONALIZADO LOTE 4 tota'!X6</f>
        <v>0</v>
      </c>
      <c r="Y18" s="95">
        <f>+'DATOS REGIONALIZADO LOTE 4 tota'!Y6</f>
        <v>5206980</v>
      </c>
      <c r="Z18" s="82"/>
      <c r="AA18" s="116" t="s">
        <v>73</v>
      </c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</row>
    <row r="19" spans="1:39" ht="22.5" x14ac:dyDescent="0.25">
      <c r="A19" s="95">
        <f>+'DATOS REGIONALIZADO LOTE 4 tota'!A7</f>
        <v>8</v>
      </c>
      <c r="B19" s="95">
        <f>+'DATOS REGIONALIZADO LOTE 4 tota'!B7</f>
        <v>23</v>
      </c>
      <c r="C19" s="112" t="str">
        <f>+'DATOS REGIONALIZADO LOTE 4 tota'!C7</f>
        <v>Homogenizador de tejidos, vertical con vástago:</v>
      </c>
      <c r="D19" s="95" t="str">
        <f>+'DATOS REGIONALIZADO LOTE 4 tota'!D7</f>
        <v>UNIDAD</v>
      </c>
      <c r="E19" s="95">
        <f>+'DATOS REGIONALIZADO LOTE 4 tota'!E7</f>
        <v>1</v>
      </c>
      <c r="F19" s="95">
        <f>+'DATOS REGIONALIZADO LOTE 4 tota'!F7</f>
        <v>0</v>
      </c>
      <c r="G19" s="95">
        <f>+'DATOS REGIONALIZADO LOTE 4 tota'!G7</f>
        <v>0</v>
      </c>
      <c r="H19" s="95">
        <f>+'DATOS REGIONALIZADO LOTE 4 tota'!H7</f>
        <v>0</v>
      </c>
      <c r="I19" s="95">
        <f>+'DATOS REGIONALIZADO LOTE 4 tota'!I7</f>
        <v>0</v>
      </c>
      <c r="J19" s="95">
        <f>+'DATOS REGIONALIZADO LOTE 4 tota'!J7</f>
        <v>0</v>
      </c>
      <c r="K19" s="95">
        <f>+'DATOS REGIONALIZADO LOTE 4 tota'!K7</f>
        <v>0</v>
      </c>
      <c r="L19" s="95">
        <f>+'DATOS REGIONALIZADO LOTE 4 tota'!L7</f>
        <v>0</v>
      </c>
      <c r="M19" s="95">
        <f>+'DATOS REGIONALIZADO LOTE 4 tota'!M7</f>
        <v>0</v>
      </c>
      <c r="N19" s="95">
        <f>+'DATOS REGIONALIZADO LOTE 4 tota'!N7</f>
        <v>1</v>
      </c>
      <c r="O19" s="95">
        <f>+'DATOS REGIONALIZADO LOTE 4 tota'!O7</f>
        <v>19454635</v>
      </c>
      <c r="P19" s="95">
        <f>+'DATOS REGIONALIZADO LOTE 4 tota'!P7</f>
        <v>19454635</v>
      </c>
      <c r="Q19" s="95">
        <f>+'DATOS REGIONALIZADO LOTE 4 tota'!Q7</f>
        <v>0</v>
      </c>
      <c r="R19" s="95">
        <f>+'DATOS REGIONALIZADO LOTE 4 tota'!R7</f>
        <v>0</v>
      </c>
      <c r="S19" s="95">
        <f>+'DATOS REGIONALIZADO LOTE 4 tota'!S7</f>
        <v>0</v>
      </c>
      <c r="T19" s="95">
        <f>+'DATOS REGIONALIZADO LOTE 4 tota'!T7</f>
        <v>0</v>
      </c>
      <c r="U19" s="95">
        <f>+'DATOS REGIONALIZADO LOTE 4 tota'!U7</f>
        <v>0</v>
      </c>
      <c r="V19" s="95">
        <f>+'DATOS REGIONALIZADO LOTE 4 tota'!V7</f>
        <v>0</v>
      </c>
      <c r="W19" s="95">
        <f>+'DATOS REGIONALIZADO LOTE 4 tota'!W7</f>
        <v>0</v>
      </c>
      <c r="X19" s="95">
        <f>+'DATOS REGIONALIZADO LOTE 4 tota'!X7</f>
        <v>0</v>
      </c>
      <c r="Y19" s="95">
        <f>+'DATOS REGIONALIZADO LOTE 4 tota'!Y7</f>
        <v>19454635</v>
      </c>
      <c r="Z19" s="82"/>
      <c r="AA19" s="117" t="s">
        <v>74</v>
      </c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</row>
    <row r="20" spans="1:39" ht="11.25" x14ac:dyDescent="0.25">
      <c r="A20" s="95">
        <f>+'DATOS REGIONALIZADO LOTE 4 tota'!A8</f>
        <v>8</v>
      </c>
      <c r="B20" s="95">
        <f>+'DATOS REGIONALIZADO LOTE 4 tota'!B8</f>
        <v>24</v>
      </c>
      <c r="C20" s="114" t="str">
        <f>+'DATOS REGIONALIZADO LOTE 4 tota'!C8</f>
        <v xml:space="preserve">Vórtex multiprobeta / multitubo: </v>
      </c>
      <c r="D20" s="95" t="str">
        <f>+'DATOS REGIONALIZADO LOTE 4 tota'!D8</f>
        <v>UNIDAD</v>
      </c>
      <c r="E20" s="95">
        <f>+'DATOS REGIONALIZADO LOTE 4 tota'!E8</f>
        <v>3</v>
      </c>
      <c r="F20" s="95">
        <f>+'DATOS REGIONALIZADO LOTE 4 tota'!F8</f>
        <v>0</v>
      </c>
      <c r="G20" s="95">
        <f>+'DATOS REGIONALIZADO LOTE 4 tota'!G8</f>
        <v>0</v>
      </c>
      <c r="H20" s="95">
        <f>+'DATOS REGIONALIZADO LOTE 4 tota'!H8</f>
        <v>0</v>
      </c>
      <c r="I20" s="95">
        <f>+'DATOS REGIONALIZADO LOTE 4 tota'!I8</f>
        <v>0</v>
      </c>
      <c r="J20" s="95">
        <f>+'DATOS REGIONALIZADO LOTE 4 tota'!J8</f>
        <v>0</v>
      </c>
      <c r="K20" s="95">
        <f>+'DATOS REGIONALIZADO LOTE 4 tota'!K8</f>
        <v>0</v>
      </c>
      <c r="L20" s="95">
        <f>+'DATOS REGIONALIZADO LOTE 4 tota'!L8</f>
        <v>0</v>
      </c>
      <c r="M20" s="95">
        <f>+'DATOS REGIONALIZADO LOTE 4 tota'!M8</f>
        <v>0</v>
      </c>
      <c r="N20" s="95">
        <f>+'DATOS REGIONALIZADO LOTE 4 tota'!N8</f>
        <v>3</v>
      </c>
      <c r="O20" s="95">
        <f>+'DATOS REGIONALIZADO LOTE 4 tota'!O8</f>
        <v>24247119</v>
      </c>
      <c r="P20" s="95">
        <f>+'DATOS REGIONALIZADO LOTE 4 tota'!P8</f>
        <v>72741357</v>
      </c>
      <c r="Q20" s="95">
        <f>+'DATOS REGIONALIZADO LOTE 4 tota'!Q8</f>
        <v>0</v>
      </c>
      <c r="R20" s="95">
        <f>+'DATOS REGIONALIZADO LOTE 4 tota'!R8</f>
        <v>0</v>
      </c>
      <c r="S20" s="95">
        <f>+'DATOS REGIONALIZADO LOTE 4 tota'!S8</f>
        <v>0</v>
      </c>
      <c r="T20" s="95">
        <f>+'DATOS REGIONALIZADO LOTE 4 tota'!T8</f>
        <v>0</v>
      </c>
      <c r="U20" s="95">
        <f>+'DATOS REGIONALIZADO LOTE 4 tota'!U8</f>
        <v>0</v>
      </c>
      <c r="V20" s="95">
        <f>+'DATOS REGIONALIZADO LOTE 4 tota'!V8</f>
        <v>0</v>
      </c>
      <c r="W20" s="95">
        <f>+'DATOS REGIONALIZADO LOTE 4 tota'!W8</f>
        <v>0</v>
      </c>
      <c r="X20" s="95">
        <f>+'DATOS REGIONALIZADO LOTE 4 tota'!X8</f>
        <v>0</v>
      </c>
      <c r="Y20" s="95">
        <f>+'DATOS REGIONALIZADO LOTE 4 tota'!Y8</f>
        <v>72741357</v>
      </c>
      <c r="Z20" s="82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</row>
    <row r="21" spans="1:39" ht="22.5" x14ac:dyDescent="0.25">
      <c r="A21" s="95">
        <f>+'DATOS REGIONALIZADO LOTE 4 tota'!A9</f>
        <v>9</v>
      </c>
      <c r="B21" s="95">
        <f>+'DATOS REGIONALIZADO LOTE 4 tota'!B9</f>
        <v>25</v>
      </c>
      <c r="C21" s="114" t="str">
        <f>+'DATOS REGIONALIZADO LOTE 4 tota'!C9</f>
        <v>Esterilizador o autocleve horizontal y/o sobremesa:</v>
      </c>
      <c r="D21" s="95" t="str">
        <f>+'DATOS REGIONALIZADO LOTE 4 tota'!D9</f>
        <v>UNIDAD</v>
      </c>
      <c r="E21" s="95">
        <f>+'DATOS REGIONALIZADO LOTE 4 tota'!E9</f>
        <v>1</v>
      </c>
      <c r="F21" s="95">
        <f>+'DATOS REGIONALIZADO LOTE 4 tota'!F9</f>
        <v>0</v>
      </c>
      <c r="G21" s="95">
        <f>+'DATOS REGIONALIZADO LOTE 4 tota'!G9</f>
        <v>0</v>
      </c>
      <c r="H21" s="95">
        <f>+'DATOS REGIONALIZADO LOTE 4 tota'!H9</f>
        <v>0</v>
      </c>
      <c r="I21" s="95">
        <f>+'DATOS REGIONALIZADO LOTE 4 tota'!I9</f>
        <v>0</v>
      </c>
      <c r="J21" s="95">
        <f>+'DATOS REGIONALIZADO LOTE 4 tota'!J9</f>
        <v>0</v>
      </c>
      <c r="K21" s="95">
        <f>+'DATOS REGIONALIZADO LOTE 4 tota'!K9</f>
        <v>0</v>
      </c>
      <c r="L21" s="95">
        <f>+'DATOS REGIONALIZADO LOTE 4 tota'!L9</f>
        <v>0</v>
      </c>
      <c r="M21" s="95">
        <f>+'DATOS REGIONALIZADO LOTE 4 tota'!M9</f>
        <v>0</v>
      </c>
      <c r="N21" s="95">
        <f>+'DATOS REGIONALIZADO LOTE 4 tota'!N9</f>
        <v>1</v>
      </c>
      <c r="O21" s="95">
        <f>+'DATOS REGIONALIZADO LOTE 4 tota'!O9</f>
        <v>29155000</v>
      </c>
      <c r="P21" s="95">
        <f>+'DATOS REGIONALIZADO LOTE 4 tota'!P9</f>
        <v>29155000</v>
      </c>
      <c r="Q21" s="95">
        <f>+'DATOS REGIONALIZADO LOTE 4 tota'!Q9</f>
        <v>0</v>
      </c>
      <c r="R21" s="95">
        <f>+'DATOS REGIONALIZADO LOTE 4 tota'!R9</f>
        <v>0</v>
      </c>
      <c r="S21" s="95">
        <f>+'DATOS REGIONALIZADO LOTE 4 tota'!S9</f>
        <v>0</v>
      </c>
      <c r="T21" s="95">
        <f>+'DATOS REGIONALIZADO LOTE 4 tota'!T9</f>
        <v>0</v>
      </c>
      <c r="U21" s="95">
        <f>+'DATOS REGIONALIZADO LOTE 4 tota'!U9</f>
        <v>0</v>
      </c>
      <c r="V21" s="95">
        <f>+'DATOS REGIONALIZADO LOTE 4 tota'!V9</f>
        <v>0</v>
      </c>
      <c r="W21" s="95">
        <f>+'DATOS REGIONALIZADO LOTE 4 tota'!W9</f>
        <v>0</v>
      </c>
      <c r="X21" s="95">
        <f>+'DATOS REGIONALIZADO LOTE 4 tota'!X9</f>
        <v>0</v>
      </c>
      <c r="Y21" s="95">
        <f>+'DATOS REGIONALIZADO LOTE 4 tota'!Y9</f>
        <v>29155000</v>
      </c>
      <c r="Z21" s="82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</row>
    <row r="22" spans="1:39" ht="22.5" x14ac:dyDescent="0.25">
      <c r="A22" s="95">
        <f>+'DATOS REGIONALIZADO LOTE 4 tota'!A10</f>
        <v>10</v>
      </c>
      <c r="B22" s="95">
        <f>+'DATOS REGIONALIZADO LOTE 4 tota'!B10</f>
        <v>26</v>
      </c>
      <c r="C22" s="114" t="str">
        <f>+'DATOS REGIONALIZADO LOTE 4 tota'!C10</f>
        <v>Evaporador concentrador de muestras con centrifuga (rapidvap)</v>
      </c>
      <c r="D22" s="95" t="str">
        <f>+'DATOS REGIONALIZADO LOTE 4 tota'!D10</f>
        <v>UNIDAD</v>
      </c>
      <c r="E22" s="95">
        <f>+'DATOS REGIONALIZADO LOTE 4 tota'!E10</f>
        <v>1</v>
      </c>
      <c r="F22" s="95">
        <f>+'DATOS REGIONALIZADO LOTE 4 tota'!F10</f>
        <v>0</v>
      </c>
      <c r="G22" s="95">
        <f>+'DATOS REGIONALIZADO LOTE 4 tota'!G10</f>
        <v>0</v>
      </c>
      <c r="H22" s="95">
        <f>+'DATOS REGIONALIZADO LOTE 4 tota'!H10</f>
        <v>0</v>
      </c>
      <c r="I22" s="95">
        <f>+'DATOS REGIONALIZADO LOTE 4 tota'!I10</f>
        <v>0</v>
      </c>
      <c r="J22" s="95">
        <f>+'DATOS REGIONALIZADO LOTE 4 tota'!J10</f>
        <v>0</v>
      </c>
      <c r="K22" s="95">
        <f>+'DATOS REGIONALIZADO LOTE 4 tota'!K10</f>
        <v>0</v>
      </c>
      <c r="L22" s="95">
        <f>+'DATOS REGIONALIZADO LOTE 4 tota'!L10</f>
        <v>0</v>
      </c>
      <c r="M22" s="95">
        <f>+'DATOS REGIONALIZADO LOTE 4 tota'!M10</f>
        <v>0</v>
      </c>
      <c r="N22" s="95">
        <f>+'DATOS REGIONALIZADO LOTE 4 tota'!N10</f>
        <v>1</v>
      </c>
      <c r="O22" s="95">
        <f>+'DATOS REGIONALIZADO LOTE 4 tota'!O10</f>
        <v>192791293</v>
      </c>
      <c r="P22" s="95">
        <f>+'DATOS REGIONALIZADO LOTE 4 tota'!P10</f>
        <v>192791293</v>
      </c>
      <c r="Q22" s="95">
        <f>+'DATOS REGIONALIZADO LOTE 4 tota'!Q10</f>
        <v>0</v>
      </c>
      <c r="R22" s="95">
        <f>+'DATOS REGIONALIZADO LOTE 4 tota'!R10</f>
        <v>0</v>
      </c>
      <c r="S22" s="95">
        <f>+'DATOS REGIONALIZADO LOTE 4 tota'!S10</f>
        <v>0</v>
      </c>
      <c r="T22" s="95">
        <f>+'DATOS REGIONALIZADO LOTE 4 tota'!T10</f>
        <v>0</v>
      </c>
      <c r="U22" s="95">
        <f>+'DATOS REGIONALIZADO LOTE 4 tota'!U10</f>
        <v>0</v>
      </c>
      <c r="V22" s="95">
        <f>+'DATOS REGIONALIZADO LOTE 4 tota'!V10</f>
        <v>0</v>
      </c>
      <c r="W22" s="95">
        <f>+'DATOS REGIONALIZADO LOTE 4 tota'!W10</f>
        <v>0</v>
      </c>
      <c r="X22" s="95">
        <f>+'DATOS REGIONALIZADO LOTE 4 tota'!X10</f>
        <v>0</v>
      </c>
      <c r="Y22" s="95">
        <f>+'DATOS REGIONALIZADO LOTE 4 tota'!Y10</f>
        <v>192791293</v>
      </c>
      <c r="Z22" s="82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</row>
    <row r="23" spans="1:39" ht="22.5" x14ac:dyDescent="0.25">
      <c r="A23" s="95">
        <f>+'DATOS REGIONALIZADO LOTE 4 tota'!A11</f>
        <v>11</v>
      </c>
      <c r="B23" s="95">
        <f>+'DATOS REGIONALIZADO LOTE 4 tota'!B11</f>
        <v>27</v>
      </c>
      <c r="C23" s="114" t="str">
        <f>+'DATOS REGIONALIZADO LOTE 4 tota'!C11</f>
        <v>Evaporador concentrador de muestras (rapidvap)</v>
      </c>
      <c r="D23" s="95" t="str">
        <f>+'DATOS REGIONALIZADO LOTE 4 tota'!D11</f>
        <v>UNIDAD</v>
      </c>
      <c r="E23" s="95">
        <f>+'DATOS REGIONALIZADO LOTE 4 tota'!E11</f>
        <v>0</v>
      </c>
      <c r="F23" s="95">
        <f>+'DATOS REGIONALIZADO LOTE 4 tota'!F11</f>
        <v>1</v>
      </c>
      <c r="G23" s="95">
        <f>+'DATOS REGIONALIZADO LOTE 4 tota'!G11</f>
        <v>0</v>
      </c>
      <c r="H23" s="95">
        <f>+'DATOS REGIONALIZADO LOTE 4 tota'!H11</f>
        <v>0</v>
      </c>
      <c r="I23" s="95">
        <f>+'DATOS REGIONALIZADO LOTE 4 tota'!I11</f>
        <v>0</v>
      </c>
      <c r="J23" s="95">
        <f>+'DATOS REGIONALIZADO LOTE 4 tota'!J11</f>
        <v>0</v>
      </c>
      <c r="K23" s="95">
        <f>+'DATOS REGIONALIZADO LOTE 4 tota'!K11</f>
        <v>0</v>
      </c>
      <c r="L23" s="95">
        <f>+'DATOS REGIONALIZADO LOTE 4 tota'!L11</f>
        <v>0</v>
      </c>
      <c r="M23" s="95">
        <f>+'DATOS REGIONALIZADO LOTE 4 tota'!M11</f>
        <v>0</v>
      </c>
      <c r="N23" s="95">
        <f>+'DATOS REGIONALIZADO LOTE 4 tota'!N11</f>
        <v>1</v>
      </c>
      <c r="O23" s="95">
        <f>+'DATOS REGIONALIZADO LOTE 4 tota'!O11</f>
        <v>136873800</v>
      </c>
      <c r="P23" s="95">
        <f>+'DATOS REGIONALIZADO LOTE 4 tota'!P11</f>
        <v>0</v>
      </c>
      <c r="Q23" s="95">
        <f>+'DATOS REGIONALIZADO LOTE 4 tota'!Q11</f>
        <v>136873800</v>
      </c>
      <c r="R23" s="95">
        <f>+'DATOS REGIONALIZADO LOTE 4 tota'!R11</f>
        <v>0</v>
      </c>
      <c r="S23" s="95">
        <f>+'DATOS REGIONALIZADO LOTE 4 tota'!S11</f>
        <v>0</v>
      </c>
      <c r="T23" s="95">
        <f>+'DATOS REGIONALIZADO LOTE 4 tota'!T11</f>
        <v>0</v>
      </c>
      <c r="U23" s="95">
        <f>+'DATOS REGIONALIZADO LOTE 4 tota'!U11</f>
        <v>0</v>
      </c>
      <c r="V23" s="95">
        <f>+'DATOS REGIONALIZADO LOTE 4 tota'!V11</f>
        <v>0</v>
      </c>
      <c r="W23" s="95">
        <f>+'DATOS REGIONALIZADO LOTE 4 tota'!W11</f>
        <v>0</v>
      </c>
      <c r="X23" s="95">
        <f>+'DATOS REGIONALIZADO LOTE 4 tota'!X11</f>
        <v>0</v>
      </c>
      <c r="Y23" s="95">
        <f>+'DATOS REGIONALIZADO LOTE 4 tota'!Y11</f>
        <v>136873800</v>
      </c>
      <c r="Z23" s="82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</row>
    <row r="24" spans="1:39" ht="22.5" x14ac:dyDescent="0.25">
      <c r="A24" s="95">
        <f>+'DATOS REGIONALIZADO LOTE 4 tota'!A12</f>
        <v>12</v>
      </c>
      <c r="B24" s="95">
        <f>+'DATOS REGIONALIZADO LOTE 4 tota'!B12</f>
        <v>28</v>
      </c>
      <c r="C24" s="114" t="str">
        <f>+'DATOS REGIONALIZADO LOTE 4 tota'!C12</f>
        <v>Sistema dilutor dispensador de Líquidos</v>
      </c>
      <c r="D24" s="95" t="str">
        <f>+'DATOS REGIONALIZADO LOTE 4 tota'!D12</f>
        <v>UNIDAD</v>
      </c>
      <c r="E24" s="95">
        <f>+'DATOS REGIONALIZADO LOTE 4 tota'!E12</f>
        <v>0</v>
      </c>
      <c r="F24" s="95">
        <f>+'DATOS REGIONALIZADO LOTE 4 tota'!F12</f>
        <v>1</v>
      </c>
      <c r="G24" s="95">
        <f>+'DATOS REGIONALIZADO LOTE 4 tota'!G12</f>
        <v>0</v>
      </c>
      <c r="H24" s="95">
        <f>+'DATOS REGIONALIZADO LOTE 4 tota'!H12</f>
        <v>0</v>
      </c>
      <c r="I24" s="95">
        <f>+'DATOS REGIONALIZADO LOTE 4 tota'!I12</f>
        <v>0</v>
      </c>
      <c r="J24" s="95">
        <f>+'DATOS REGIONALIZADO LOTE 4 tota'!J12</f>
        <v>0</v>
      </c>
      <c r="K24" s="95">
        <f>+'DATOS REGIONALIZADO LOTE 4 tota'!K12</f>
        <v>0</v>
      </c>
      <c r="L24" s="95">
        <f>+'DATOS REGIONALIZADO LOTE 4 tota'!L12</f>
        <v>0</v>
      </c>
      <c r="M24" s="95">
        <f>+'DATOS REGIONALIZADO LOTE 4 tota'!M12</f>
        <v>0</v>
      </c>
      <c r="N24" s="95">
        <f>+'DATOS REGIONALIZADO LOTE 4 tota'!N12</f>
        <v>1</v>
      </c>
      <c r="O24" s="95">
        <f>+'DATOS REGIONALIZADO LOTE 4 tota'!O12</f>
        <v>59381000</v>
      </c>
      <c r="P24" s="95">
        <f>+'DATOS REGIONALIZADO LOTE 4 tota'!P12</f>
        <v>0</v>
      </c>
      <c r="Q24" s="95">
        <f>+'DATOS REGIONALIZADO LOTE 4 tota'!Q12</f>
        <v>59381000</v>
      </c>
      <c r="R24" s="95">
        <f>+'DATOS REGIONALIZADO LOTE 4 tota'!R12</f>
        <v>0</v>
      </c>
      <c r="S24" s="95">
        <f>+'DATOS REGIONALIZADO LOTE 4 tota'!S12</f>
        <v>0</v>
      </c>
      <c r="T24" s="95">
        <f>+'DATOS REGIONALIZADO LOTE 4 tota'!T12</f>
        <v>0</v>
      </c>
      <c r="U24" s="95">
        <f>+'DATOS REGIONALIZADO LOTE 4 tota'!U12</f>
        <v>0</v>
      </c>
      <c r="V24" s="95">
        <f>+'DATOS REGIONALIZADO LOTE 4 tota'!V12</f>
        <v>0</v>
      </c>
      <c r="W24" s="95">
        <f>+'DATOS REGIONALIZADO LOTE 4 tota'!W12</f>
        <v>0</v>
      </c>
      <c r="X24" s="95">
        <f>+'DATOS REGIONALIZADO LOTE 4 tota'!X12</f>
        <v>0</v>
      </c>
      <c r="Y24" s="95">
        <f>+'DATOS REGIONALIZADO LOTE 4 tota'!Y12</f>
        <v>59381000</v>
      </c>
      <c r="Z24" s="82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</row>
    <row r="25" spans="1:39" ht="22.5" x14ac:dyDescent="0.25">
      <c r="A25" s="95">
        <f>+'DATOS REGIONALIZADO LOTE 4 tota'!A13</f>
        <v>13</v>
      </c>
      <c r="B25" s="95">
        <f>+'DATOS REGIONALIZADO LOTE 4 tota'!B13</f>
        <v>29</v>
      </c>
      <c r="C25" s="112" t="str">
        <f>+'DATOS REGIONALIZADO LOTE 4 tota'!C13</f>
        <v>Sistema de esterilización con luz UV-C (254nm) (Crosslinker)</v>
      </c>
      <c r="D25" s="95" t="str">
        <f>+'DATOS REGIONALIZADO LOTE 4 tota'!D13</f>
        <v>UNIDAD</v>
      </c>
      <c r="E25" s="95">
        <f>+'DATOS REGIONALIZADO LOTE 4 tota'!E13</f>
        <v>0</v>
      </c>
      <c r="F25" s="95">
        <f>+'DATOS REGIONALIZADO LOTE 4 tota'!F13</f>
        <v>1</v>
      </c>
      <c r="G25" s="95">
        <f>+'DATOS REGIONALIZADO LOTE 4 tota'!G13</f>
        <v>0</v>
      </c>
      <c r="H25" s="95">
        <f>+'DATOS REGIONALIZADO LOTE 4 tota'!H13</f>
        <v>0</v>
      </c>
      <c r="I25" s="95">
        <f>+'DATOS REGIONALIZADO LOTE 4 tota'!I13</f>
        <v>0</v>
      </c>
      <c r="J25" s="95">
        <f>+'DATOS REGIONALIZADO LOTE 4 tota'!J13</f>
        <v>0</v>
      </c>
      <c r="K25" s="95">
        <f>+'DATOS REGIONALIZADO LOTE 4 tota'!K13</f>
        <v>0</v>
      </c>
      <c r="L25" s="95">
        <f>+'DATOS REGIONALIZADO LOTE 4 tota'!L13</f>
        <v>0</v>
      </c>
      <c r="M25" s="95">
        <f>+'DATOS REGIONALIZADO LOTE 4 tota'!M13</f>
        <v>0</v>
      </c>
      <c r="N25" s="95">
        <f>+'DATOS REGIONALIZADO LOTE 4 tota'!N13</f>
        <v>1</v>
      </c>
      <c r="O25" s="95">
        <f>+'DATOS REGIONALIZADO LOTE 4 tota'!O13</f>
        <v>18292580</v>
      </c>
      <c r="P25" s="95">
        <f>+'DATOS REGIONALIZADO LOTE 4 tota'!P13</f>
        <v>0</v>
      </c>
      <c r="Q25" s="95">
        <f>+'DATOS REGIONALIZADO LOTE 4 tota'!Q13</f>
        <v>18292580</v>
      </c>
      <c r="R25" s="95">
        <f>+'DATOS REGIONALIZADO LOTE 4 tota'!R13</f>
        <v>0</v>
      </c>
      <c r="S25" s="95">
        <f>+'DATOS REGIONALIZADO LOTE 4 tota'!S13</f>
        <v>0</v>
      </c>
      <c r="T25" s="95">
        <f>+'DATOS REGIONALIZADO LOTE 4 tota'!T13</f>
        <v>0</v>
      </c>
      <c r="U25" s="95">
        <f>+'DATOS REGIONALIZADO LOTE 4 tota'!U13</f>
        <v>0</v>
      </c>
      <c r="V25" s="95">
        <f>+'DATOS REGIONALIZADO LOTE 4 tota'!V13</f>
        <v>0</v>
      </c>
      <c r="W25" s="95">
        <f>+'DATOS REGIONALIZADO LOTE 4 tota'!W13</f>
        <v>0</v>
      </c>
      <c r="X25" s="95">
        <f>+'DATOS REGIONALIZADO LOTE 4 tota'!X13</f>
        <v>0</v>
      </c>
      <c r="Y25" s="95">
        <f>+'DATOS REGIONALIZADO LOTE 4 tota'!Y13</f>
        <v>18292580</v>
      </c>
      <c r="Z25" s="82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</row>
    <row r="26" spans="1:39" ht="22.5" x14ac:dyDescent="0.25">
      <c r="A26" s="95">
        <f>+'DATOS REGIONALIZADO LOTE 5'!A5</f>
        <v>5</v>
      </c>
      <c r="B26" s="95">
        <f>+'DATOS REGIONALIZADO LOTE 5'!B5</f>
        <v>15</v>
      </c>
      <c r="C26" s="114" t="str">
        <f>+'DATOS REGIONALIZADO LOTE 5'!C5</f>
        <v>Centrifuga de mesa de altas revoluciones con refrigeración:</v>
      </c>
      <c r="D26" s="95" t="str">
        <f>+'DATOS REGIONALIZADO LOTE 5'!D5</f>
        <v>UNIDAD</v>
      </c>
      <c r="E26" s="95">
        <f>+'DATOS REGIONALIZADO LOTE 5'!E5</f>
        <v>2</v>
      </c>
      <c r="F26" s="95">
        <f>+'DATOS REGIONALIZADO LOTE 5'!F5</f>
        <v>0</v>
      </c>
      <c r="G26" s="95">
        <f>+'DATOS REGIONALIZADO LOTE 5'!G5</f>
        <v>0</v>
      </c>
      <c r="H26" s="95">
        <f>+'DATOS REGIONALIZADO LOTE 5'!H5</f>
        <v>0</v>
      </c>
      <c r="I26" s="95">
        <f>+'DATOS REGIONALIZADO LOTE 5'!I5</f>
        <v>0</v>
      </c>
      <c r="J26" s="95">
        <f>+'DATOS REGIONALIZADO LOTE 5'!J5</f>
        <v>0</v>
      </c>
      <c r="K26" s="95">
        <f>+'DATOS REGIONALIZADO LOTE 5'!K5</f>
        <v>0</v>
      </c>
      <c r="L26" s="95">
        <f>+'DATOS REGIONALIZADO LOTE 5'!L5</f>
        <v>0</v>
      </c>
      <c r="M26" s="95">
        <f>+'DATOS REGIONALIZADO LOTE 5'!M5</f>
        <v>0</v>
      </c>
      <c r="N26" s="95">
        <f>+'DATOS REGIONALIZADO LOTE 5'!N5</f>
        <v>2</v>
      </c>
      <c r="O26" s="95">
        <f>+'DATOS REGIONALIZADO LOTE 5'!O5</f>
        <v>114119810</v>
      </c>
      <c r="P26" s="95">
        <f>+'DATOS REGIONALIZADO LOTE 5'!P5</f>
        <v>228239620</v>
      </c>
      <c r="Q26" s="95">
        <f>+'DATOS REGIONALIZADO LOTE 5'!Q5</f>
        <v>0</v>
      </c>
      <c r="R26" s="95">
        <f>+'DATOS REGIONALIZADO LOTE 5'!R5</f>
        <v>0</v>
      </c>
      <c r="S26" s="95">
        <f>+'DATOS REGIONALIZADO LOTE 5'!S5</f>
        <v>0</v>
      </c>
      <c r="T26" s="95">
        <f>+'DATOS REGIONALIZADO LOTE 5'!T5</f>
        <v>0</v>
      </c>
      <c r="U26" s="95">
        <f>+'DATOS REGIONALIZADO LOTE 5'!U5</f>
        <v>0</v>
      </c>
      <c r="V26" s="95">
        <f>+'DATOS REGIONALIZADO LOTE 5'!V5</f>
        <v>0</v>
      </c>
      <c r="W26" s="95">
        <f>+'DATOS REGIONALIZADO LOTE 5'!W5</f>
        <v>0</v>
      </c>
      <c r="X26" s="95">
        <f>+'DATOS REGIONALIZADO LOTE 5'!X5</f>
        <v>0</v>
      </c>
      <c r="Y26" s="95">
        <f>+'DATOS REGIONALIZADO LOTE 5'!Y5</f>
        <v>228239620</v>
      </c>
      <c r="Z26" s="82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ht="11.25" x14ac:dyDescent="0.25">
      <c r="A27" s="95">
        <f>+'DATOS REGIONALIZADO LOTE 5'!A6</f>
        <v>5</v>
      </c>
      <c r="B27" s="95">
        <f>+'DATOS REGIONALIZADO LOTE 5'!B6</f>
        <v>16</v>
      </c>
      <c r="C27" s="114" t="str">
        <f>+'DATOS REGIONALIZADO LOTE 5'!C6</f>
        <v>Centrifuga de mesa no refrigerada</v>
      </c>
      <c r="D27" s="95" t="str">
        <f>+'DATOS REGIONALIZADO LOTE 5'!D6</f>
        <v>UNIDAD</v>
      </c>
      <c r="E27" s="95">
        <f>+'DATOS REGIONALIZADO LOTE 5'!E6</f>
        <v>0</v>
      </c>
      <c r="F27" s="95">
        <f>+'DATOS REGIONALIZADO LOTE 5'!F6</f>
        <v>1</v>
      </c>
      <c r="G27" s="95">
        <f>+'DATOS REGIONALIZADO LOTE 5'!G6</f>
        <v>0</v>
      </c>
      <c r="H27" s="95">
        <f>+'DATOS REGIONALIZADO LOTE 5'!H6</f>
        <v>0</v>
      </c>
      <c r="I27" s="95">
        <f>+'DATOS REGIONALIZADO LOTE 5'!I6</f>
        <v>0</v>
      </c>
      <c r="J27" s="95">
        <f>+'DATOS REGIONALIZADO LOTE 5'!J6</f>
        <v>0</v>
      </c>
      <c r="K27" s="95">
        <f>+'DATOS REGIONALIZADO LOTE 5'!K6</f>
        <v>0</v>
      </c>
      <c r="L27" s="95">
        <f>+'DATOS REGIONALIZADO LOTE 5'!L6</f>
        <v>0</v>
      </c>
      <c r="M27" s="95">
        <f>+'DATOS REGIONALIZADO LOTE 5'!M6</f>
        <v>0</v>
      </c>
      <c r="N27" s="95">
        <f>+'DATOS REGIONALIZADO LOTE 5'!N6</f>
        <v>1</v>
      </c>
      <c r="O27" s="95">
        <f>+'DATOS REGIONALIZADO LOTE 5'!O6</f>
        <v>73211033</v>
      </c>
      <c r="P27" s="95">
        <f>+'DATOS REGIONALIZADO LOTE 5'!P6</f>
        <v>0</v>
      </c>
      <c r="Q27" s="95">
        <f>+'DATOS REGIONALIZADO LOTE 5'!Q6</f>
        <v>73211033</v>
      </c>
      <c r="R27" s="95">
        <f>+'DATOS REGIONALIZADO LOTE 5'!R6</f>
        <v>0</v>
      </c>
      <c r="S27" s="95">
        <f>+'DATOS REGIONALIZADO LOTE 5'!S6</f>
        <v>0</v>
      </c>
      <c r="T27" s="95">
        <f>+'DATOS REGIONALIZADO LOTE 5'!T6</f>
        <v>0</v>
      </c>
      <c r="U27" s="95">
        <f>+'DATOS REGIONALIZADO LOTE 5'!U6</f>
        <v>0</v>
      </c>
      <c r="V27" s="95">
        <f>+'DATOS REGIONALIZADO LOTE 5'!V6</f>
        <v>0</v>
      </c>
      <c r="W27" s="95">
        <f>+'DATOS REGIONALIZADO LOTE 5'!W6</f>
        <v>0</v>
      </c>
      <c r="X27" s="95">
        <f>+'DATOS REGIONALIZADO LOTE 5'!X6</f>
        <v>0</v>
      </c>
      <c r="Y27" s="95">
        <f>+'DATOS REGIONALIZADO LOTE 5'!Y6</f>
        <v>73211033</v>
      </c>
      <c r="Z27" s="82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</row>
    <row r="28" spans="1:39" ht="11.25" x14ac:dyDescent="0.25">
      <c r="A28" s="95">
        <f>+'DATOS REGIONALIZADO LOTE 5'!A7</f>
        <v>5</v>
      </c>
      <c r="B28" s="95">
        <f>+'DATOS REGIONALIZADO LOTE 5'!B7</f>
        <v>17</v>
      </c>
      <c r="C28" s="112" t="str">
        <f>+'DATOS REGIONALIZADO LOTE 5'!C7</f>
        <v>Centrífuga de Piso refrigerada.</v>
      </c>
      <c r="D28" s="95" t="str">
        <f>+'DATOS REGIONALIZADO LOTE 5'!D7</f>
        <v>UNIDAD</v>
      </c>
      <c r="E28" s="95">
        <f>+'DATOS REGIONALIZADO LOTE 5'!E7</f>
        <v>0</v>
      </c>
      <c r="F28" s="95">
        <f>+'DATOS REGIONALIZADO LOTE 5'!F7</f>
        <v>2</v>
      </c>
      <c r="G28" s="95">
        <f>+'DATOS REGIONALIZADO LOTE 5'!G7</f>
        <v>0</v>
      </c>
      <c r="H28" s="95">
        <f>+'DATOS REGIONALIZADO LOTE 5'!H7</f>
        <v>0</v>
      </c>
      <c r="I28" s="95">
        <f>+'DATOS REGIONALIZADO LOTE 5'!I7</f>
        <v>0</v>
      </c>
      <c r="J28" s="95">
        <f>+'DATOS REGIONALIZADO LOTE 5'!J7</f>
        <v>0</v>
      </c>
      <c r="K28" s="95">
        <f>+'DATOS REGIONALIZADO LOTE 5'!K7</f>
        <v>0</v>
      </c>
      <c r="L28" s="95">
        <f>+'DATOS REGIONALIZADO LOTE 5'!L7</f>
        <v>0</v>
      </c>
      <c r="M28" s="95">
        <f>+'DATOS REGIONALIZADO LOTE 5'!M7</f>
        <v>0</v>
      </c>
      <c r="N28" s="95">
        <f>+'DATOS REGIONALIZADO LOTE 5'!N7</f>
        <v>2</v>
      </c>
      <c r="O28" s="95">
        <f>+'DATOS REGIONALIZADO LOTE 5'!O7</f>
        <v>111426840</v>
      </c>
      <c r="P28" s="95">
        <f>+'DATOS REGIONALIZADO LOTE 5'!P7</f>
        <v>0</v>
      </c>
      <c r="Q28" s="95">
        <f>+'DATOS REGIONALIZADO LOTE 5'!Q7</f>
        <v>222853680</v>
      </c>
      <c r="R28" s="95">
        <f>+'DATOS REGIONALIZADO LOTE 5'!R7</f>
        <v>0</v>
      </c>
      <c r="S28" s="95">
        <f>+'DATOS REGIONALIZADO LOTE 5'!S7</f>
        <v>0</v>
      </c>
      <c r="T28" s="95">
        <f>+'DATOS REGIONALIZADO LOTE 5'!T7</f>
        <v>0</v>
      </c>
      <c r="U28" s="95">
        <f>+'DATOS REGIONALIZADO LOTE 5'!U7</f>
        <v>0</v>
      </c>
      <c r="V28" s="95">
        <f>+'DATOS REGIONALIZADO LOTE 5'!V7</f>
        <v>0</v>
      </c>
      <c r="W28" s="95">
        <f>+'DATOS REGIONALIZADO LOTE 5'!W7</f>
        <v>0</v>
      </c>
      <c r="X28" s="95">
        <f>+'DATOS REGIONALIZADO LOTE 5'!X7</f>
        <v>0</v>
      </c>
      <c r="Y28" s="95">
        <f>+'DATOS REGIONALIZADO LOTE 5'!Y7</f>
        <v>222853680</v>
      </c>
      <c r="Z28" s="82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</row>
    <row r="29" spans="1:39" ht="22.5" x14ac:dyDescent="0.25">
      <c r="A29" s="95">
        <f>+'DATOS REGIONALIZADO LOTE 5'!A8</f>
        <v>5</v>
      </c>
      <c r="B29" s="95">
        <f>+'DATOS REGIONALIZADO LOTE 5'!B8</f>
        <v>18</v>
      </c>
      <c r="C29" s="112" t="str">
        <f>+'DATOS REGIONALIZADO LOTE 5'!C8</f>
        <v>Microcentrífuga de alta velocidad tipo MiniSpli</v>
      </c>
      <c r="D29" s="95" t="str">
        <f>+'DATOS REGIONALIZADO LOTE 5'!D8</f>
        <v>UNIDAD</v>
      </c>
      <c r="E29" s="95">
        <f>+'DATOS REGIONALIZADO LOTE 5'!E8</f>
        <v>0</v>
      </c>
      <c r="F29" s="95">
        <f>+'DATOS REGIONALIZADO LOTE 5'!F8</f>
        <v>2</v>
      </c>
      <c r="G29" s="95">
        <f>+'DATOS REGIONALIZADO LOTE 5'!G8</f>
        <v>0</v>
      </c>
      <c r="H29" s="95">
        <f>+'DATOS REGIONALIZADO LOTE 5'!H8</f>
        <v>0</v>
      </c>
      <c r="I29" s="95">
        <f>+'DATOS REGIONALIZADO LOTE 5'!I8</f>
        <v>0</v>
      </c>
      <c r="J29" s="95">
        <f>+'DATOS REGIONALIZADO LOTE 5'!J8</f>
        <v>0</v>
      </c>
      <c r="K29" s="95">
        <f>+'DATOS REGIONALIZADO LOTE 5'!K8</f>
        <v>0</v>
      </c>
      <c r="L29" s="95">
        <f>+'DATOS REGIONALIZADO LOTE 5'!L8</f>
        <v>0</v>
      </c>
      <c r="M29" s="95">
        <f>+'DATOS REGIONALIZADO LOTE 5'!M8</f>
        <v>0</v>
      </c>
      <c r="N29" s="95">
        <f>+'DATOS REGIONALIZADO LOTE 5'!N8</f>
        <v>2</v>
      </c>
      <c r="O29" s="95">
        <f>+'DATOS REGIONALIZADO LOTE 5'!O8</f>
        <v>7474549</v>
      </c>
      <c r="P29" s="95">
        <f>+'DATOS REGIONALIZADO LOTE 5'!P8</f>
        <v>0</v>
      </c>
      <c r="Q29" s="95">
        <f>+'DATOS REGIONALIZADO LOTE 5'!Q8</f>
        <v>14949098</v>
      </c>
      <c r="R29" s="95">
        <f>+'DATOS REGIONALIZADO LOTE 5'!R8</f>
        <v>0</v>
      </c>
      <c r="S29" s="95">
        <f>+'DATOS REGIONALIZADO LOTE 5'!S8</f>
        <v>0</v>
      </c>
      <c r="T29" s="95">
        <f>+'DATOS REGIONALIZADO LOTE 5'!T8</f>
        <v>0</v>
      </c>
      <c r="U29" s="95">
        <f>+'DATOS REGIONALIZADO LOTE 5'!U8</f>
        <v>0</v>
      </c>
      <c r="V29" s="95">
        <f>+'DATOS REGIONALIZADO LOTE 5'!V8</f>
        <v>0</v>
      </c>
      <c r="W29" s="95">
        <f>+'DATOS REGIONALIZADO LOTE 5'!W8</f>
        <v>0</v>
      </c>
      <c r="X29" s="95">
        <f>+'DATOS REGIONALIZADO LOTE 5'!X8</f>
        <v>0</v>
      </c>
      <c r="Y29" s="95">
        <f>+'DATOS REGIONALIZADO LOTE 5'!Y8</f>
        <v>14949098</v>
      </c>
      <c r="Z29" s="82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</row>
    <row r="30" spans="1:39" ht="22.5" x14ac:dyDescent="0.25">
      <c r="A30" s="95">
        <f>+'DATOS REGIONALIZADO LOTE 6'!A5</f>
        <v>6</v>
      </c>
      <c r="B30" s="95">
        <f>+'DATOS REGIONALIZADO LOTE 6'!B5</f>
        <v>19</v>
      </c>
      <c r="C30" s="113" t="str">
        <f>+'DATOS REGIONALIZADO LOTE 6'!C5</f>
        <v xml:space="preserve">scaner  3D  portatil e inalambrico  CR de  alta precisión  </v>
      </c>
      <c r="D30" s="95" t="str">
        <f>+'DATOS REGIONALIZADO LOTE 6'!D5</f>
        <v>UNIDAD</v>
      </c>
      <c r="E30" s="95">
        <f>+'DATOS REGIONALIZADO LOTE 6'!E5</f>
        <v>1</v>
      </c>
      <c r="F30" s="95">
        <f>+'DATOS REGIONALIZADO LOTE 6'!F5</f>
        <v>0</v>
      </c>
      <c r="G30" s="95">
        <f>+'DATOS REGIONALIZADO LOTE 6'!G5</f>
        <v>0</v>
      </c>
      <c r="H30" s="95">
        <f>+'DATOS REGIONALIZADO LOTE 6'!H5</f>
        <v>0</v>
      </c>
      <c r="I30" s="95">
        <f>+'DATOS REGIONALIZADO LOTE 6'!I5</f>
        <v>0</v>
      </c>
      <c r="J30" s="95">
        <f>+'DATOS REGIONALIZADO LOTE 6'!J5</f>
        <v>0</v>
      </c>
      <c r="K30" s="95">
        <f>+'DATOS REGIONALIZADO LOTE 6'!K5</f>
        <v>0</v>
      </c>
      <c r="L30" s="95">
        <f>+'DATOS REGIONALIZADO LOTE 6'!L5</f>
        <v>0</v>
      </c>
      <c r="M30" s="95">
        <f>+'DATOS REGIONALIZADO LOTE 6'!M5</f>
        <v>0</v>
      </c>
      <c r="N30" s="95">
        <f>+'DATOS REGIONALIZADO LOTE 6'!N5</f>
        <v>1</v>
      </c>
      <c r="O30" s="95">
        <f>+'DATOS REGIONALIZADO LOTE 6'!O5</f>
        <v>19359943</v>
      </c>
      <c r="P30" s="95">
        <f>+'DATOS REGIONALIZADO LOTE 6'!P5</f>
        <v>19359943</v>
      </c>
      <c r="Q30" s="95">
        <f>+'DATOS REGIONALIZADO LOTE 6'!Q5</f>
        <v>0</v>
      </c>
      <c r="R30" s="95">
        <f>+'DATOS REGIONALIZADO LOTE 6'!R5</f>
        <v>0</v>
      </c>
      <c r="S30" s="95">
        <f>+'DATOS REGIONALIZADO LOTE 6'!S5</f>
        <v>0</v>
      </c>
      <c r="T30" s="95">
        <f>+'DATOS REGIONALIZADO LOTE 6'!T5</f>
        <v>0</v>
      </c>
      <c r="U30" s="95">
        <f>+'DATOS REGIONALIZADO LOTE 6'!U5</f>
        <v>0</v>
      </c>
      <c r="V30" s="95">
        <f>+'DATOS REGIONALIZADO LOTE 6'!V5</f>
        <v>0</v>
      </c>
      <c r="W30" s="95">
        <f>+'DATOS REGIONALIZADO LOTE 6'!W5</f>
        <v>0</v>
      </c>
      <c r="X30" s="95">
        <f>+'DATOS REGIONALIZADO LOTE 6'!X5</f>
        <v>0</v>
      </c>
      <c r="Y30" s="95">
        <f>+'DATOS REGIONALIZADO LOTE 6'!Y5</f>
        <v>19359943</v>
      </c>
      <c r="Z30" s="82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</row>
    <row r="31" spans="1:39" ht="11.25" x14ac:dyDescent="0.25">
      <c r="A31" s="95">
        <f>+'DATOS REGIONALIZADO LOTE 6'!A6</f>
        <v>6</v>
      </c>
      <c r="B31" s="95">
        <f>+'DATOS REGIONALIZADO LOTE 6'!B6</f>
        <v>20</v>
      </c>
      <c r="C31" s="113" t="str">
        <f>+'DATOS REGIONALIZADO LOTE 6'!C6</f>
        <v>impresora  3D</v>
      </c>
      <c r="D31" s="95" t="str">
        <f>+'DATOS REGIONALIZADO LOTE 6'!D6</f>
        <v>UNIDAD</v>
      </c>
      <c r="E31" s="95">
        <f>+'DATOS REGIONALIZADO LOTE 6'!E6</f>
        <v>1</v>
      </c>
      <c r="F31" s="95">
        <f>+'DATOS REGIONALIZADO LOTE 6'!F6</f>
        <v>0</v>
      </c>
      <c r="G31" s="95">
        <f>+'DATOS REGIONALIZADO LOTE 6'!G6</f>
        <v>0</v>
      </c>
      <c r="H31" s="95">
        <f>+'DATOS REGIONALIZADO LOTE 6'!H6</f>
        <v>0</v>
      </c>
      <c r="I31" s="95">
        <f>+'DATOS REGIONALIZADO LOTE 6'!I6</f>
        <v>0</v>
      </c>
      <c r="J31" s="95">
        <f>+'DATOS REGIONALIZADO LOTE 6'!J6</f>
        <v>0</v>
      </c>
      <c r="K31" s="95">
        <f>+'DATOS REGIONALIZADO LOTE 6'!K6</f>
        <v>0</v>
      </c>
      <c r="L31" s="95">
        <f>+'DATOS REGIONALIZADO LOTE 6'!L6</f>
        <v>0</v>
      </c>
      <c r="M31" s="95">
        <f>+'DATOS REGIONALIZADO LOTE 6'!M6</f>
        <v>0</v>
      </c>
      <c r="N31" s="95">
        <f>+'DATOS REGIONALIZADO LOTE 6'!N6</f>
        <v>1</v>
      </c>
      <c r="O31" s="95">
        <f>+'DATOS REGIONALIZADO LOTE 6'!O6</f>
        <v>15473202</v>
      </c>
      <c r="P31" s="95">
        <f>+'DATOS REGIONALIZADO LOTE 6'!P6</f>
        <v>15473202</v>
      </c>
      <c r="Q31" s="95">
        <f>+'DATOS REGIONALIZADO LOTE 6'!Q6</f>
        <v>0</v>
      </c>
      <c r="R31" s="95">
        <f>+'DATOS REGIONALIZADO LOTE 6'!R6</f>
        <v>0</v>
      </c>
      <c r="S31" s="95">
        <f>+'DATOS REGIONALIZADO LOTE 6'!S6</f>
        <v>0</v>
      </c>
      <c r="T31" s="95">
        <f>+'DATOS REGIONALIZADO LOTE 6'!T6</f>
        <v>0</v>
      </c>
      <c r="U31" s="95">
        <f>+'DATOS REGIONALIZADO LOTE 6'!U6</f>
        <v>0</v>
      </c>
      <c r="V31" s="95">
        <f>+'DATOS REGIONALIZADO LOTE 6'!V6</f>
        <v>0</v>
      </c>
      <c r="W31" s="95">
        <f>+'DATOS REGIONALIZADO LOTE 6'!W6</f>
        <v>0</v>
      </c>
      <c r="X31" s="95">
        <f>+'DATOS REGIONALIZADO LOTE 6'!X6</f>
        <v>0</v>
      </c>
      <c r="Y31" s="95">
        <f>+'DATOS REGIONALIZADO LOTE 6'!Y6</f>
        <v>15473202</v>
      </c>
      <c r="Z31" s="82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</row>
    <row r="32" spans="1:39" ht="14.25" customHeight="1" x14ac:dyDescent="0.25">
      <c r="A32" s="95"/>
      <c r="B32" s="354" t="s">
        <v>75</v>
      </c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95">
        <f t="shared" ref="P32:X32" si="4">+SUM(P5:P31)</f>
        <v>1896332313</v>
      </c>
      <c r="Q32" s="95">
        <f t="shared" si="4"/>
        <v>620161472</v>
      </c>
      <c r="R32" s="95">
        <f t="shared" si="4"/>
        <v>0</v>
      </c>
      <c r="S32" s="95">
        <f t="shared" si="4"/>
        <v>0</v>
      </c>
      <c r="T32" s="95">
        <f t="shared" si="4"/>
        <v>0</v>
      </c>
      <c r="U32" s="95">
        <f t="shared" si="4"/>
        <v>0</v>
      </c>
      <c r="V32" s="95">
        <f t="shared" si="4"/>
        <v>0</v>
      </c>
      <c r="W32" s="95">
        <f t="shared" si="4"/>
        <v>0</v>
      </c>
      <c r="X32" s="95">
        <f t="shared" si="4"/>
        <v>0</v>
      </c>
      <c r="Y32" s="95">
        <f>+SUM(Y5:Y31)</f>
        <v>2516493785</v>
      </c>
      <c r="Z32" s="82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</row>
    <row r="33" spans="1:31" ht="15" customHeight="1" x14ac:dyDescent="0.25">
      <c r="A33" s="96"/>
      <c r="B33" s="96"/>
      <c r="C33" s="97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104"/>
      <c r="O33" s="104"/>
      <c r="P33" s="104" t="s">
        <v>57</v>
      </c>
      <c r="Q33" s="104" t="s">
        <v>18</v>
      </c>
      <c r="R33" s="96"/>
      <c r="S33" s="96"/>
      <c r="T33" s="96"/>
      <c r="U33" s="96"/>
      <c r="V33" s="96"/>
      <c r="W33" s="96"/>
      <c r="X33" s="96"/>
      <c r="Y33" s="96"/>
      <c r="AA33" s="83"/>
      <c r="AB33" s="83"/>
      <c r="AC33" s="83"/>
      <c r="AD33" s="83"/>
      <c r="AE33" s="83"/>
    </row>
    <row r="34" spans="1:31" ht="25.15" customHeight="1" x14ac:dyDescent="0.25">
      <c r="M34" s="102"/>
      <c r="N34" s="349" t="s">
        <v>76</v>
      </c>
      <c r="O34" s="349"/>
      <c r="P34" s="105">
        <f>+P32/Y32</f>
        <v>0.75356129401289185</v>
      </c>
      <c r="Q34" s="105">
        <f>1-P34</f>
        <v>0.24643870598710815</v>
      </c>
      <c r="R34" s="103"/>
      <c r="AA34" s="83"/>
      <c r="AB34" s="83"/>
      <c r="AC34" s="83"/>
      <c r="AD34" s="83"/>
      <c r="AE34" s="83"/>
    </row>
    <row r="35" spans="1:31" ht="15" customHeight="1" x14ac:dyDescent="0.25"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4"/>
      <c r="O35" s="104"/>
      <c r="P35" s="104"/>
      <c r="Q35" s="104"/>
      <c r="R35" s="107"/>
      <c r="S35" s="107"/>
      <c r="T35" s="107"/>
      <c r="U35" s="107"/>
      <c r="V35" s="107"/>
      <c r="W35" s="107"/>
      <c r="X35" s="107"/>
      <c r="Y35" s="107"/>
      <c r="AA35" s="83"/>
      <c r="AB35" s="83"/>
      <c r="AC35" s="83"/>
      <c r="AD35" s="83"/>
      <c r="AE35" s="83"/>
    </row>
    <row r="36" spans="1:31" ht="15" customHeight="1" x14ac:dyDescent="0.25">
      <c r="C36" s="106"/>
      <c r="D36" s="353" t="s">
        <v>77</v>
      </c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>
        <v>1850000000</v>
      </c>
      <c r="Q36" s="353"/>
      <c r="R36" s="353"/>
      <c r="S36" s="353"/>
      <c r="T36" s="353"/>
      <c r="U36" s="353"/>
      <c r="V36" s="353"/>
      <c r="W36" s="353"/>
      <c r="X36" s="353"/>
      <c r="Y36" s="353"/>
      <c r="Z36" s="103"/>
      <c r="AA36" s="83"/>
      <c r="AB36" s="83"/>
      <c r="AC36" s="83"/>
      <c r="AD36" s="83"/>
      <c r="AE36" s="83"/>
    </row>
    <row r="37" spans="1:31" ht="15" customHeight="1" x14ac:dyDescent="0.25">
      <c r="C37" s="106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103"/>
      <c r="AA37" s="83"/>
      <c r="AB37" s="83"/>
      <c r="AC37" s="83"/>
      <c r="AD37" s="83"/>
      <c r="AE37" s="83"/>
    </row>
    <row r="38" spans="1:31" ht="15" customHeight="1" x14ac:dyDescent="0.25">
      <c r="C38" s="106"/>
      <c r="D38" s="353" t="s">
        <v>78</v>
      </c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>
        <f>+Y32-P36</f>
        <v>666493785</v>
      </c>
      <c r="Q38" s="353"/>
      <c r="R38" s="353"/>
      <c r="S38" s="353"/>
      <c r="T38" s="353"/>
      <c r="U38" s="353"/>
      <c r="V38" s="353"/>
      <c r="W38" s="353"/>
      <c r="X38" s="353"/>
      <c r="Y38" s="353"/>
      <c r="Z38" s="103"/>
      <c r="AA38" s="83"/>
      <c r="AB38" s="83"/>
      <c r="AC38" s="83"/>
      <c r="AD38" s="83"/>
      <c r="AE38" s="83"/>
    </row>
    <row r="39" spans="1:31" ht="15" customHeight="1" x14ac:dyDescent="0.25">
      <c r="C39" s="106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103"/>
      <c r="AA39" s="83"/>
      <c r="AB39" s="83"/>
      <c r="AC39" s="83"/>
      <c r="AD39" s="83"/>
      <c r="AE39" s="83"/>
    </row>
    <row r="40" spans="1:31" ht="15" customHeight="1" x14ac:dyDescent="0.25"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</row>
    <row r="41" spans="1:31" ht="15" customHeight="1" x14ac:dyDescent="0.25"/>
    <row r="42" spans="1:31" ht="15" customHeight="1" x14ac:dyDescent="0.25"/>
    <row r="43" spans="1:31" ht="15" customHeight="1" x14ac:dyDescent="0.25"/>
    <row r="44" spans="1:31" ht="15" customHeight="1" x14ac:dyDescent="0.25"/>
    <row r="45" spans="1:31" ht="15" customHeight="1" x14ac:dyDescent="0.25"/>
    <row r="46" spans="1:31" ht="15" customHeight="1" x14ac:dyDescent="0.25"/>
    <row r="47" spans="1:31" ht="15" customHeight="1" x14ac:dyDescent="0.25"/>
    <row r="48" spans="1:31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</sheetData>
  <mergeCells count="17">
    <mergeCell ref="D36:O37"/>
    <mergeCell ref="P36:Y37"/>
    <mergeCell ref="D38:O39"/>
    <mergeCell ref="P38:Y39"/>
    <mergeCell ref="B32:O32"/>
    <mergeCell ref="B1:N1"/>
    <mergeCell ref="O1:O4"/>
    <mergeCell ref="P1:Y1"/>
    <mergeCell ref="N34:O34"/>
    <mergeCell ref="A2:A4"/>
    <mergeCell ref="B2:B4"/>
    <mergeCell ref="C2:C4"/>
    <mergeCell ref="D2:D4"/>
    <mergeCell ref="E2:M3"/>
    <mergeCell ref="N2:N4"/>
    <mergeCell ref="P2:X3"/>
    <mergeCell ref="Y2:Y4"/>
  </mergeCells>
  <pageMargins left="0.70866141732283472" right="0.70866141732283472" top="0.74803149606299213" bottom="0.74803149606299213" header="0" footer="0"/>
  <pageSetup scale="62" orientation="landscape" r:id="rId1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rowBreaks count="1" manualBreakCount="1">
    <brk id="40" max="26" man="1"/>
  </row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6"/>
  <sheetViews>
    <sheetView zoomScale="85" zoomScaleNormal="85" workbookViewId="0">
      <selection activeCell="A11" sqref="A11:XFD12"/>
    </sheetView>
  </sheetViews>
  <sheetFormatPr baseColWidth="10" defaultColWidth="0" defaultRowHeight="15" customHeight="1" x14ac:dyDescent="0.25"/>
  <cols>
    <col min="1" max="1" width="4.28515625" style="85" customWidth="1"/>
    <col min="2" max="2" width="5" style="85" customWidth="1"/>
    <col min="3" max="3" width="53.42578125" style="85" customWidth="1"/>
    <col min="4" max="4" width="27.28515625" style="85" bestFit="1" customWidth="1"/>
    <col min="5" max="5" width="13.28515625" style="85" customWidth="1"/>
    <col min="6" max="6" width="11.5703125" style="85" customWidth="1"/>
    <col min="7" max="13" width="11.5703125" style="85" hidden="1" customWidth="1"/>
    <col min="14" max="14" width="11.5703125" style="85" customWidth="1"/>
    <col min="15" max="15" width="14.28515625" style="85" customWidth="1"/>
    <col min="16" max="17" width="13" style="85" customWidth="1"/>
    <col min="18" max="23" width="13" style="85" hidden="1" customWidth="1"/>
    <col min="24" max="24" width="15.7109375" style="85" hidden="1" customWidth="1"/>
    <col min="25" max="25" width="14.7109375" style="85" customWidth="1"/>
    <col min="26" max="27" width="11.42578125" style="85" customWidth="1"/>
    <col min="28" max="28" width="15" style="85" customWidth="1"/>
    <col min="29" max="31" width="23.28515625" style="85" customWidth="1"/>
    <col min="32" max="32" width="24.5703125" style="85" customWidth="1"/>
    <col min="33" max="33" width="23.28515625" style="85" customWidth="1"/>
    <col min="34" max="38" width="11.42578125" style="85" hidden="1" customWidth="1"/>
    <col min="39" max="16384" width="0" style="85" hidden="1"/>
  </cols>
  <sheetData>
    <row r="1" spans="1:40" s="77" customFormat="1" ht="8.25" x14ac:dyDescent="0.25">
      <c r="A1" s="72"/>
      <c r="B1" s="371" t="s">
        <v>39</v>
      </c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3"/>
      <c r="O1" s="374" t="s">
        <v>40</v>
      </c>
      <c r="P1" s="375" t="s">
        <v>41</v>
      </c>
      <c r="Q1" s="376"/>
      <c r="R1" s="376"/>
      <c r="S1" s="376"/>
      <c r="T1" s="376"/>
      <c r="U1" s="376"/>
      <c r="V1" s="376"/>
      <c r="W1" s="376"/>
      <c r="X1" s="377"/>
      <c r="Y1" s="378"/>
      <c r="Z1" s="73"/>
      <c r="AA1" s="379" t="s">
        <v>42</v>
      </c>
      <c r="AB1" s="380"/>
      <c r="AC1" s="74"/>
      <c r="AD1" s="74"/>
      <c r="AE1" s="74"/>
      <c r="AF1" s="74"/>
      <c r="AG1" s="74"/>
      <c r="AH1" s="74"/>
      <c r="AI1" s="74"/>
      <c r="AJ1" s="74"/>
      <c r="AK1" s="74"/>
      <c r="AL1" s="74"/>
    </row>
    <row r="2" spans="1:40" s="77" customFormat="1" ht="7.9" customHeight="1" x14ac:dyDescent="0.25">
      <c r="A2" s="356" t="s">
        <v>45</v>
      </c>
      <c r="B2" s="359" t="s">
        <v>46</v>
      </c>
      <c r="C2" s="362" t="s">
        <v>47</v>
      </c>
      <c r="D2" s="359" t="s">
        <v>48</v>
      </c>
      <c r="E2" s="365" t="s">
        <v>49</v>
      </c>
      <c r="F2" s="366"/>
      <c r="G2" s="366"/>
      <c r="H2" s="366"/>
      <c r="I2" s="366"/>
      <c r="J2" s="366"/>
      <c r="K2" s="366"/>
      <c r="L2" s="366"/>
      <c r="M2" s="367"/>
      <c r="N2" s="359" t="s">
        <v>50</v>
      </c>
      <c r="O2" s="360"/>
      <c r="P2" s="365" t="s">
        <v>51</v>
      </c>
      <c r="Q2" s="366"/>
      <c r="R2" s="366"/>
      <c r="S2" s="366"/>
      <c r="T2" s="366"/>
      <c r="U2" s="366"/>
      <c r="V2" s="366"/>
      <c r="W2" s="366"/>
      <c r="X2" s="381"/>
      <c r="Y2" s="359" t="s">
        <v>52</v>
      </c>
      <c r="Z2" s="73"/>
      <c r="AA2" s="76" t="s">
        <v>53</v>
      </c>
      <c r="AB2" s="76" t="s">
        <v>54</v>
      </c>
      <c r="AC2" s="329" t="s">
        <v>79</v>
      </c>
      <c r="AD2" s="74"/>
      <c r="AE2" s="74"/>
      <c r="AF2" s="74"/>
      <c r="AG2" s="74"/>
      <c r="AH2" s="74"/>
      <c r="AI2" s="74"/>
      <c r="AJ2" s="74"/>
      <c r="AK2" s="74"/>
      <c r="AL2" s="74"/>
    </row>
    <row r="3" spans="1:40" s="77" customFormat="1" ht="13.9" customHeight="1" x14ac:dyDescent="0.25">
      <c r="A3" s="357"/>
      <c r="B3" s="360"/>
      <c r="C3" s="360"/>
      <c r="D3" s="363"/>
      <c r="E3" s="368"/>
      <c r="F3" s="369"/>
      <c r="G3" s="369"/>
      <c r="H3" s="369"/>
      <c r="I3" s="369"/>
      <c r="J3" s="369"/>
      <c r="K3" s="369"/>
      <c r="L3" s="369"/>
      <c r="M3" s="370"/>
      <c r="N3" s="363"/>
      <c r="O3" s="360"/>
      <c r="P3" s="368"/>
      <c r="Q3" s="369"/>
      <c r="R3" s="369"/>
      <c r="S3" s="369"/>
      <c r="T3" s="369"/>
      <c r="U3" s="369"/>
      <c r="V3" s="369"/>
      <c r="W3" s="369"/>
      <c r="X3" s="370"/>
      <c r="Y3" s="363"/>
      <c r="Z3" s="73"/>
      <c r="AA3" s="76" t="str">
        <f>+P4</f>
        <v>BOGOTÁ</v>
      </c>
      <c r="AB3" s="76">
        <f>+SUM(P5:P9)</f>
        <v>474415466</v>
      </c>
      <c r="AC3" s="330" t="b">
        <f>+Tabla3[[#This Row],[VALOR TOTAL]]=P10</f>
        <v>1</v>
      </c>
      <c r="AD3" s="74"/>
      <c r="AE3" s="74"/>
      <c r="AF3" s="74"/>
      <c r="AG3" s="74"/>
      <c r="AH3" s="74"/>
      <c r="AI3" s="74"/>
      <c r="AJ3" s="74"/>
      <c r="AK3" s="74"/>
      <c r="AL3" s="74"/>
    </row>
    <row r="4" spans="1:40" s="77" customFormat="1" ht="18" x14ac:dyDescent="0.25">
      <c r="A4" s="358"/>
      <c r="B4" s="361"/>
      <c r="C4" s="361"/>
      <c r="D4" s="364"/>
      <c r="E4" s="78" t="s">
        <v>57</v>
      </c>
      <c r="F4" s="78" t="s">
        <v>18</v>
      </c>
      <c r="G4" s="78" t="s">
        <v>58</v>
      </c>
      <c r="H4" s="78" t="s">
        <v>59</v>
      </c>
      <c r="I4" s="78" t="s">
        <v>60</v>
      </c>
      <c r="J4" s="78" t="s">
        <v>61</v>
      </c>
      <c r="K4" s="78" t="s">
        <v>62</v>
      </c>
      <c r="L4" s="78" t="s">
        <v>63</v>
      </c>
      <c r="M4" s="78" t="s">
        <v>64</v>
      </c>
      <c r="N4" s="364"/>
      <c r="O4" s="361"/>
      <c r="P4" s="79" t="str">
        <f>+E4</f>
        <v>BOGOTÁ</v>
      </c>
      <c r="Q4" s="79" t="str">
        <f t="shared" ref="Q4:X4" si="0">+F4</f>
        <v>ORIENTE</v>
      </c>
      <c r="R4" s="79" t="str">
        <f t="shared" si="0"/>
        <v xml:space="preserve">CENTRAL </v>
      </c>
      <c r="S4" s="79" t="str">
        <f t="shared" si="0"/>
        <v xml:space="preserve">SUR </v>
      </c>
      <c r="T4" s="79" t="str">
        <f t="shared" si="0"/>
        <v xml:space="preserve">NORTE </v>
      </c>
      <c r="U4" s="79" t="str">
        <f t="shared" si="0"/>
        <v xml:space="preserve">OCCIDENTE </v>
      </c>
      <c r="V4" s="79" t="str">
        <f t="shared" si="0"/>
        <v xml:space="preserve">NOROCCIDENTE </v>
      </c>
      <c r="W4" s="79" t="str">
        <f t="shared" si="0"/>
        <v xml:space="preserve">SUROCCIDENTE </v>
      </c>
      <c r="X4" s="79" t="str">
        <f t="shared" si="0"/>
        <v xml:space="preserve">NORORIENTE </v>
      </c>
      <c r="Y4" s="364"/>
      <c r="Z4" s="73"/>
      <c r="AA4" s="76" t="str">
        <f>+Q4</f>
        <v>ORIENTE</v>
      </c>
      <c r="AB4" s="76">
        <f>SUM(Q5:Q9)</f>
        <v>43091313</v>
      </c>
      <c r="AC4" s="331" t="b">
        <f>+Y9=Tabla3[[#This Row],[VALOR TOTAL]]</f>
        <v>1</v>
      </c>
      <c r="AD4" s="74"/>
      <c r="AE4" s="74"/>
      <c r="AF4" s="74"/>
      <c r="AG4" s="74"/>
      <c r="AH4" s="74"/>
      <c r="AI4" s="74"/>
      <c r="AJ4" s="74"/>
      <c r="AK4" s="74"/>
      <c r="AL4" s="74"/>
    </row>
    <row r="5" spans="1:40" s="214" customFormat="1" ht="33.75" x14ac:dyDescent="0.25">
      <c r="A5" s="81">
        <v>1</v>
      </c>
      <c r="B5" s="81">
        <v>1</v>
      </c>
      <c r="C5" s="81" t="s">
        <v>80</v>
      </c>
      <c r="D5" s="81" t="s">
        <v>81</v>
      </c>
      <c r="E5" s="81">
        <v>3</v>
      </c>
      <c r="F5" s="81">
        <v>0</v>
      </c>
      <c r="G5" s="81">
        <v>0</v>
      </c>
      <c r="H5" s="81">
        <v>0</v>
      </c>
      <c r="I5" s="81">
        <v>0</v>
      </c>
      <c r="J5" s="81">
        <v>0</v>
      </c>
      <c r="K5" s="81">
        <v>0</v>
      </c>
      <c r="L5" s="81">
        <v>0</v>
      </c>
      <c r="M5" s="81">
        <v>0</v>
      </c>
      <c r="N5" s="81">
        <f>+E5+F5</f>
        <v>3</v>
      </c>
      <c r="O5" s="81">
        <v>64542518</v>
      </c>
      <c r="P5" s="81">
        <f>+E5*O5</f>
        <v>193627554</v>
      </c>
      <c r="Q5" s="81">
        <f>+F5*O5</f>
        <v>0</v>
      </c>
      <c r="R5" s="81">
        <f>+G5*O5</f>
        <v>0</v>
      </c>
      <c r="S5" s="81">
        <f>+H5*O5</f>
        <v>0</v>
      </c>
      <c r="T5" s="81">
        <f>+I5*O5</f>
        <v>0</v>
      </c>
      <c r="U5" s="81">
        <f>+J5*O5</f>
        <v>0</v>
      </c>
      <c r="V5" s="81">
        <f>+K5*O5</f>
        <v>0</v>
      </c>
      <c r="W5" s="81">
        <f>+L5*O5</f>
        <v>0</v>
      </c>
      <c r="X5" s="81">
        <f>+M5*O5</f>
        <v>0</v>
      </c>
      <c r="Y5" s="81">
        <f>+SUM(P5:X5)</f>
        <v>193627554</v>
      </c>
      <c r="Z5" s="338"/>
      <c r="AA5" s="339" t="s">
        <v>71</v>
      </c>
      <c r="AB5" s="339">
        <f>+SUM(AB3:AB4)</f>
        <v>517506779</v>
      </c>
      <c r="AC5" s="340" t="b">
        <f>+Y10=Tabla3[[#This Row],[VALOR TOTAL]]</f>
        <v>1</v>
      </c>
      <c r="AD5" s="341"/>
      <c r="AE5" s="341"/>
      <c r="AF5" s="341"/>
      <c r="AG5" s="341"/>
      <c r="AH5" s="341"/>
      <c r="AI5" s="341"/>
      <c r="AJ5" s="341"/>
      <c r="AK5" s="341"/>
      <c r="AL5" s="341"/>
    </row>
    <row r="6" spans="1:40" s="214" customFormat="1" ht="22.5" x14ac:dyDescent="0.25">
      <c r="A6" s="81">
        <v>1</v>
      </c>
      <c r="B6" s="81">
        <v>2</v>
      </c>
      <c r="C6" s="81" t="s">
        <v>82</v>
      </c>
      <c r="D6" s="81" t="s">
        <v>81</v>
      </c>
      <c r="E6" s="81">
        <v>1</v>
      </c>
      <c r="F6" s="81">
        <v>0</v>
      </c>
      <c r="G6" s="81">
        <v>0</v>
      </c>
      <c r="H6" s="81">
        <v>0</v>
      </c>
      <c r="I6" s="81">
        <v>0</v>
      </c>
      <c r="J6" s="81">
        <v>0</v>
      </c>
      <c r="K6" s="81">
        <v>0</v>
      </c>
      <c r="L6" s="81">
        <v>0</v>
      </c>
      <c r="M6" s="81">
        <v>0</v>
      </c>
      <c r="N6" s="81">
        <f t="shared" ref="N6:N9" si="1">+E6+F6</f>
        <v>1</v>
      </c>
      <c r="O6" s="81">
        <v>60791847</v>
      </c>
      <c r="P6" s="81">
        <f>+E6*O6</f>
        <v>60791847</v>
      </c>
      <c r="Q6" s="81">
        <f>+F6*O6</f>
        <v>0</v>
      </c>
      <c r="R6" s="81">
        <f t="shared" ref="R6:R9" si="2">+G6*O6</f>
        <v>0</v>
      </c>
      <c r="S6" s="81">
        <f t="shared" ref="S6:S9" si="3">+H6*O6</f>
        <v>0</v>
      </c>
      <c r="T6" s="81">
        <f t="shared" ref="T6:T9" si="4">+I6*O6</f>
        <v>0</v>
      </c>
      <c r="U6" s="81">
        <f t="shared" ref="U6:U9" si="5">+J6*O6</f>
        <v>0</v>
      </c>
      <c r="V6" s="81">
        <f t="shared" ref="V6:V9" si="6">+K6*O6</f>
        <v>0</v>
      </c>
      <c r="W6" s="81">
        <f t="shared" ref="W6:W9" si="7">+L6*O6</f>
        <v>0</v>
      </c>
      <c r="X6" s="81">
        <f t="shared" ref="X6:X9" si="8">+M6*O6</f>
        <v>0</v>
      </c>
      <c r="Y6" s="81">
        <f>+SUM(P6:X6)</f>
        <v>60791847</v>
      </c>
      <c r="Z6" s="338"/>
      <c r="AA6" s="342"/>
      <c r="AB6" s="342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40" s="214" customFormat="1" ht="22.5" x14ac:dyDescent="0.25">
      <c r="A7" s="81">
        <v>1</v>
      </c>
      <c r="B7" s="81">
        <v>3</v>
      </c>
      <c r="C7" s="81" t="s">
        <v>83</v>
      </c>
      <c r="D7" s="81" t="s">
        <v>81</v>
      </c>
      <c r="E7" s="81">
        <v>3</v>
      </c>
      <c r="F7" s="81">
        <v>0</v>
      </c>
      <c r="G7" s="81">
        <v>0</v>
      </c>
      <c r="H7" s="81">
        <v>0</v>
      </c>
      <c r="I7" s="81">
        <v>0</v>
      </c>
      <c r="J7" s="81">
        <v>0</v>
      </c>
      <c r="K7" s="81">
        <v>0</v>
      </c>
      <c r="L7" s="81">
        <v>0</v>
      </c>
      <c r="M7" s="81">
        <v>0</v>
      </c>
      <c r="N7" s="81">
        <f t="shared" si="1"/>
        <v>3</v>
      </c>
      <c r="O7" s="81">
        <v>55298393</v>
      </c>
      <c r="P7" s="81">
        <f>+E7*O7</f>
        <v>165895179</v>
      </c>
      <c r="Q7" s="81">
        <f>+F7*O7</f>
        <v>0</v>
      </c>
      <c r="R7" s="81">
        <f t="shared" si="2"/>
        <v>0</v>
      </c>
      <c r="S7" s="81">
        <f t="shared" si="3"/>
        <v>0</v>
      </c>
      <c r="T7" s="81">
        <f t="shared" si="4"/>
        <v>0</v>
      </c>
      <c r="U7" s="81">
        <f t="shared" si="5"/>
        <v>0</v>
      </c>
      <c r="V7" s="81">
        <f t="shared" si="6"/>
        <v>0</v>
      </c>
      <c r="W7" s="81">
        <f t="shared" si="7"/>
        <v>0</v>
      </c>
      <c r="X7" s="81">
        <f t="shared" si="8"/>
        <v>0</v>
      </c>
      <c r="Y7" s="81">
        <f>+SUM(P7:X7)</f>
        <v>165895179</v>
      </c>
      <c r="Z7" s="338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40" s="214" customFormat="1" ht="22.5" x14ac:dyDescent="0.25">
      <c r="A8" s="81">
        <v>1</v>
      </c>
      <c r="B8" s="81">
        <v>4</v>
      </c>
      <c r="C8" s="81" t="s">
        <v>84</v>
      </c>
      <c r="D8" s="81" t="s">
        <v>81</v>
      </c>
      <c r="E8" s="81">
        <v>1</v>
      </c>
      <c r="F8" s="81">
        <v>0</v>
      </c>
      <c r="G8" s="81">
        <v>0</v>
      </c>
      <c r="H8" s="81">
        <v>0</v>
      </c>
      <c r="I8" s="81">
        <v>0</v>
      </c>
      <c r="J8" s="81">
        <v>0</v>
      </c>
      <c r="K8" s="81">
        <v>0</v>
      </c>
      <c r="L8" s="81">
        <v>0</v>
      </c>
      <c r="M8" s="81">
        <v>0</v>
      </c>
      <c r="N8" s="81">
        <f t="shared" si="1"/>
        <v>1</v>
      </c>
      <c r="O8" s="81">
        <v>54100886</v>
      </c>
      <c r="P8" s="81">
        <f>+E8*O8</f>
        <v>54100886</v>
      </c>
      <c r="Q8" s="81">
        <f>+F8*O8</f>
        <v>0</v>
      </c>
      <c r="R8" s="81">
        <f t="shared" si="2"/>
        <v>0</v>
      </c>
      <c r="S8" s="81">
        <f t="shared" si="3"/>
        <v>0</v>
      </c>
      <c r="T8" s="81">
        <f t="shared" si="4"/>
        <v>0</v>
      </c>
      <c r="U8" s="81">
        <f t="shared" si="5"/>
        <v>0</v>
      </c>
      <c r="V8" s="81">
        <f t="shared" si="6"/>
        <v>0</v>
      </c>
      <c r="W8" s="81">
        <f t="shared" si="7"/>
        <v>0</v>
      </c>
      <c r="X8" s="81">
        <f t="shared" si="8"/>
        <v>0</v>
      </c>
      <c r="Y8" s="81">
        <f>+SUM(P8:X8)</f>
        <v>54100886</v>
      </c>
      <c r="Z8" s="338"/>
      <c r="AA8" s="341"/>
      <c r="AB8" s="341"/>
      <c r="AC8" s="341"/>
      <c r="AD8" s="341"/>
      <c r="AE8" s="341"/>
      <c r="AF8" s="341"/>
      <c r="AG8" s="341"/>
      <c r="AH8" s="341"/>
      <c r="AI8" s="341"/>
      <c r="AJ8" s="341"/>
      <c r="AK8" s="341"/>
      <c r="AL8" s="341"/>
    </row>
    <row r="9" spans="1:40" s="214" customFormat="1" ht="22.5" x14ac:dyDescent="0.25">
      <c r="A9" s="81">
        <v>1</v>
      </c>
      <c r="B9" s="81">
        <v>5</v>
      </c>
      <c r="C9" s="81" t="s">
        <v>85</v>
      </c>
      <c r="D9" s="81" t="s">
        <v>81</v>
      </c>
      <c r="E9" s="81">
        <v>0</v>
      </c>
      <c r="F9" s="81">
        <v>1</v>
      </c>
      <c r="G9" s="81">
        <v>0</v>
      </c>
      <c r="H9" s="81">
        <v>0</v>
      </c>
      <c r="I9" s="81">
        <v>0</v>
      </c>
      <c r="J9" s="81">
        <v>0</v>
      </c>
      <c r="K9" s="81">
        <v>0</v>
      </c>
      <c r="L9" s="81">
        <v>0</v>
      </c>
      <c r="M9" s="81">
        <v>0</v>
      </c>
      <c r="N9" s="81">
        <f t="shared" si="1"/>
        <v>1</v>
      </c>
      <c r="O9" s="81">
        <v>43091313</v>
      </c>
      <c r="P9" s="81">
        <f>+E9*O9</f>
        <v>0</v>
      </c>
      <c r="Q9" s="81">
        <f>+F9*O9</f>
        <v>43091313</v>
      </c>
      <c r="R9" s="81">
        <f t="shared" si="2"/>
        <v>0</v>
      </c>
      <c r="S9" s="81">
        <f t="shared" si="3"/>
        <v>0</v>
      </c>
      <c r="T9" s="81">
        <f t="shared" si="4"/>
        <v>0</v>
      </c>
      <c r="U9" s="81">
        <f t="shared" si="5"/>
        <v>0</v>
      </c>
      <c r="V9" s="81">
        <f t="shared" si="6"/>
        <v>0</v>
      </c>
      <c r="W9" s="81">
        <f t="shared" si="7"/>
        <v>0</v>
      </c>
      <c r="X9" s="81">
        <f t="shared" si="8"/>
        <v>0</v>
      </c>
      <c r="Y9" s="81">
        <f>+SUM(P9:X9)</f>
        <v>43091313</v>
      </c>
      <c r="Z9" s="338"/>
      <c r="AA9" s="341"/>
      <c r="AB9" s="341"/>
      <c r="AC9" s="341"/>
      <c r="AD9" s="341"/>
      <c r="AE9" s="341"/>
      <c r="AF9" s="341"/>
      <c r="AG9" s="341"/>
      <c r="AH9" s="341"/>
      <c r="AI9" s="341"/>
      <c r="AJ9" s="341"/>
      <c r="AK9" s="341"/>
      <c r="AL9" s="341"/>
    </row>
    <row r="10" spans="1:40" ht="14.25" customHeight="1" x14ac:dyDescent="0.25">
      <c r="A10" s="87"/>
      <c r="B10" s="384" t="s">
        <v>75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6"/>
      <c r="P10" s="80">
        <f>+SUM(P5:P9)</f>
        <v>474415466</v>
      </c>
      <c r="Q10" s="80">
        <f>+SUM(Q5:Q9)</f>
        <v>43091313</v>
      </c>
      <c r="R10" s="80">
        <f t="shared" ref="R10:X10" si="9">+SUM(R5:R9)</f>
        <v>0</v>
      </c>
      <c r="S10" s="80">
        <f t="shared" si="9"/>
        <v>0</v>
      </c>
      <c r="T10" s="80">
        <f t="shared" si="9"/>
        <v>0</v>
      </c>
      <c r="U10" s="80">
        <f t="shared" si="9"/>
        <v>0</v>
      </c>
      <c r="V10" s="80">
        <f t="shared" si="9"/>
        <v>0</v>
      </c>
      <c r="W10" s="80">
        <f t="shared" si="9"/>
        <v>0</v>
      </c>
      <c r="X10" s="80">
        <f t="shared" si="9"/>
        <v>0</v>
      </c>
      <c r="Y10" s="80">
        <f>SUM(Y5:Y9)</f>
        <v>517506779</v>
      </c>
      <c r="Z10" s="82"/>
      <c r="AC10" s="83"/>
      <c r="AD10" s="83"/>
      <c r="AE10" s="83"/>
      <c r="AF10" s="83"/>
      <c r="AG10" s="83"/>
      <c r="AH10" s="83"/>
      <c r="AI10" s="83"/>
      <c r="AJ10" s="83"/>
      <c r="AK10" s="83"/>
      <c r="AL10" s="83"/>
    </row>
    <row r="11" spans="1:40" ht="15" hidden="1" customHeight="1" x14ac:dyDescent="0.25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>
        <v>574752018</v>
      </c>
      <c r="Q11" s="83">
        <v>53949297</v>
      </c>
      <c r="R11" s="83"/>
      <c r="S11" s="83"/>
      <c r="T11" s="83"/>
      <c r="U11" s="83"/>
      <c r="V11" s="83"/>
      <c r="W11" s="83"/>
      <c r="X11" s="83"/>
      <c r="Y11" s="83">
        <v>628701315</v>
      </c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</row>
    <row r="12" spans="1:40" ht="15" hidden="1" customHeight="1" x14ac:dyDescent="0.25">
      <c r="A12" s="83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194">
        <f>+P11-P10-'DATOS REGIONALIZADO lote 7'!AG8</f>
        <v>60285956</v>
      </c>
      <c r="Q12" s="194">
        <f>+Q11-Q10</f>
        <v>10857984</v>
      </c>
      <c r="R12" s="83"/>
      <c r="S12" s="83"/>
      <c r="T12" s="83"/>
      <c r="U12" s="83"/>
      <c r="V12" s="83"/>
      <c r="W12" s="83"/>
      <c r="X12" s="83"/>
      <c r="Y12" s="83">
        <f>+P12+Q12</f>
        <v>71143940</v>
      </c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</row>
    <row r="13" spans="1:40" ht="15" customHeight="1" x14ac:dyDescent="0.25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</row>
    <row r="14" spans="1:40" ht="15" customHeight="1" x14ac:dyDescent="0.25">
      <c r="A14" s="83"/>
      <c r="B14" s="83"/>
      <c r="C14" s="388" t="s">
        <v>86</v>
      </c>
      <c r="D14" s="388"/>
      <c r="E14" s="388"/>
      <c r="F14" s="388"/>
      <c r="G14" s="388"/>
      <c r="H14" s="388"/>
      <c r="I14" s="388"/>
      <c r="J14" s="388"/>
      <c r="K14" s="388"/>
      <c r="L14" s="388"/>
      <c r="M14" s="388"/>
      <c r="N14" s="388"/>
      <c r="O14" s="388"/>
      <c r="P14" s="388"/>
      <c r="Q14" s="388"/>
      <c r="R14" s="388"/>
      <c r="S14" s="388"/>
      <c r="T14" s="388"/>
      <c r="U14" s="388"/>
      <c r="V14" s="388"/>
      <c r="W14" s="388"/>
      <c r="X14" s="388"/>
      <c r="Y14" s="388"/>
      <c r="Z14" s="332"/>
      <c r="AA14" s="332"/>
      <c r="AB14" s="332"/>
      <c r="AC14" s="332" t="s">
        <v>87</v>
      </c>
      <c r="AD14" s="332" t="s">
        <v>88</v>
      </c>
      <c r="AE14" s="332" t="s">
        <v>89</v>
      </c>
    </row>
    <row r="15" spans="1:40" ht="45.75" customHeight="1" x14ac:dyDescent="0.25">
      <c r="A15" s="83"/>
      <c r="B15" s="84"/>
      <c r="C15" s="387" t="str">
        <f>+C30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D15" s="387"/>
      <c r="E15" s="387"/>
      <c r="F15" s="387"/>
      <c r="G15" s="387"/>
      <c r="H15" s="387"/>
      <c r="I15" s="387"/>
      <c r="J15" s="387"/>
      <c r="K15" s="387"/>
      <c r="L15" s="387"/>
      <c r="M15" s="387"/>
      <c r="N15" s="387"/>
      <c r="O15" s="387"/>
      <c r="P15" s="387"/>
      <c r="Q15" s="387"/>
      <c r="R15" s="387"/>
      <c r="S15" s="387"/>
      <c r="T15" s="387"/>
      <c r="U15" s="387"/>
      <c r="V15" s="387"/>
      <c r="W15" s="387"/>
      <c r="X15" s="387"/>
      <c r="Y15" s="387"/>
      <c r="Z15" s="387"/>
      <c r="AA15" s="387"/>
      <c r="AB15" s="387"/>
      <c r="AC15" s="323">
        <f>+D30</f>
        <v>54100886</v>
      </c>
      <c r="AD15" s="323">
        <f>+E30</f>
        <v>0</v>
      </c>
      <c r="AE15" s="323">
        <f>+AC15+AD15</f>
        <v>54100886</v>
      </c>
    </row>
    <row r="16" spans="1:40" ht="64.5" customHeight="1" x14ac:dyDescent="0.25">
      <c r="A16" s="83"/>
      <c r="B16" s="84"/>
      <c r="C16" s="387" t="str">
        <f t="shared" ref="C16:C18" si="10">+C31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D16" s="387"/>
      <c r="E16" s="387"/>
      <c r="F16" s="387"/>
      <c r="G16" s="387"/>
      <c r="H16" s="387"/>
      <c r="I16" s="387"/>
      <c r="J16" s="387"/>
      <c r="K16" s="387"/>
      <c r="L16" s="387"/>
      <c r="M16" s="387"/>
      <c r="N16" s="387"/>
      <c r="O16" s="387"/>
      <c r="P16" s="387"/>
      <c r="Q16" s="387"/>
      <c r="R16" s="387"/>
      <c r="S16" s="387"/>
      <c r="T16" s="387"/>
      <c r="U16" s="387"/>
      <c r="V16" s="387"/>
      <c r="W16" s="387"/>
      <c r="X16" s="387"/>
      <c r="Y16" s="387"/>
      <c r="Z16" s="387"/>
      <c r="AA16" s="387"/>
      <c r="AB16" s="387"/>
      <c r="AC16" s="323">
        <f>+D31</f>
        <v>60791847</v>
      </c>
      <c r="AD16" s="323">
        <f t="shared" ref="AD16" si="11">+E31</f>
        <v>0</v>
      </c>
      <c r="AE16" s="323">
        <f>+AC16+AD16</f>
        <v>60791847</v>
      </c>
    </row>
    <row r="17" spans="1:38" ht="50.25" customHeight="1" x14ac:dyDescent="0.25">
      <c r="A17" s="83"/>
      <c r="B17" s="84"/>
      <c r="C17" s="387" t="str">
        <f t="shared" si="10"/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D17" s="387"/>
      <c r="E17" s="387"/>
      <c r="F17" s="387"/>
      <c r="G17" s="387"/>
      <c r="H17" s="387"/>
      <c r="I17" s="387"/>
      <c r="J17" s="387"/>
      <c r="K17" s="387"/>
      <c r="L17" s="387"/>
      <c r="M17" s="387"/>
      <c r="N17" s="387"/>
      <c r="O17" s="387"/>
      <c r="P17" s="387"/>
      <c r="Q17" s="387"/>
      <c r="R17" s="387"/>
      <c r="S17" s="387"/>
      <c r="T17" s="387"/>
      <c r="U17" s="387"/>
      <c r="V17" s="387"/>
      <c r="W17" s="387"/>
      <c r="X17" s="387"/>
      <c r="Y17" s="387"/>
      <c r="Z17" s="387"/>
      <c r="AA17" s="387"/>
      <c r="AB17" s="387"/>
      <c r="AC17" s="323">
        <f t="shared" ref="AC17:AD17" si="12">+D32</f>
        <v>0</v>
      </c>
      <c r="AD17" s="323">
        <f t="shared" si="12"/>
        <v>43091313</v>
      </c>
      <c r="AE17" s="323">
        <f>+AC17+AD17</f>
        <v>43091313</v>
      </c>
    </row>
    <row r="18" spans="1:38" ht="52.5" customHeight="1" x14ac:dyDescent="0.25">
      <c r="A18" s="83"/>
      <c r="B18" s="84"/>
      <c r="C18" s="387" t="str">
        <f t="shared" si="10"/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D18" s="387"/>
      <c r="E18" s="387"/>
      <c r="F18" s="387"/>
      <c r="G18" s="387"/>
      <c r="H18" s="387"/>
      <c r="I18" s="387"/>
      <c r="J18" s="387"/>
      <c r="K18" s="387"/>
      <c r="L18" s="387"/>
      <c r="M18" s="387"/>
      <c r="N18" s="387"/>
      <c r="O18" s="387"/>
      <c r="P18" s="387"/>
      <c r="Q18" s="387"/>
      <c r="R18" s="387"/>
      <c r="S18" s="387"/>
      <c r="T18" s="387"/>
      <c r="U18" s="387"/>
      <c r="V18" s="387"/>
      <c r="W18" s="387"/>
      <c r="X18" s="387"/>
      <c r="Y18" s="387"/>
      <c r="Z18" s="387"/>
      <c r="AA18" s="387"/>
      <c r="AB18" s="387"/>
      <c r="AC18" s="323">
        <f t="shared" ref="AC18:AD18" si="13">+D33</f>
        <v>359522733</v>
      </c>
      <c r="AD18" s="323">
        <f t="shared" si="13"/>
        <v>0</v>
      </c>
      <c r="AE18" s="324">
        <f>+AC18+AD18</f>
        <v>359522733</v>
      </c>
    </row>
    <row r="19" spans="1:38" ht="15" customHeight="1" x14ac:dyDescent="0.25">
      <c r="A19" s="83"/>
      <c r="B19" s="84"/>
      <c r="C19" s="389" t="s">
        <v>71</v>
      </c>
      <c r="D19" s="389"/>
      <c r="E19" s="389"/>
      <c r="F19" s="389"/>
      <c r="G19" s="389"/>
      <c r="H19" s="389"/>
      <c r="I19" s="389"/>
      <c r="J19" s="389"/>
      <c r="K19" s="389"/>
      <c r="L19" s="389"/>
      <c r="M19" s="389"/>
      <c r="N19" s="389"/>
      <c r="O19" s="389"/>
      <c r="P19" s="389"/>
      <c r="Q19" s="389"/>
      <c r="R19" s="389"/>
      <c r="S19" s="389"/>
      <c r="T19" s="389"/>
      <c r="U19" s="389"/>
      <c r="V19" s="389"/>
      <c r="W19" s="389"/>
      <c r="X19" s="389"/>
      <c r="Y19" s="389"/>
      <c r="Z19" s="389"/>
      <c r="AA19" s="389"/>
      <c r="AB19" s="389"/>
      <c r="AC19" s="325">
        <f>SUM(AC15:AC18)</f>
        <v>474415466</v>
      </c>
      <c r="AD19" s="325">
        <f>SUM(AD15:AD18)</f>
        <v>43091313</v>
      </c>
      <c r="AE19" s="325">
        <f>+SUM(AE15:AE18)</f>
        <v>517506779</v>
      </c>
      <c r="AF19" s="85" t="b">
        <f>+AE19=AB5</f>
        <v>1</v>
      </c>
      <c r="AG19" s="83"/>
      <c r="AH19" s="83"/>
      <c r="AI19" s="83"/>
      <c r="AJ19" s="83"/>
      <c r="AK19" s="83"/>
      <c r="AL19" s="83"/>
    </row>
    <row r="20" spans="1:38" ht="15" customHeight="1" x14ac:dyDescent="0.25">
      <c r="A20" s="83"/>
      <c r="B20" s="83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3"/>
      <c r="AG20" s="83"/>
      <c r="AH20" s="83"/>
      <c r="AI20" s="83"/>
      <c r="AJ20" s="83"/>
      <c r="AK20" s="83"/>
      <c r="AL20" s="83"/>
    </row>
    <row r="21" spans="1:38" ht="15" customHeight="1" x14ac:dyDescent="0.25">
      <c r="A21" s="83"/>
      <c r="B21" s="83"/>
    </row>
    <row r="22" spans="1:38" ht="27.6" hidden="1" customHeight="1" x14ac:dyDescent="0.25">
      <c r="A22" s="83"/>
      <c r="B22" s="83"/>
      <c r="C22" s="382" t="s">
        <v>90</v>
      </c>
      <c r="D22" s="383"/>
      <c r="E22" s="383"/>
      <c r="F22" s="383"/>
      <c r="G22" s="383"/>
      <c r="H22" s="383"/>
      <c r="I22" s="383"/>
      <c r="J22" s="383"/>
      <c r="K22" s="383"/>
      <c r="L22" s="383"/>
      <c r="M22" s="383"/>
      <c r="N22" s="383"/>
      <c r="O22" s="383"/>
      <c r="P22" s="383"/>
      <c r="Q22" s="383"/>
      <c r="R22" s="383"/>
      <c r="S22" s="383"/>
      <c r="T22" s="383"/>
      <c r="U22" s="383"/>
      <c r="V22" s="383"/>
      <c r="W22" s="383"/>
      <c r="X22" s="383"/>
      <c r="Y22" s="383"/>
      <c r="Z22" s="383"/>
      <c r="AA22" s="383"/>
      <c r="AB22" s="383"/>
      <c r="AC22" s="85">
        <v>54100886</v>
      </c>
      <c r="AD22" s="85">
        <v>0</v>
      </c>
    </row>
    <row r="23" spans="1:38" ht="27.6" hidden="1" customHeight="1" x14ac:dyDescent="0.25">
      <c r="A23" s="83"/>
      <c r="B23" s="83"/>
      <c r="C23" s="382" t="s">
        <v>91</v>
      </c>
      <c r="D23" s="383"/>
      <c r="E23" s="383"/>
      <c r="F23" s="383"/>
      <c r="G23" s="383"/>
      <c r="H23" s="383"/>
      <c r="I23" s="383"/>
      <c r="J23" s="383"/>
      <c r="K23" s="383"/>
      <c r="L23" s="383"/>
      <c r="M23" s="383"/>
      <c r="N23" s="383"/>
      <c r="O23" s="383"/>
      <c r="P23" s="383"/>
      <c r="Q23" s="383"/>
      <c r="R23" s="383"/>
      <c r="S23" s="383"/>
      <c r="T23" s="383"/>
      <c r="U23" s="383"/>
      <c r="V23" s="383"/>
      <c r="W23" s="383"/>
      <c r="X23" s="383"/>
      <c r="Y23" s="383"/>
      <c r="Z23" s="383"/>
      <c r="AA23" s="383"/>
      <c r="AB23" s="383"/>
      <c r="AC23" s="85">
        <v>60791847</v>
      </c>
      <c r="AD23" s="85">
        <v>0</v>
      </c>
    </row>
    <row r="24" spans="1:38" ht="27.6" hidden="1" customHeight="1" x14ac:dyDescent="0.25">
      <c r="A24" s="83"/>
      <c r="B24" s="83"/>
      <c r="C24" s="382" t="s">
        <v>92</v>
      </c>
      <c r="D24" s="383"/>
      <c r="E24" s="383"/>
      <c r="F24" s="383"/>
      <c r="G24" s="383"/>
      <c r="H24" s="383"/>
      <c r="I24" s="383"/>
      <c r="J24" s="383"/>
      <c r="K24" s="383"/>
      <c r="L24" s="383"/>
      <c r="M24" s="383"/>
      <c r="N24" s="383"/>
      <c r="O24" s="383"/>
      <c r="P24" s="383"/>
      <c r="Q24" s="383"/>
      <c r="R24" s="383"/>
      <c r="S24" s="383"/>
      <c r="T24" s="383"/>
      <c r="U24" s="383"/>
      <c r="V24" s="383"/>
      <c r="W24" s="383"/>
      <c r="X24" s="383"/>
      <c r="Y24" s="383"/>
      <c r="Z24" s="383"/>
      <c r="AA24" s="383"/>
      <c r="AB24" s="383"/>
      <c r="AC24" s="85">
        <v>0</v>
      </c>
      <c r="AF24" s="85">
        <v>43091313</v>
      </c>
    </row>
    <row r="25" spans="1:38" ht="27.6" hidden="1" customHeight="1" x14ac:dyDescent="0.25">
      <c r="A25" s="83"/>
      <c r="B25" s="83"/>
      <c r="C25" s="382" t="s">
        <v>93</v>
      </c>
      <c r="D25" s="383"/>
      <c r="E25" s="383"/>
      <c r="F25" s="383"/>
      <c r="G25" s="383"/>
      <c r="H25" s="383"/>
      <c r="I25" s="383"/>
      <c r="J25" s="383"/>
      <c r="K25" s="383"/>
      <c r="L25" s="383"/>
      <c r="M25" s="383"/>
      <c r="N25" s="383"/>
      <c r="O25" s="383"/>
      <c r="P25" s="383"/>
      <c r="Q25" s="383"/>
      <c r="R25" s="383"/>
      <c r="S25" s="383"/>
      <c r="T25" s="383"/>
      <c r="U25" s="383"/>
      <c r="V25" s="383"/>
      <c r="W25" s="383"/>
      <c r="X25" s="383"/>
      <c r="Y25" s="383"/>
      <c r="Z25" s="383"/>
      <c r="AA25" s="383"/>
      <c r="AB25" s="383"/>
      <c r="AC25" s="85">
        <v>359522733</v>
      </c>
      <c r="AF25" s="85">
        <v>0</v>
      </c>
    </row>
    <row r="26" spans="1:38" ht="15" hidden="1" customHeight="1" x14ac:dyDescent="0.25">
      <c r="A26" s="83"/>
      <c r="B26" s="83"/>
      <c r="AC26" s="85">
        <f>+SUM(AC22:AC25)</f>
        <v>474415466</v>
      </c>
    </row>
    <row r="27" spans="1:38" ht="15" hidden="1" customHeight="1" x14ac:dyDescent="0.25">
      <c r="A27" s="83"/>
      <c r="B27" s="83"/>
      <c r="AC27" s="85">
        <f>+AC19-AC26</f>
        <v>0</v>
      </c>
    </row>
    <row r="28" spans="1:38" ht="15" hidden="1" customHeight="1" x14ac:dyDescent="0.25">
      <c r="A28" s="83"/>
      <c r="B28" s="83"/>
      <c r="C28" s="210" t="s">
        <v>94</v>
      </c>
      <c r="D28" t="s">
        <v>87</v>
      </c>
      <c r="E28" t="s">
        <v>88</v>
      </c>
    </row>
    <row r="29" spans="1:38" ht="15" customHeight="1" x14ac:dyDescent="0.25">
      <c r="A29" s="83"/>
      <c r="B29" s="83"/>
      <c r="C29" s="312">
        <v>1</v>
      </c>
      <c r="D29" s="8">
        <v>474415466</v>
      </c>
      <c r="E29">
        <v>43091313</v>
      </c>
    </row>
    <row r="30" spans="1:38" ht="15" customHeight="1" x14ac:dyDescent="0.25">
      <c r="A30" s="83"/>
      <c r="B30" s="83"/>
      <c r="C30" s="315" t="s">
        <v>90</v>
      </c>
      <c r="D30" s="8">
        <v>54100886</v>
      </c>
      <c r="E30">
        <v>0</v>
      </c>
    </row>
    <row r="31" spans="1:38" ht="15" customHeight="1" x14ac:dyDescent="0.25">
      <c r="A31" s="83"/>
      <c r="B31" s="83"/>
      <c r="C31" s="315" t="s">
        <v>91</v>
      </c>
      <c r="D31" s="8">
        <v>60791847</v>
      </c>
      <c r="E31">
        <v>0</v>
      </c>
    </row>
    <row r="32" spans="1:38" ht="15" customHeight="1" x14ac:dyDescent="0.25">
      <c r="A32" s="83"/>
      <c r="B32" s="83"/>
      <c r="C32" s="315" t="s">
        <v>92</v>
      </c>
      <c r="D32" s="8">
        <v>0</v>
      </c>
      <c r="E32">
        <v>43091313</v>
      </c>
    </row>
    <row r="33" spans="1:5" ht="15" customHeight="1" x14ac:dyDescent="0.25">
      <c r="A33" s="83"/>
      <c r="B33" s="83"/>
      <c r="C33" s="315" t="s">
        <v>93</v>
      </c>
      <c r="D33" s="8">
        <v>359522733</v>
      </c>
      <c r="E33">
        <v>0</v>
      </c>
    </row>
    <row r="34" spans="1:5" ht="15" customHeight="1" x14ac:dyDescent="0.25">
      <c r="A34" s="83"/>
      <c r="B34" s="83"/>
      <c r="C34" s="312" t="s">
        <v>95</v>
      </c>
      <c r="D34" s="8">
        <v>474415466</v>
      </c>
      <c r="E34">
        <v>43091313</v>
      </c>
    </row>
    <row r="35" spans="1:5" ht="15" customHeight="1" x14ac:dyDescent="0.25">
      <c r="A35" s="83"/>
      <c r="B35" s="83"/>
      <c r="C35"/>
      <c r="D35"/>
      <c r="E35"/>
    </row>
    <row r="36" spans="1:5" ht="15" customHeight="1" x14ac:dyDescent="0.25">
      <c r="A36" s="83"/>
      <c r="B36" s="83"/>
      <c r="C36"/>
      <c r="D36"/>
      <c r="E36"/>
    </row>
    <row r="37" spans="1:5" ht="15" customHeight="1" x14ac:dyDescent="0.25">
      <c r="A37" s="83"/>
      <c r="B37" s="83"/>
      <c r="C37"/>
      <c r="D37"/>
      <c r="E37"/>
    </row>
    <row r="38" spans="1:5" ht="15" customHeight="1" x14ac:dyDescent="0.25">
      <c r="A38" s="83"/>
      <c r="B38" s="83"/>
      <c r="C38"/>
      <c r="D38"/>
      <c r="E38"/>
    </row>
    <row r="39" spans="1:5" ht="15" customHeight="1" x14ac:dyDescent="0.25">
      <c r="A39" s="83"/>
      <c r="B39" s="83"/>
      <c r="C39"/>
      <c r="D39"/>
      <c r="E39"/>
    </row>
    <row r="40" spans="1:5" ht="15" customHeight="1" x14ac:dyDescent="0.25">
      <c r="A40" s="83"/>
      <c r="B40" s="83"/>
      <c r="C40"/>
      <c r="D40"/>
      <c r="E40"/>
    </row>
    <row r="41" spans="1:5" ht="15" customHeight="1" x14ac:dyDescent="0.25">
      <c r="A41" s="83"/>
      <c r="B41" s="83"/>
      <c r="C41"/>
      <c r="D41"/>
      <c r="E41"/>
    </row>
    <row r="42" spans="1:5" ht="15" customHeight="1" x14ac:dyDescent="0.25">
      <c r="A42" s="83"/>
      <c r="B42" s="83"/>
      <c r="C42"/>
      <c r="D42"/>
      <c r="E42"/>
    </row>
    <row r="43" spans="1:5" ht="15" customHeight="1" x14ac:dyDescent="0.25">
      <c r="A43" s="83"/>
      <c r="B43" s="83"/>
      <c r="C43"/>
      <c r="D43"/>
      <c r="E43"/>
    </row>
    <row r="44" spans="1:5" ht="15" customHeight="1" x14ac:dyDescent="0.25">
      <c r="A44" s="83"/>
      <c r="B44" s="83"/>
      <c r="C44"/>
      <c r="D44"/>
      <c r="E44"/>
    </row>
    <row r="45" spans="1:5" ht="15" customHeight="1" x14ac:dyDescent="0.25">
      <c r="A45" s="83"/>
      <c r="B45" s="83"/>
      <c r="C45"/>
      <c r="D45"/>
      <c r="E45"/>
    </row>
    <row r="46" spans="1:5" ht="15" customHeight="1" x14ac:dyDescent="0.25">
      <c r="A46" s="83"/>
      <c r="B46" s="83"/>
      <c r="C46"/>
      <c r="D46"/>
      <c r="E46"/>
    </row>
    <row r="47" spans="1:5" ht="15" customHeight="1" x14ac:dyDescent="0.25">
      <c r="A47" s="83"/>
      <c r="B47" s="83"/>
      <c r="C47"/>
      <c r="D47"/>
      <c r="E47"/>
    </row>
    <row r="48" spans="1:5" ht="15" customHeight="1" x14ac:dyDescent="0.25">
      <c r="A48" s="83"/>
      <c r="B48" s="83"/>
      <c r="C48"/>
      <c r="D48"/>
      <c r="E48"/>
    </row>
    <row r="49" spans="1:5" ht="15" customHeight="1" x14ac:dyDescent="0.25">
      <c r="A49" s="83"/>
      <c r="B49" s="83"/>
      <c r="C49"/>
      <c r="D49"/>
      <c r="E49"/>
    </row>
    <row r="50" spans="1:5" ht="15" customHeight="1" x14ac:dyDescent="0.25">
      <c r="C50"/>
      <c r="D50"/>
      <c r="E50"/>
    </row>
    <row r="51" spans="1:5" ht="15" customHeight="1" x14ac:dyDescent="0.25">
      <c r="C51"/>
      <c r="D51"/>
      <c r="E51"/>
    </row>
    <row r="52" spans="1:5" ht="15" customHeight="1" x14ac:dyDescent="0.25">
      <c r="C52"/>
      <c r="D52"/>
      <c r="E52"/>
    </row>
    <row r="53" spans="1:5" ht="15" customHeight="1" x14ac:dyDescent="0.25">
      <c r="C53"/>
      <c r="D53"/>
      <c r="E53"/>
    </row>
    <row r="54" spans="1:5" ht="15" customHeight="1" x14ac:dyDescent="0.25">
      <c r="C54"/>
      <c r="D54"/>
      <c r="E54"/>
    </row>
    <row r="55" spans="1:5" ht="15" customHeight="1" x14ac:dyDescent="0.25">
      <c r="C55"/>
      <c r="D55"/>
      <c r="E55"/>
    </row>
    <row r="56" spans="1:5" ht="15" customHeight="1" x14ac:dyDescent="0.25">
      <c r="C56"/>
      <c r="D56"/>
      <c r="E56"/>
    </row>
    <row r="57" spans="1:5" ht="15" customHeight="1" x14ac:dyDescent="0.25">
      <c r="C57"/>
      <c r="D57"/>
      <c r="E57"/>
    </row>
    <row r="58" spans="1:5" ht="15" customHeight="1" x14ac:dyDescent="0.25">
      <c r="C58"/>
      <c r="D58"/>
      <c r="E58"/>
    </row>
    <row r="59" spans="1:5" ht="15" customHeight="1" x14ac:dyDescent="0.25">
      <c r="C59"/>
      <c r="D59"/>
      <c r="E59"/>
    </row>
    <row r="60" spans="1:5" ht="15" customHeight="1" x14ac:dyDescent="0.25">
      <c r="C60"/>
      <c r="D60"/>
      <c r="E60"/>
    </row>
    <row r="61" spans="1:5" ht="15" customHeight="1" x14ac:dyDescent="0.25">
      <c r="C61"/>
      <c r="D61"/>
      <c r="E61"/>
    </row>
    <row r="62" spans="1:5" ht="15" customHeight="1" x14ac:dyDescent="0.25">
      <c r="C62"/>
      <c r="D62"/>
      <c r="E62"/>
    </row>
    <row r="63" spans="1:5" ht="15" customHeight="1" x14ac:dyDescent="0.25">
      <c r="C63"/>
      <c r="D63"/>
      <c r="E63"/>
    </row>
    <row r="64" spans="1:5" ht="15" customHeight="1" x14ac:dyDescent="0.25">
      <c r="C64"/>
      <c r="D64"/>
      <c r="E64"/>
    </row>
    <row r="65" spans="3:5" ht="15" customHeight="1" x14ac:dyDescent="0.25">
      <c r="C65"/>
      <c r="D65"/>
      <c r="E65"/>
    </row>
    <row r="66" spans="3:5" ht="15" customHeight="1" x14ac:dyDescent="0.25">
      <c r="C66"/>
      <c r="D66"/>
      <c r="E66"/>
    </row>
  </sheetData>
  <mergeCells count="23">
    <mergeCell ref="C22:AB22"/>
    <mergeCell ref="C23:AB23"/>
    <mergeCell ref="C24:AB24"/>
    <mergeCell ref="C25:AB25"/>
    <mergeCell ref="B10:O10"/>
    <mergeCell ref="C18:AB18"/>
    <mergeCell ref="C14:Y14"/>
    <mergeCell ref="C19:AB19"/>
    <mergeCell ref="C15:AB15"/>
    <mergeCell ref="C16:AB16"/>
    <mergeCell ref="C17:AB17"/>
    <mergeCell ref="B1:N1"/>
    <mergeCell ref="O1:O4"/>
    <mergeCell ref="P1:Y1"/>
    <mergeCell ref="AA1:AB1"/>
    <mergeCell ref="N2:N4"/>
    <mergeCell ref="P2:X3"/>
    <mergeCell ref="Y2:Y4"/>
    <mergeCell ref="A2:A4"/>
    <mergeCell ref="B2:B4"/>
    <mergeCell ref="C2:C4"/>
    <mergeCell ref="D2:D4"/>
    <mergeCell ref="E2:M3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13"/>
  <sheetViews>
    <sheetView topLeftCell="E1" zoomScale="85" zoomScaleNormal="85" workbookViewId="0">
      <selection activeCell="AB23" sqref="AB23"/>
    </sheetView>
  </sheetViews>
  <sheetFormatPr baseColWidth="10" defaultColWidth="14.42578125" defaultRowHeight="15" customHeight="1" zeroHeight="1" x14ac:dyDescent="0.25"/>
  <cols>
    <col min="1" max="1" width="4.28515625" style="251" customWidth="1"/>
    <col min="2" max="2" width="5" style="251" customWidth="1"/>
    <col min="3" max="3" width="33" style="251" customWidth="1"/>
    <col min="4" max="4" width="29.28515625" style="251" bestFit="1" customWidth="1"/>
    <col min="5" max="5" width="11.8554687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customWidth="1"/>
    <col min="30" max="30" width="23.28515625" style="251" customWidth="1"/>
    <col min="31" max="38" width="11.42578125" style="251" customWidth="1"/>
    <col min="39" max="16384" width="14.42578125" style="251"/>
  </cols>
  <sheetData>
    <row r="1" spans="1:38" s="243" customFormat="1" ht="8.25" x14ac:dyDescent="0.25">
      <c r="A1" s="238"/>
      <c r="B1" s="417" t="s">
        <v>39</v>
      </c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9"/>
      <c r="O1" s="420" t="s">
        <v>40</v>
      </c>
      <c r="P1" s="421" t="s">
        <v>41</v>
      </c>
      <c r="Q1" s="422"/>
      <c r="R1" s="422"/>
      <c r="S1" s="422"/>
      <c r="T1" s="422"/>
      <c r="U1" s="422"/>
      <c r="V1" s="422"/>
      <c r="W1" s="422"/>
      <c r="X1" s="423"/>
      <c r="Y1" s="424"/>
      <c r="Z1" s="240"/>
      <c r="AA1" s="241"/>
      <c r="AB1" s="242"/>
      <c r="AE1" s="240"/>
      <c r="AF1" s="240"/>
      <c r="AG1" s="240"/>
      <c r="AH1" s="240"/>
      <c r="AI1" s="240"/>
      <c r="AJ1" s="240"/>
      <c r="AK1" s="240"/>
      <c r="AL1" s="240"/>
    </row>
    <row r="2" spans="1:38" s="243" customFormat="1" ht="7.9" customHeight="1" x14ac:dyDescent="0.25">
      <c r="A2" s="395" t="s">
        <v>45</v>
      </c>
      <c r="B2" s="398" t="s">
        <v>46</v>
      </c>
      <c r="C2" s="401" t="s">
        <v>47</v>
      </c>
      <c r="D2" s="398" t="s">
        <v>48</v>
      </c>
      <c r="E2" s="404" t="s">
        <v>49</v>
      </c>
      <c r="F2" s="405"/>
      <c r="G2" s="405"/>
      <c r="H2" s="405"/>
      <c r="I2" s="405"/>
      <c r="J2" s="405"/>
      <c r="K2" s="405"/>
      <c r="L2" s="405"/>
      <c r="M2" s="406"/>
      <c r="N2" s="398" t="s">
        <v>50</v>
      </c>
      <c r="O2" s="399"/>
      <c r="P2" s="404" t="s">
        <v>51</v>
      </c>
      <c r="Q2" s="405"/>
      <c r="R2" s="405"/>
      <c r="S2" s="405"/>
      <c r="T2" s="405"/>
      <c r="U2" s="405"/>
      <c r="V2" s="405"/>
      <c r="W2" s="405"/>
      <c r="X2" s="425"/>
      <c r="Y2" s="398" t="s">
        <v>52</v>
      </c>
      <c r="Z2" s="244"/>
      <c r="AA2" s="415" t="s">
        <v>42</v>
      </c>
      <c r="AB2" s="416"/>
      <c r="AE2" s="240"/>
      <c r="AF2" s="240"/>
      <c r="AG2" s="240"/>
      <c r="AH2" s="240"/>
      <c r="AI2" s="240"/>
      <c r="AJ2" s="240"/>
      <c r="AK2" s="240"/>
      <c r="AL2" s="240"/>
    </row>
    <row r="3" spans="1:38" s="243" customFormat="1" ht="13.9" customHeight="1" x14ac:dyDescent="0.25">
      <c r="A3" s="396"/>
      <c r="B3" s="399"/>
      <c r="C3" s="399"/>
      <c r="D3" s="402"/>
      <c r="E3" s="407"/>
      <c r="F3" s="408"/>
      <c r="G3" s="408"/>
      <c r="H3" s="408"/>
      <c r="I3" s="408"/>
      <c r="J3" s="408"/>
      <c r="K3" s="408"/>
      <c r="L3" s="408"/>
      <c r="M3" s="409"/>
      <c r="N3" s="402"/>
      <c r="O3" s="399"/>
      <c r="P3" s="407"/>
      <c r="Q3" s="408"/>
      <c r="R3" s="408"/>
      <c r="S3" s="408"/>
      <c r="T3" s="408"/>
      <c r="U3" s="408"/>
      <c r="V3" s="408"/>
      <c r="W3" s="408"/>
      <c r="X3" s="409"/>
      <c r="Y3" s="402"/>
      <c r="Z3" s="240"/>
      <c r="AA3" s="286" t="s">
        <v>53</v>
      </c>
      <c r="AB3" s="287" t="s">
        <v>54</v>
      </c>
      <c r="AE3" s="240"/>
      <c r="AF3" s="240"/>
      <c r="AG3" s="240"/>
      <c r="AH3" s="240"/>
      <c r="AI3" s="240"/>
      <c r="AJ3" s="240"/>
      <c r="AK3" s="240"/>
      <c r="AL3" s="240"/>
    </row>
    <row r="4" spans="1:38" s="243" customFormat="1" ht="18" x14ac:dyDescent="0.25">
      <c r="A4" s="397"/>
      <c r="B4" s="400"/>
      <c r="C4" s="400"/>
      <c r="D4" s="403"/>
      <c r="E4" s="284" t="s">
        <v>57</v>
      </c>
      <c r="F4" s="284" t="s">
        <v>18</v>
      </c>
      <c r="G4" s="245" t="s">
        <v>58</v>
      </c>
      <c r="H4" s="245" t="s">
        <v>59</v>
      </c>
      <c r="I4" s="245" t="s">
        <v>60</v>
      </c>
      <c r="J4" s="245" t="s">
        <v>61</v>
      </c>
      <c r="K4" s="245" t="s">
        <v>62</v>
      </c>
      <c r="L4" s="245" t="s">
        <v>63</v>
      </c>
      <c r="M4" s="245" t="s">
        <v>64</v>
      </c>
      <c r="N4" s="403"/>
      <c r="O4" s="400"/>
      <c r="P4" s="285" t="str">
        <f>+E4</f>
        <v>BOGOTÁ</v>
      </c>
      <c r="Q4" s="285" t="str">
        <f t="shared" ref="Q4:X4" si="0">+F4</f>
        <v>ORIENTE</v>
      </c>
      <c r="R4" s="246" t="str">
        <f t="shared" si="0"/>
        <v xml:space="preserve">CENTRAL </v>
      </c>
      <c r="S4" s="246" t="str">
        <f t="shared" si="0"/>
        <v xml:space="preserve">SUR </v>
      </c>
      <c r="T4" s="246" t="str">
        <f t="shared" si="0"/>
        <v xml:space="preserve">NORTE </v>
      </c>
      <c r="U4" s="246" t="str">
        <f t="shared" si="0"/>
        <v xml:space="preserve">OCCIDENTE </v>
      </c>
      <c r="V4" s="246" t="str">
        <f t="shared" si="0"/>
        <v xml:space="preserve">NOROCCIDENTE </v>
      </c>
      <c r="W4" s="246" t="str">
        <f t="shared" si="0"/>
        <v xml:space="preserve">SUROCCIDENTE </v>
      </c>
      <c r="X4" s="246" t="str">
        <f t="shared" si="0"/>
        <v xml:space="preserve">NORORIENTE </v>
      </c>
      <c r="Y4" s="403"/>
      <c r="Z4" s="240"/>
      <c r="AA4" s="252" t="str">
        <f>+P4</f>
        <v>BOGOTÁ</v>
      </c>
      <c r="AB4" s="253">
        <f>+SUM(P5:P6)</f>
        <v>161915416</v>
      </c>
      <c r="AE4" s="240"/>
      <c r="AF4" s="240"/>
      <c r="AG4" s="240"/>
      <c r="AH4" s="240"/>
      <c r="AI4" s="240"/>
      <c r="AJ4" s="240"/>
      <c r="AK4" s="240"/>
      <c r="AL4" s="240"/>
    </row>
    <row r="5" spans="1:38" ht="14.25" customHeight="1" x14ac:dyDescent="0.25">
      <c r="A5" s="247">
        <v>2</v>
      </c>
      <c r="B5" s="280">
        <v>6</v>
      </c>
      <c r="C5" s="248" t="s">
        <v>96</v>
      </c>
      <c r="D5" s="248" t="s">
        <v>81</v>
      </c>
      <c r="E5" s="247">
        <v>0</v>
      </c>
      <c r="F5" s="247">
        <v>1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1</v>
      </c>
      <c r="O5" s="247">
        <v>46301988</v>
      </c>
      <c r="P5" s="247">
        <f t="shared" ref="P5:P6" si="1">+E5*O5</f>
        <v>0</v>
      </c>
      <c r="Q5" s="247">
        <f t="shared" ref="Q5:Q6" si="2">+F5*O5</f>
        <v>46301988</v>
      </c>
      <c r="R5" s="247">
        <f t="shared" ref="R5:R6" si="3">+G5*O5</f>
        <v>0</v>
      </c>
      <c r="S5" s="247">
        <f t="shared" ref="S5:S6" si="4">+H5*O5</f>
        <v>0</v>
      </c>
      <c r="T5" s="247">
        <f t="shared" ref="T5:T6" si="5">+I5*O5</f>
        <v>0</v>
      </c>
      <c r="U5" s="247">
        <f t="shared" ref="U5:U6" si="6">+J5*O5</f>
        <v>0</v>
      </c>
      <c r="V5" s="247">
        <f t="shared" ref="V5:V6" si="7">+K5*O5</f>
        <v>0</v>
      </c>
      <c r="W5" s="247">
        <f t="shared" ref="W5:W6" si="8">+L5*O5</f>
        <v>0</v>
      </c>
      <c r="X5" s="247">
        <f t="shared" ref="X5:X6" si="9">+M5*O5</f>
        <v>0</v>
      </c>
      <c r="Y5" s="247">
        <f>+SUM(P5:X5)</f>
        <v>46301988</v>
      </c>
      <c r="Z5" s="250"/>
      <c r="AA5" s="252" t="str">
        <f>+Q4</f>
        <v>ORIENTE</v>
      </c>
      <c r="AB5" s="253">
        <f>SUM(Q5:Q6)</f>
        <v>46301988</v>
      </c>
      <c r="AC5" s="249"/>
      <c r="AD5" s="250"/>
      <c r="AE5" s="250"/>
      <c r="AF5" s="250"/>
      <c r="AG5" s="250"/>
      <c r="AH5" s="250"/>
      <c r="AI5" s="250"/>
      <c r="AJ5" s="250"/>
      <c r="AK5" s="250"/>
      <c r="AL5" s="250"/>
    </row>
    <row r="6" spans="1:38" ht="14.25" customHeight="1" x14ac:dyDescent="0.25">
      <c r="A6" s="247">
        <v>2</v>
      </c>
      <c r="B6" s="247">
        <v>7</v>
      </c>
      <c r="C6" s="248" t="s">
        <v>97</v>
      </c>
      <c r="D6" s="248" t="s">
        <v>81</v>
      </c>
      <c r="E6" s="247">
        <v>1</v>
      </c>
      <c r="F6" s="247">
        <v>0</v>
      </c>
      <c r="G6" s="247">
        <v>0</v>
      </c>
      <c r="H6" s="247">
        <v>0</v>
      </c>
      <c r="I6" s="247">
        <v>0</v>
      </c>
      <c r="J6" s="247">
        <v>0</v>
      </c>
      <c r="K6" s="247">
        <v>0</v>
      </c>
      <c r="L6" s="247">
        <v>0</v>
      </c>
      <c r="M6" s="247">
        <v>0</v>
      </c>
      <c r="N6" s="247">
        <f>+SUM(E6:F6)</f>
        <v>1</v>
      </c>
      <c r="O6" s="247">
        <v>161915416</v>
      </c>
      <c r="P6" s="247">
        <f t="shared" si="1"/>
        <v>161915416</v>
      </c>
      <c r="Q6" s="247">
        <f t="shared" si="2"/>
        <v>0</v>
      </c>
      <c r="R6" s="247">
        <f t="shared" si="3"/>
        <v>0</v>
      </c>
      <c r="S6" s="247">
        <f t="shared" si="4"/>
        <v>0</v>
      </c>
      <c r="T6" s="247">
        <f t="shared" si="5"/>
        <v>0</v>
      </c>
      <c r="U6" s="247">
        <f t="shared" si="6"/>
        <v>0</v>
      </c>
      <c r="V6" s="247">
        <f t="shared" si="7"/>
        <v>0</v>
      </c>
      <c r="W6" s="247">
        <f t="shared" si="8"/>
        <v>0</v>
      </c>
      <c r="X6" s="247">
        <f t="shared" si="9"/>
        <v>0</v>
      </c>
      <c r="Y6" s="247">
        <f t="shared" ref="Y6" si="10">+SUM(P6:X6)</f>
        <v>161915416</v>
      </c>
      <c r="Z6" s="250"/>
      <c r="AA6" s="254" t="s">
        <v>71</v>
      </c>
      <c r="AB6" s="255">
        <f>+SUM(AB4:AB5)</f>
        <v>208217404</v>
      </c>
      <c r="AC6" s="250"/>
      <c r="AD6" s="250"/>
      <c r="AE6" s="250"/>
      <c r="AF6" s="250"/>
      <c r="AG6" s="250"/>
      <c r="AH6" s="250"/>
      <c r="AI6" s="250"/>
      <c r="AJ6" s="250"/>
      <c r="AK6" s="250"/>
      <c r="AL6" s="250"/>
    </row>
    <row r="7" spans="1:38" ht="14.25" customHeight="1" x14ac:dyDescent="0.25">
      <c r="A7" s="256"/>
      <c r="B7" s="412" t="s">
        <v>75</v>
      </c>
      <c r="C7" s="413"/>
      <c r="D7" s="413"/>
      <c r="E7" s="413"/>
      <c r="F7" s="413"/>
      <c r="G7" s="413"/>
      <c r="H7" s="413"/>
      <c r="I7" s="413"/>
      <c r="J7" s="413"/>
      <c r="K7" s="413"/>
      <c r="L7" s="413"/>
      <c r="M7" s="413"/>
      <c r="N7" s="413"/>
      <c r="O7" s="414"/>
      <c r="P7" s="247">
        <f>+SUM(P5:P6)</f>
        <v>161915416</v>
      </c>
      <c r="Q7" s="247">
        <f>+SUM(Q5:Q6)</f>
        <v>46301988</v>
      </c>
      <c r="R7" s="247">
        <f t="shared" ref="R7:X7" si="11">+SUM(R5:R6)</f>
        <v>0</v>
      </c>
      <c r="S7" s="247">
        <f t="shared" si="11"/>
        <v>0</v>
      </c>
      <c r="T7" s="247">
        <f t="shared" si="11"/>
        <v>0</v>
      </c>
      <c r="U7" s="247">
        <f t="shared" si="11"/>
        <v>0</v>
      </c>
      <c r="V7" s="247">
        <f t="shared" si="11"/>
        <v>0</v>
      </c>
      <c r="W7" s="247">
        <f t="shared" si="11"/>
        <v>0</v>
      </c>
      <c r="X7" s="247">
        <f t="shared" si="11"/>
        <v>0</v>
      </c>
      <c r="Y7" s="247">
        <f>SUM(Y5:Y6)</f>
        <v>208217404</v>
      </c>
      <c r="Z7" s="250"/>
      <c r="AE7" s="250"/>
      <c r="AF7" s="250"/>
      <c r="AG7" s="250"/>
      <c r="AH7" s="250"/>
      <c r="AI7" s="250"/>
      <c r="AJ7" s="250"/>
      <c r="AK7" s="250"/>
      <c r="AL7" s="250"/>
    </row>
    <row r="8" spans="1:38" ht="15" customHeight="1" x14ac:dyDescent="0.25"/>
    <row r="9" spans="1:38" ht="15" customHeight="1" x14ac:dyDescent="0.25"/>
    <row r="10" spans="1:38" x14ac:dyDescent="0.25">
      <c r="B10" s="392" t="s">
        <v>86</v>
      </c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4"/>
      <c r="AB10" s="333" t="s">
        <v>87</v>
      </c>
      <c r="AC10" s="333" t="s">
        <v>88</v>
      </c>
      <c r="AD10" s="333" t="s">
        <v>89</v>
      </c>
    </row>
    <row r="11" spans="1:38" ht="46.5" customHeight="1" x14ac:dyDescent="0.25">
      <c r="B11" s="410" t="s">
        <v>91</v>
      </c>
      <c r="C11" s="410"/>
      <c r="D11" s="410"/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0"/>
      <c r="P11" s="410"/>
      <c r="Q11" s="410"/>
      <c r="R11" s="410"/>
      <c r="S11" s="410"/>
      <c r="T11" s="410"/>
      <c r="U11" s="410"/>
      <c r="V11" s="410"/>
      <c r="W11" s="410"/>
      <c r="X11" s="410"/>
      <c r="Y11" s="410"/>
      <c r="Z11" s="410"/>
      <c r="AA11" s="410"/>
      <c r="AB11" s="281">
        <v>161915416</v>
      </c>
      <c r="AC11" s="281">
        <v>0</v>
      </c>
      <c r="AD11" s="281">
        <f>+AB11+AC11</f>
        <v>161915416</v>
      </c>
    </row>
    <row r="12" spans="1:38" ht="47.25" customHeight="1" x14ac:dyDescent="0.25">
      <c r="B12" s="411" t="s">
        <v>98</v>
      </c>
      <c r="C12" s="411"/>
      <c r="D12" s="411"/>
      <c r="E12" s="411"/>
      <c r="F12" s="411"/>
      <c r="G12" s="411"/>
      <c r="H12" s="411"/>
      <c r="I12" s="411"/>
      <c r="J12" s="411"/>
      <c r="K12" s="411"/>
      <c r="L12" s="411"/>
      <c r="M12" s="411"/>
      <c r="N12" s="411"/>
      <c r="O12" s="411"/>
      <c r="P12" s="411"/>
      <c r="Q12" s="411"/>
      <c r="R12" s="411"/>
      <c r="S12" s="411"/>
      <c r="T12" s="411"/>
      <c r="U12" s="411"/>
      <c r="V12" s="411"/>
      <c r="W12" s="411"/>
      <c r="X12" s="411"/>
      <c r="Y12" s="411"/>
      <c r="Z12" s="411"/>
      <c r="AA12" s="411"/>
      <c r="AB12" s="282">
        <v>0</v>
      </c>
      <c r="AC12" s="282">
        <v>46301988</v>
      </c>
      <c r="AD12" s="282">
        <f>+AB12+AC12</f>
        <v>46301988</v>
      </c>
    </row>
    <row r="13" spans="1:38" ht="15" customHeight="1" x14ac:dyDescent="0.25">
      <c r="B13" s="390" t="s">
        <v>99</v>
      </c>
      <c r="C13" s="391"/>
      <c r="D13" s="391"/>
      <c r="E13" s="391"/>
      <c r="F13" s="391"/>
      <c r="G13" s="391"/>
      <c r="H13" s="391"/>
      <c r="I13" s="391"/>
      <c r="J13" s="391"/>
      <c r="K13" s="391"/>
      <c r="L13" s="391"/>
      <c r="M13" s="391"/>
      <c r="N13" s="391"/>
      <c r="O13" s="391"/>
      <c r="P13" s="391"/>
      <c r="Q13" s="391"/>
      <c r="R13" s="391"/>
      <c r="S13" s="391"/>
      <c r="T13" s="391"/>
      <c r="U13" s="391"/>
      <c r="V13" s="391"/>
      <c r="W13" s="391"/>
      <c r="X13" s="391"/>
      <c r="Y13" s="391"/>
      <c r="Z13" s="391"/>
      <c r="AA13" s="391"/>
      <c r="AB13" s="283">
        <f>SUM(AB11:AB12)</f>
        <v>161915416</v>
      </c>
      <c r="AC13" s="283">
        <f>SUM(AC11:AC12)</f>
        <v>46301988</v>
      </c>
      <c r="AD13" s="283">
        <f>SUM(AD11:AD12)</f>
        <v>208217404</v>
      </c>
      <c r="AF13" s="251" t="b">
        <f>+AD13=AB6</f>
        <v>1</v>
      </c>
    </row>
    <row r="14" spans="1:38" ht="15" customHeight="1" x14ac:dyDescent="0.25"/>
    <row r="15" spans="1:38" ht="15" hidden="1" customHeight="1" x14ac:dyDescent="0.25">
      <c r="C15" s="210" t="s">
        <v>94</v>
      </c>
      <c r="D15" t="s">
        <v>87</v>
      </c>
      <c r="E15" t="s">
        <v>88</v>
      </c>
    </row>
    <row r="16" spans="1:38" ht="15" hidden="1" customHeight="1" x14ac:dyDescent="0.25">
      <c r="C16" s="312">
        <v>2</v>
      </c>
      <c r="D16" s="8">
        <v>161915416</v>
      </c>
      <c r="E16">
        <v>46301988</v>
      </c>
    </row>
    <row r="17" spans="3:5" ht="15" hidden="1" customHeight="1" x14ac:dyDescent="0.25">
      <c r="C17" s="315" t="s">
        <v>91</v>
      </c>
      <c r="D17" s="8">
        <v>161915416</v>
      </c>
      <c r="E17">
        <v>0</v>
      </c>
    </row>
    <row r="18" spans="3:5" ht="15" hidden="1" customHeight="1" x14ac:dyDescent="0.25">
      <c r="C18" s="315" t="s">
        <v>98</v>
      </c>
      <c r="D18" s="8">
        <v>0</v>
      </c>
      <c r="E18">
        <v>46301988</v>
      </c>
    </row>
    <row r="19" spans="3:5" ht="132.6" hidden="1" customHeight="1" x14ac:dyDescent="0.25">
      <c r="C19" s="312" t="s">
        <v>95</v>
      </c>
      <c r="D19" s="8">
        <v>161915416</v>
      </c>
      <c r="E19">
        <v>46301988</v>
      </c>
    </row>
    <row r="20" spans="3:5" ht="15" customHeight="1" x14ac:dyDescent="0.25">
      <c r="C20"/>
      <c r="D20"/>
      <c r="E20"/>
    </row>
    <row r="21" spans="3:5" ht="15" customHeight="1" x14ac:dyDescent="0.25">
      <c r="C21"/>
      <c r="D21"/>
      <c r="E21"/>
    </row>
    <row r="22" spans="3:5" ht="15" customHeight="1" x14ac:dyDescent="0.25">
      <c r="C22"/>
      <c r="D22"/>
      <c r="E22"/>
    </row>
    <row r="23" spans="3:5" ht="15" customHeight="1" x14ac:dyDescent="0.25">
      <c r="C23"/>
      <c r="D23"/>
      <c r="E23"/>
    </row>
    <row r="24" spans="3:5" ht="15" customHeight="1" x14ac:dyDescent="0.25">
      <c r="C24"/>
      <c r="D24"/>
      <c r="E24"/>
    </row>
    <row r="25" spans="3:5" ht="15" customHeight="1" x14ac:dyDescent="0.25">
      <c r="C25"/>
      <c r="D25"/>
      <c r="E25"/>
    </row>
    <row r="26" spans="3:5" ht="15" customHeight="1" x14ac:dyDescent="0.25">
      <c r="C26"/>
      <c r="D26"/>
      <c r="E26"/>
    </row>
    <row r="27" spans="3:5" ht="15" customHeight="1" x14ac:dyDescent="0.25">
      <c r="C27"/>
      <c r="D27"/>
      <c r="E27"/>
    </row>
    <row r="28" spans="3:5" ht="15" customHeight="1" x14ac:dyDescent="0.25">
      <c r="C28"/>
      <c r="D28"/>
      <c r="E28"/>
    </row>
    <row r="29" spans="3:5" ht="15" customHeight="1" x14ac:dyDescent="0.25">
      <c r="C29"/>
      <c r="D29"/>
      <c r="E29"/>
    </row>
    <row r="30" spans="3:5" ht="15" customHeight="1" x14ac:dyDescent="0.25">
      <c r="C30"/>
      <c r="D30"/>
      <c r="E30"/>
    </row>
    <row r="31" spans="3:5" ht="15" customHeight="1" x14ac:dyDescent="0.25">
      <c r="C31"/>
      <c r="D31"/>
      <c r="E31"/>
    </row>
    <row r="32" spans="3:5" ht="15" customHeight="1" x14ac:dyDescent="0.25">
      <c r="C32"/>
      <c r="D32"/>
      <c r="E32"/>
    </row>
    <row r="33" spans="3:5" ht="15" customHeight="1" x14ac:dyDescent="0.25">
      <c r="C33"/>
      <c r="D33"/>
      <c r="E33"/>
    </row>
    <row r="34" spans="3:5" ht="15" customHeight="1" x14ac:dyDescent="0.25">
      <c r="C34"/>
      <c r="D34"/>
      <c r="E34"/>
    </row>
    <row r="35" spans="3:5" ht="15" customHeight="1" x14ac:dyDescent="0.25">
      <c r="C35"/>
      <c r="D35"/>
      <c r="E35"/>
    </row>
    <row r="36" spans="3:5" ht="15" customHeight="1" x14ac:dyDescent="0.25">
      <c r="C36"/>
      <c r="D36"/>
      <c r="E36"/>
    </row>
    <row r="37" spans="3:5" ht="15" customHeight="1" x14ac:dyDescent="0.25">
      <c r="C37"/>
      <c r="D37"/>
      <c r="E37"/>
    </row>
    <row r="38" spans="3:5" ht="15" customHeight="1" x14ac:dyDescent="0.25">
      <c r="C38"/>
      <c r="D38"/>
      <c r="E38"/>
    </row>
    <row r="39" spans="3:5" ht="15" customHeight="1" x14ac:dyDescent="0.25">
      <c r="C39"/>
      <c r="D39"/>
      <c r="E39"/>
    </row>
    <row r="40" spans="3:5" ht="15" customHeight="1" x14ac:dyDescent="0.25">
      <c r="C40"/>
      <c r="D40"/>
      <c r="E40"/>
    </row>
    <row r="41" spans="3:5" ht="15" customHeight="1" x14ac:dyDescent="0.25">
      <c r="C41"/>
      <c r="D41"/>
      <c r="E41"/>
    </row>
    <row r="42" spans="3:5" ht="15" customHeight="1" x14ac:dyDescent="0.25">
      <c r="C42"/>
      <c r="D42"/>
      <c r="E42"/>
    </row>
    <row r="43" spans="3:5" ht="15" customHeight="1" x14ac:dyDescent="0.25">
      <c r="C43"/>
      <c r="D43"/>
      <c r="E43"/>
    </row>
    <row r="44" spans="3:5" ht="15" customHeight="1" x14ac:dyDescent="0.25">
      <c r="C44"/>
      <c r="D44"/>
      <c r="E44"/>
    </row>
    <row r="45" spans="3:5" ht="15" customHeight="1" x14ac:dyDescent="0.25">
      <c r="C45"/>
      <c r="D45"/>
      <c r="E45"/>
    </row>
    <row r="46" spans="3:5" ht="15" customHeight="1" x14ac:dyDescent="0.25">
      <c r="C46"/>
      <c r="D46"/>
      <c r="E46"/>
    </row>
    <row r="47" spans="3:5" ht="15" customHeight="1" x14ac:dyDescent="0.25">
      <c r="C47"/>
      <c r="D47"/>
      <c r="E47"/>
    </row>
    <row r="48" spans="3:5" ht="15" customHeight="1" x14ac:dyDescent="0.25">
      <c r="C48"/>
      <c r="D48"/>
      <c r="E48"/>
    </row>
    <row r="49" spans="3:5" ht="15" customHeight="1" x14ac:dyDescent="0.25">
      <c r="C49"/>
      <c r="D49"/>
      <c r="E49"/>
    </row>
    <row r="50" spans="3:5" ht="15" customHeight="1" x14ac:dyDescent="0.25">
      <c r="C50"/>
      <c r="D50"/>
      <c r="E50"/>
    </row>
    <row r="51" spans="3:5" ht="15" customHeight="1" x14ac:dyDescent="0.25">
      <c r="C51"/>
      <c r="D51"/>
      <c r="E51"/>
    </row>
    <row r="52" spans="3:5" ht="15" customHeight="1" x14ac:dyDescent="0.25">
      <c r="C52"/>
      <c r="D52"/>
      <c r="E52"/>
    </row>
    <row r="53" spans="3:5" ht="15" customHeight="1" x14ac:dyDescent="0.25">
      <c r="C53"/>
      <c r="D53"/>
      <c r="E53"/>
    </row>
    <row r="54" spans="3:5" ht="15" customHeight="1" x14ac:dyDescent="0.25"/>
    <row r="55" spans="3:5" ht="15" customHeight="1" x14ac:dyDescent="0.25"/>
    <row r="56" spans="3:5" ht="15" customHeight="1" x14ac:dyDescent="0.25"/>
    <row r="57" spans="3:5" ht="15" customHeight="1" x14ac:dyDescent="0.25"/>
    <row r="58" spans="3:5" ht="15" customHeight="1" x14ac:dyDescent="0.25"/>
    <row r="59" spans="3:5" ht="15" customHeight="1" x14ac:dyDescent="0.25"/>
    <row r="60" spans="3:5" ht="15" customHeight="1" x14ac:dyDescent="0.25"/>
    <row r="61" spans="3:5" ht="15" customHeight="1" x14ac:dyDescent="0.25"/>
    <row r="62" spans="3:5" ht="15" customHeight="1" x14ac:dyDescent="0.25"/>
    <row r="63" spans="3:5" ht="15" customHeight="1" x14ac:dyDescent="0.25"/>
    <row r="64" spans="3:5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17">
    <mergeCell ref="B1:N1"/>
    <mergeCell ref="O1:O4"/>
    <mergeCell ref="P1:Y1"/>
    <mergeCell ref="N2:N4"/>
    <mergeCell ref="P2:X3"/>
    <mergeCell ref="Y2:Y4"/>
    <mergeCell ref="B13:AA13"/>
    <mergeCell ref="B10:AA10"/>
    <mergeCell ref="A2:A4"/>
    <mergeCell ref="B2:B4"/>
    <mergeCell ref="C2:C4"/>
    <mergeCell ref="D2:D4"/>
    <mergeCell ref="E2:M3"/>
    <mergeCell ref="B11:AA11"/>
    <mergeCell ref="B12:AA12"/>
    <mergeCell ref="B7:O7"/>
    <mergeCell ref="AA2:AB2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143"/>
  <sheetViews>
    <sheetView zoomScale="85" zoomScaleNormal="85" zoomScaleSheetLayoutView="115" workbookViewId="0">
      <pane xSplit="2" topLeftCell="C1" activePane="topRight" state="frozen"/>
      <selection pane="topRight" activeCell="C14" sqref="C14"/>
    </sheetView>
  </sheetViews>
  <sheetFormatPr baseColWidth="10" defaultColWidth="14.42578125" defaultRowHeight="0" customHeight="1" zeroHeight="1" x14ac:dyDescent="0.25"/>
  <cols>
    <col min="1" max="1" width="4.28515625" style="91" bestFit="1" customWidth="1"/>
    <col min="2" max="2" width="5" style="91" bestFit="1" customWidth="1"/>
    <col min="3" max="3" width="26.7109375" style="98" customWidth="1"/>
    <col min="4" max="4" width="16.7109375" style="91" customWidth="1"/>
    <col min="5" max="7" width="11.5703125" style="91" customWidth="1"/>
    <col min="8" max="8" width="14.28515625" style="91" customWidth="1"/>
    <col min="9" max="10" width="13" style="91" customWidth="1"/>
    <col min="11" max="12" width="14.7109375" style="91" customWidth="1"/>
    <col min="13" max="13" width="25.28515625" style="91" customWidth="1"/>
    <col min="14" max="15" width="14.7109375" style="91" customWidth="1"/>
    <col min="16" max="16" width="86.42578125" style="98" customWidth="1"/>
    <col min="17" max="26" width="14.7109375" style="91" customWidth="1"/>
    <col min="27" max="28" width="11.42578125" style="91" customWidth="1"/>
    <col min="29" max="30" width="15" style="91" customWidth="1"/>
    <col min="31" max="31" width="13.7109375" style="91" customWidth="1"/>
    <col min="32" max="40" width="11.42578125" style="91" customWidth="1"/>
    <col min="41" max="16384" width="14.42578125" style="91"/>
  </cols>
  <sheetData>
    <row r="1" spans="1:40" s="90" customFormat="1" ht="8.25" customHeight="1" x14ac:dyDescent="0.25">
      <c r="A1" s="203"/>
      <c r="B1" s="203" t="s">
        <v>39</v>
      </c>
      <c r="C1" s="206"/>
      <c r="D1" s="206"/>
      <c r="E1" s="206"/>
      <c r="F1" s="206"/>
      <c r="G1" s="206"/>
      <c r="H1" s="207" t="s">
        <v>40</v>
      </c>
      <c r="I1" s="203" t="s">
        <v>41</v>
      </c>
      <c r="J1" s="203"/>
      <c r="K1" s="206"/>
      <c r="L1" s="118" t="s">
        <v>100</v>
      </c>
      <c r="M1" s="118" t="s">
        <v>101</v>
      </c>
      <c r="N1" s="118" t="s">
        <v>102</v>
      </c>
      <c r="O1" s="118" t="s">
        <v>103</v>
      </c>
      <c r="P1" s="211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73"/>
      <c r="AB1" s="74" t="s">
        <v>42</v>
      </c>
      <c r="AC1" s="89"/>
      <c r="AD1" s="89"/>
      <c r="AE1" s="74" t="s">
        <v>43</v>
      </c>
      <c r="AF1" s="74" t="s">
        <v>44</v>
      </c>
      <c r="AG1" s="74"/>
      <c r="AH1" s="74"/>
      <c r="AI1" s="74"/>
      <c r="AJ1" s="74"/>
      <c r="AK1" s="74"/>
      <c r="AL1" s="74"/>
      <c r="AM1" s="74"/>
      <c r="AN1" s="74"/>
    </row>
    <row r="2" spans="1:40" s="90" customFormat="1" ht="7.9" customHeight="1" x14ac:dyDescent="0.25">
      <c r="E2" s="205" t="s">
        <v>49</v>
      </c>
      <c r="F2" s="205"/>
      <c r="H2" s="206"/>
      <c r="I2" s="205" t="s">
        <v>51</v>
      </c>
      <c r="J2" s="205"/>
      <c r="K2" s="205" t="s">
        <v>52</v>
      </c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73"/>
      <c r="AB2" s="75" t="s">
        <v>53</v>
      </c>
      <c r="AC2" s="75" t="s">
        <v>54</v>
      </c>
      <c r="AD2" s="75" t="s">
        <v>55</v>
      </c>
      <c r="AE2" s="75" t="s">
        <v>56</v>
      </c>
      <c r="AF2" s="75" t="s">
        <v>44</v>
      </c>
      <c r="AG2" s="74"/>
      <c r="AH2" s="74"/>
      <c r="AI2" s="74"/>
      <c r="AJ2" s="74"/>
      <c r="AK2" s="74"/>
      <c r="AL2" s="74"/>
      <c r="AM2" s="74"/>
      <c r="AN2" s="74"/>
    </row>
    <row r="3" spans="1:40" s="90" customFormat="1" ht="13.9" customHeight="1" x14ac:dyDescent="0.25">
      <c r="A3" s="208"/>
      <c r="B3" s="206"/>
      <c r="C3" s="209"/>
      <c r="D3" s="205"/>
      <c r="E3" s="206"/>
      <c r="F3" s="206"/>
      <c r="G3" s="205"/>
      <c r="H3" s="206"/>
      <c r="I3" s="206"/>
      <c r="J3" s="206"/>
      <c r="K3" s="205"/>
      <c r="L3" s="119"/>
      <c r="M3" s="119"/>
      <c r="N3" s="191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08" t="s">
        <v>10</v>
      </c>
      <c r="AB3" s="109" t="str">
        <f>+I4</f>
        <v xml:space="preserve">valor REG bta </v>
      </c>
      <c r="AC3" s="109">
        <f>+SUM(I5:I9)</f>
        <v>474415466</v>
      </c>
      <c r="AD3" s="109">
        <f t="shared" ref="AD3" si="0">+SUM(AC3:AC4)</f>
        <v>517506779</v>
      </c>
      <c r="AE3" s="100"/>
      <c r="AF3" s="92" t="b">
        <f t="shared" ref="AF3:AF13" si="1">+EXACT(AC3,AE3)</f>
        <v>0</v>
      </c>
      <c r="AG3" s="73"/>
      <c r="AH3" s="74"/>
      <c r="AI3" s="74"/>
      <c r="AJ3" s="74"/>
      <c r="AK3" s="74"/>
      <c r="AL3" s="74"/>
      <c r="AM3" s="74"/>
      <c r="AN3" s="74"/>
    </row>
    <row r="4" spans="1:40" s="90" customFormat="1" ht="24.75" x14ac:dyDescent="0.25">
      <c r="A4" s="205" t="s">
        <v>45</v>
      </c>
      <c r="B4" s="205" t="s">
        <v>46</v>
      </c>
      <c r="C4" s="205" t="s">
        <v>47</v>
      </c>
      <c r="D4" s="205" t="s">
        <v>48</v>
      </c>
      <c r="E4" s="204" t="s">
        <v>57</v>
      </c>
      <c r="F4" s="204" t="s">
        <v>18</v>
      </c>
      <c r="G4" s="205" t="s">
        <v>50</v>
      </c>
      <c r="H4" s="206" t="s">
        <v>104</v>
      </c>
      <c r="I4" s="205" t="s">
        <v>105</v>
      </c>
      <c r="J4" s="205" t="s">
        <v>106</v>
      </c>
      <c r="K4" s="205" t="s">
        <v>52</v>
      </c>
      <c r="L4" s="119" t="s">
        <v>107</v>
      </c>
      <c r="M4" s="119" t="s">
        <v>101</v>
      </c>
      <c r="N4" s="191" t="s">
        <v>108</v>
      </c>
      <c r="O4" s="119" t="s">
        <v>109</v>
      </c>
      <c r="P4" s="119" t="s">
        <v>86</v>
      </c>
      <c r="Q4" s="119" t="s">
        <v>110</v>
      </c>
      <c r="R4" s="119" t="s">
        <v>111</v>
      </c>
      <c r="S4" s="119"/>
      <c r="T4" s="119"/>
      <c r="U4" s="119"/>
      <c r="V4" s="119"/>
      <c r="W4" s="119"/>
      <c r="X4" s="119"/>
      <c r="Y4" s="119"/>
      <c r="Z4" s="119"/>
      <c r="AA4" s="108" t="s">
        <v>10</v>
      </c>
      <c r="AB4" s="109" t="str">
        <f>+J4</f>
        <v xml:space="preserve">valor REG oriente </v>
      </c>
      <c r="AC4" s="109">
        <f>SUM(J5:J9)</f>
        <v>43091313</v>
      </c>
      <c r="AD4" s="109"/>
      <c r="AE4" s="100"/>
      <c r="AF4" s="92" t="b">
        <f t="shared" si="1"/>
        <v>0</v>
      </c>
      <c r="AG4" s="73"/>
      <c r="AH4" s="74"/>
      <c r="AI4" s="74"/>
      <c r="AJ4" s="74"/>
      <c r="AK4" s="74"/>
      <c r="AL4" s="74"/>
      <c r="AM4" s="74"/>
      <c r="AN4" s="74"/>
    </row>
    <row r="5" spans="1:40" ht="51.6" customHeight="1" x14ac:dyDescent="0.25">
      <c r="A5" s="95">
        <f>+'DATOS REGIONALIZADO LOTE 1'!A5</f>
        <v>1</v>
      </c>
      <c r="B5" s="95">
        <f>+'DATOS REGIONALIZADO LOTE 1'!B5</f>
        <v>1</v>
      </c>
      <c r="C5" s="111" t="str">
        <f>+'DATOS REGIONALIZADO LOTE 1'!C5</f>
        <v xml:space="preserve">CABINAS EXTRACTORAS PARA LABORATORIO DE ESTUPEFACIENTES DE LA REGIONAL BOGOTA (2) CABINA Y (1) CABINA PARA - PATOLOGIA - LABORATORIO DE HISTOTECNOLOGÍA </v>
      </c>
      <c r="D5" s="95" t="str">
        <f>+'DATOS REGIONALIZADO LOTE 1'!D5</f>
        <v>UNIDAD</v>
      </c>
      <c r="E5" s="95">
        <f>+'DATOS REGIONALIZADO LOTE 1'!E5</f>
        <v>3</v>
      </c>
      <c r="F5" s="95">
        <f>+'DATOS REGIONALIZADO LOTE 1'!F5</f>
        <v>0</v>
      </c>
      <c r="G5" s="95">
        <f>+'DATOS REGIONALIZADO LOTE 1'!N5</f>
        <v>3</v>
      </c>
      <c r="H5" s="95">
        <f>+'DATOS REGIONALIZADO LOTE 1'!O5</f>
        <v>64542518</v>
      </c>
      <c r="I5" s="95">
        <f>+'DATOS REGIONALIZADO LOTE 1'!P5</f>
        <v>193627554</v>
      </c>
      <c r="J5" s="95">
        <f>+'DATOS REGIONALIZADO LOTE 1'!Q5</f>
        <v>0</v>
      </c>
      <c r="K5" s="95">
        <f>+'DATOS REGIONALIZADO LOTE 1'!Y5</f>
        <v>193627554</v>
      </c>
      <c r="L5" s="87" t="s">
        <v>112</v>
      </c>
      <c r="M5" s="87" t="s">
        <v>113</v>
      </c>
      <c r="N5" s="191">
        <f>+VLOOKUP(M5,Hoja3!$B$2:$E$8,4,FALSE)</f>
        <v>455552981</v>
      </c>
      <c r="O5" s="191">
        <f>+N5-K5</f>
        <v>261925427</v>
      </c>
      <c r="P5" s="212" t="str">
        <f>+VLOOKUP(M5,Hoja3!$B$2:$D$8,3,FALSE)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Q5" s="87">
        <f>+K5</f>
        <v>193627554</v>
      </c>
      <c r="R5" s="87"/>
      <c r="S5" s="87"/>
      <c r="T5" s="87"/>
      <c r="U5" s="87"/>
      <c r="V5" s="87"/>
      <c r="W5" s="87"/>
      <c r="X5" s="87"/>
      <c r="Y5" s="87"/>
      <c r="Z5" s="87"/>
      <c r="AA5" s="99" t="s">
        <v>65</v>
      </c>
      <c r="AB5" s="100" t="s">
        <v>57</v>
      </c>
      <c r="AC5" s="100">
        <f>+'DATOS REGIONALIZADO LOTE 2'!P7</f>
        <v>161915416</v>
      </c>
      <c r="AD5" s="100">
        <f>+Tabla3791025[[#This Row],[VALOR TOTAL]]+AC6</f>
        <v>208217404</v>
      </c>
      <c r="AE5" s="100"/>
      <c r="AF5" s="92" t="b">
        <f>+EXACT(AC5,AE5)</f>
        <v>0</v>
      </c>
      <c r="AG5" s="82"/>
      <c r="AH5" s="83"/>
      <c r="AI5" s="83"/>
      <c r="AJ5" s="83"/>
      <c r="AK5" s="83"/>
      <c r="AL5" s="83"/>
      <c r="AM5" s="83"/>
      <c r="AN5" s="83"/>
    </row>
    <row r="6" spans="1:40" s="195" customFormat="1" ht="45" x14ac:dyDescent="0.25">
      <c r="A6" s="189">
        <f>+'DATOS REGIONALIZADO LOTE 1'!A6</f>
        <v>1</v>
      </c>
      <c r="B6" s="189">
        <f>+'DATOS REGIONALIZADO LOTE 1'!B6</f>
        <v>2</v>
      </c>
      <c r="C6" s="190" t="str">
        <f>+'DATOS REGIONALIZADO LOTE 1'!C6</f>
        <v>CABINA EXTRACTORA PARA EL GRUPO DE PATOLOGIA FORENSE  DE LA REGIONAL BOGOTA</v>
      </c>
      <c r="D6" s="189" t="str">
        <f>+'DATOS REGIONALIZADO LOTE 1'!D6</f>
        <v>UNIDAD</v>
      </c>
      <c r="E6" s="189">
        <f>+'DATOS REGIONALIZADO LOTE 1'!E6</f>
        <v>1</v>
      </c>
      <c r="F6" s="189">
        <f>+'DATOS REGIONALIZADO LOTE 1'!F6</f>
        <v>0</v>
      </c>
      <c r="G6" s="189">
        <f>+'DATOS REGIONALIZADO LOTE 1'!N6</f>
        <v>1</v>
      </c>
      <c r="H6" s="189">
        <f>+'DATOS REGIONALIZADO LOTE 1'!O6</f>
        <v>60791847</v>
      </c>
      <c r="I6" s="189">
        <f>+'DATOS REGIONALIZADO LOTE 1'!P6</f>
        <v>60791847</v>
      </c>
      <c r="J6" s="189">
        <f>+'DATOS REGIONALIZADO LOTE 1'!Q6</f>
        <v>0</v>
      </c>
      <c r="K6" s="189">
        <f>+'DATOS REGIONALIZADO LOTE 1'!Y6</f>
        <v>60791847</v>
      </c>
      <c r="L6" s="191" t="s">
        <v>114</v>
      </c>
      <c r="M6" s="191" t="s">
        <v>115</v>
      </c>
      <c r="N6" s="191">
        <f>+VLOOKUP(M6,Hoja3!$B$2:$E$8,4,FALSE)</f>
        <v>465218379</v>
      </c>
      <c r="O6" s="191">
        <f>+N6-K6</f>
        <v>404426532</v>
      </c>
      <c r="P6" s="212" t="str">
        <f>+VLOOKUP(M6,Hoja3!$B$2:$D$8,3,FALSE)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6" s="191">
        <f>+K6</f>
        <v>60791847</v>
      </c>
      <c r="R6" s="191"/>
      <c r="S6" s="191"/>
      <c r="T6" s="191"/>
      <c r="U6" s="191"/>
      <c r="V6" s="191"/>
      <c r="W6" s="191"/>
      <c r="X6" s="191"/>
      <c r="Y6" s="191"/>
      <c r="Z6" s="191"/>
      <c r="AA6" s="192" t="s">
        <v>65</v>
      </c>
      <c r="AB6" s="197" t="s">
        <v>18</v>
      </c>
      <c r="AC6" s="197">
        <f>+'DATOS REGIONALIZADO LOTE 2'!Q7</f>
        <v>46301988</v>
      </c>
      <c r="AD6" s="197"/>
      <c r="AE6" s="197"/>
      <c r="AF6" s="198" t="b">
        <f>+EXACT(AC6,AE6)</f>
        <v>0</v>
      </c>
      <c r="AG6" s="193"/>
      <c r="AH6" s="194"/>
      <c r="AI6" s="194"/>
      <c r="AJ6" s="194"/>
      <c r="AK6" s="194"/>
      <c r="AL6" s="194"/>
      <c r="AM6" s="194"/>
      <c r="AN6" s="194"/>
    </row>
    <row r="7" spans="1:40" ht="50.65" customHeight="1" x14ac:dyDescent="0.25">
      <c r="A7" s="95">
        <f>+'DATOS REGIONALIZADO LOTE 1'!A7</f>
        <v>1</v>
      </c>
      <c r="B7" s="95">
        <f>+'DATOS REGIONALIZADO LOTE 1'!B7</f>
        <v>3</v>
      </c>
      <c r="C7" s="111" t="str">
        <f>+'DATOS REGIONALIZADO LOTE 1'!C7</f>
        <v>CABINAS EXTRACTORAS PARA EL LABORATORIO DE EVIDENCIA TRAZA  DE LA REGIONAL BOGOTA</v>
      </c>
      <c r="D7" s="95" t="str">
        <f>+'DATOS REGIONALIZADO LOTE 1'!D7</f>
        <v>UNIDAD</v>
      </c>
      <c r="E7" s="95">
        <f>+'DATOS REGIONALIZADO LOTE 1'!E7</f>
        <v>3</v>
      </c>
      <c r="F7" s="95">
        <f>+'DATOS REGIONALIZADO LOTE 1'!F7</f>
        <v>0</v>
      </c>
      <c r="G7" s="95">
        <f>+'DATOS REGIONALIZADO LOTE 1'!N7</f>
        <v>3</v>
      </c>
      <c r="H7" s="95">
        <f>+'DATOS REGIONALIZADO LOTE 1'!O7</f>
        <v>55298393</v>
      </c>
      <c r="I7" s="95">
        <f>+'DATOS REGIONALIZADO LOTE 1'!P7</f>
        <v>165895179</v>
      </c>
      <c r="J7" s="95">
        <f>+'DATOS REGIONALIZADO LOTE 1'!Q7</f>
        <v>0</v>
      </c>
      <c r="K7" s="95">
        <f>+'DATOS REGIONALIZADO LOTE 1'!Y7</f>
        <v>165895179</v>
      </c>
      <c r="L7" s="87" t="s">
        <v>112</v>
      </c>
      <c r="M7" s="87" t="s">
        <v>113</v>
      </c>
      <c r="N7" s="191">
        <f>+O5</f>
        <v>261925427</v>
      </c>
      <c r="O7" s="191">
        <f t="shared" ref="O7:O32" si="2">+N7-K7</f>
        <v>96030248</v>
      </c>
      <c r="P7" s="212" t="str">
        <f>+VLOOKUP(M7,Hoja3!$B$2:$D$8,3,FALSE)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Q7" s="87">
        <f>+K7</f>
        <v>165895179</v>
      </c>
      <c r="R7" s="87"/>
      <c r="S7" s="87"/>
      <c r="T7" s="87"/>
      <c r="U7" s="87"/>
      <c r="V7" s="87"/>
      <c r="W7" s="87"/>
      <c r="X7" s="87"/>
      <c r="Y7" s="87"/>
      <c r="Z7" s="87"/>
      <c r="AA7" s="108" t="s">
        <v>66</v>
      </c>
      <c r="AB7" s="109" t="s">
        <v>57</v>
      </c>
      <c r="AC7" s="109">
        <f>+Tabla34[[#This Row],[VALOR TOTAL]]</f>
        <v>668421095</v>
      </c>
      <c r="AD7" s="109">
        <f>+Tabla3791025[[#This Row],[VALOR TOTAL]]+AC8</f>
        <v>668421095</v>
      </c>
      <c r="AE7" s="100"/>
      <c r="AF7" s="92" t="b">
        <f>+EXACT(AC7,AE7)</f>
        <v>0</v>
      </c>
      <c r="AG7" s="82"/>
      <c r="AH7" s="83"/>
      <c r="AI7" s="83"/>
      <c r="AJ7" s="83"/>
      <c r="AK7" s="83"/>
      <c r="AL7" s="83"/>
      <c r="AM7" s="83"/>
      <c r="AN7" s="83"/>
    </row>
    <row r="8" spans="1:40" ht="63" customHeight="1" x14ac:dyDescent="0.25">
      <c r="A8" s="95">
        <f>+'DATOS REGIONALIZADO LOTE 1'!A8</f>
        <v>1</v>
      </c>
      <c r="B8" s="95">
        <f>+'DATOS REGIONALIZADO LOTE 1'!B8</f>
        <v>4</v>
      </c>
      <c r="C8" s="112" t="str">
        <f>+'DATOS REGIONALIZADO LOTE 1'!C8</f>
        <v>CABINA EXTRACTORA PARA EL LABORATORIO DE GENÉTICA DE LA REGIONAL BOGOTA</v>
      </c>
      <c r="D8" s="95" t="str">
        <f>+'DATOS REGIONALIZADO LOTE 1'!D8</f>
        <v>UNIDAD</v>
      </c>
      <c r="E8" s="95">
        <f>+'DATOS REGIONALIZADO LOTE 1'!E8</f>
        <v>1</v>
      </c>
      <c r="F8" s="95">
        <f>+'DATOS REGIONALIZADO LOTE 1'!F8</f>
        <v>0</v>
      </c>
      <c r="G8" s="95">
        <f>+'DATOS REGIONALIZADO LOTE 1'!N8</f>
        <v>1</v>
      </c>
      <c r="H8" s="95">
        <f>+'DATOS REGIONALIZADO LOTE 1'!O8</f>
        <v>54100886</v>
      </c>
      <c r="I8" s="95">
        <f>+'DATOS REGIONALIZADO LOTE 1'!P8</f>
        <v>54100886</v>
      </c>
      <c r="J8" s="95">
        <f>+'DATOS REGIONALIZADO LOTE 1'!Q8</f>
        <v>0</v>
      </c>
      <c r="K8" s="95">
        <f>+'DATOS REGIONALIZADO LOTE 1'!Y8</f>
        <v>54100886</v>
      </c>
      <c r="L8" s="87" t="s">
        <v>74</v>
      </c>
      <c r="M8" s="87" t="s">
        <v>116</v>
      </c>
      <c r="N8" s="191">
        <f>+VLOOKUP(M8,Hoja3!$B$2:$E$8,4,FALSE)</f>
        <v>100920000</v>
      </c>
      <c r="O8" s="191">
        <f t="shared" si="2"/>
        <v>46819114</v>
      </c>
      <c r="P8" s="212" t="str">
        <f>+VLOOKUP(M8,Hoja3!$B$2:$D$8,3,FALSE)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Q8" s="87">
        <f>+K8</f>
        <v>54100886</v>
      </c>
      <c r="R8" s="87"/>
      <c r="S8" s="87"/>
      <c r="T8" s="87"/>
      <c r="U8" s="87"/>
      <c r="V8" s="87"/>
      <c r="W8" s="87"/>
      <c r="X8" s="87"/>
      <c r="Y8" s="87"/>
      <c r="Z8" s="87"/>
      <c r="AA8" s="108" t="s">
        <v>67</v>
      </c>
      <c r="AB8" s="109" t="s">
        <v>18</v>
      </c>
      <c r="AC8" s="109">
        <f>+Tabla34[[#This Row],[VALOR TOTAL]]</f>
        <v>0</v>
      </c>
      <c r="AD8" s="109"/>
      <c r="AE8" s="100"/>
      <c r="AF8" s="92" t="b">
        <f>+EXACT(AC8,AE8)</f>
        <v>0</v>
      </c>
      <c r="AG8" s="82"/>
      <c r="AH8" s="83"/>
      <c r="AI8" s="83"/>
      <c r="AJ8" s="83"/>
      <c r="AK8" s="83"/>
      <c r="AL8" s="83"/>
      <c r="AM8" s="83"/>
      <c r="AN8" s="83"/>
    </row>
    <row r="9" spans="1:40" ht="56.25" customHeight="1" x14ac:dyDescent="0.25">
      <c r="A9" s="95">
        <f>+'DATOS REGIONALIZADO LOTE 1'!A9</f>
        <v>1</v>
      </c>
      <c r="B9" s="95">
        <f>+'DATOS REGIONALIZADO LOTE 1'!B9</f>
        <v>5</v>
      </c>
      <c r="C9" s="112" t="str">
        <f>+'DATOS REGIONALIZADO LOTE 1'!C9</f>
        <v>CABINA DE SEGURIDAD BIOLÓGICA CLASE II TIPO II PARA EL LABORATORIO DE GENÉTICA VILLAVICENCIO</v>
      </c>
      <c r="D9" s="95" t="str">
        <f>+'DATOS REGIONALIZADO LOTE 1'!D9</f>
        <v>UNIDAD</v>
      </c>
      <c r="E9" s="95">
        <f>+'DATOS REGIONALIZADO LOTE 1'!E9</f>
        <v>0</v>
      </c>
      <c r="F9" s="95">
        <f>+'DATOS REGIONALIZADO LOTE 1'!F9</f>
        <v>1</v>
      </c>
      <c r="G9" s="95">
        <f>+'DATOS REGIONALIZADO LOTE 1'!N9</f>
        <v>1</v>
      </c>
      <c r="H9" s="95">
        <f>+'DATOS REGIONALIZADO LOTE 1'!O9</f>
        <v>43091313</v>
      </c>
      <c r="I9" s="95">
        <f>+'DATOS REGIONALIZADO LOTE 1'!P9</f>
        <v>0</v>
      </c>
      <c r="J9" s="95">
        <f>+'DATOS REGIONALIZADO LOTE 1'!Q9</f>
        <v>43091313</v>
      </c>
      <c r="K9" s="189">
        <f>+'DATOS REGIONALIZADO LOTE 1'!Y9</f>
        <v>43091313</v>
      </c>
      <c r="L9" s="87" t="s">
        <v>74</v>
      </c>
      <c r="M9" s="87" t="s">
        <v>117</v>
      </c>
      <c r="N9" s="191">
        <f>+VLOOKUP(M9,Hoja3!$B$2:$E$8,4,FALSE)</f>
        <v>300000000</v>
      </c>
      <c r="O9" s="191">
        <f>+N9-K9</f>
        <v>256908687</v>
      </c>
      <c r="P9" s="212" t="str">
        <f>+VLOOKUP(M9,Hoja3!$B$2:$D$8,3,FALSE)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Q9" s="87">
        <f>+J9</f>
        <v>43091313</v>
      </c>
      <c r="R9" s="87"/>
      <c r="S9" s="87"/>
      <c r="T9" s="87"/>
      <c r="U9" s="87"/>
      <c r="V9" s="87"/>
      <c r="W9" s="87"/>
      <c r="X9" s="87"/>
      <c r="Y9" s="87"/>
      <c r="Z9" s="87"/>
      <c r="AA9" s="99" t="s">
        <v>68</v>
      </c>
      <c r="AB9" s="100" t="s">
        <v>57</v>
      </c>
      <c r="AC9" s="100">
        <f>+'DATOS REGIONALIZADO LOTE 4 tota'!AB7</f>
        <v>328507571</v>
      </c>
      <c r="AD9" s="100">
        <f>+Tabla3791025[[#This Row],[VALOR TOTAL]]+AC10</f>
        <v>548261931</v>
      </c>
      <c r="AE9" s="100"/>
      <c r="AF9" s="92" t="b">
        <f t="shared" ref="AF9:AF10" si="3">+EXACT(AC9,AE9)</f>
        <v>0</v>
      </c>
      <c r="AG9" s="82"/>
      <c r="AH9" s="83"/>
      <c r="AI9" s="83"/>
      <c r="AJ9" s="83"/>
      <c r="AK9" s="83"/>
      <c r="AL9" s="83"/>
      <c r="AM9" s="83"/>
      <c r="AN9" s="83"/>
    </row>
    <row r="10" spans="1:40" ht="54.75" customHeight="1" x14ac:dyDescent="0.25">
      <c r="A10" s="95">
        <f>+'DATOS REGIONALIZADO LOTE 2'!A5</f>
        <v>2</v>
      </c>
      <c r="B10" s="95">
        <f>+'DATOS REGIONALIZADO LOTE 2'!B5</f>
        <v>6</v>
      </c>
      <c r="C10" s="111" t="str">
        <f>+'DATOS REGIONALIZADO LOTE 2'!C5</f>
        <v>MICROSCOPIO ÓPTICO TRINOCULAR</v>
      </c>
      <c r="D10" s="95" t="str">
        <f>+'DATOS REGIONALIZADO LOTE 2'!D5</f>
        <v>UNIDAD</v>
      </c>
      <c r="E10" s="95">
        <f>+'DATOS REGIONALIZADO LOTE 2'!E5</f>
        <v>0</v>
      </c>
      <c r="F10" s="95">
        <f>+'DATOS REGIONALIZADO LOTE 2'!F5</f>
        <v>1</v>
      </c>
      <c r="G10" s="95">
        <f>+'DATOS REGIONALIZADO LOTE 2'!N5</f>
        <v>1</v>
      </c>
      <c r="H10" s="95">
        <f>+'DATOS REGIONALIZADO LOTE 2'!O5</f>
        <v>46301988</v>
      </c>
      <c r="I10" s="95">
        <f>+'DATOS REGIONALIZADO LOTE 2'!P5</f>
        <v>0</v>
      </c>
      <c r="J10" s="95">
        <f>+'DATOS REGIONALIZADO LOTE 2'!Q5</f>
        <v>46301988</v>
      </c>
      <c r="K10" s="95">
        <f>+'DATOS REGIONALIZADO LOTE 2'!Y5</f>
        <v>46301988</v>
      </c>
      <c r="L10" s="87" t="s">
        <v>112</v>
      </c>
      <c r="M10" s="87" t="s">
        <v>118</v>
      </c>
      <c r="N10" s="191">
        <f>+VLOOKUP(M10,Hoja3!$B$2:$E$8,4,FALSE)</f>
        <v>98308640</v>
      </c>
      <c r="O10" s="191">
        <f t="shared" si="2"/>
        <v>52006652</v>
      </c>
      <c r="P10" s="212" t="str">
        <f>+VLOOKUP(M10,Hoja3!$B$2:$D$8,3,FALSE)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10" s="87">
        <f>+K10</f>
        <v>46301988</v>
      </c>
      <c r="R10" s="87"/>
      <c r="S10" s="87"/>
      <c r="T10" s="87"/>
      <c r="U10" s="87"/>
      <c r="V10" s="87"/>
      <c r="W10" s="87"/>
      <c r="X10" s="87"/>
      <c r="Y10" s="87"/>
      <c r="Z10" s="87"/>
      <c r="AA10" s="99" t="s">
        <v>69</v>
      </c>
      <c r="AB10" s="100" t="s">
        <v>18</v>
      </c>
      <c r="AC10" s="100">
        <f>+'DATOS REGIONALIZADO LOTE 4 tota'!AB8</f>
        <v>219754360</v>
      </c>
      <c r="AD10" s="100"/>
      <c r="AE10" s="100"/>
      <c r="AF10" s="92" t="b">
        <f t="shared" si="3"/>
        <v>0</v>
      </c>
      <c r="AG10" s="82"/>
      <c r="AH10" s="83"/>
      <c r="AI10" s="83"/>
      <c r="AJ10" s="83"/>
      <c r="AK10" s="83"/>
      <c r="AL10" s="83"/>
      <c r="AM10" s="83"/>
      <c r="AN10" s="83"/>
    </row>
    <row r="11" spans="1:40" s="195" customFormat="1" ht="45" x14ac:dyDescent="0.25">
      <c r="A11" s="189">
        <f>+'DATOS REGIONALIZADO LOTE 2'!A6</f>
        <v>2</v>
      </c>
      <c r="B11" s="189">
        <f>+'DATOS REGIONALIZADO LOTE 2'!B6</f>
        <v>7</v>
      </c>
      <c r="C11" s="190" t="str">
        <f>+'DATOS REGIONALIZADO LOTE 2'!C6</f>
        <v xml:space="preserve">Estereomicroscopio  con camara </v>
      </c>
      <c r="D11" s="189" t="str">
        <f>+'DATOS REGIONALIZADO LOTE 2'!D6</f>
        <v>UNIDAD</v>
      </c>
      <c r="E11" s="189">
        <f>+'DATOS REGIONALIZADO LOTE 2'!E6</f>
        <v>1</v>
      </c>
      <c r="F11" s="189">
        <f>+'DATOS REGIONALIZADO LOTE 2'!F6</f>
        <v>0</v>
      </c>
      <c r="G11" s="189">
        <f>+'DATOS REGIONALIZADO LOTE 2'!N6</f>
        <v>1</v>
      </c>
      <c r="H11" s="189">
        <f>+'DATOS REGIONALIZADO LOTE 2'!O6</f>
        <v>161915416</v>
      </c>
      <c r="I11" s="189">
        <f>+'DATOS REGIONALIZADO LOTE 2'!P6</f>
        <v>161915416</v>
      </c>
      <c r="J11" s="189">
        <f>+'DATOS REGIONALIZADO LOTE 2'!Q6</f>
        <v>0</v>
      </c>
      <c r="K11" s="189">
        <f>+'DATOS REGIONALIZADO LOTE 2'!Y6</f>
        <v>161915416</v>
      </c>
      <c r="L11" s="191" t="s">
        <v>114</v>
      </c>
      <c r="M11" s="191" t="s">
        <v>115</v>
      </c>
      <c r="N11" s="191">
        <f>+O6</f>
        <v>404426532</v>
      </c>
      <c r="O11" s="191">
        <f t="shared" si="2"/>
        <v>242511116</v>
      </c>
      <c r="P11" s="212" t="str">
        <f>+VLOOKUP(M11,Hoja3!$B$2:$D$8,3,FALSE)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11" s="195">
        <f>+K11</f>
        <v>161915416</v>
      </c>
      <c r="S11" s="191"/>
      <c r="T11" s="191"/>
      <c r="U11" s="191"/>
      <c r="V11" s="191"/>
      <c r="W11" s="191"/>
      <c r="X11" s="191"/>
      <c r="Y11" s="191"/>
      <c r="Z11" s="191"/>
      <c r="AA11" s="192" t="s">
        <v>70</v>
      </c>
      <c r="AB11" s="197" t="s">
        <v>57</v>
      </c>
      <c r="AC11" s="197" t="e">
        <f>+Tabla36[[#This Row],[VALOR TOTAL]]</f>
        <v>#VALUE!</v>
      </c>
      <c r="AD11" s="197" t="e">
        <f>+Tabla3791025[[#This Row],[VALOR TOTAL]]+AC12</f>
        <v>#VALUE!</v>
      </c>
      <c r="AE11" s="197"/>
      <c r="AF11" s="198" t="e">
        <f>+EXACT(AC11,AE11)</f>
        <v>#VALUE!</v>
      </c>
      <c r="AG11" s="193"/>
      <c r="AH11" s="194"/>
      <c r="AI11" s="194"/>
      <c r="AJ11" s="194"/>
      <c r="AK11" s="194"/>
      <c r="AL11" s="194"/>
      <c r="AM11" s="194"/>
      <c r="AN11" s="194"/>
    </row>
    <row r="12" spans="1:40" s="195" customFormat="1" ht="15" x14ac:dyDescent="0.25">
      <c r="A12" s="189">
        <f>+'DATOS REGIONALIZADO LOTE 3'!A5</f>
        <v>3</v>
      </c>
      <c r="B12" s="189">
        <f>+'DATOS REGIONALIZADO LOTE 3'!B5</f>
        <v>8</v>
      </c>
      <c r="C12" s="190" t="str">
        <f>+'DATOS REGIONALIZADO LOTE 3'!C5</f>
        <v xml:space="preserve">Baño De Flotación  </v>
      </c>
      <c r="D12" s="189" t="str">
        <f>+'DATOS REGIONALIZADO LOTE 3'!D5</f>
        <v>UNIDAD</v>
      </c>
      <c r="E12" s="189">
        <f>+'DATOS REGIONALIZADO LOTE 3'!E5</f>
        <v>1</v>
      </c>
      <c r="F12" s="189">
        <f>+'DATOS REGIONALIZADO LOTE 3'!F5</f>
        <v>0</v>
      </c>
      <c r="G12" s="189">
        <f>+'DATOS REGIONALIZADO LOTE 3'!N5</f>
        <v>1</v>
      </c>
      <c r="H12" s="189">
        <f>+'DATOS REGIONALIZADO LOTE 3'!O5</f>
        <v>7329714</v>
      </c>
      <c r="I12" s="189">
        <f>+'DATOS REGIONALIZADO LOTE 3'!P5</f>
        <v>7329714</v>
      </c>
      <c r="J12" s="189">
        <f>+'DATOS REGIONALIZADO LOTE 3'!Q5</f>
        <v>0</v>
      </c>
      <c r="K12" s="189">
        <f>+'DATOS REGIONALIZADO LOTE 3'!Y5</f>
        <v>7329714</v>
      </c>
      <c r="L12" s="191" t="s">
        <v>114</v>
      </c>
      <c r="M12" s="191" t="s">
        <v>119</v>
      </c>
      <c r="N12" s="191" t="e">
        <f>+VLOOKUP(M12,Hoja3!$B$2:$E$8,4,FALSE)</f>
        <v>#N/A</v>
      </c>
      <c r="O12" s="191" t="e">
        <f t="shared" si="2"/>
        <v>#N/A</v>
      </c>
      <c r="P12" s="221" t="e">
        <f>+VLOOKUP(M12,Hoja3!$B$2:$D$8,3,FALSE)</f>
        <v>#N/A</v>
      </c>
      <c r="Q12" s="191">
        <f>+K12</f>
        <v>7329714</v>
      </c>
      <c r="R12" s="191"/>
      <c r="S12" s="191"/>
      <c r="T12" s="191"/>
      <c r="U12" s="191"/>
      <c r="V12" s="191"/>
      <c r="W12" s="191"/>
      <c r="X12" s="191"/>
      <c r="Y12" s="191"/>
      <c r="Z12" s="191"/>
      <c r="AA12" s="192" t="s">
        <v>70</v>
      </c>
      <c r="AB12" s="197" t="s">
        <v>18</v>
      </c>
      <c r="AC12" s="197" t="e">
        <f>+Tabla36[[#This Row],[VALOR TOTAL]]</f>
        <v>#VALUE!</v>
      </c>
      <c r="AD12" s="197"/>
      <c r="AE12" s="197"/>
      <c r="AF12" s="198" t="e">
        <f>+EXACT(AC12,AE12)</f>
        <v>#VALUE!</v>
      </c>
      <c r="AG12" s="193"/>
      <c r="AH12" s="194"/>
      <c r="AI12" s="194"/>
      <c r="AJ12" s="194"/>
      <c r="AK12" s="194"/>
      <c r="AL12" s="194"/>
      <c r="AM12" s="194"/>
      <c r="AN12" s="194"/>
    </row>
    <row r="13" spans="1:40" s="195" customFormat="1" ht="45" x14ac:dyDescent="0.25">
      <c r="A13" s="189">
        <f>+'DATOS REGIONALIZADO LOTE 3'!A6</f>
        <v>3</v>
      </c>
      <c r="B13" s="189">
        <f>+'DATOS REGIONALIZADO LOTE 3'!B6</f>
        <v>9</v>
      </c>
      <c r="C13" s="190" t="str">
        <f>+'DATOS REGIONALIZADO LOTE 3'!C6</f>
        <v xml:space="preserve">Central De Inclusión </v>
      </c>
      <c r="D13" s="189" t="str">
        <f>+'DATOS REGIONALIZADO LOTE 3'!D6</f>
        <v>UNIDAD</v>
      </c>
      <c r="E13" s="189">
        <f>+'DATOS REGIONALIZADO LOTE 3'!E6</f>
        <v>1</v>
      </c>
      <c r="F13" s="189">
        <f>+'DATOS REGIONALIZADO LOTE 3'!F6</f>
        <v>0</v>
      </c>
      <c r="G13" s="189">
        <f>+'DATOS REGIONALIZADO LOTE 3'!N6</f>
        <v>1</v>
      </c>
      <c r="H13" s="189">
        <f>+'DATOS REGIONALIZADO LOTE 3'!O6</f>
        <v>101320276</v>
      </c>
      <c r="I13" s="189">
        <f>+'DATOS REGIONALIZADO LOTE 3'!P6</f>
        <v>101320276</v>
      </c>
      <c r="J13" s="189">
        <f>+'DATOS REGIONALIZADO LOTE 3'!Q6</f>
        <v>0</v>
      </c>
      <c r="K13" s="189">
        <f>+'DATOS REGIONALIZADO LOTE 3'!Y6</f>
        <v>101320276</v>
      </c>
      <c r="L13" s="191" t="s">
        <v>114</v>
      </c>
      <c r="M13" s="191" t="s">
        <v>115</v>
      </c>
      <c r="N13" s="191">
        <f>+O11</f>
        <v>242511116</v>
      </c>
      <c r="O13" s="191">
        <f t="shared" si="2"/>
        <v>141190840</v>
      </c>
      <c r="P13" s="212" t="str">
        <f>+VLOOKUP(M13,Hoja3!$B$2:$D$8,3,FALSE)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13" s="191">
        <f>+K13</f>
        <v>101320276</v>
      </c>
      <c r="R13" s="191"/>
      <c r="S13" s="191"/>
      <c r="T13" s="191"/>
      <c r="U13" s="191"/>
      <c r="V13" s="191"/>
      <c r="W13" s="191"/>
      <c r="X13" s="191"/>
      <c r="Y13" s="191"/>
      <c r="Z13" s="191"/>
      <c r="AA13" s="192"/>
      <c r="AB13" s="196" t="s">
        <v>71</v>
      </c>
      <c r="AC13" s="196" t="e">
        <f>+SUM(AC3:AC12)</f>
        <v>#VALUE!</v>
      </c>
      <c r="AD13" s="196" t="e">
        <f>+SUM(AD3:AD12)</f>
        <v>#VALUE!</v>
      </c>
      <c r="AE13" s="197">
        <f>+K34</f>
        <v>2646466360</v>
      </c>
      <c r="AF13" s="198" t="e">
        <f t="shared" si="1"/>
        <v>#VALUE!</v>
      </c>
      <c r="AG13" s="193"/>
      <c r="AH13" s="194"/>
      <c r="AI13" s="194"/>
      <c r="AJ13" s="194"/>
      <c r="AK13" s="194"/>
      <c r="AL13" s="194"/>
      <c r="AM13" s="194"/>
      <c r="AN13" s="194"/>
    </row>
    <row r="14" spans="1:40" s="195" customFormat="1" ht="11.25" x14ac:dyDescent="0.25">
      <c r="A14" s="189">
        <f>+'DATOS REGIONALIZADO LOTE 3'!A7</f>
        <v>3</v>
      </c>
      <c r="B14" s="189">
        <f>+'DATOS REGIONALIZADO LOTE 3'!B7</f>
        <v>10</v>
      </c>
      <c r="C14" s="190" t="str">
        <f>+'DATOS REGIONALIZADO LOTE 3'!C7</f>
        <v>Criostato</v>
      </c>
      <c r="D14" s="189" t="str">
        <f>+'DATOS REGIONALIZADO LOTE 3'!D7</f>
        <v>UNIDAD</v>
      </c>
      <c r="E14" s="189">
        <f>+'DATOS REGIONALIZADO LOTE 3'!E7</f>
        <v>1</v>
      </c>
      <c r="F14" s="189">
        <f>+'DATOS REGIONALIZADO LOTE 3'!F7</f>
        <v>0</v>
      </c>
      <c r="G14" s="189">
        <f>+'DATOS REGIONALIZADO LOTE 3'!N7</f>
        <v>1</v>
      </c>
      <c r="H14" s="189">
        <f>+'DATOS REGIONALIZADO LOTE 3'!O7</f>
        <v>179604981</v>
      </c>
      <c r="I14" s="189">
        <f>+'DATOS REGIONALIZADO LOTE 3'!P7</f>
        <v>179604981</v>
      </c>
      <c r="J14" s="189">
        <f>+'DATOS REGIONALIZADO LOTE 3'!Q7</f>
        <v>0</v>
      </c>
      <c r="K14" s="189">
        <f>+'DATOS REGIONALIZADO LOTE 3'!Y7</f>
        <v>179604981</v>
      </c>
      <c r="L14" s="191" t="s">
        <v>114</v>
      </c>
      <c r="M14" s="191" t="s">
        <v>119</v>
      </c>
      <c r="N14" s="191" t="e">
        <f>+O12</f>
        <v>#N/A</v>
      </c>
      <c r="O14" s="191" t="e">
        <f t="shared" si="2"/>
        <v>#N/A</v>
      </c>
      <c r="P14" s="212" t="e">
        <f>+VLOOKUP(M14,Hoja3!$B$2:$D$8,3,FALSE)</f>
        <v>#N/A</v>
      </c>
      <c r="Q14" s="191">
        <f>+K14</f>
        <v>179604981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3"/>
      <c r="AB14" s="199"/>
      <c r="AC14" s="199"/>
      <c r="AD14" s="199"/>
      <c r="AE14" s="199"/>
      <c r="AF14" s="199"/>
      <c r="AG14" s="194"/>
      <c r="AH14" s="194"/>
      <c r="AI14" s="194"/>
      <c r="AJ14" s="194"/>
      <c r="AK14" s="194"/>
      <c r="AL14" s="194"/>
      <c r="AM14" s="194"/>
      <c r="AN14" s="194"/>
    </row>
    <row r="15" spans="1:40" s="195" customFormat="1" ht="99.75" customHeight="1" x14ac:dyDescent="0.25">
      <c r="A15" s="189">
        <f>+'DATOS REGIONALIZADO LOTE 3'!A8</f>
        <v>3</v>
      </c>
      <c r="B15" s="189">
        <f>+'DATOS REGIONALIZADO LOTE 3'!B8</f>
        <v>11</v>
      </c>
      <c r="C15" s="190" t="str">
        <f>+'DATOS REGIONALIZADO LOTE 3'!C8</f>
        <v xml:space="preserve">Micrótomo Motorizado </v>
      </c>
      <c r="D15" s="189" t="str">
        <f>+'DATOS REGIONALIZADO LOTE 3'!D8</f>
        <v>UNIDAD</v>
      </c>
      <c r="E15" s="189">
        <f>+'DATOS REGIONALIZADO LOTE 3'!E8</f>
        <v>1</v>
      </c>
      <c r="F15" s="189">
        <f>+'DATOS REGIONALIZADO LOTE 3'!F8</f>
        <v>0</v>
      </c>
      <c r="G15" s="189">
        <f>+'DATOS REGIONALIZADO LOTE 3'!N8</f>
        <v>1</v>
      </c>
      <c r="H15" s="189">
        <f>+'DATOS REGIONALIZADO LOTE 3'!O8</f>
        <v>133386702</v>
      </c>
      <c r="I15" s="189">
        <f>+'DATOS REGIONALIZADO LOTE 3'!P8</f>
        <v>133386702</v>
      </c>
      <c r="J15" s="189">
        <f>+'DATOS REGIONALIZADO LOTE 3'!Q8</f>
        <v>0</v>
      </c>
      <c r="K15" s="189">
        <f>+'DATOS REGIONALIZADO LOTE 3'!Y8</f>
        <v>133386702</v>
      </c>
      <c r="L15" s="191" t="s">
        <v>114</v>
      </c>
      <c r="M15" s="191" t="s">
        <v>120</v>
      </c>
      <c r="N15" s="191">
        <f>+K15</f>
        <v>133386702</v>
      </c>
      <c r="O15" s="191">
        <f t="shared" si="2"/>
        <v>0</v>
      </c>
      <c r="P15" s="212" t="str">
        <f>+VLOOKUP(M15,Hoja3!$B$2:$D$8,3,FALSE)</f>
        <v xml:space="preserve">código Rubro = B-2901-0800-14-20111D-2901006-02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</v>
      </c>
      <c r="Q15" s="191">
        <f>+I15+O15</f>
        <v>133386702</v>
      </c>
      <c r="R15" s="191">
        <f>+O15</f>
        <v>0</v>
      </c>
      <c r="S15" s="191"/>
      <c r="T15" s="191"/>
      <c r="U15" s="191"/>
      <c r="V15" s="191"/>
      <c r="W15" s="191"/>
      <c r="X15" s="191"/>
      <c r="Y15" s="191"/>
      <c r="Z15" s="191"/>
      <c r="AA15" s="193"/>
      <c r="AB15" s="194"/>
      <c r="AC15" s="194"/>
      <c r="AD15" s="194"/>
      <c r="AE15" s="194"/>
      <c r="AF15" s="194"/>
      <c r="AG15" s="194"/>
      <c r="AH15" s="194"/>
      <c r="AI15" s="194"/>
      <c r="AJ15" s="194"/>
      <c r="AK15" s="194"/>
      <c r="AL15" s="194"/>
      <c r="AM15" s="194"/>
      <c r="AN15" s="194"/>
    </row>
    <row r="16" spans="1:40" s="195" customFormat="1" ht="22.5" x14ac:dyDescent="0.25">
      <c r="A16" s="189">
        <f>+'DATOS REGIONALIZADO LOTE 3'!A9</f>
        <v>3</v>
      </c>
      <c r="B16" s="189">
        <f>+'DATOS REGIONALIZADO LOTE 3'!B9</f>
        <v>12</v>
      </c>
      <c r="C16" s="190" t="str">
        <f>+'DATOS REGIONALIZADO LOTE 3'!C9</f>
        <v xml:space="preserve">Procesador de Tejidos automatico cerrado </v>
      </c>
      <c r="D16" s="189" t="str">
        <f>+'DATOS REGIONALIZADO LOTE 3'!D9</f>
        <v>UNIDAD</v>
      </c>
      <c r="E16" s="189">
        <f>+'DATOS REGIONALIZADO LOTE 3'!E9</f>
        <v>1</v>
      </c>
      <c r="F16" s="189">
        <f>+'DATOS REGIONALIZADO LOTE 3'!F9</f>
        <v>0</v>
      </c>
      <c r="G16" s="189">
        <f>+'DATOS REGIONALIZADO LOTE 3'!N9</f>
        <v>1</v>
      </c>
      <c r="H16" s="189">
        <v>113065305</v>
      </c>
      <c r="I16" s="189">
        <f>+H16</f>
        <v>113065305</v>
      </c>
      <c r="J16" s="189">
        <f>+'DATOS REGIONALIZADO LOTE 3'!Q9</f>
        <v>0</v>
      </c>
      <c r="K16" s="189">
        <f>+I16</f>
        <v>113065305</v>
      </c>
      <c r="L16" s="191" t="s">
        <v>114</v>
      </c>
      <c r="M16" s="191" t="s">
        <v>119</v>
      </c>
      <c r="N16" s="191" t="e">
        <f>+O14</f>
        <v>#N/A</v>
      </c>
      <c r="O16" s="191"/>
      <c r="P16" s="212" t="e">
        <f>+VLOOKUP(M16,Hoja3!$B$2:$D$8,3,FALSE)</f>
        <v>#N/A</v>
      </c>
      <c r="Q16" s="191" t="e">
        <f>+N16</f>
        <v>#N/A</v>
      </c>
      <c r="R16" s="191"/>
      <c r="S16" s="191"/>
      <c r="T16" s="191"/>
      <c r="U16" s="191"/>
      <c r="V16" s="191"/>
      <c r="W16" s="191"/>
      <c r="X16" s="191"/>
      <c r="Y16" s="191"/>
      <c r="Z16" s="191"/>
      <c r="AA16" s="193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  <c r="AN16" s="194"/>
    </row>
    <row r="17" spans="1:40" s="195" customFormat="1" ht="45" x14ac:dyDescent="0.25">
      <c r="A17" s="189">
        <v>3</v>
      </c>
      <c r="B17" s="189">
        <v>12</v>
      </c>
      <c r="C17" s="190" t="s">
        <v>121</v>
      </c>
      <c r="D17" s="189" t="s">
        <v>122</v>
      </c>
      <c r="E17" s="189">
        <v>1</v>
      </c>
      <c r="F17" s="189">
        <v>0</v>
      </c>
      <c r="G17" s="189">
        <v>1</v>
      </c>
      <c r="H17" s="189">
        <v>133714117</v>
      </c>
      <c r="I17" s="189">
        <f>+H17*E17</f>
        <v>133714117</v>
      </c>
      <c r="J17" s="189"/>
      <c r="K17" s="189">
        <f>+I17</f>
        <v>133714117</v>
      </c>
      <c r="L17" s="191" t="s">
        <v>114</v>
      </c>
      <c r="M17" s="191" t="s">
        <v>115</v>
      </c>
      <c r="N17" s="191">
        <f>+K17</f>
        <v>133714117</v>
      </c>
      <c r="O17" s="191">
        <f>+N17-I17</f>
        <v>0</v>
      </c>
      <c r="P17" s="212" t="str">
        <f>+VLOOKUP(M17,Hoja3!$B$2:$D$8,3,FALSE)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17" s="191">
        <f>+N17</f>
        <v>133714117</v>
      </c>
      <c r="R17" s="191">
        <f>+O17</f>
        <v>0</v>
      </c>
      <c r="S17" s="191">
        <f>+Q17-R17</f>
        <v>133714117</v>
      </c>
      <c r="T17" s="191"/>
      <c r="U17" s="191"/>
      <c r="V17" s="191"/>
      <c r="W17" s="191"/>
      <c r="X17" s="191"/>
      <c r="Y17" s="191"/>
      <c r="Z17" s="191"/>
      <c r="AA17" s="193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</row>
    <row r="18" spans="1:40" ht="45" x14ac:dyDescent="0.25">
      <c r="A18" s="95">
        <f>+'DATOS REGIONALIZADO LOTE 4 tota'!A5</f>
        <v>4</v>
      </c>
      <c r="B18" s="95">
        <f>+'DATOS REGIONALIZADO LOTE 4 tota'!B5</f>
        <v>13</v>
      </c>
      <c r="C18" s="114" t="str">
        <f>+'DATOS REGIONALIZADO LOTE 4 tota'!C5</f>
        <v>Baño ultrasónico para uso en laboratorio</v>
      </c>
      <c r="D18" s="95" t="str">
        <f>+'DATOS REGIONALIZADO LOTE 4 tota'!D5</f>
        <v>UNIDAD</v>
      </c>
      <c r="E18" s="95">
        <f>+'DATOS REGIONALIZADO LOTE 4 tota'!E5</f>
        <v>2</v>
      </c>
      <c r="F18" s="95">
        <f>+'DATOS REGIONALIZADO LOTE 4 tota'!F5</f>
        <v>0</v>
      </c>
      <c r="G18" s="95">
        <f>+'DATOS REGIONALIZADO LOTE 4 tota'!N5</f>
        <v>2</v>
      </c>
      <c r="H18" s="95">
        <f>+'DATOS REGIONALIZADO LOTE 4 tota'!O5</f>
        <v>7182643</v>
      </c>
      <c r="I18" s="95">
        <f>+'DATOS REGIONALIZADO LOTE 4 tota'!P5</f>
        <v>14365286</v>
      </c>
      <c r="J18" s="95">
        <f>+'DATOS REGIONALIZADO LOTE 4 tota'!Q5</f>
        <v>0</v>
      </c>
      <c r="K18" s="95">
        <f>+'DATOS REGIONALIZADO LOTE 4 tota'!Y5</f>
        <v>14365286</v>
      </c>
      <c r="L18" s="87" t="s">
        <v>112</v>
      </c>
      <c r="M18" s="87" t="s">
        <v>116</v>
      </c>
      <c r="N18" s="191">
        <f>+K18</f>
        <v>14365286</v>
      </c>
      <c r="O18" s="191">
        <f>+N18-K18</f>
        <v>0</v>
      </c>
      <c r="P18" s="212" t="str">
        <f>+VLOOKUP(M18,Hoja3!$B$2:$D$8,3,FALSE)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Q18" s="87">
        <f>+N18</f>
        <v>14365286</v>
      </c>
      <c r="R18" s="87">
        <f>+O18</f>
        <v>0</v>
      </c>
      <c r="S18" s="87"/>
      <c r="T18" s="87"/>
      <c r="U18" s="87"/>
      <c r="V18" s="87"/>
      <c r="W18" s="87"/>
      <c r="X18" s="87"/>
      <c r="Y18" s="87"/>
      <c r="Z18" s="87"/>
      <c r="AA18" s="82"/>
      <c r="AB18" s="115" t="s">
        <v>72</v>
      </c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</row>
    <row r="19" spans="1:40" ht="45" x14ac:dyDescent="0.25">
      <c r="A19" s="95">
        <f>+'DATOS REGIONALIZADO LOTE 4 tota'!A6</f>
        <v>4</v>
      </c>
      <c r="B19" s="95">
        <f>+'DATOS REGIONALIZADO LOTE 4 tota'!B6</f>
        <v>14</v>
      </c>
      <c r="C19" s="114" t="str">
        <f>+'DATOS REGIONALIZADO LOTE 4 tota'!C6</f>
        <v>Agitador tipo vórtex para tubos</v>
      </c>
      <c r="D19" s="95" t="str">
        <f>+'DATOS REGIONALIZADO LOTE 4 tota'!D6</f>
        <v>UNIDAD</v>
      </c>
      <c r="E19" s="95">
        <f>+'DATOS REGIONALIZADO LOTE 4 tota'!E6</f>
        <v>0</v>
      </c>
      <c r="F19" s="95">
        <f>+'DATOS REGIONALIZADO LOTE 4 tota'!F6</f>
        <v>2</v>
      </c>
      <c r="G19" s="95">
        <f>+'DATOS REGIONALIZADO LOTE 4 tota'!N6</f>
        <v>2</v>
      </c>
      <c r="H19" s="95">
        <f>+'DATOS REGIONALIZADO LOTE 4 tota'!O6</f>
        <v>2603490</v>
      </c>
      <c r="I19" s="95">
        <f>+'DATOS REGIONALIZADO LOTE 4 tota'!P6</f>
        <v>0</v>
      </c>
      <c r="J19" s="95">
        <f>+'DATOS REGIONALIZADO LOTE 4 tota'!Q6</f>
        <v>5206980</v>
      </c>
      <c r="K19" s="95">
        <f>+'DATOS REGIONALIZADO LOTE 4 tota'!Y6</f>
        <v>5206980</v>
      </c>
      <c r="L19" s="87" t="s">
        <v>112</v>
      </c>
      <c r="M19" s="87" t="s">
        <v>118</v>
      </c>
      <c r="N19" s="191">
        <f>+O10</f>
        <v>52006652</v>
      </c>
      <c r="O19" s="191">
        <f>+N19-K19</f>
        <v>46799672</v>
      </c>
      <c r="P19" s="212" t="str">
        <f>+VLOOKUP(M19,Hoja3!$B$2:$D$8,3,FALSE)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19" s="87">
        <f>+K19</f>
        <v>5206980</v>
      </c>
      <c r="R19" s="87"/>
      <c r="S19" s="87"/>
      <c r="T19" s="87"/>
      <c r="U19" s="87"/>
      <c r="V19" s="87"/>
      <c r="W19" s="87"/>
      <c r="X19" s="87"/>
      <c r="Y19" s="87"/>
      <c r="Z19" s="87"/>
      <c r="AA19" s="82"/>
      <c r="AB19" s="116" t="s">
        <v>73</v>
      </c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</row>
    <row r="20" spans="1:40" ht="45" x14ac:dyDescent="0.25">
      <c r="A20" s="95">
        <f>+'DATOS REGIONALIZADO LOTE 4 tota'!A7</f>
        <v>8</v>
      </c>
      <c r="B20" s="95">
        <f>+'DATOS REGIONALIZADO LOTE 4 tota'!B7</f>
        <v>23</v>
      </c>
      <c r="C20" s="112" t="str">
        <f>+'DATOS REGIONALIZADO LOTE 4 tota'!C7</f>
        <v>Homogenizador de tejidos, vertical con vástago:</v>
      </c>
      <c r="D20" s="95" t="str">
        <f>+'DATOS REGIONALIZADO LOTE 4 tota'!D7</f>
        <v>UNIDAD</v>
      </c>
      <c r="E20" s="95">
        <f>+'DATOS REGIONALIZADO LOTE 4 tota'!E7</f>
        <v>1</v>
      </c>
      <c r="F20" s="95">
        <f>+'DATOS REGIONALIZADO LOTE 4 tota'!F7</f>
        <v>0</v>
      </c>
      <c r="G20" s="95">
        <f>+'DATOS REGIONALIZADO LOTE 4 tota'!N7</f>
        <v>1</v>
      </c>
      <c r="H20" s="95">
        <f>+'DATOS REGIONALIZADO LOTE 4 tota'!O7</f>
        <v>19454635</v>
      </c>
      <c r="I20" s="95">
        <f>+'DATOS REGIONALIZADO LOTE 4 tota'!P7</f>
        <v>19454635</v>
      </c>
      <c r="J20" s="95">
        <f>+'DATOS REGIONALIZADO LOTE 4 tota'!Q7</f>
        <v>0</v>
      </c>
      <c r="K20" s="189">
        <f>+'DATOS REGIONALIZADO LOTE 4 tota'!Y7</f>
        <v>19454635</v>
      </c>
      <c r="L20" s="87" t="s">
        <v>74</v>
      </c>
      <c r="M20" s="87" t="s">
        <v>117</v>
      </c>
      <c r="N20" s="191">
        <f>+O9</f>
        <v>256908687</v>
      </c>
      <c r="O20" s="191">
        <f>+N20-K20</f>
        <v>237454052</v>
      </c>
      <c r="P20" s="212" t="str">
        <f>+VLOOKUP(M20,Hoja3!$B$2:$D$8,3,FALSE)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Q20" s="87">
        <f>+I20</f>
        <v>19454635</v>
      </c>
      <c r="R20" s="87"/>
      <c r="S20" s="87"/>
      <c r="T20" s="87"/>
      <c r="U20" s="87"/>
      <c r="V20" s="87"/>
      <c r="W20" s="87"/>
      <c r="X20" s="87"/>
      <c r="Y20" s="87"/>
      <c r="Z20" s="87"/>
      <c r="AA20" s="82"/>
      <c r="AB20" s="117" t="s">
        <v>74</v>
      </c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</row>
    <row r="21" spans="1:40" ht="45" x14ac:dyDescent="0.25">
      <c r="A21" s="95">
        <f>+'DATOS REGIONALIZADO LOTE 4 tota'!A8</f>
        <v>8</v>
      </c>
      <c r="B21" s="95">
        <f>+'DATOS REGIONALIZADO LOTE 4 tota'!B8</f>
        <v>24</v>
      </c>
      <c r="C21" s="114" t="str">
        <f>+'DATOS REGIONALIZADO LOTE 4 tota'!C8</f>
        <v xml:space="preserve">Vórtex multiprobeta / multitubo: </v>
      </c>
      <c r="D21" s="95" t="str">
        <f>+'DATOS REGIONALIZADO LOTE 4 tota'!D8</f>
        <v>UNIDAD</v>
      </c>
      <c r="E21" s="95">
        <f>+'DATOS REGIONALIZADO LOTE 4 tota'!E8</f>
        <v>3</v>
      </c>
      <c r="F21" s="95">
        <f>+'DATOS REGIONALIZADO LOTE 4 tota'!F8</f>
        <v>0</v>
      </c>
      <c r="G21" s="95">
        <f>+'DATOS REGIONALIZADO LOTE 4 tota'!N8</f>
        <v>3</v>
      </c>
      <c r="H21" s="95">
        <f>+'DATOS REGIONALIZADO LOTE 4 tota'!O8</f>
        <v>24247119</v>
      </c>
      <c r="I21" s="95">
        <f>+'DATOS REGIONALIZADO LOTE 4 tota'!P8</f>
        <v>72741357</v>
      </c>
      <c r="J21" s="95">
        <f>+'DATOS REGIONALIZADO LOTE 4 tota'!Q8</f>
        <v>0</v>
      </c>
      <c r="K21" s="95">
        <f>+'DATOS REGIONALIZADO LOTE 4 tota'!Y8</f>
        <v>72741357</v>
      </c>
      <c r="L21" s="87" t="s">
        <v>112</v>
      </c>
      <c r="M21" s="87" t="s">
        <v>118</v>
      </c>
      <c r="N21" s="191">
        <f>+K21</f>
        <v>72741357</v>
      </c>
      <c r="O21" s="191">
        <f t="shared" si="2"/>
        <v>0</v>
      </c>
      <c r="P21" s="212" t="str">
        <f>+VLOOKUP(M21,Hoja3!$B$2:$D$8,3,FALSE)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1" s="87">
        <f>+N21</f>
        <v>72741357</v>
      </c>
      <c r="R21" s="87">
        <f>+O21</f>
        <v>0</v>
      </c>
      <c r="S21" s="87"/>
      <c r="T21" s="87"/>
      <c r="U21" s="87"/>
      <c r="V21" s="87"/>
      <c r="W21" s="87"/>
      <c r="X21" s="87"/>
      <c r="Y21" s="87"/>
      <c r="Z21" s="87"/>
      <c r="AA21" s="82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</row>
    <row r="22" spans="1:40" ht="45" x14ac:dyDescent="0.25">
      <c r="A22" s="95">
        <f>+'DATOS REGIONALIZADO LOTE 4 tota'!A9</f>
        <v>9</v>
      </c>
      <c r="B22" s="95">
        <f>+'DATOS REGIONALIZADO LOTE 4 tota'!B9</f>
        <v>25</v>
      </c>
      <c r="C22" s="114" t="str">
        <f>+'DATOS REGIONALIZADO LOTE 4 tota'!C9</f>
        <v>Esterilizador o autocleve horizontal y/o sobremesa:</v>
      </c>
      <c r="D22" s="95" t="str">
        <f>+'DATOS REGIONALIZADO LOTE 4 tota'!D9</f>
        <v>UNIDAD</v>
      </c>
      <c r="E22" s="95">
        <f>+'DATOS REGIONALIZADO LOTE 4 tota'!E9</f>
        <v>1</v>
      </c>
      <c r="F22" s="95">
        <f>+'DATOS REGIONALIZADO LOTE 4 tota'!F9</f>
        <v>0</v>
      </c>
      <c r="G22" s="95">
        <f>+'DATOS REGIONALIZADO LOTE 4 tota'!N9</f>
        <v>1</v>
      </c>
      <c r="H22" s="95">
        <f>+'DATOS REGIONALIZADO LOTE 4 tota'!O9</f>
        <v>29155000</v>
      </c>
      <c r="I22" s="95">
        <f>+'DATOS REGIONALIZADO LOTE 4 tota'!P9</f>
        <v>29155000</v>
      </c>
      <c r="J22" s="95">
        <f>+'DATOS REGIONALIZADO LOTE 4 tota'!Q9</f>
        <v>0</v>
      </c>
      <c r="K22" s="95">
        <f>+'DATOS REGIONALIZADO LOTE 4 tota'!Y9</f>
        <v>29155000</v>
      </c>
      <c r="L22" s="87" t="s">
        <v>112</v>
      </c>
      <c r="M22" s="87" t="s">
        <v>118</v>
      </c>
      <c r="N22" s="191">
        <f>+K22</f>
        <v>29155000</v>
      </c>
      <c r="O22" s="191">
        <f t="shared" si="2"/>
        <v>0</v>
      </c>
      <c r="P22" s="212" t="str">
        <f>+VLOOKUP(M22,Hoja3!$B$2:$D$8,3,FALSE)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2" s="87">
        <f>+N22</f>
        <v>29155000</v>
      </c>
      <c r="R22" s="87">
        <f>+O22</f>
        <v>0</v>
      </c>
      <c r="S22" s="87"/>
      <c r="T22" s="87"/>
      <c r="U22" s="87"/>
      <c r="V22" s="87"/>
      <c r="W22" s="87"/>
      <c r="X22" s="87"/>
      <c r="Y22" s="87"/>
      <c r="Z22" s="87"/>
      <c r="AA22" s="82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</row>
    <row r="23" spans="1:40" ht="45" x14ac:dyDescent="0.25">
      <c r="A23" s="95">
        <f>+'DATOS REGIONALIZADO LOTE 4 tota'!A10</f>
        <v>10</v>
      </c>
      <c r="B23" s="95">
        <f>+'DATOS REGIONALIZADO LOTE 4 tota'!B10</f>
        <v>26</v>
      </c>
      <c r="C23" s="114" t="str">
        <f>+'DATOS REGIONALIZADO LOTE 4 tota'!C10</f>
        <v>Evaporador concentrador de muestras con centrifuga (rapidvap)</v>
      </c>
      <c r="D23" s="95" t="str">
        <f>+'DATOS REGIONALIZADO LOTE 4 tota'!D10</f>
        <v>UNIDAD</v>
      </c>
      <c r="E23" s="95">
        <f>+'DATOS REGIONALIZADO LOTE 4 tota'!E10</f>
        <v>1</v>
      </c>
      <c r="F23" s="95">
        <f>+'DATOS REGIONALIZADO LOTE 4 tota'!F10</f>
        <v>0</v>
      </c>
      <c r="G23" s="95">
        <f>+'DATOS REGIONALIZADO LOTE 4 tota'!N10</f>
        <v>1</v>
      </c>
      <c r="H23" s="95">
        <f>+'DATOS REGIONALIZADO LOTE 4 tota'!O10</f>
        <v>192791293</v>
      </c>
      <c r="I23" s="95">
        <f>+'DATOS REGIONALIZADO LOTE 4 tota'!P10</f>
        <v>192791293</v>
      </c>
      <c r="J23" s="95">
        <f>+'DATOS REGIONALIZADO LOTE 4 tota'!Q10</f>
        <v>0</v>
      </c>
      <c r="K23" s="95">
        <f>+'DATOS REGIONALIZADO LOTE 4 tota'!Y10</f>
        <v>192791293</v>
      </c>
      <c r="L23" s="87" t="s">
        <v>112</v>
      </c>
      <c r="M23" s="87" t="s">
        <v>118</v>
      </c>
      <c r="N23" s="191">
        <f>+K23</f>
        <v>192791293</v>
      </c>
      <c r="O23" s="191">
        <f t="shared" si="2"/>
        <v>0</v>
      </c>
      <c r="P23" s="212" t="str">
        <f>+VLOOKUP(M23,Hoja3!$B$2:$D$8,3,FALSE)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3" s="87"/>
      <c r="R23" s="87">
        <f>+O23</f>
        <v>0</v>
      </c>
      <c r="S23" s="87"/>
      <c r="T23" s="87"/>
      <c r="U23" s="87"/>
      <c r="V23" s="87"/>
      <c r="W23" s="87"/>
      <c r="X23" s="87"/>
      <c r="Y23" s="87"/>
      <c r="Z23" s="87"/>
      <c r="AA23" s="82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</row>
    <row r="24" spans="1:40" ht="45" x14ac:dyDescent="0.25">
      <c r="A24" s="95">
        <f>+'DATOS REGIONALIZADO LOTE 4 tota'!A11</f>
        <v>11</v>
      </c>
      <c r="B24" s="95">
        <f>+'DATOS REGIONALIZADO LOTE 4 tota'!B11</f>
        <v>27</v>
      </c>
      <c r="C24" s="114" t="str">
        <f>+'DATOS REGIONALIZADO LOTE 4 tota'!C11</f>
        <v>Evaporador concentrador de muestras (rapidvap)</v>
      </c>
      <c r="D24" s="95" t="str">
        <f>+'DATOS REGIONALIZADO LOTE 4 tota'!D11</f>
        <v>UNIDAD</v>
      </c>
      <c r="E24" s="95">
        <f>+'DATOS REGIONALIZADO LOTE 4 tota'!E11</f>
        <v>0</v>
      </c>
      <c r="F24" s="95">
        <f>+'DATOS REGIONALIZADO LOTE 4 tota'!F11</f>
        <v>1</v>
      </c>
      <c r="G24" s="95">
        <f>+'DATOS REGIONALIZADO LOTE 4 tota'!N11</f>
        <v>1</v>
      </c>
      <c r="H24" s="95">
        <f>+'DATOS REGIONALIZADO LOTE 4 tota'!O11</f>
        <v>136873800</v>
      </c>
      <c r="I24" s="95">
        <f>+'DATOS REGIONALIZADO LOTE 4 tota'!P11</f>
        <v>0</v>
      </c>
      <c r="J24" s="95">
        <f>+'DATOS REGIONALIZADO LOTE 4 tota'!Q11</f>
        <v>136873800</v>
      </c>
      <c r="K24" s="95">
        <f>+'DATOS REGIONALIZADO LOTE 4 tota'!Y11</f>
        <v>136873800</v>
      </c>
      <c r="L24" s="87" t="s">
        <v>112</v>
      </c>
      <c r="M24" s="87" t="s">
        <v>118</v>
      </c>
      <c r="N24" s="191">
        <f>+K24</f>
        <v>136873800</v>
      </c>
      <c r="O24" s="191">
        <f t="shared" si="2"/>
        <v>0</v>
      </c>
      <c r="P24" s="212" t="str">
        <f>+VLOOKUP(M24,Hoja3!$B$2:$D$8,3,FALSE)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4" s="87"/>
      <c r="R24" s="87">
        <f>+O24</f>
        <v>0</v>
      </c>
      <c r="S24" s="87"/>
      <c r="T24" s="87"/>
      <c r="U24" s="87"/>
      <c r="V24" s="87"/>
      <c r="W24" s="87"/>
      <c r="X24" s="87"/>
      <c r="Y24" s="87"/>
      <c r="Z24" s="87"/>
      <c r="AA24" s="82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</row>
    <row r="25" spans="1:40" ht="45" x14ac:dyDescent="0.25">
      <c r="A25" s="95">
        <f>+'DATOS REGIONALIZADO LOTE 4 tota'!A12</f>
        <v>12</v>
      </c>
      <c r="B25" s="95">
        <f>+'DATOS REGIONALIZADO LOTE 4 tota'!B12</f>
        <v>28</v>
      </c>
      <c r="C25" s="114" t="str">
        <f>+'DATOS REGIONALIZADO LOTE 4 tota'!C12</f>
        <v>Sistema dilutor dispensador de Líquidos</v>
      </c>
      <c r="D25" s="95" t="str">
        <f>+'DATOS REGIONALIZADO LOTE 4 tota'!D12</f>
        <v>UNIDAD</v>
      </c>
      <c r="E25" s="95">
        <f>+'DATOS REGIONALIZADO LOTE 4 tota'!E12</f>
        <v>0</v>
      </c>
      <c r="F25" s="95">
        <f>+'DATOS REGIONALIZADO LOTE 4 tota'!F12</f>
        <v>1</v>
      </c>
      <c r="G25" s="95">
        <f>+'DATOS REGIONALIZADO LOTE 4 tota'!N12</f>
        <v>1</v>
      </c>
      <c r="H25" s="95">
        <f>+'DATOS REGIONALIZADO LOTE 4 tota'!O12</f>
        <v>59381000</v>
      </c>
      <c r="I25" s="95">
        <f>+'DATOS REGIONALIZADO LOTE 4 tota'!P12</f>
        <v>0</v>
      </c>
      <c r="J25" s="95">
        <f>+'DATOS REGIONALIZADO LOTE 4 tota'!Q12</f>
        <v>59381000</v>
      </c>
      <c r="K25" s="95">
        <f>+'DATOS REGIONALIZADO LOTE 4 tota'!Y12</f>
        <v>59381000</v>
      </c>
      <c r="L25" s="87" t="s">
        <v>112</v>
      </c>
      <c r="M25" s="87" t="s">
        <v>118</v>
      </c>
      <c r="N25" s="191">
        <f>+K25</f>
        <v>59381000</v>
      </c>
      <c r="O25" s="191">
        <f t="shared" si="2"/>
        <v>0</v>
      </c>
      <c r="P25" s="212" t="str">
        <f>+VLOOKUP(M25,Hoja3!$B$2:$D$8,3,FALSE)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5" s="87"/>
      <c r="R25" s="87">
        <f>+O25</f>
        <v>0</v>
      </c>
      <c r="S25" s="87"/>
      <c r="T25" s="87"/>
      <c r="U25" s="87"/>
      <c r="V25" s="87"/>
      <c r="W25" s="87"/>
      <c r="X25" s="87"/>
      <c r="Y25" s="87"/>
      <c r="Z25" s="87"/>
      <c r="AA25" s="82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</row>
    <row r="26" spans="1:40" ht="45" x14ac:dyDescent="0.25">
      <c r="A26" s="95">
        <f>+'DATOS REGIONALIZADO LOTE 4 tota'!A13</f>
        <v>13</v>
      </c>
      <c r="B26" s="95">
        <f>+'DATOS REGIONALIZADO LOTE 4 tota'!B13</f>
        <v>29</v>
      </c>
      <c r="C26" s="112" t="str">
        <f>+'DATOS REGIONALIZADO LOTE 4 tota'!C13</f>
        <v>Sistema de esterilización con luz UV-C (254nm) (Crosslinker)</v>
      </c>
      <c r="D26" s="95" t="str">
        <f>+'DATOS REGIONALIZADO LOTE 4 tota'!D13</f>
        <v>UNIDAD</v>
      </c>
      <c r="E26" s="95">
        <f>+'DATOS REGIONALIZADO LOTE 4 tota'!E13</f>
        <v>0</v>
      </c>
      <c r="F26" s="95">
        <f>+'DATOS REGIONALIZADO LOTE 4 tota'!F13</f>
        <v>1</v>
      </c>
      <c r="G26" s="95">
        <f>+'DATOS REGIONALIZADO LOTE 4 tota'!N13</f>
        <v>1</v>
      </c>
      <c r="H26" s="95">
        <f>+'DATOS REGIONALIZADO LOTE 4 tota'!O13</f>
        <v>18292580</v>
      </c>
      <c r="I26" s="95">
        <f>+'DATOS REGIONALIZADO LOTE 4 tota'!P13</f>
        <v>0</v>
      </c>
      <c r="J26" s="95">
        <f>+'DATOS REGIONALIZADO LOTE 4 tota'!Q13</f>
        <v>18292580</v>
      </c>
      <c r="K26" s="189">
        <f>+'DATOS REGIONALIZADO LOTE 4 tota'!Y13</f>
        <v>18292580</v>
      </c>
      <c r="L26" s="87" t="s">
        <v>74</v>
      </c>
      <c r="M26" s="87" t="s">
        <v>117</v>
      </c>
      <c r="N26" s="191">
        <f>+O20</f>
        <v>237454052</v>
      </c>
      <c r="O26" s="191">
        <f>+N26-K26</f>
        <v>219161472</v>
      </c>
      <c r="P26" s="212" t="str">
        <f>+VLOOKUP(M26,Hoja3!$B$2:$D$8,3,FALSE)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Q26" s="87">
        <f>+J26</f>
        <v>18292580</v>
      </c>
      <c r="R26" s="87"/>
      <c r="S26" s="87"/>
      <c r="T26" s="87"/>
      <c r="U26" s="87"/>
      <c r="V26" s="87"/>
      <c r="W26" s="87"/>
      <c r="X26" s="87"/>
      <c r="Y26" s="87"/>
      <c r="Z26" s="87"/>
      <c r="AA26" s="82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</row>
    <row r="27" spans="1:40" ht="45" x14ac:dyDescent="0.25">
      <c r="A27" s="95">
        <f>+'DATOS REGIONALIZADO LOTE 5'!A5</f>
        <v>5</v>
      </c>
      <c r="B27" s="95">
        <f>+'DATOS REGIONALIZADO LOTE 5'!B5</f>
        <v>15</v>
      </c>
      <c r="C27" s="114" t="str">
        <f>+'DATOS REGIONALIZADO LOTE 5'!C5</f>
        <v>Centrifuga de mesa de altas revoluciones con refrigeración:</v>
      </c>
      <c r="D27" s="95" t="str">
        <f>+'DATOS REGIONALIZADO LOTE 5'!D5</f>
        <v>UNIDAD</v>
      </c>
      <c r="E27" s="95">
        <f>+'DATOS REGIONALIZADO LOTE 5'!E5</f>
        <v>2</v>
      </c>
      <c r="F27" s="95">
        <f>+'DATOS REGIONALIZADO LOTE 5'!F5</f>
        <v>0</v>
      </c>
      <c r="G27" s="95">
        <f>+'DATOS REGIONALIZADO LOTE 5'!N5</f>
        <v>2</v>
      </c>
      <c r="H27" s="95">
        <f>+'DATOS REGIONALIZADO LOTE 5'!O5</f>
        <v>114119810</v>
      </c>
      <c r="I27" s="95">
        <f>+'DATOS REGIONALIZADO LOTE 5'!P5</f>
        <v>228239620</v>
      </c>
      <c r="J27" s="95">
        <f>+'DATOS REGIONALIZADO LOTE 5'!Q5</f>
        <v>0</v>
      </c>
      <c r="K27" s="95">
        <f>+'DATOS REGIONALIZADO LOTE 5'!Y5</f>
        <v>228239620</v>
      </c>
      <c r="L27" s="87" t="s">
        <v>112</v>
      </c>
      <c r="M27" s="87" t="s">
        <v>118</v>
      </c>
      <c r="N27" s="191">
        <f>+K27</f>
        <v>228239620</v>
      </c>
      <c r="O27" s="191">
        <f t="shared" si="2"/>
        <v>0</v>
      </c>
      <c r="P27" s="212" t="str">
        <f>+VLOOKUP(M27,Hoja3!$B$2:$D$8,3,FALSE)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7" s="87">
        <f>+I27+O27</f>
        <v>228239620</v>
      </c>
      <c r="R27" s="87">
        <f>+O27</f>
        <v>0</v>
      </c>
      <c r="S27" s="87"/>
      <c r="T27" s="87"/>
      <c r="U27" s="87"/>
      <c r="V27" s="87"/>
      <c r="W27" s="87"/>
      <c r="X27" s="87"/>
      <c r="Y27" s="87"/>
      <c r="Z27" s="87"/>
      <c r="AA27" s="82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</row>
    <row r="28" spans="1:40" ht="45" x14ac:dyDescent="0.25">
      <c r="A28" s="95">
        <f>+'DATOS REGIONALIZADO LOTE 5'!A6</f>
        <v>5</v>
      </c>
      <c r="B28" s="95">
        <f>+'DATOS REGIONALIZADO LOTE 5'!B6</f>
        <v>16</v>
      </c>
      <c r="C28" s="114" t="str">
        <f>+'DATOS REGIONALIZADO LOTE 5'!C6</f>
        <v>Centrifuga de mesa no refrigerada</v>
      </c>
      <c r="D28" s="95" t="str">
        <f>+'DATOS REGIONALIZADO LOTE 5'!D6</f>
        <v>UNIDAD</v>
      </c>
      <c r="E28" s="95">
        <f>+'DATOS REGIONALIZADO LOTE 5'!E6</f>
        <v>0</v>
      </c>
      <c r="F28" s="95">
        <f>+'DATOS REGIONALIZADO LOTE 5'!F6</f>
        <v>1</v>
      </c>
      <c r="G28" s="95">
        <f>+'DATOS REGIONALIZADO LOTE 5'!N6</f>
        <v>1</v>
      </c>
      <c r="H28" s="95">
        <f>+'DATOS REGIONALIZADO LOTE 5'!O6</f>
        <v>73211033</v>
      </c>
      <c r="I28" s="95">
        <f>+'DATOS REGIONALIZADO LOTE 5'!P6</f>
        <v>0</v>
      </c>
      <c r="J28" s="95">
        <f>+'DATOS REGIONALIZADO LOTE 5'!Q6</f>
        <v>73211033</v>
      </c>
      <c r="K28" s="95">
        <f>+'DATOS REGIONALIZADO LOTE 5'!Y6</f>
        <v>73211033</v>
      </c>
      <c r="L28" s="87" t="s">
        <v>112</v>
      </c>
      <c r="M28" s="87" t="s">
        <v>113</v>
      </c>
      <c r="N28" s="191">
        <f>+K28</f>
        <v>73211033</v>
      </c>
      <c r="O28" s="191">
        <f t="shared" si="2"/>
        <v>0</v>
      </c>
      <c r="P28" s="212" t="str">
        <f>+VLOOKUP(M28,Hoja3!$B$2:$D$8,3,FALSE)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Q28" s="87">
        <f>+N28</f>
        <v>73211033</v>
      </c>
      <c r="R28" s="87">
        <f>+O28</f>
        <v>0</v>
      </c>
      <c r="S28" s="87"/>
      <c r="T28" s="87"/>
      <c r="U28" s="87"/>
      <c r="V28" s="87"/>
      <c r="W28" s="87"/>
      <c r="X28" s="87"/>
      <c r="Y28" s="87"/>
      <c r="Z28" s="87"/>
      <c r="AA28" s="82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</row>
    <row r="29" spans="1:40" ht="45" x14ac:dyDescent="0.25">
      <c r="A29" s="95">
        <f>+'DATOS REGIONALIZADO LOTE 5'!A7</f>
        <v>5</v>
      </c>
      <c r="B29" s="95">
        <f>+'DATOS REGIONALIZADO LOTE 5'!B7</f>
        <v>17</v>
      </c>
      <c r="C29" s="112" t="str">
        <f>+'DATOS REGIONALIZADO LOTE 5'!C7</f>
        <v>Centrífuga de Piso refrigerada.</v>
      </c>
      <c r="D29" s="95" t="str">
        <f>+'DATOS REGIONALIZADO LOTE 5'!D7</f>
        <v>UNIDAD</v>
      </c>
      <c r="E29" s="95">
        <f>+'DATOS REGIONALIZADO LOTE 5'!E7</f>
        <v>0</v>
      </c>
      <c r="F29" s="95">
        <f>+'DATOS REGIONALIZADO LOTE 5'!F7</f>
        <v>2</v>
      </c>
      <c r="G29" s="95">
        <f>+'DATOS REGIONALIZADO LOTE 5'!N7</f>
        <v>2</v>
      </c>
      <c r="H29" s="95">
        <f>+'DATOS REGIONALIZADO LOTE 5'!O7</f>
        <v>111426840</v>
      </c>
      <c r="I29" s="95">
        <f>+'DATOS REGIONALIZADO LOTE 5'!P7</f>
        <v>0</v>
      </c>
      <c r="J29" s="95">
        <f>+'DATOS REGIONALIZADO LOTE 5'!Q7</f>
        <v>222853680</v>
      </c>
      <c r="K29" s="95">
        <f>+'DATOS REGIONALIZADO LOTE 5'!Y7</f>
        <v>222853680</v>
      </c>
      <c r="L29" s="87" t="s">
        <v>74</v>
      </c>
      <c r="M29" s="87" t="s">
        <v>117</v>
      </c>
      <c r="N29" s="191">
        <f>+K29</f>
        <v>222853680</v>
      </c>
      <c r="O29" s="191">
        <f t="shared" si="2"/>
        <v>0</v>
      </c>
      <c r="P29" s="212" t="str">
        <f>+VLOOKUP(M29,Hoja3!$B$2:$D$8,3,FALSE)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Q29" s="87">
        <f>+N29</f>
        <v>222853680</v>
      </c>
      <c r="R29" s="87">
        <f>+O29</f>
        <v>0</v>
      </c>
      <c r="S29" s="87"/>
      <c r="T29" s="87"/>
      <c r="U29" s="87"/>
      <c r="V29" s="87"/>
      <c r="W29" s="87"/>
      <c r="X29" s="87"/>
      <c r="Y29" s="87"/>
      <c r="Z29" s="87"/>
      <c r="AA29" s="82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</row>
    <row r="30" spans="1:40" ht="45" x14ac:dyDescent="0.25">
      <c r="A30" s="95">
        <f>+'DATOS REGIONALIZADO LOTE 5'!A8</f>
        <v>5</v>
      </c>
      <c r="B30" s="95">
        <f>+'DATOS REGIONALIZADO LOTE 5'!B8</f>
        <v>18</v>
      </c>
      <c r="C30" s="112" t="str">
        <f>+'DATOS REGIONALIZADO LOTE 5'!C8</f>
        <v>Microcentrífuga de alta velocidad tipo MiniSpli</v>
      </c>
      <c r="D30" s="95" t="str">
        <f>+'DATOS REGIONALIZADO LOTE 5'!D8</f>
        <v>UNIDAD</v>
      </c>
      <c r="E30" s="95">
        <f>+'DATOS REGIONALIZADO LOTE 5'!E8</f>
        <v>0</v>
      </c>
      <c r="F30" s="95">
        <f>+'DATOS REGIONALIZADO LOTE 5'!F8</f>
        <v>2</v>
      </c>
      <c r="G30" s="95">
        <f>+'DATOS REGIONALIZADO LOTE 5'!N8</f>
        <v>2</v>
      </c>
      <c r="H30" s="95">
        <f>+'DATOS REGIONALIZADO LOTE 5'!O8</f>
        <v>7474549</v>
      </c>
      <c r="I30" s="95">
        <f>+'DATOS REGIONALIZADO LOTE 5'!P8</f>
        <v>0</v>
      </c>
      <c r="J30" s="95">
        <f>+'DATOS REGIONALIZADO LOTE 5'!Q8</f>
        <v>14949098</v>
      </c>
      <c r="K30" s="189">
        <f>+'DATOS REGIONALIZADO LOTE 5'!Y8</f>
        <v>14949098</v>
      </c>
      <c r="L30" s="87" t="s">
        <v>74</v>
      </c>
      <c r="M30" s="87" t="s">
        <v>116</v>
      </c>
      <c r="N30" s="191">
        <f>+O8</f>
        <v>46819114</v>
      </c>
      <c r="O30" s="191">
        <f>+N30-K30</f>
        <v>31870016</v>
      </c>
      <c r="P30" s="212" t="str">
        <f>+VLOOKUP(M30,Hoja3!$B$2:$D$8,3,FALSE)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Q30" s="87">
        <f>+K30</f>
        <v>14949098</v>
      </c>
      <c r="R30" s="87"/>
      <c r="S30" s="87"/>
      <c r="T30" s="87"/>
      <c r="U30" s="87"/>
      <c r="V30" s="87"/>
      <c r="W30" s="87"/>
      <c r="X30" s="87"/>
      <c r="Y30" s="87"/>
      <c r="Z30" s="87"/>
      <c r="AA30" s="82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</row>
    <row r="31" spans="1:40" s="195" customFormat="1" ht="45" x14ac:dyDescent="0.25">
      <c r="A31" s="189">
        <f>+'DATOS REGIONALIZADO LOTE 6'!A5</f>
        <v>6</v>
      </c>
      <c r="B31" s="189">
        <f>+'DATOS REGIONALIZADO LOTE 6'!B5</f>
        <v>19</v>
      </c>
      <c r="C31" s="190" t="str">
        <f>+'DATOS REGIONALIZADO LOTE 6'!C5</f>
        <v xml:space="preserve">scaner  3D  portatil e inalambrico  CR de  alta precisión  </v>
      </c>
      <c r="D31" s="189" t="str">
        <f>+'DATOS REGIONALIZADO LOTE 6'!D5</f>
        <v>UNIDAD</v>
      </c>
      <c r="E31" s="189">
        <f>+'DATOS REGIONALIZADO LOTE 6'!E5</f>
        <v>1</v>
      </c>
      <c r="F31" s="189">
        <f>+'DATOS REGIONALIZADO LOTE 6'!F5</f>
        <v>0</v>
      </c>
      <c r="G31" s="189">
        <f>+'DATOS REGIONALIZADO LOTE 6'!N5</f>
        <v>1</v>
      </c>
      <c r="H31" s="189">
        <f>+'DATOS REGIONALIZADO LOTE 6'!O5</f>
        <v>19359943</v>
      </c>
      <c r="I31" s="189">
        <f>+'DATOS REGIONALIZADO LOTE 6'!P5</f>
        <v>19359943</v>
      </c>
      <c r="J31" s="189">
        <f>+'DATOS REGIONALIZADO LOTE 6'!Q5</f>
        <v>0</v>
      </c>
      <c r="K31" s="189">
        <f>+'DATOS REGIONALIZADO LOTE 6'!Y5</f>
        <v>19359943</v>
      </c>
      <c r="L31" s="191" t="s">
        <v>114</v>
      </c>
      <c r="M31" s="191" t="s">
        <v>115</v>
      </c>
      <c r="N31" s="191">
        <f>+O13</f>
        <v>141190840</v>
      </c>
      <c r="O31" s="191">
        <f t="shared" si="2"/>
        <v>121830897</v>
      </c>
      <c r="P31" s="212" t="str">
        <f>+VLOOKUP(M31,Hoja3!$B$2:$D$8,3,FALSE)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31" s="191">
        <f>+I31</f>
        <v>19359943</v>
      </c>
      <c r="R31" s="191"/>
      <c r="S31" s="191"/>
      <c r="T31" s="191"/>
      <c r="U31" s="191"/>
      <c r="V31" s="191"/>
      <c r="W31" s="191"/>
      <c r="X31" s="191"/>
      <c r="Y31" s="191"/>
      <c r="Z31" s="191"/>
      <c r="AA31" s="193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</row>
    <row r="32" spans="1:40" s="195" customFormat="1" ht="45" x14ac:dyDescent="0.25">
      <c r="A32" s="189">
        <f>+'DATOS REGIONALIZADO LOTE 6'!A6</f>
        <v>6</v>
      </c>
      <c r="B32" s="189">
        <f>+'DATOS REGIONALIZADO LOTE 6'!B6</f>
        <v>20</v>
      </c>
      <c r="C32" s="190" t="str">
        <f>+'DATOS REGIONALIZADO LOTE 6'!C6</f>
        <v>impresora  3D</v>
      </c>
      <c r="D32" s="189" t="str">
        <f>+'DATOS REGIONALIZADO LOTE 6'!D6</f>
        <v>UNIDAD</v>
      </c>
      <c r="E32" s="189">
        <f>+'DATOS REGIONALIZADO LOTE 6'!E6</f>
        <v>1</v>
      </c>
      <c r="F32" s="189">
        <f>+'DATOS REGIONALIZADO LOTE 6'!F6</f>
        <v>0</v>
      </c>
      <c r="G32" s="189">
        <f>+'DATOS REGIONALIZADO LOTE 6'!N6</f>
        <v>1</v>
      </c>
      <c r="H32" s="189">
        <f>+'DATOS REGIONALIZADO LOTE 6'!O6</f>
        <v>15473202</v>
      </c>
      <c r="I32" s="189">
        <f>+'DATOS REGIONALIZADO LOTE 6'!P6</f>
        <v>15473202</v>
      </c>
      <c r="J32" s="189">
        <f>+'DATOS REGIONALIZADO LOTE 6'!Q6</f>
        <v>0</v>
      </c>
      <c r="K32" s="189">
        <f>+'DATOS REGIONALIZADO LOTE 6'!Y6</f>
        <v>15473202</v>
      </c>
      <c r="L32" s="191" t="s">
        <v>114</v>
      </c>
      <c r="M32" s="191" t="s">
        <v>115</v>
      </c>
      <c r="N32" s="191">
        <f>+O31</f>
        <v>121830897</v>
      </c>
      <c r="O32" s="191">
        <f t="shared" si="2"/>
        <v>106357695</v>
      </c>
      <c r="P32" s="212" t="str">
        <f>+VLOOKUP(M32,Hoja3!$B$2:$D$8,3,FALSE)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32" s="191">
        <f>+I32</f>
        <v>15473202</v>
      </c>
      <c r="R32" s="191"/>
      <c r="S32" s="191"/>
      <c r="T32" s="191"/>
      <c r="U32" s="191"/>
      <c r="V32" s="191"/>
      <c r="W32" s="191"/>
      <c r="X32" s="191"/>
      <c r="Y32" s="191"/>
      <c r="Z32" s="191"/>
      <c r="AA32" s="193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</row>
    <row r="33" spans="1:40" s="195" customFormat="1" ht="45" x14ac:dyDescent="0.25">
      <c r="A33" s="189">
        <v>7</v>
      </c>
      <c r="B33" s="189">
        <v>28</v>
      </c>
      <c r="C33" s="190" t="str">
        <f>+'DATOS REGIONALIZADO lote 7'!C5</f>
        <v>Semi-microbalanza</v>
      </c>
      <c r="D33" s="190" t="str">
        <f>+'DATOS REGIONALIZADO lote 7'!D5</f>
        <v>UNIDAD</v>
      </c>
      <c r="E33" s="190">
        <f>+'DATOS REGIONALIZADO lote 7'!E5</f>
        <v>1</v>
      </c>
      <c r="F33" s="190">
        <f>+'DATOS REGIONALIZADO lote 7'!F5</f>
        <v>0</v>
      </c>
      <c r="G33" s="190">
        <f>+'DATOS REGIONALIZADO lote 7'!N5</f>
        <v>1</v>
      </c>
      <c r="H33" s="190">
        <f>+'DATOS REGIONALIZADO lote 7'!O5</f>
        <v>129972575</v>
      </c>
      <c r="I33" s="190">
        <f>+'DATOS REGIONALIZADO lote 7'!P5</f>
        <v>129972575</v>
      </c>
      <c r="J33" s="190">
        <f>+'DATOS REGIONALIZADO lote 7'!Q5</f>
        <v>0</v>
      </c>
      <c r="K33" s="190">
        <f>J33+I33</f>
        <v>129972575</v>
      </c>
      <c r="L33" s="191" t="s">
        <v>123</v>
      </c>
      <c r="M33" s="191" t="s">
        <v>117</v>
      </c>
      <c r="N33" s="191">
        <f>+VLOOKUP(M33,Hoja3!$B$2:$E$8,4,FALSE)</f>
        <v>300000000</v>
      </c>
      <c r="O33" s="191"/>
      <c r="P33" s="212" t="str">
        <f>+VLOOKUP(M33,Hoja3!$B$2:$D$8,3,FALSE)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3"/>
      <c r="AB33" s="194"/>
      <c r="AC33" s="194"/>
      <c r="AD33" s="194"/>
      <c r="AE33" s="194"/>
      <c r="AF33" s="194"/>
      <c r="AG33" s="194"/>
      <c r="AH33" s="194"/>
      <c r="AI33" s="194"/>
      <c r="AJ33" s="194"/>
      <c r="AK33" s="194"/>
      <c r="AL33" s="194"/>
      <c r="AM33" s="194"/>
      <c r="AN33" s="194"/>
    </row>
    <row r="34" spans="1:40" ht="11.25" x14ac:dyDescent="0.25">
      <c r="A34" s="95"/>
      <c r="B34" s="354" t="s">
        <v>75</v>
      </c>
      <c r="C34" s="355"/>
      <c r="D34" s="355"/>
      <c r="E34" s="355"/>
      <c r="F34" s="355"/>
      <c r="G34" s="355"/>
      <c r="H34" s="355"/>
      <c r="I34" s="95">
        <f t="shared" ref="I34:J34" si="4">+SUM(I5:I32)</f>
        <v>1896332313</v>
      </c>
      <c r="J34" s="95">
        <f t="shared" si="4"/>
        <v>620161472</v>
      </c>
      <c r="K34" s="95">
        <f>+SUM(K5:K33)</f>
        <v>2646466360</v>
      </c>
      <c r="L34" s="87"/>
      <c r="M34" s="87"/>
      <c r="N34" s="87"/>
      <c r="O34" s="87"/>
      <c r="P34" s="212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2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</row>
    <row r="35" spans="1:40" ht="11.25" x14ac:dyDescent="0.25">
      <c r="A35" s="96"/>
      <c r="B35" s="96"/>
      <c r="C35" s="97"/>
      <c r="D35" s="96"/>
      <c r="E35" s="96"/>
      <c r="F35" s="96"/>
      <c r="G35" s="104"/>
      <c r="H35" s="104"/>
      <c r="I35" s="104" t="s">
        <v>57</v>
      </c>
      <c r="J35" s="104" t="s">
        <v>18</v>
      </c>
      <c r="K35" s="96"/>
      <c r="L35" s="96"/>
      <c r="M35" s="96"/>
      <c r="N35" s="96"/>
      <c r="O35" s="96">
        <f>+I32+I31+I27+I22+I21++I20+I19+I18+I16+I15+I14+I13+I12+I8+I11+I7+I6+I5</f>
        <v>1569826903</v>
      </c>
      <c r="P35" s="97">
        <f>+O35+O37</f>
        <v>1711017743</v>
      </c>
      <c r="Q35" s="96" t="e">
        <f>+SUM(Q5:Q34)</f>
        <v>#N/A</v>
      </c>
      <c r="R35" s="96">
        <f>+SUM(R5:R34)</f>
        <v>0</v>
      </c>
      <c r="S35" s="96" t="e">
        <f>-R35+Q35</f>
        <v>#N/A</v>
      </c>
      <c r="T35" s="96"/>
      <c r="U35" s="96"/>
      <c r="V35" s="96"/>
      <c r="W35" s="96"/>
      <c r="X35" s="96"/>
      <c r="Y35" s="96"/>
      <c r="Z35" s="96"/>
      <c r="AB35" s="83"/>
      <c r="AC35" s="83"/>
      <c r="AD35" s="83"/>
      <c r="AE35" s="83"/>
      <c r="AF35" s="83"/>
    </row>
    <row r="36" spans="1:40" ht="11.25" x14ac:dyDescent="0.25">
      <c r="G36" s="349" t="s">
        <v>76</v>
      </c>
      <c r="H36" s="349"/>
      <c r="I36" s="105">
        <f>+I34/K34</f>
        <v>0.7165525856145778</v>
      </c>
      <c r="J36" s="105">
        <f>1-I36</f>
        <v>0.2834474143854222</v>
      </c>
      <c r="O36" s="91">
        <f>+O27+O29+O28+O25+O24+O23+O22+O21+O18+O16+O15+O13</f>
        <v>141190840</v>
      </c>
      <c r="AB36" s="83"/>
      <c r="AC36" s="83"/>
      <c r="AD36" s="83"/>
      <c r="AE36" s="83"/>
      <c r="AF36" s="83"/>
    </row>
    <row r="37" spans="1:40" ht="11.25" x14ac:dyDescent="0.25">
      <c r="D37" s="107"/>
      <c r="E37" s="107"/>
      <c r="F37" s="107"/>
      <c r="G37" s="104"/>
      <c r="H37" s="104"/>
      <c r="I37" s="104"/>
      <c r="J37" s="104"/>
      <c r="K37" s="107"/>
      <c r="L37" s="107"/>
      <c r="M37" s="107"/>
      <c r="N37" s="107"/>
      <c r="O37" s="107">
        <f>++O27+O22+O21+O18++O16+O15+O13</f>
        <v>141190840</v>
      </c>
      <c r="P37" s="213"/>
      <c r="Q37" s="107" t="e">
        <f>+Q5+Q6+Q7+Q8+Q13+Q12+Q15+Q16+Q18+Q19+Q20+Q21+Q11+Q14+Q27+Q22+Q31+Q32</f>
        <v>#N/A</v>
      </c>
      <c r="R37" s="96">
        <f>+R22+R21+R18+R16+R15+R13+R7+R27</f>
        <v>0</v>
      </c>
      <c r="S37" s="107" t="e">
        <f>+Q37-R37</f>
        <v>#N/A</v>
      </c>
      <c r="T37" s="107" t="e">
        <f>+I34-S37</f>
        <v>#N/A</v>
      </c>
      <c r="U37" s="107"/>
      <c r="V37" s="107"/>
      <c r="W37" s="107"/>
      <c r="X37" s="107"/>
      <c r="Y37" s="107"/>
      <c r="Z37" s="107"/>
      <c r="AB37" s="83"/>
      <c r="AC37" s="83"/>
      <c r="AD37" s="83"/>
      <c r="AE37" s="83"/>
      <c r="AF37" s="83"/>
    </row>
    <row r="38" spans="1:40" ht="11.25" x14ac:dyDescent="0.25">
      <c r="C38" s="106"/>
      <c r="D38" s="353" t="s">
        <v>77</v>
      </c>
      <c r="E38" s="353"/>
      <c r="F38" s="353"/>
      <c r="G38" s="353"/>
      <c r="H38" s="353"/>
      <c r="I38" s="353">
        <v>1850000000</v>
      </c>
      <c r="J38" s="353"/>
      <c r="K38" s="353"/>
      <c r="L38" s="85"/>
      <c r="M38" s="85"/>
      <c r="N38" s="85"/>
      <c r="O38" s="85"/>
      <c r="P38" s="214"/>
      <c r="Q38" s="85">
        <f>+Q29+Q28+Q23</f>
        <v>296064713</v>
      </c>
      <c r="R38" s="85">
        <f>+Q9+Q26+Q30+R29+Q10</f>
        <v>122634979</v>
      </c>
      <c r="S38" s="85">
        <f>-Q38+R38</f>
        <v>-173429734</v>
      </c>
      <c r="T38" s="85"/>
      <c r="U38" s="85"/>
      <c r="V38" s="85"/>
      <c r="W38" s="85"/>
      <c r="X38" s="85"/>
      <c r="Y38" s="85"/>
      <c r="Z38" s="85"/>
      <c r="AA38" s="103"/>
      <c r="AB38" s="83"/>
      <c r="AC38" s="83"/>
      <c r="AD38" s="83"/>
      <c r="AE38" s="83"/>
      <c r="AF38" s="83"/>
    </row>
    <row r="39" spans="1:40" ht="11.25" x14ac:dyDescent="0.25">
      <c r="C39" s="106"/>
      <c r="D39" s="353"/>
      <c r="E39" s="353"/>
      <c r="F39" s="353"/>
      <c r="G39" s="353"/>
      <c r="H39" s="353"/>
      <c r="I39" s="353"/>
      <c r="J39" s="353"/>
      <c r="K39" s="353"/>
      <c r="L39" s="85"/>
      <c r="M39" s="85"/>
      <c r="N39" s="85"/>
      <c r="O39" s="85">
        <f>+O23+O24+O25+O28+O29</f>
        <v>0</v>
      </c>
      <c r="P39" s="214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103"/>
      <c r="AB39" s="83"/>
      <c r="AC39" s="83"/>
      <c r="AD39" s="83"/>
      <c r="AE39" s="83"/>
      <c r="AF39" s="83"/>
    </row>
    <row r="40" spans="1:40" ht="11.25" x14ac:dyDescent="0.25">
      <c r="C40" s="106"/>
      <c r="D40" s="353" t="s">
        <v>78</v>
      </c>
      <c r="E40" s="353"/>
      <c r="F40" s="353"/>
      <c r="G40" s="353"/>
      <c r="H40" s="353"/>
      <c r="I40" s="353">
        <f>+K34-I38</f>
        <v>796466360</v>
      </c>
      <c r="J40" s="353"/>
      <c r="K40" s="353"/>
      <c r="L40" s="85"/>
      <c r="M40" s="85"/>
      <c r="N40" s="85"/>
      <c r="O40" s="85"/>
      <c r="P40" s="214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103"/>
      <c r="AB40" s="83"/>
      <c r="AC40" s="83"/>
      <c r="AD40" s="83"/>
      <c r="AE40" s="83"/>
      <c r="AF40" s="83"/>
    </row>
    <row r="41" spans="1:40" ht="11.25" x14ac:dyDescent="0.25">
      <c r="C41" s="106"/>
      <c r="D41" s="353"/>
      <c r="E41" s="353"/>
      <c r="F41" s="353"/>
      <c r="G41" s="353"/>
      <c r="H41" s="353"/>
      <c r="I41" s="353"/>
      <c r="J41" s="353"/>
      <c r="K41" s="353"/>
      <c r="L41" s="85"/>
      <c r="M41" s="85"/>
      <c r="N41" s="85"/>
      <c r="O41" s="85"/>
      <c r="P41" s="214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103"/>
      <c r="AB41" s="83"/>
      <c r="AC41" s="83"/>
      <c r="AD41" s="83"/>
      <c r="AE41" s="83"/>
      <c r="AF41" s="83"/>
    </row>
    <row r="42" spans="1:40" ht="15" customHeight="1" x14ac:dyDescent="0.25"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7"/>
      <c r="Q42" s="96" t="e">
        <f>+Q12+Q16+Q14</f>
        <v>#N/A</v>
      </c>
      <c r="R42" s="96">
        <f>+R23+R25+R24</f>
        <v>0</v>
      </c>
      <c r="S42" s="96"/>
      <c r="T42" s="96"/>
      <c r="U42" s="96"/>
      <c r="V42" s="96"/>
      <c r="W42" s="96"/>
      <c r="X42" s="96"/>
      <c r="Y42" s="96"/>
      <c r="Z42" s="96"/>
    </row>
    <row r="43" spans="1:40" ht="15" customHeight="1" x14ac:dyDescent="0.25">
      <c r="N43" s="91">
        <f>+N19+N21</f>
        <v>124748009</v>
      </c>
    </row>
    <row r="44" spans="1:40" ht="15" customHeight="1" x14ac:dyDescent="0.25"/>
    <row r="45" spans="1:40" ht="15" customHeight="1" x14ac:dyDescent="0.25"/>
    <row r="46" spans="1:40" ht="15" customHeight="1" x14ac:dyDescent="0.25"/>
    <row r="47" spans="1:40" ht="15" customHeight="1" x14ac:dyDescent="0.25">
      <c r="P47" s="98">
        <v>246779422</v>
      </c>
    </row>
    <row r="48" spans="1:40" ht="15" customHeight="1" x14ac:dyDescent="0.25">
      <c r="P48" s="98">
        <f>+K16+K17</f>
        <v>246779422</v>
      </c>
    </row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</sheetData>
  <autoFilter ref="A4:P41"/>
  <mergeCells count="6">
    <mergeCell ref="B34:H34"/>
    <mergeCell ref="G36:H36"/>
    <mergeCell ref="D38:H39"/>
    <mergeCell ref="I38:K39"/>
    <mergeCell ref="D40:H41"/>
    <mergeCell ref="I40:K41"/>
  </mergeCells>
  <pageMargins left="0.70866141732283472" right="0.70866141732283472" top="0.74803149606299213" bottom="0.74803149606299213" header="0" footer="0"/>
  <pageSetup scale="28" orientation="landscape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rowBreaks count="1" manualBreakCount="1">
    <brk id="42" max="26" man="1"/>
  </rowBreaks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E1A6712-EE69-4908-9D1C-6B235EDEBA37}">
            <xm:f>NOT(ISERROR(SEARCH("-",O1)))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O1:O1048576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Hoja3!$B$2:$B$8</xm:f>
          </x14:formula1>
          <xm:sqref>M5:M33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3"/>
  <sheetViews>
    <sheetView zoomScale="70" zoomScaleNormal="70" workbookViewId="0">
      <selection activeCell="AD16" activeCellId="2" sqref="Y10 AB9 AD16"/>
    </sheetView>
  </sheetViews>
  <sheetFormatPr baseColWidth="10" defaultColWidth="14.42578125" defaultRowHeight="15" customHeight="1" zeroHeight="1" x14ac:dyDescent="0.25"/>
  <cols>
    <col min="1" max="1" width="5.28515625" style="251" customWidth="1"/>
    <col min="2" max="2" width="9.28515625" style="251" customWidth="1"/>
    <col min="3" max="3" width="25.85546875" style="251" customWidth="1"/>
    <col min="4" max="4" width="20.28515625" style="251" bestFit="1" customWidth="1"/>
    <col min="5" max="5" width="12.570312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customWidth="1"/>
    <col min="30" max="30" width="23.28515625" style="251" customWidth="1"/>
    <col min="31" max="32" width="11.42578125" style="251" customWidth="1"/>
    <col min="33" max="33" width="18.7109375" style="251" hidden="1" customWidth="1"/>
    <col min="34" max="34" width="22.28515625" style="251" hidden="1" customWidth="1"/>
    <col min="35" max="35" width="26" style="251" hidden="1" customWidth="1"/>
    <col min="36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9"/>
      <c r="O1" s="420" t="s">
        <v>40</v>
      </c>
      <c r="P1" s="421" t="s">
        <v>41</v>
      </c>
      <c r="Q1" s="422"/>
      <c r="R1" s="422"/>
      <c r="S1" s="422"/>
      <c r="T1" s="422"/>
      <c r="U1" s="422"/>
      <c r="V1" s="422"/>
      <c r="W1" s="422"/>
      <c r="X1" s="423"/>
      <c r="Y1" s="424"/>
      <c r="Z1" s="239"/>
      <c r="AA1" s="240"/>
      <c r="AB1" s="241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398" t="s">
        <v>48</v>
      </c>
      <c r="E2" s="404" t="s">
        <v>49</v>
      </c>
      <c r="F2" s="405"/>
      <c r="G2" s="405"/>
      <c r="H2" s="405"/>
      <c r="I2" s="405"/>
      <c r="J2" s="405"/>
      <c r="K2" s="405"/>
      <c r="L2" s="405"/>
      <c r="M2" s="406"/>
      <c r="N2" s="398" t="s">
        <v>50</v>
      </c>
      <c r="O2" s="399"/>
      <c r="P2" s="404" t="s">
        <v>51</v>
      </c>
      <c r="Q2" s="405"/>
      <c r="R2" s="405"/>
      <c r="S2" s="405"/>
      <c r="T2" s="405"/>
      <c r="U2" s="405"/>
      <c r="V2" s="405"/>
      <c r="W2" s="405"/>
      <c r="X2" s="425"/>
      <c r="Y2" s="398" t="s">
        <v>52</v>
      </c>
      <c r="Z2" s="239"/>
      <c r="AA2" s="244"/>
      <c r="AB2" s="240"/>
      <c r="AF2" s="240"/>
      <c r="AG2" s="240"/>
      <c r="AH2" s="240"/>
      <c r="AI2" s="240"/>
      <c r="AJ2" s="240"/>
      <c r="AK2" s="240"/>
      <c r="AL2" s="240"/>
      <c r="AM2" s="240"/>
    </row>
    <row r="3" spans="1:39" s="243" customFormat="1" ht="13.9" customHeight="1" x14ac:dyDescent="0.25">
      <c r="A3" s="396"/>
      <c r="B3" s="399"/>
      <c r="C3" s="399"/>
      <c r="D3" s="402"/>
      <c r="E3" s="407"/>
      <c r="F3" s="408"/>
      <c r="G3" s="408"/>
      <c r="H3" s="408"/>
      <c r="I3" s="408"/>
      <c r="J3" s="408"/>
      <c r="K3" s="408"/>
      <c r="L3" s="408"/>
      <c r="M3" s="409"/>
      <c r="N3" s="402"/>
      <c r="O3" s="399"/>
      <c r="P3" s="407"/>
      <c r="Q3" s="408"/>
      <c r="R3" s="408"/>
      <c r="S3" s="408"/>
      <c r="T3" s="408"/>
      <c r="U3" s="408"/>
      <c r="V3" s="408"/>
      <c r="W3" s="408"/>
      <c r="X3" s="409"/>
      <c r="Y3" s="402"/>
      <c r="Z3" s="239"/>
      <c r="AA3" s="240"/>
      <c r="AB3" s="240"/>
      <c r="AF3" s="240"/>
      <c r="AG3" s="240"/>
      <c r="AH3" s="240"/>
      <c r="AI3" s="240"/>
      <c r="AJ3" s="240"/>
      <c r="AK3" s="240"/>
      <c r="AL3" s="240"/>
      <c r="AM3" s="240"/>
    </row>
    <row r="4" spans="1:39" s="243" customFormat="1" ht="18" x14ac:dyDescent="0.25">
      <c r="A4" s="397"/>
      <c r="B4" s="400"/>
      <c r="C4" s="400"/>
      <c r="D4" s="403"/>
      <c r="E4" s="245" t="s">
        <v>57</v>
      </c>
      <c r="F4" s="245" t="s">
        <v>18</v>
      </c>
      <c r="G4" s="245" t="s">
        <v>58</v>
      </c>
      <c r="H4" s="245" t="s">
        <v>59</v>
      </c>
      <c r="I4" s="245" t="s">
        <v>60</v>
      </c>
      <c r="J4" s="245" t="s">
        <v>61</v>
      </c>
      <c r="K4" s="245" t="s">
        <v>62</v>
      </c>
      <c r="L4" s="245" t="s">
        <v>63</v>
      </c>
      <c r="M4" s="245" t="s">
        <v>64</v>
      </c>
      <c r="N4" s="403"/>
      <c r="O4" s="400"/>
      <c r="P4" s="246" t="str">
        <f>+E4</f>
        <v>BOGOTÁ</v>
      </c>
      <c r="Q4" s="246" t="str">
        <f t="shared" ref="Q4:X4" si="0">+F4</f>
        <v>ORIENTE</v>
      </c>
      <c r="R4" s="246" t="str">
        <f t="shared" si="0"/>
        <v xml:space="preserve">CENTRAL </v>
      </c>
      <c r="S4" s="246" t="str">
        <f t="shared" si="0"/>
        <v xml:space="preserve">SUR </v>
      </c>
      <c r="T4" s="246" t="str">
        <f t="shared" si="0"/>
        <v xml:space="preserve">NORTE </v>
      </c>
      <c r="U4" s="246" t="str">
        <f t="shared" si="0"/>
        <v xml:space="preserve">OCCIDENTE </v>
      </c>
      <c r="V4" s="246" t="str">
        <f t="shared" si="0"/>
        <v xml:space="preserve">NOROCCIDENTE </v>
      </c>
      <c r="W4" s="246" t="str">
        <f t="shared" si="0"/>
        <v xml:space="preserve">SUROCCIDENTE </v>
      </c>
      <c r="X4" s="246" t="str">
        <f t="shared" si="0"/>
        <v xml:space="preserve">NORORIENTE </v>
      </c>
      <c r="Y4" s="403"/>
      <c r="Z4" s="239"/>
      <c r="AA4" s="240"/>
      <c r="AB4" s="240"/>
      <c r="AF4" s="240"/>
      <c r="AG4" s="240"/>
      <c r="AH4" s="240"/>
      <c r="AI4" s="240"/>
      <c r="AJ4" s="240"/>
      <c r="AK4" s="240"/>
      <c r="AL4" s="240"/>
      <c r="AM4" s="240"/>
    </row>
    <row r="5" spans="1:39" ht="14.25" customHeight="1" x14ac:dyDescent="0.25">
      <c r="A5" s="247">
        <v>3</v>
      </c>
      <c r="B5" s="247">
        <v>8</v>
      </c>
      <c r="C5" s="248" t="s">
        <v>124</v>
      </c>
      <c r="D5" s="248" t="s">
        <v>81</v>
      </c>
      <c r="E5" s="247">
        <v>1</v>
      </c>
      <c r="F5" s="247">
        <v>0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1</v>
      </c>
      <c r="O5" s="247">
        <v>7329714</v>
      </c>
      <c r="P5" s="247">
        <f t="shared" ref="P5:P9" si="1">+E5*O5</f>
        <v>7329714</v>
      </c>
      <c r="Q5" s="247">
        <f t="shared" ref="Q5:Q9" si="2">+F5*O5</f>
        <v>0</v>
      </c>
      <c r="R5" s="247">
        <f t="shared" ref="R5:R9" si="3">+G5*O5</f>
        <v>0</v>
      </c>
      <c r="S5" s="247">
        <f t="shared" ref="S5:S9" si="4">+H5*O5</f>
        <v>0</v>
      </c>
      <c r="T5" s="247">
        <f t="shared" ref="T5:T9" si="5">+I5*O5</f>
        <v>0</v>
      </c>
      <c r="U5" s="247">
        <f t="shared" ref="U5:U9" si="6">+J5*O5</f>
        <v>0</v>
      </c>
      <c r="V5" s="247">
        <f t="shared" ref="V5:V9" si="7">+K5*O5</f>
        <v>0</v>
      </c>
      <c r="W5" s="247">
        <f t="shared" ref="W5:W9" si="8">+L5*O5</f>
        <v>0</v>
      </c>
      <c r="X5" s="247">
        <f t="shared" ref="X5:X9" si="9">+M5*O5</f>
        <v>0</v>
      </c>
      <c r="Y5" s="247">
        <f t="shared" ref="Y5:Y9" si="10">+SUM(P5:X5)</f>
        <v>7329714</v>
      </c>
      <c r="Z5" s="249"/>
      <c r="AA5" s="426" t="s">
        <v>42</v>
      </c>
      <c r="AB5" s="427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</row>
    <row r="6" spans="1:39" ht="14.25" customHeight="1" x14ac:dyDescent="0.25">
      <c r="A6" s="247">
        <v>3</v>
      </c>
      <c r="B6" s="247">
        <v>9</v>
      </c>
      <c r="C6" s="248" t="s">
        <v>125</v>
      </c>
      <c r="D6" s="248" t="s">
        <v>81</v>
      </c>
      <c r="E6" s="247">
        <v>1</v>
      </c>
      <c r="F6" s="247">
        <v>0</v>
      </c>
      <c r="G6" s="247">
        <v>0</v>
      </c>
      <c r="H6" s="247">
        <v>0</v>
      </c>
      <c r="I6" s="247">
        <v>0</v>
      </c>
      <c r="J6" s="247">
        <v>0</v>
      </c>
      <c r="K6" s="247">
        <v>0</v>
      </c>
      <c r="L6" s="247">
        <v>0</v>
      </c>
      <c r="M6" s="247">
        <v>0</v>
      </c>
      <c r="N6" s="247">
        <f>+SUM(E6:F6)</f>
        <v>1</v>
      </c>
      <c r="O6" s="247">
        <v>101320276</v>
      </c>
      <c r="P6" s="247">
        <f t="shared" si="1"/>
        <v>101320276</v>
      </c>
      <c r="Q6" s="247">
        <f t="shared" si="2"/>
        <v>0</v>
      </c>
      <c r="R6" s="247">
        <f t="shared" si="3"/>
        <v>0</v>
      </c>
      <c r="S6" s="247">
        <f t="shared" si="4"/>
        <v>0</v>
      </c>
      <c r="T6" s="247">
        <f t="shared" si="5"/>
        <v>0</v>
      </c>
      <c r="U6" s="247">
        <f t="shared" si="6"/>
        <v>0</v>
      </c>
      <c r="V6" s="247">
        <f t="shared" si="7"/>
        <v>0</v>
      </c>
      <c r="W6" s="247">
        <f t="shared" si="8"/>
        <v>0</v>
      </c>
      <c r="X6" s="247">
        <f t="shared" si="9"/>
        <v>0</v>
      </c>
      <c r="Y6" s="247">
        <f t="shared" si="10"/>
        <v>101320276</v>
      </c>
      <c r="Z6" s="249"/>
      <c r="AA6" s="286" t="s">
        <v>53</v>
      </c>
      <c r="AB6" s="287" t="s">
        <v>54</v>
      </c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</row>
    <row r="7" spans="1:39" ht="14.25" customHeight="1" x14ac:dyDescent="0.25">
      <c r="A7" s="247">
        <v>3</v>
      </c>
      <c r="B7" s="247">
        <v>10</v>
      </c>
      <c r="C7" s="248" t="s">
        <v>126</v>
      </c>
      <c r="D7" s="248" t="s">
        <v>81</v>
      </c>
      <c r="E7" s="247">
        <v>1</v>
      </c>
      <c r="F7" s="247">
        <v>0</v>
      </c>
      <c r="G7" s="247">
        <v>0</v>
      </c>
      <c r="H7" s="247">
        <v>0</v>
      </c>
      <c r="I7" s="247">
        <v>0</v>
      </c>
      <c r="J7" s="247">
        <v>0</v>
      </c>
      <c r="K7" s="247">
        <v>0</v>
      </c>
      <c r="L7" s="247">
        <v>0</v>
      </c>
      <c r="M7" s="247">
        <v>0</v>
      </c>
      <c r="N7" s="247">
        <f>+SUM(E7:F7)</f>
        <v>1</v>
      </c>
      <c r="O7" s="247">
        <v>179604981</v>
      </c>
      <c r="P7" s="247">
        <f t="shared" si="1"/>
        <v>179604981</v>
      </c>
      <c r="Q7" s="247">
        <f t="shared" si="2"/>
        <v>0</v>
      </c>
      <c r="R7" s="247">
        <f t="shared" si="3"/>
        <v>0</v>
      </c>
      <c r="S7" s="247">
        <f t="shared" si="4"/>
        <v>0</v>
      </c>
      <c r="T7" s="247">
        <f t="shared" si="5"/>
        <v>0</v>
      </c>
      <c r="U7" s="247">
        <f t="shared" si="6"/>
        <v>0</v>
      </c>
      <c r="V7" s="247">
        <f t="shared" si="7"/>
        <v>0</v>
      </c>
      <c r="W7" s="247">
        <f t="shared" si="8"/>
        <v>0</v>
      </c>
      <c r="X7" s="247">
        <f t="shared" si="9"/>
        <v>0</v>
      </c>
      <c r="Y7" s="247">
        <f t="shared" si="10"/>
        <v>179604981</v>
      </c>
      <c r="Z7" s="249"/>
      <c r="AA7" s="252" t="str">
        <f>+P4</f>
        <v>BOGOTÁ</v>
      </c>
      <c r="AB7" s="253">
        <f>+SUM(P5:P9)</f>
        <v>668421095</v>
      </c>
      <c r="AC7" s="250"/>
      <c r="AD7" s="250"/>
      <c r="AE7" s="250"/>
      <c r="AF7" s="250"/>
      <c r="AG7" s="250"/>
      <c r="AH7" s="250"/>
      <c r="AI7" s="250"/>
      <c r="AJ7" s="250"/>
      <c r="AK7" s="250"/>
      <c r="AL7" s="250"/>
      <c r="AM7" s="250"/>
    </row>
    <row r="8" spans="1:39" ht="14.25" customHeight="1" x14ac:dyDescent="0.25">
      <c r="A8" s="247">
        <v>3</v>
      </c>
      <c r="B8" s="247">
        <v>11</v>
      </c>
      <c r="C8" s="248" t="s">
        <v>127</v>
      </c>
      <c r="D8" s="248" t="s">
        <v>81</v>
      </c>
      <c r="E8" s="247">
        <v>1</v>
      </c>
      <c r="F8" s="247">
        <v>0</v>
      </c>
      <c r="G8" s="247">
        <v>0</v>
      </c>
      <c r="H8" s="247">
        <v>0</v>
      </c>
      <c r="I8" s="247">
        <v>0</v>
      </c>
      <c r="J8" s="247">
        <v>0</v>
      </c>
      <c r="K8" s="247">
        <v>0</v>
      </c>
      <c r="L8" s="247">
        <v>0</v>
      </c>
      <c r="M8" s="247">
        <v>0</v>
      </c>
      <c r="N8" s="247">
        <f>+SUM(E8:F8)</f>
        <v>1</v>
      </c>
      <c r="O8" s="247">
        <v>133386702</v>
      </c>
      <c r="P8" s="247">
        <f t="shared" si="1"/>
        <v>133386702</v>
      </c>
      <c r="Q8" s="247">
        <f t="shared" si="2"/>
        <v>0</v>
      </c>
      <c r="R8" s="247">
        <f t="shared" si="3"/>
        <v>0</v>
      </c>
      <c r="S8" s="247">
        <f t="shared" si="4"/>
        <v>0</v>
      </c>
      <c r="T8" s="247">
        <f t="shared" si="5"/>
        <v>0</v>
      </c>
      <c r="U8" s="247">
        <f t="shared" si="6"/>
        <v>0</v>
      </c>
      <c r="V8" s="247">
        <f t="shared" si="7"/>
        <v>0</v>
      </c>
      <c r="W8" s="247">
        <f t="shared" si="8"/>
        <v>0</v>
      </c>
      <c r="X8" s="247">
        <f t="shared" si="9"/>
        <v>0</v>
      </c>
      <c r="Y8" s="247">
        <f t="shared" si="10"/>
        <v>133386702</v>
      </c>
      <c r="Z8" s="249"/>
      <c r="AA8" s="252" t="str">
        <f>+Q4</f>
        <v>ORIENTE</v>
      </c>
      <c r="AB8" s="253">
        <f>SUM(Q5:Q9)</f>
        <v>0</v>
      </c>
      <c r="AC8" s="250"/>
      <c r="AD8" s="250"/>
      <c r="AE8" s="250"/>
      <c r="AF8" s="250"/>
      <c r="AG8" s="250"/>
      <c r="AH8" s="250"/>
      <c r="AI8" s="250"/>
      <c r="AJ8" s="250"/>
      <c r="AK8" s="250"/>
      <c r="AL8" s="250"/>
      <c r="AM8" s="250"/>
    </row>
    <row r="9" spans="1:39" ht="14.25" customHeight="1" x14ac:dyDescent="0.25">
      <c r="A9" s="247">
        <v>3</v>
      </c>
      <c r="B9" s="247">
        <v>12</v>
      </c>
      <c r="C9" s="248" t="s">
        <v>128</v>
      </c>
      <c r="D9" s="248" t="s">
        <v>81</v>
      </c>
      <c r="E9" s="247">
        <v>1</v>
      </c>
      <c r="F9" s="247">
        <v>0</v>
      </c>
      <c r="G9" s="247">
        <v>0</v>
      </c>
      <c r="H9" s="247">
        <v>0</v>
      </c>
      <c r="I9" s="247">
        <v>0</v>
      </c>
      <c r="J9" s="247">
        <v>0</v>
      </c>
      <c r="K9" s="247">
        <v>0</v>
      </c>
      <c r="L9" s="247">
        <v>0</v>
      </c>
      <c r="M9" s="247">
        <v>0</v>
      </c>
      <c r="N9" s="247">
        <f>+SUM(E9:F9)</f>
        <v>1</v>
      </c>
      <c r="O9" s="247">
        <v>246779422</v>
      </c>
      <c r="P9" s="247">
        <f t="shared" si="1"/>
        <v>246779422</v>
      </c>
      <c r="Q9" s="247">
        <f t="shared" si="2"/>
        <v>0</v>
      </c>
      <c r="R9" s="247">
        <f t="shared" si="3"/>
        <v>0</v>
      </c>
      <c r="S9" s="247">
        <f t="shared" si="4"/>
        <v>0</v>
      </c>
      <c r="T9" s="247">
        <f t="shared" si="5"/>
        <v>0</v>
      </c>
      <c r="U9" s="247">
        <f t="shared" si="6"/>
        <v>0</v>
      </c>
      <c r="V9" s="247">
        <f t="shared" si="7"/>
        <v>0</v>
      </c>
      <c r="W9" s="247">
        <f t="shared" si="8"/>
        <v>0</v>
      </c>
      <c r="X9" s="247">
        <f t="shared" si="9"/>
        <v>0</v>
      </c>
      <c r="Y9" s="247">
        <f t="shared" si="10"/>
        <v>246779422</v>
      </c>
      <c r="Z9" s="249"/>
      <c r="AA9" s="254" t="s">
        <v>71</v>
      </c>
      <c r="AB9" s="255">
        <f>+SUM(AB7:AB8)</f>
        <v>668421095</v>
      </c>
      <c r="AC9" s="250"/>
      <c r="AD9" s="250"/>
      <c r="AE9" s="250"/>
      <c r="AF9" s="250"/>
      <c r="AG9" s="250"/>
      <c r="AH9" s="250"/>
      <c r="AI9" s="250"/>
      <c r="AJ9" s="250"/>
      <c r="AK9" s="250"/>
      <c r="AL9" s="250"/>
      <c r="AM9" s="250"/>
    </row>
    <row r="10" spans="1:39" ht="14.25" customHeight="1" x14ac:dyDescent="0.25">
      <c r="A10" s="256"/>
      <c r="B10" s="412" t="s">
        <v>75</v>
      </c>
      <c r="C10" s="413"/>
      <c r="D10" s="413"/>
      <c r="E10" s="413"/>
      <c r="F10" s="413"/>
      <c r="G10" s="413"/>
      <c r="H10" s="413"/>
      <c r="I10" s="413"/>
      <c r="J10" s="413"/>
      <c r="K10" s="413"/>
      <c r="L10" s="413"/>
      <c r="M10" s="413"/>
      <c r="N10" s="413"/>
      <c r="O10" s="414"/>
      <c r="P10" s="247">
        <f>+SUM(P5:P9)</f>
        <v>668421095</v>
      </c>
      <c r="Q10" s="247">
        <f t="shared" ref="Q10:X10" si="11">+SUM(Q5:Q9)</f>
        <v>0</v>
      </c>
      <c r="R10" s="247">
        <f t="shared" si="11"/>
        <v>0</v>
      </c>
      <c r="S10" s="247">
        <f t="shared" si="11"/>
        <v>0</v>
      </c>
      <c r="T10" s="247">
        <f t="shared" si="11"/>
        <v>0</v>
      </c>
      <c r="U10" s="247">
        <f t="shared" si="11"/>
        <v>0</v>
      </c>
      <c r="V10" s="247">
        <f t="shared" si="11"/>
        <v>0</v>
      </c>
      <c r="W10" s="247">
        <f t="shared" si="11"/>
        <v>0</v>
      </c>
      <c r="X10" s="247">
        <f t="shared" si="11"/>
        <v>0</v>
      </c>
      <c r="Y10" s="247">
        <f>SUM(Y5:Y9)</f>
        <v>668421095</v>
      </c>
      <c r="Z10" s="249"/>
      <c r="AA10" s="250"/>
      <c r="AB10" s="250"/>
      <c r="AF10" s="250"/>
      <c r="AG10" s="250"/>
      <c r="AH10" s="250"/>
      <c r="AI10" s="250"/>
      <c r="AJ10" s="250"/>
      <c r="AK10" s="250"/>
      <c r="AL10" s="250"/>
      <c r="AM10" s="250"/>
    </row>
    <row r="11" spans="1:39" ht="15" customHeight="1" x14ac:dyDescent="0.25"/>
    <row r="12" spans="1:39" ht="15" customHeight="1" x14ac:dyDescent="0.25">
      <c r="B12" s="388" t="s">
        <v>86</v>
      </c>
      <c r="C12" s="388"/>
      <c r="D12" s="388"/>
      <c r="E12" s="388"/>
      <c r="F12" s="388"/>
      <c r="G12" s="388"/>
      <c r="H12" s="388"/>
      <c r="I12" s="388"/>
      <c r="J12" s="388"/>
      <c r="K12" s="388"/>
      <c r="L12" s="388"/>
      <c r="M12" s="388"/>
      <c r="N12" s="388"/>
      <c r="O12" s="388"/>
      <c r="P12" s="388"/>
      <c r="Q12" s="388"/>
      <c r="R12" s="388"/>
      <c r="S12" s="388"/>
      <c r="T12" s="388"/>
      <c r="U12" s="388"/>
      <c r="V12" s="388"/>
      <c r="W12" s="388"/>
      <c r="X12" s="388"/>
      <c r="Y12" s="332"/>
      <c r="Z12" s="332"/>
      <c r="AA12" s="332"/>
      <c r="AB12" s="332" t="s">
        <v>87</v>
      </c>
      <c r="AC12" s="332" t="s">
        <v>88</v>
      </c>
      <c r="AD12" s="332" t="s">
        <v>89</v>
      </c>
      <c r="AG12" s="210" t="s">
        <v>94</v>
      </c>
      <c r="AH12" t="s">
        <v>87</v>
      </c>
      <c r="AI12" t="s">
        <v>88</v>
      </c>
    </row>
    <row r="13" spans="1:39" ht="35.65" customHeight="1" x14ac:dyDescent="0.25">
      <c r="B13" s="431" t="str">
        <f>+AG14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C13" s="431"/>
      <c r="D13" s="431"/>
      <c r="E13" s="431"/>
      <c r="F13" s="431"/>
      <c r="G13" s="431"/>
      <c r="H13" s="431"/>
      <c r="I13" s="431"/>
      <c r="J13" s="431"/>
      <c r="K13" s="431"/>
      <c r="L13" s="431"/>
      <c r="M13" s="431"/>
      <c r="N13" s="431"/>
      <c r="O13" s="431"/>
      <c r="P13" s="431"/>
      <c r="Q13" s="431"/>
      <c r="R13" s="431"/>
      <c r="S13" s="431"/>
      <c r="T13" s="431"/>
      <c r="U13" s="431"/>
      <c r="V13" s="431"/>
      <c r="W13" s="431"/>
      <c r="X13" s="431"/>
      <c r="Y13" s="431"/>
      <c r="Z13" s="431"/>
      <c r="AA13" s="432"/>
      <c r="AB13" s="275">
        <f>+AH14</f>
        <v>235034393</v>
      </c>
      <c r="AC13" s="275"/>
      <c r="AD13" s="326">
        <f>+AB13+AC13</f>
        <v>235034393</v>
      </c>
      <c r="AG13" s="312">
        <v>3</v>
      </c>
      <c r="AH13" s="8">
        <v>668421095</v>
      </c>
      <c r="AI13">
        <v>0</v>
      </c>
    </row>
    <row r="14" spans="1:39" ht="35.65" customHeight="1" x14ac:dyDescent="0.25">
      <c r="B14" s="431" t="str">
        <f>+AG15</f>
        <v xml:space="preserve">código Rubro = B-2901-0800-14-20111D-2901006-02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</v>
      </c>
      <c r="C14" s="431"/>
      <c r="D14" s="431"/>
      <c r="E14" s="431"/>
      <c r="F14" s="431"/>
      <c r="G14" s="431"/>
      <c r="H14" s="431"/>
      <c r="I14" s="431"/>
      <c r="J14" s="431"/>
      <c r="K14" s="431"/>
      <c r="L14" s="431"/>
      <c r="M14" s="431"/>
      <c r="N14" s="431"/>
      <c r="O14" s="431"/>
      <c r="P14" s="431"/>
      <c r="Q14" s="431"/>
      <c r="R14" s="431"/>
      <c r="S14" s="431"/>
      <c r="T14" s="431"/>
      <c r="U14" s="431"/>
      <c r="V14" s="431"/>
      <c r="W14" s="431"/>
      <c r="X14" s="431"/>
      <c r="Y14" s="431"/>
      <c r="Z14" s="431"/>
      <c r="AA14" s="431"/>
      <c r="AB14" s="275">
        <f t="shared" ref="AB14:AB15" si="12">+AH15</f>
        <v>133386702</v>
      </c>
      <c r="AC14" s="275"/>
      <c r="AD14" s="326">
        <f>+AB14+AC14</f>
        <v>133386702</v>
      </c>
      <c r="AG14" s="315" t="s">
        <v>91</v>
      </c>
      <c r="AH14" s="8">
        <v>235034393</v>
      </c>
      <c r="AI14">
        <v>0</v>
      </c>
    </row>
    <row r="15" spans="1:39" ht="35.65" customHeight="1" x14ac:dyDescent="0.25">
      <c r="B15" s="431" t="str">
        <f>+AG16</f>
        <v xml:space="preserve">código Rubro = C-2901-0800-14-20111D-2901010-02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v>
      </c>
      <c r="C15" s="431"/>
      <c r="D15" s="431"/>
      <c r="E15" s="431"/>
      <c r="F15" s="431"/>
      <c r="G15" s="431"/>
      <c r="H15" s="431"/>
      <c r="I15" s="431"/>
      <c r="J15" s="431"/>
      <c r="K15" s="431"/>
      <c r="L15" s="431"/>
      <c r="M15" s="431"/>
      <c r="N15" s="431"/>
      <c r="O15" s="431"/>
      <c r="P15" s="431"/>
      <c r="Q15" s="431"/>
      <c r="R15" s="431"/>
      <c r="S15" s="431"/>
      <c r="T15" s="431"/>
      <c r="U15" s="431"/>
      <c r="V15" s="431"/>
      <c r="W15" s="431"/>
      <c r="X15" s="431"/>
      <c r="Y15" s="431"/>
      <c r="Z15" s="431"/>
      <c r="AA15" s="431"/>
      <c r="AB15" s="275">
        <f t="shared" si="12"/>
        <v>300000000</v>
      </c>
      <c r="AC15" s="275"/>
      <c r="AD15" s="326">
        <f>+AB15+AC15</f>
        <v>300000000</v>
      </c>
      <c r="AG15" s="315" t="s">
        <v>129</v>
      </c>
      <c r="AH15" s="8">
        <v>133386702</v>
      </c>
      <c r="AI15">
        <v>0</v>
      </c>
    </row>
    <row r="16" spans="1:39" ht="15" customHeight="1" x14ac:dyDescent="0.25">
      <c r="B16" s="428" t="s">
        <v>71</v>
      </c>
      <c r="C16" s="429"/>
      <c r="D16" s="429"/>
      <c r="E16" s="429"/>
      <c r="F16" s="429"/>
      <c r="G16" s="429"/>
      <c r="H16" s="429"/>
      <c r="I16" s="429"/>
      <c r="J16" s="429"/>
      <c r="K16" s="429"/>
      <c r="L16" s="429"/>
      <c r="M16" s="429"/>
      <c r="N16" s="429"/>
      <c r="O16" s="429"/>
      <c r="P16" s="429"/>
      <c r="Q16" s="429"/>
      <c r="R16" s="429"/>
      <c r="S16" s="429"/>
      <c r="T16" s="429"/>
      <c r="U16" s="429"/>
      <c r="V16" s="429"/>
      <c r="W16" s="429"/>
      <c r="X16" s="429"/>
      <c r="Y16" s="429"/>
      <c r="Z16" s="429"/>
      <c r="AA16" s="430"/>
      <c r="AB16" s="327">
        <f>SUM(AB13:AB15)</f>
        <v>668421095</v>
      </c>
      <c r="AC16" s="327">
        <f>SUM(AC13:AC15)</f>
        <v>0</v>
      </c>
      <c r="AD16" s="327">
        <f>+SUM(AD13:AD15)</f>
        <v>668421095</v>
      </c>
      <c r="AE16" s="251" t="b">
        <f>+AD16=AB9</f>
        <v>1</v>
      </c>
      <c r="AG16" s="315" t="s">
        <v>130</v>
      </c>
      <c r="AH16" s="8">
        <v>300000000</v>
      </c>
      <c r="AI16">
        <v>0</v>
      </c>
    </row>
    <row r="17" spans="3:35" ht="15" customHeight="1" x14ac:dyDescent="0.25">
      <c r="AG17" s="312" t="s">
        <v>95</v>
      </c>
      <c r="AH17" s="8">
        <v>668421095</v>
      </c>
      <c r="AI17">
        <v>0</v>
      </c>
    </row>
    <row r="18" spans="3:35" ht="15" customHeight="1" x14ac:dyDescent="0.25"/>
    <row r="19" spans="3:35" ht="15" customHeight="1" x14ac:dyDescent="0.25"/>
    <row r="20" spans="3:35" ht="15" customHeight="1" x14ac:dyDescent="0.25"/>
    <row r="21" spans="3:35" ht="15" customHeight="1" x14ac:dyDescent="0.25"/>
    <row r="25" spans="3:35" ht="15" hidden="1" customHeight="1" x14ac:dyDescent="0.25">
      <c r="C25" s="215" t="s">
        <v>94</v>
      </c>
      <c r="D25" s="120" t="s">
        <v>87</v>
      </c>
      <c r="E25" s="120" t="s">
        <v>88</v>
      </c>
    </row>
    <row r="26" spans="3:35" ht="15" hidden="1" customHeight="1" x14ac:dyDescent="0.25">
      <c r="C26" s="316">
        <v>3</v>
      </c>
      <c r="D26" s="217">
        <v>668421095</v>
      </c>
      <c r="E26" s="120">
        <v>0</v>
      </c>
    </row>
    <row r="27" spans="3:35" s="317" customFormat="1" ht="15" hidden="1" customHeight="1" x14ac:dyDescent="0.25">
      <c r="C27" s="216" t="s">
        <v>91</v>
      </c>
      <c r="D27" s="217">
        <v>235034393</v>
      </c>
      <c r="E27" s="120">
        <v>0</v>
      </c>
    </row>
    <row r="28" spans="3:35" s="317" customFormat="1" ht="15" hidden="1" customHeight="1" x14ac:dyDescent="0.25">
      <c r="C28" s="216" t="s">
        <v>129</v>
      </c>
      <c r="D28" s="217">
        <v>133386702</v>
      </c>
      <c r="E28" s="120">
        <v>0</v>
      </c>
    </row>
    <row r="29" spans="3:35" s="317" customFormat="1" ht="15" hidden="1" customHeight="1" x14ac:dyDescent="0.25">
      <c r="C29" s="216" t="s">
        <v>130</v>
      </c>
      <c r="D29" s="217">
        <v>300000000</v>
      </c>
      <c r="E29" s="120">
        <v>0</v>
      </c>
    </row>
    <row r="30" spans="3:35" ht="15" hidden="1" customHeight="1" x14ac:dyDescent="0.25">
      <c r="C30" s="316" t="s">
        <v>95</v>
      </c>
      <c r="D30" s="217">
        <v>668421095</v>
      </c>
      <c r="E30" s="120">
        <v>0</v>
      </c>
    </row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18">
    <mergeCell ref="B16:AA16"/>
    <mergeCell ref="B12:X12"/>
    <mergeCell ref="B13:AA13"/>
    <mergeCell ref="B14:AA14"/>
    <mergeCell ref="B15:AA15"/>
    <mergeCell ref="Y2:Y4"/>
    <mergeCell ref="AA5:AB5"/>
    <mergeCell ref="B10:O10"/>
    <mergeCell ref="B1:N1"/>
    <mergeCell ref="O1:O4"/>
    <mergeCell ref="P1:Y1"/>
    <mergeCell ref="N2:N4"/>
    <mergeCell ref="P2:X3"/>
    <mergeCell ref="A2:A4"/>
    <mergeCell ref="B2:B4"/>
    <mergeCell ref="C2:C4"/>
    <mergeCell ref="D2:D4"/>
    <mergeCell ref="E2:M3"/>
  </mergeCells>
  <pageMargins left="0.7" right="0.7" top="0.75" bottom="0.75" header="0" footer="0"/>
  <pageSetup orientation="landscape" r:id="rId3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3"/>
  <sheetViews>
    <sheetView topLeftCell="A12" zoomScale="70" zoomScaleNormal="70" workbookViewId="0">
      <selection activeCell="G4" sqref="G1:M1048576"/>
    </sheetView>
  </sheetViews>
  <sheetFormatPr baseColWidth="10" defaultColWidth="14.42578125" defaultRowHeight="15" customHeight="1" zeroHeight="1" x14ac:dyDescent="0.25"/>
  <cols>
    <col min="1" max="1" width="4.28515625" style="251" bestFit="1" customWidth="1"/>
    <col min="2" max="2" width="7.5703125" style="251" customWidth="1"/>
    <col min="3" max="3" width="16.7109375" style="251" customWidth="1"/>
    <col min="4" max="4" width="11.5703125" style="251" customWidth="1"/>
    <col min="5" max="5" width="16.570312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customWidth="1"/>
    <col min="30" max="30" width="23.28515625" style="251" customWidth="1"/>
    <col min="31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37"/>
      <c r="F1" s="437"/>
      <c r="G1" s="437"/>
      <c r="H1" s="437"/>
      <c r="I1" s="437"/>
      <c r="J1" s="437"/>
      <c r="K1" s="437"/>
      <c r="L1" s="437"/>
      <c r="M1" s="437"/>
      <c r="N1" s="419"/>
      <c r="O1" s="420" t="s">
        <v>40</v>
      </c>
      <c r="P1" s="439" t="s">
        <v>41</v>
      </c>
      <c r="Q1" s="440"/>
      <c r="R1" s="440"/>
      <c r="S1" s="440"/>
      <c r="T1" s="440"/>
      <c r="U1" s="440"/>
      <c r="V1" s="440"/>
      <c r="W1" s="440"/>
      <c r="X1" s="441"/>
      <c r="Y1" s="424"/>
      <c r="Z1" s="239"/>
      <c r="AA1" s="240"/>
      <c r="AB1" s="241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404" t="s">
        <v>48</v>
      </c>
      <c r="E2" s="434" t="s">
        <v>49</v>
      </c>
      <c r="F2" s="434"/>
      <c r="G2" s="434"/>
      <c r="H2" s="434"/>
      <c r="I2" s="434"/>
      <c r="J2" s="434"/>
      <c r="K2" s="434"/>
      <c r="L2" s="434"/>
      <c r="M2" s="434"/>
      <c r="N2" s="406" t="s">
        <v>50</v>
      </c>
      <c r="O2" s="438"/>
      <c r="P2" s="434" t="s">
        <v>51</v>
      </c>
      <c r="Q2" s="434"/>
      <c r="R2" s="434"/>
      <c r="S2" s="434"/>
      <c r="T2" s="434"/>
      <c r="U2" s="434"/>
      <c r="V2" s="434"/>
      <c r="W2" s="434"/>
      <c r="X2" s="435"/>
      <c r="Y2" s="406" t="s">
        <v>52</v>
      </c>
      <c r="Z2" s="239"/>
      <c r="AA2" s="244"/>
      <c r="AB2" s="240"/>
      <c r="AF2" s="240"/>
      <c r="AG2" s="240"/>
      <c r="AH2" s="240"/>
      <c r="AI2" s="240"/>
      <c r="AJ2" s="240"/>
      <c r="AK2" s="240"/>
      <c r="AL2" s="240"/>
      <c r="AM2" s="240"/>
    </row>
    <row r="3" spans="1:39" s="243" customFormat="1" ht="8.65" customHeight="1" x14ac:dyDescent="0.25">
      <c r="A3" s="396"/>
      <c r="B3" s="399"/>
      <c r="C3" s="399"/>
      <c r="D3" s="433"/>
      <c r="E3" s="435"/>
      <c r="F3" s="435"/>
      <c r="G3" s="435"/>
      <c r="H3" s="435"/>
      <c r="I3" s="435"/>
      <c r="J3" s="435"/>
      <c r="K3" s="435"/>
      <c r="L3" s="435"/>
      <c r="M3" s="435"/>
      <c r="N3" s="395"/>
      <c r="O3" s="438"/>
      <c r="P3" s="435"/>
      <c r="Q3" s="435"/>
      <c r="R3" s="435"/>
      <c r="S3" s="435"/>
      <c r="T3" s="435"/>
      <c r="U3" s="435"/>
      <c r="V3" s="435"/>
      <c r="W3" s="435"/>
      <c r="X3" s="435"/>
      <c r="Y3" s="395"/>
      <c r="Z3" s="239"/>
      <c r="AA3" s="240"/>
      <c r="AB3" s="240"/>
      <c r="AF3" s="240"/>
      <c r="AG3" s="240"/>
      <c r="AH3" s="240"/>
      <c r="AI3" s="240"/>
      <c r="AJ3" s="240"/>
      <c r="AK3" s="240"/>
      <c r="AL3" s="240"/>
      <c r="AM3" s="240"/>
    </row>
    <row r="4" spans="1:39" s="243" customFormat="1" ht="18" x14ac:dyDescent="0.25">
      <c r="A4" s="397"/>
      <c r="B4" s="400"/>
      <c r="C4" s="400"/>
      <c r="D4" s="403"/>
      <c r="E4" s="279" t="s">
        <v>57</v>
      </c>
      <c r="F4" s="279" t="s">
        <v>18</v>
      </c>
      <c r="G4" s="279" t="s">
        <v>58</v>
      </c>
      <c r="H4" s="279" t="s">
        <v>59</v>
      </c>
      <c r="I4" s="279" t="s">
        <v>60</v>
      </c>
      <c r="J4" s="279" t="s">
        <v>61</v>
      </c>
      <c r="K4" s="279" t="s">
        <v>62</v>
      </c>
      <c r="L4" s="279" t="s">
        <v>63</v>
      </c>
      <c r="M4" s="279" t="s">
        <v>18</v>
      </c>
      <c r="N4" s="403"/>
      <c r="O4" s="400"/>
      <c r="P4" s="276" t="str">
        <f>+E4</f>
        <v>BOGOTÁ</v>
      </c>
      <c r="Q4" s="276" t="str">
        <f t="shared" ref="Q4:X4" si="0">+F4</f>
        <v>ORIENTE</v>
      </c>
      <c r="R4" s="276" t="str">
        <f t="shared" si="0"/>
        <v xml:space="preserve">CENTRAL </v>
      </c>
      <c r="S4" s="276" t="str">
        <f t="shared" si="0"/>
        <v xml:space="preserve">SUR </v>
      </c>
      <c r="T4" s="276" t="str">
        <f t="shared" si="0"/>
        <v xml:space="preserve">NORTE </v>
      </c>
      <c r="U4" s="276" t="str">
        <f t="shared" si="0"/>
        <v xml:space="preserve">OCCIDENTE </v>
      </c>
      <c r="V4" s="276" t="str">
        <f t="shared" si="0"/>
        <v xml:space="preserve">NOROCCIDENTE </v>
      </c>
      <c r="W4" s="276" t="str">
        <f t="shared" si="0"/>
        <v xml:space="preserve">SUROCCIDENTE </v>
      </c>
      <c r="X4" s="276" t="str">
        <f t="shared" si="0"/>
        <v>ORIENTE</v>
      </c>
      <c r="Y4" s="403"/>
      <c r="Z4" s="239"/>
      <c r="AA4" s="240"/>
      <c r="AB4" s="240"/>
      <c r="AF4" s="240"/>
      <c r="AG4" s="240"/>
      <c r="AH4" s="240"/>
      <c r="AI4" s="240"/>
      <c r="AJ4" s="240"/>
      <c r="AK4" s="240"/>
      <c r="AL4" s="240"/>
      <c r="AM4" s="240"/>
    </row>
    <row r="5" spans="1:39" ht="22.5" x14ac:dyDescent="0.25">
      <c r="A5" s="247">
        <v>4</v>
      </c>
      <c r="B5" s="257">
        <v>13</v>
      </c>
      <c r="C5" s="258" t="s">
        <v>131</v>
      </c>
      <c r="D5" s="248" t="s">
        <v>81</v>
      </c>
      <c r="E5" s="247">
        <v>2</v>
      </c>
      <c r="F5" s="247">
        <v>0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 t="shared" ref="N5:N13" si="1">+SUM(E5:F5)</f>
        <v>2</v>
      </c>
      <c r="O5" s="247">
        <v>7182643</v>
      </c>
      <c r="P5" s="247">
        <f t="shared" ref="P5" si="2">+E5*O5</f>
        <v>14365286</v>
      </c>
      <c r="Q5" s="247">
        <f t="shared" ref="Q5" si="3">+F5*O5</f>
        <v>0</v>
      </c>
      <c r="R5" s="247">
        <f t="shared" ref="R5" si="4">+G5*O5</f>
        <v>0</v>
      </c>
      <c r="S5" s="247">
        <f t="shared" ref="S5" si="5">+H5*O5</f>
        <v>0</v>
      </c>
      <c r="T5" s="247">
        <f t="shared" ref="T5" si="6">+I5*O5</f>
        <v>0</v>
      </c>
      <c r="U5" s="247">
        <f t="shared" ref="U5" si="7">+J5*O5</f>
        <v>0</v>
      </c>
      <c r="V5" s="247">
        <f t="shared" ref="V5" si="8">+K5*O5</f>
        <v>0</v>
      </c>
      <c r="W5" s="247">
        <f t="shared" ref="W5" si="9">+L5*O5</f>
        <v>0</v>
      </c>
      <c r="X5" s="247">
        <f t="shared" ref="X5" si="10">+M5*O5</f>
        <v>0</v>
      </c>
      <c r="Y5" s="247">
        <f t="shared" ref="Y5" si="11">+SUM(P5:X5)</f>
        <v>14365286</v>
      </c>
      <c r="Z5" s="249"/>
      <c r="AA5" s="442" t="s">
        <v>42</v>
      </c>
      <c r="AB5" s="443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</row>
    <row r="6" spans="1:39" ht="22.5" x14ac:dyDescent="0.25">
      <c r="A6" s="247">
        <v>4</v>
      </c>
      <c r="B6" s="257">
        <v>14</v>
      </c>
      <c r="C6" s="258" t="s">
        <v>132</v>
      </c>
      <c r="D6" s="248" t="s">
        <v>81</v>
      </c>
      <c r="E6" s="247">
        <v>0</v>
      </c>
      <c r="F6" s="247">
        <v>2</v>
      </c>
      <c r="G6" s="247">
        <v>0</v>
      </c>
      <c r="H6" s="247">
        <v>0</v>
      </c>
      <c r="I6" s="247">
        <v>0</v>
      </c>
      <c r="J6" s="247">
        <v>0</v>
      </c>
      <c r="K6" s="247">
        <v>0</v>
      </c>
      <c r="L6" s="247">
        <v>0</v>
      </c>
      <c r="M6" s="247">
        <v>0</v>
      </c>
      <c r="N6" s="247">
        <f t="shared" si="1"/>
        <v>2</v>
      </c>
      <c r="O6" s="247">
        <v>2603490</v>
      </c>
      <c r="P6" s="247">
        <f t="shared" ref="P6:P13" si="12">+E6*O6</f>
        <v>0</v>
      </c>
      <c r="Q6" s="247">
        <f t="shared" ref="Q6:Q13" si="13">+F6*O6</f>
        <v>5206980</v>
      </c>
      <c r="R6" s="247">
        <f t="shared" ref="R6:R13" si="14">+G6*O6</f>
        <v>0</v>
      </c>
      <c r="S6" s="247">
        <f t="shared" ref="S6:S13" si="15">+H6*O6</f>
        <v>0</v>
      </c>
      <c r="T6" s="247">
        <f t="shared" ref="T6:T13" si="16">+I6*O6</f>
        <v>0</v>
      </c>
      <c r="U6" s="247">
        <f t="shared" ref="U6:U13" si="17">+J6*O6</f>
        <v>0</v>
      </c>
      <c r="V6" s="247">
        <f t="shared" ref="V6:V13" si="18">+K6*O6</f>
        <v>0</v>
      </c>
      <c r="W6" s="247">
        <f t="shared" ref="W6:W13" si="19">+L6*O6</f>
        <v>0</v>
      </c>
      <c r="X6" s="247">
        <f t="shared" ref="X6:X13" si="20">+M6*O6</f>
        <v>0</v>
      </c>
      <c r="Y6" s="247">
        <f t="shared" ref="Y6:Y13" si="21">+SUM(P6:X6)</f>
        <v>5206980</v>
      </c>
      <c r="Z6" s="249"/>
      <c r="AA6" s="286" t="s">
        <v>53</v>
      </c>
      <c r="AB6" s="287" t="s">
        <v>54</v>
      </c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</row>
    <row r="7" spans="1:39" ht="33.75" x14ac:dyDescent="0.25">
      <c r="A7" s="247">
        <v>8</v>
      </c>
      <c r="B7" s="257">
        <v>23</v>
      </c>
      <c r="C7" s="258" t="s">
        <v>133</v>
      </c>
      <c r="D7" s="248" t="s">
        <v>81</v>
      </c>
      <c r="E7" s="247">
        <v>1</v>
      </c>
      <c r="F7" s="247">
        <v>0</v>
      </c>
      <c r="G7" s="247">
        <v>0</v>
      </c>
      <c r="H7" s="247">
        <v>0</v>
      </c>
      <c r="I7" s="247">
        <v>0</v>
      </c>
      <c r="J7" s="247">
        <v>0</v>
      </c>
      <c r="K7" s="247">
        <v>0</v>
      </c>
      <c r="L7" s="247">
        <v>0</v>
      </c>
      <c r="M7" s="247">
        <v>0</v>
      </c>
      <c r="N7" s="247">
        <f t="shared" si="1"/>
        <v>1</v>
      </c>
      <c r="O7" s="247">
        <v>19454635</v>
      </c>
      <c r="P7" s="247">
        <f t="shared" si="12"/>
        <v>19454635</v>
      </c>
      <c r="Q7" s="247">
        <f t="shared" si="13"/>
        <v>0</v>
      </c>
      <c r="R7" s="247">
        <f t="shared" si="14"/>
        <v>0</v>
      </c>
      <c r="S7" s="247">
        <f t="shared" si="15"/>
        <v>0</v>
      </c>
      <c r="T7" s="247">
        <f t="shared" si="16"/>
        <v>0</v>
      </c>
      <c r="U7" s="247">
        <f t="shared" si="17"/>
        <v>0</v>
      </c>
      <c r="V7" s="247">
        <f t="shared" si="18"/>
        <v>0</v>
      </c>
      <c r="W7" s="247">
        <f t="shared" si="19"/>
        <v>0</v>
      </c>
      <c r="X7" s="247">
        <f t="shared" si="20"/>
        <v>0</v>
      </c>
      <c r="Y7" s="247">
        <f t="shared" si="21"/>
        <v>19454635</v>
      </c>
      <c r="Z7" s="249"/>
      <c r="AA7" s="252" t="str">
        <f>+P4</f>
        <v>BOGOTÁ</v>
      </c>
      <c r="AB7" s="253">
        <f>+SUM(P5:P13)</f>
        <v>328507571</v>
      </c>
      <c r="AC7" s="250"/>
      <c r="AD7" s="250"/>
      <c r="AE7" s="250"/>
      <c r="AF7" s="250"/>
      <c r="AG7" s="250"/>
      <c r="AH7" s="250"/>
      <c r="AI7" s="250"/>
      <c r="AJ7" s="250"/>
      <c r="AK7" s="250"/>
      <c r="AL7" s="250"/>
      <c r="AM7" s="250"/>
    </row>
    <row r="8" spans="1:39" ht="22.5" x14ac:dyDescent="0.25">
      <c r="A8" s="247">
        <v>8</v>
      </c>
      <c r="B8" s="257">
        <v>24</v>
      </c>
      <c r="C8" s="258" t="s">
        <v>134</v>
      </c>
      <c r="D8" s="248" t="s">
        <v>81</v>
      </c>
      <c r="E8" s="247">
        <v>3</v>
      </c>
      <c r="F8" s="247">
        <v>0</v>
      </c>
      <c r="G8" s="247">
        <v>0</v>
      </c>
      <c r="H8" s="247">
        <v>0</v>
      </c>
      <c r="I8" s="247">
        <v>0</v>
      </c>
      <c r="J8" s="247">
        <v>0</v>
      </c>
      <c r="K8" s="247">
        <v>0</v>
      </c>
      <c r="L8" s="247">
        <v>0</v>
      </c>
      <c r="M8" s="247">
        <v>0</v>
      </c>
      <c r="N8" s="247">
        <f t="shared" si="1"/>
        <v>3</v>
      </c>
      <c r="O8" s="247">
        <v>24247119</v>
      </c>
      <c r="P8" s="247">
        <f t="shared" si="12"/>
        <v>72741357</v>
      </c>
      <c r="Q8" s="247">
        <f t="shared" si="13"/>
        <v>0</v>
      </c>
      <c r="R8" s="247">
        <f t="shared" si="14"/>
        <v>0</v>
      </c>
      <c r="S8" s="247">
        <f t="shared" si="15"/>
        <v>0</v>
      </c>
      <c r="T8" s="247">
        <f t="shared" si="16"/>
        <v>0</v>
      </c>
      <c r="U8" s="247">
        <f t="shared" si="17"/>
        <v>0</v>
      </c>
      <c r="V8" s="247">
        <f t="shared" si="18"/>
        <v>0</v>
      </c>
      <c r="W8" s="247">
        <f t="shared" si="19"/>
        <v>0</v>
      </c>
      <c r="X8" s="247">
        <f t="shared" si="20"/>
        <v>0</v>
      </c>
      <c r="Y8" s="247">
        <f t="shared" si="21"/>
        <v>72741357</v>
      </c>
      <c r="Z8" s="249"/>
      <c r="AA8" s="252" t="str">
        <f>+Q4</f>
        <v>ORIENTE</v>
      </c>
      <c r="AB8" s="253">
        <f>SUM(Q5:Q13)</f>
        <v>219754360</v>
      </c>
      <c r="AC8" s="250"/>
      <c r="AD8" s="250"/>
      <c r="AE8" s="250"/>
      <c r="AF8" s="250"/>
      <c r="AG8" s="250"/>
      <c r="AH8" s="250"/>
      <c r="AI8" s="250"/>
      <c r="AJ8" s="250"/>
      <c r="AK8" s="250"/>
      <c r="AL8" s="250"/>
      <c r="AM8" s="250"/>
    </row>
    <row r="9" spans="1:39" ht="33.75" x14ac:dyDescent="0.25">
      <c r="A9" s="247">
        <v>9</v>
      </c>
      <c r="B9" s="257">
        <v>25</v>
      </c>
      <c r="C9" s="258" t="s">
        <v>135</v>
      </c>
      <c r="D9" s="248" t="s">
        <v>81</v>
      </c>
      <c r="E9" s="247">
        <v>1</v>
      </c>
      <c r="F9" s="247">
        <v>0</v>
      </c>
      <c r="G9" s="247">
        <v>0</v>
      </c>
      <c r="H9" s="247">
        <v>0</v>
      </c>
      <c r="I9" s="247">
        <v>0</v>
      </c>
      <c r="J9" s="247">
        <v>0</v>
      </c>
      <c r="K9" s="247">
        <v>0</v>
      </c>
      <c r="L9" s="247">
        <v>0</v>
      </c>
      <c r="M9" s="247">
        <v>0</v>
      </c>
      <c r="N9" s="247">
        <f t="shared" si="1"/>
        <v>1</v>
      </c>
      <c r="O9" s="247">
        <v>29155000</v>
      </c>
      <c r="P9" s="247">
        <f t="shared" si="12"/>
        <v>29155000</v>
      </c>
      <c r="Q9" s="247">
        <f t="shared" si="13"/>
        <v>0</v>
      </c>
      <c r="R9" s="247">
        <f t="shared" si="14"/>
        <v>0</v>
      </c>
      <c r="S9" s="247">
        <f t="shared" si="15"/>
        <v>0</v>
      </c>
      <c r="T9" s="247">
        <f t="shared" si="16"/>
        <v>0</v>
      </c>
      <c r="U9" s="247">
        <f t="shared" si="17"/>
        <v>0</v>
      </c>
      <c r="V9" s="247">
        <f t="shared" si="18"/>
        <v>0</v>
      </c>
      <c r="W9" s="247">
        <f t="shared" si="19"/>
        <v>0</v>
      </c>
      <c r="X9" s="247">
        <f t="shared" si="20"/>
        <v>0</v>
      </c>
      <c r="Y9" s="247">
        <f t="shared" si="21"/>
        <v>29155000</v>
      </c>
      <c r="Z9" s="249"/>
      <c r="AA9" s="254" t="s">
        <v>71</v>
      </c>
      <c r="AB9" s="255">
        <f>+SUM(AB7:AB8)</f>
        <v>548261931</v>
      </c>
      <c r="AC9" s="250"/>
      <c r="AD9" s="250"/>
      <c r="AE9" s="250"/>
      <c r="AF9" s="250"/>
      <c r="AG9" s="250"/>
      <c r="AH9" s="250"/>
      <c r="AI9" s="250"/>
      <c r="AJ9" s="250"/>
      <c r="AK9" s="250"/>
      <c r="AL9" s="250"/>
      <c r="AM9" s="250"/>
    </row>
    <row r="10" spans="1:39" ht="31.15" customHeight="1" x14ac:dyDescent="0.25">
      <c r="A10" s="247">
        <v>10</v>
      </c>
      <c r="B10" s="257">
        <v>26</v>
      </c>
      <c r="C10" s="258" t="s">
        <v>136</v>
      </c>
      <c r="D10" s="248" t="s">
        <v>81</v>
      </c>
      <c r="E10" s="247">
        <v>1</v>
      </c>
      <c r="F10" s="247">
        <v>0</v>
      </c>
      <c r="G10" s="247">
        <v>0</v>
      </c>
      <c r="H10" s="247">
        <v>0</v>
      </c>
      <c r="I10" s="247">
        <v>0</v>
      </c>
      <c r="J10" s="247">
        <v>0</v>
      </c>
      <c r="K10" s="247">
        <v>0</v>
      </c>
      <c r="L10" s="247">
        <v>0</v>
      </c>
      <c r="M10" s="247">
        <v>0</v>
      </c>
      <c r="N10" s="247">
        <f t="shared" si="1"/>
        <v>1</v>
      </c>
      <c r="O10" s="247">
        <v>192791293</v>
      </c>
      <c r="P10" s="247">
        <f t="shared" si="12"/>
        <v>192791293</v>
      </c>
      <c r="Q10" s="247">
        <f t="shared" si="13"/>
        <v>0</v>
      </c>
      <c r="R10" s="247">
        <f t="shared" si="14"/>
        <v>0</v>
      </c>
      <c r="S10" s="247">
        <f t="shared" si="15"/>
        <v>0</v>
      </c>
      <c r="T10" s="247">
        <f t="shared" si="16"/>
        <v>0</v>
      </c>
      <c r="U10" s="247">
        <f t="shared" si="17"/>
        <v>0</v>
      </c>
      <c r="V10" s="247">
        <f t="shared" si="18"/>
        <v>0</v>
      </c>
      <c r="W10" s="247">
        <f t="shared" si="19"/>
        <v>0</v>
      </c>
      <c r="X10" s="247">
        <f t="shared" si="20"/>
        <v>0</v>
      </c>
      <c r="Y10" s="247">
        <f t="shared" si="21"/>
        <v>192791293</v>
      </c>
      <c r="Z10" s="249"/>
      <c r="AA10" s="250"/>
      <c r="AB10" s="250"/>
      <c r="AC10" s="250"/>
      <c r="AD10" s="250"/>
      <c r="AE10" s="250"/>
      <c r="AF10" s="250"/>
      <c r="AG10" s="250"/>
      <c r="AH10" s="250"/>
      <c r="AI10" s="250"/>
      <c r="AJ10" s="250"/>
      <c r="AK10" s="250"/>
      <c r="AL10" s="250"/>
      <c r="AM10" s="250"/>
    </row>
    <row r="11" spans="1:39" ht="27" customHeight="1" x14ac:dyDescent="0.25">
      <c r="A11" s="247">
        <v>11</v>
      </c>
      <c r="B11" s="257">
        <v>27</v>
      </c>
      <c r="C11" s="258" t="s">
        <v>137</v>
      </c>
      <c r="D11" s="248" t="s">
        <v>81</v>
      </c>
      <c r="E11" s="247">
        <v>0</v>
      </c>
      <c r="F11" s="247">
        <v>1</v>
      </c>
      <c r="G11" s="247">
        <v>0</v>
      </c>
      <c r="H11" s="247">
        <v>0</v>
      </c>
      <c r="I11" s="247">
        <v>0</v>
      </c>
      <c r="J11" s="247">
        <v>0</v>
      </c>
      <c r="K11" s="247">
        <v>0</v>
      </c>
      <c r="L11" s="247">
        <v>0</v>
      </c>
      <c r="M11" s="247">
        <v>0</v>
      </c>
      <c r="N11" s="247">
        <f t="shared" si="1"/>
        <v>1</v>
      </c>
      <c r="O11" s="247">
        <v>136873800</v>
      </c>
      <c r="P11" s="247">
        <f t="shared" si="12"/>
        <v>0</v>
      </c>
      <c r="Q11" s="247">
        <f t="shared" si="13"/>
        <v>136873800</v>
      </c>
      <c r="R11" s="247">
        <f t="shared" si="14"/>
        <v>0</v>
      </c>
      <c r="S11" s="247">
        <f t="shared" si="15"/>
        <v>0</v>
      </c>
      <c r="T11" s="247">
        <f t="shared" si="16"/>
        <v>0</v>
      </c>
      <c r="U11" s="247">
        <f t="shared" si="17"/>
        <v>0</v>
      </c>
      <c r="V11" s="247">
        <f t="shared" si="18"/>
        <v>0</v>
      </c>
      <c r="W11" s="247">
        <f t="shared" si="19"/>
        <v>0</v>
      </c>
      <c r="X11" s="247">
        <f t="shared" si="20"/>
        <v>0</v>
      </c>
      <c r="Y11" s="247">
        <f t="shared" si="21"/>
        <v>136873800</v>
      </c>
      <c r="Z11" s="249"/>
      <c r="AA11" s="250"/>
      <c r="AB11" s="250"/>
      <c r="AC11" s="250"/>
      <c r="AD11" s="250"/>
      <c r="AE11" s="250"/>
      <c r="AF11" s="250"/>
      <c r="AG11" s="250"/>
      <c r="AH11" s="250"/>
      <c r="AI11" s="250"/>
      <c r="AJ11" s="250"/>
      <c r="AK11" s="250"/>
      <c r="AL11" s="250"/>
      <c r="AM11" s="250"/>
    </row>
    <row r="12" spans="1:39" ht="33.75" x14ac:dyDescent="0.25">
      <c r="A12" s="247">
        <v>12</v>
      </c>
      <c r="B12" s="257">
        <v>28</v>
      </c>
      <c r="C12" s="258" t="s">
        <v>138</v>
      </c>
      <c r="D12" s="248" t="s">
        <v>81</v>
      </c>
      <c r="E12" s="247">
        <v>0</v>
      </c>
      <c r="F12" s="247">
        <v>1</v>
      </c>
      <c r="G12" s="247">
        <v>0</v>
      </c>
      <c r="H12" s="247">
        <v>0</v>
      </c>
      <c r="I12" s="247">
        <v>0</v>
      </c>
      <c r="J12" s="247">
        <v>0</v>
      </c>
      <c r="K12" s="247">
        <v>0</v>
      </c>
      <c r="L12" s="247">
        <v>0</v>
      </c>
      <c r="M12" s="247">
        <v>0</v>
      </c>
      <c r="N12" s="247">
        <f t="shared" si="1"/>
        <v>1</v>
      </c>
      <c r="O12" s="247">
        <v>59381000</v>
      </c>
      <c r="P12" s="247">
        <f t="shared" si="12"/>
        <v>0</v>
      </c>
      <c r="Q12" s="247">
        <f t="shared" si="13"/>
        <v>59381000</v>
      </c>
      <c r="R12" s="247">
        <f t="shared" si="14"/>
        <v>0</v>
      </c>
      <c r="S12" s="247">
        <f t="shared" si="15"/>
        <v>0</v>
      </c>
      <c r="T12" s="247">
        <f t="shared" si="16"/>
        <v>0</v>
      </c>
      <c r="U12" s="247">
        <f t="shared" si="17"/>
        <v>0</v>
      </c>
      <c r="V12" s="247">
        <f t="shared" si="18"/>
        <v>0</v>
      </c>
      <c r="W12" s="247">
        <f t="shared" si="19"/>
        <v>0</v>
      </c>
      <c r="X12" s="247">
        <f t="shared" si="20"/>
        <v>0</v>
      </c>
      <c r="Y12" s="247">
        <f t="shared" si="21"/>
        <v>59381000</v>
      </c>
      <c r="Z12" s="249"/>
      <c r="AA12" s="250"/>
      <c r="AB12" s="250"/>
      <c r="AC12" s="250"/>
      <c r="AD12" s="250"/>
      <c r="AE12" s="250"/>
      <c r="AF12" s="250"/>
      <c r="AG12" s="250"/>
      <c r="AH12" s="250"/>
      <c r="AI12" s="250"/>
      <c r="AJ12" s="250"/>
      <c r="AK12" s="250"/>
      <c r="AL12" s="250"/>
      <c r="AM12" s="250"/>
    </row>
    <row r="13" spans="1:39" ht="67.5" customHeight="1" x14ac:dyDescent="0.25">
      <c r="A13" s="247">
        <v>13</v>
      </c>
      <c r="B13" s="257">
        <v>29</v>
      </c>
      <c r="C13" s="258" t="s">
        <v>139</v>
      </c>
      <c r="D13" s="248" t="s">
        <v>81</v>
      </c>
      <c r="E13" s="247">
        <v>0</v>
      </c>
      <c r="F13" s="247">
        <v>1</v>
      </c>
      <c r="G13" s="247">
        <v>0</v>
      </c>
      <c r="H13" s="247">
        <v>0</v>
      </c>
      <c r="I13" s="247">
        <v>0</v>
      </c>
      <c r="J13" s="247">
        <v>0</v>
      </c>
      <c r="K13" s="247">
        <v>0</v>
      </c>
      <c r="L13" s="247">
        <v>0</v>
      </c>
      <c r="M13" s="247">
        <v>0</v>
      </c>
      <c r="N13" s="247">
        <f t="shared" si="1"/>
        <v>1</v>
      </c>
      <c r="O13" s="247">
        <v>18292580</v>
      </c>
      <c r="P13" s="247">
        <f t="shared" si="12"/>
        <v>0</v>
      </c>
      <c r="Q13" s="247">
        <f t="shared" si="13"/>
        <v>18292580</v>
      </c>
      <c r="R13" s="247">
        <f t="shared" si="14"/>
        <v>0</v>
      </c>
      <c r="S13" s="247">
        <f t="shared" si="15"/>
        <v>0</v>
      </c>
      <c r="T13" s="247">
        <f t="shared" si="16"/>
        <v>0</v>
      </c>
      <c r="U13" s="247">
        <f t="shared" si="17"/>
        <v>0</v>
      </c>
      <c r="V13" s="247">
        <f t="shared" si="18"/>
        <v>0</v>
      </c>
      <c r="W13" s="247">
        <f t="shared" si="19"/>
        <v>0</v>
      </c>
      <c r="X13" s="247">
        <f t="shared" si="20"/>
        <v>0</v>
      </c>
      <c r="Y13" s="247">
        <f t="shared" si="21"/>
        <v>18292580</v>
      </c>
      <c r="Z13" s="249"/>
      <c r="AA13" s="250"/>
      <c r="AB13" s="250"/>
      <c r="AC13" s="250"/>
      <c r="AD13" s="250"/>
      <c r="AE13" s="250"/>
      <c r="AF13" s="250"/>
      <c r="AG13" s="250"/>
      <c r="AH13" s="250"/>
      <c r="AI13" s="250"/>
      <c r="AJ13" s="250"/>
      <c r="AK13" s="250"/>
      <c r="AL13" s="250"/>
      <c r="AM13" s="250"/>
    </row>
    <row r="14" spans="1:39" ht="14.25" customHeight="1" x14ac:dyDescent="0.25">
      <c r="A14" s="256"/>
      <c r="B14" s="412" t="s">
        <v>75</v>
      </c>
      <c r="C14" s="413"/>
      <c r="D14" s="413"/>
      <c r="E14" s="413"/>
      <c r="F14" s="413"/>
      <c r="G14" s="413"/>
      <c r="H14" s="413"/>
      <c r="I14" s="413"/>
      <c r="J14" s="413"/>
      <c r="K14" s="413"/>
      <c r="L14" s="413"/>
      <c r="M14" s="413"/>
      <c r="N14" s="413"/>
      <c r="O14" s="414"/>
      <c r="P14" s="247">
        <f t="shared" ref="P14:X14" si="22">+SUM(P5:P13)</f>
        <v>328507571</v>
      </c>
      <c r="Q14" s="247">
        <f t="shared" si="22"/>
        <v>219754360</v>
      </c>
      <c r="R14" s="247">
        <f t="shared" si="22"/>
        <v>0</v>
      </c>
      <c r="S14" s="247">
        <f t="shared" si="22"/>
        <v>0</v>
      </c>
      <c r="T14" s="247">
        <f t="shared" si="22"/>
        <v>0</v>
      </c>
      <c r="U14" s="247">
        <f t="shared" si="22"/>
        <v>0</v>
      </c>
      <c r="V14" s="247">
        <f t="shared" si="22"/>
        <v>0</v>
      </c>
      <c r="W14" s="247">
        <f t="shared" si="22"/>
        <v>0</v>
      </c>
      <c r="X14" s="247">
        <f t="shared" si="22"/>
        <v>0</v>
      </c>
      <c r="Y14" s="247">
        <f>SUM(Y5:Y13)</f>
        <v>548261931</v>
      </c>
      <c r="Z14" s="249"/>
      <c r="AA14" s="250"/>
      <c r="AB14" s="250"/>
      <c r="AF14" s="250"/>
      <c r="AG14" s="250"/>
      <c r="AH14" s="250"/>
      <c r="AI14" s="250"/>
      <c r="AJ14" s="250"/>
      <c r="AK14" s="250"/>
      <c r="AL14" s="250"/>
      <c r="AM14" s="250"/>
    </row>
    <row r="15" spans="1:39" ht="15" customHeight="1" x14ac:dyDescent="0.25"/>
    <row r="16" spans="1:39" ht="15" customHeight="1" x14ac:dyDescent="0.25">
      <c r="B16" s="444" t="s">
        <v>86</v>
      </c>
      <c r="C16" s="444"/>
      <c r="D16" s="444"/>
      <c r="E16" s="444"/>
      <c r="F16" s="444"/>
      <c r="G16" s="444"/>
      <c r="H16" s="444"/>
      <c r="I16" s="444"/>
      <c r="J16" s="444"/>
      <c r="K16" s="444"/>
      <c r="L16" s="444"/>
      <c r="M16" s="444"/>
      <c r="N16" s="444"/>
      <c r="O16" s="444"/>
      <c r="P16" s="444"/>
      <c r="Q16" s="444"/>
      <c r="R16" s="444"/>
      <c r="S16" s="444"/>
      <c r="T16" s="444"/>
      <c r="U16" s="444"/>
      <c r="V16" s="444"/>
      <c r="W16" s="444"/>
      <c r="X16" s="444"/>
      <c r="Y16" s="332"/>
      <c r="Z16" s="332"/>
      <c r="AA16" s="332"/>
      <c r="AB16" s="332" t="s">
        <v>87</v>
      </c>
      <c r="AC16" s="332" t="s">
        <v>88</v>
      </c>
      <c r="AD16" s="332" t="s">
        <v>89</v>
      </c>
    </row>
    <row r="17" spans="2:30" ht="51.75" customHeight="1" x14ac:dyDescent="0.25">
      <c r="B17" s="445" t="s">
        <v>90</v>
      </c>
      <c r="C17" s="446"/>
      <c r="D17" s="446"/>
      <c r="E17" s="446"/>
      <c r="F17" s="446"/>
      <c r="G17" s="446"/>
      <c r="H17" s="446"/>
      <c r="I17" s="446"/>
      <c r="J17" s="446"/>
      <c r="K17" s="446"/>
      <c r="L17" s="446"/>
      <c r="M17" s="446"/>
      <c r="N17" s="446"/>
      <c r="O17" s="446"/>
      <c r="P17" s="446"/>
      <c r="Q17" s="446"/>
      <c r="R17" s="446"/>
      <c r="S17" s="446"/>
      <c r="T17" s="446"/>
      <c r="U17" s="446"/>
      <c r="V17" s="446"/>
      <c r="W17" s="446"/>
      <c r="X17" s="446"/>
      <c r="Y17" s="446"/>
      <c r="Z17" s="446"/>
      <c r="AA17" s="446"/>
      <c r="AB17" s="277">
        <v>14365286</v>
      </c>
      <c r="AC17" s="277">
        <v>0</v>
      </c>
      <c r="AD17" s="277">
        <f>+AB17+AC17</f>
        <v>14365286</v>
      </c>
    </row>
    <row r="18" spans="2:30" ht="51.75" customHeight="1" x14ac:dyDescent="0.25">
      <c r="B18" s="432" t="s">
        <v>92</v>
      </c>
      <c r="C18" s="447"/>
      <c r="D18" s="447"/>
      <c r="E18" s="447"/>
      <c r="F18" s="447"/>
      <c r="G18" s="447"/>
      <c r="H18" s="447"/>
      <c r="I18" s="447"/>
      <c r="J18" s="447"/>
      <c r="K18" s="447"/>
      <c r="L18" s="447"/>
      <c r="M18" s="447"/>
      <c r="N18" s="447"/>
      <c r="O18" s="447"/>
      <c r="P18" s="447"/>
      <c r="Q18" s="447"/>
      <c r="R18" s="447"/>
      <c r="S18" s="447"/>
      <c r="T18" s="447"/>
      <c r="U18" s="447"/>
      <c r="V18" s="447"/>
      <c r="W18" s="447"/>
      <c r="X18" s="447"/>
      <c r="Y18" s="447"/>
      <c r="Z18" s="447"/>
      <c r="AA18" s="447"/>
      <c r="AB18" s="277">
        <v>29155000</v>
      </c>
      <c r="AC18" s="277">
        <v>5206980</v>
      </c>
      <c r="AD18" s="277">
        <f>+AB18+AC18</f>
        <v>34361980</v>
      </c>
    </row>
    <row r="19" spans="2:30" ht="51.75" customHeight="1" x14ac:dyDescent="0.25">
      <c r="B19" s="432" t="s">
        <v>98</v>
      </c>
      <c r="C19" s="447"/>
      <c r="D19" s="447"/>
      <c r="E19" s="447"/>
      <c r="F19" s="447"/>
      <c r="G19" s="447"/>
      <c r="H19" s="447"/>
      <c r="I19" s="447"/>
      <c r="J19" s="447"/>
      <c r="K19" s="447"/>
      <c r="L19" s="447"/>
      <c r="M19" s="447"/>
      <c r="N19" s="447"/>
      <c r="O19" s="447"/>
      <c r="P19" s="447"/>
      <c r="Q19" s="447"/>
      <c r="R19" s="447"/>
      <c r="S19" s="447"/>
      <c r="T19" s="447"/>
      <c r="U19" s="447"/>
      <c r="V19" s="447"/>
      <c r="W19" s="447"/>
      <c r="X19" s="447"/>
      <c r="Y19" s="447"/>
      <c r="Z19" s="447"/>
      <c r="AA19" s="447"/>
      <c r="AB19" s="278">
        <v>284987285</v>
      </c>
      <c r="AC19" s="278">
        <v>214547380</v>
      </c>
      <c r="AD19" s="278">
        <f>+AB19+AC19</f>
        <v>499534665</v>
      </c>
    </row>
    <row r="20" spans="2:30" ht="15" customHeight="1" x14ac:dyDescent="0.25">
      <c r="B20" s="428" t="s">
        <v>71</v>
      </c>
      <c r="C20" s="429"/>
      <c r="D20" s="429"/>
      <c r="E20" s="429"/>
      <c r="F20" s="429"/>
      <c r="G20" s="429"/>
      <c r="H20" s="429"/>
      <c r="I20" s="429"/>
      <c r="J20" s="429"/>
      <c r="K20" s="429"/>
      <c r="L20" s="429"/>
      <c r="M20" s="429"/>
      <c r="N20" s="429"/>
      <c r="O20" s="429"/>
      <c r="P20" s="429"/>
      <c r="Q20" s="429"/>
      <c r="R20" s="429"/>
      <c r="S20" s="429"/>
      <c r="T20" s="429"/>
      <c r="U20" s="429"/>
      <c r="V20" s="429"/>
      <c r="W20" s="429"/>
      <c r="X20" s="429"/>
      <c r="Y20" s="429"/>
      <c r="Z20" s="429"/>
      <c r="AA20" s="436"/>
      <c r="AB20" s="328">
        <f>+SUM(AB17:AB19)</f>
        <v>328507571</v>
      </c>
      <c r="AC20" s="328">
        <f>SUM(AC17:AC19)</f>
        <v>219754360</v>
      </c>
      <c r="AD20" s="328">
        <f>+SUM(AD17:AD19)</f>
        <v>548261931</v>
      </c>
    </row>
    <row r="21" spans="2:30" ht="15" customHeight="1" x14ac:dyDescent="0.25"/>
    <row r="22" spans="2:30" ht="15" customHeight="1" x14ac:dyDescent="0.25"/>
    <row r="23" spans="2:30" ht="15" customHeight="1" x14ac:dyDescent="0.25"/>
    <row r="24" spans="2:30" ht="15" customHeight="1" x14ac:dyDescent="0.25"/>
    <row r="25" spans="2:30" ht="15" customHeight="1" x14ac:dyDescent="0.25"/>
    <row r="26" spans="2:30" ht="15" customHeight="1" x14ac:dyDescent="0.25"/>
    <row r="27" spans="2:30" ht="15" customHeight="1" x14ac:dyDescent="0.25"/>
    <row r="28" spans="2:30" ht="15" customHeight="1" x14ac:dyDescent="0.25"/>
    <row r="29" spans="2:30" ht="15" customHeight="1" x14ac:dyDescent="0.25"/>
    <row r="30" spans="2:30" ht="15" customHeight="1" x14ac:dyDescent="0.25"/>
    <row r="31" spans="2:30" ht="15" customHeight="1" x14ac:dyDescent="0.25"/>
    <row r="32" spans="2:30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sortState ref="A6:Y13">
    <sortCondition ref="A6:A13"/>
  </sortState>
  <mergeCells count="18">
    <mergeCell ref="B20:AA20"/>
    <mergeCell ref="Y2:Y4"/>
    <mergeCell ref="B14:O14"/>
    <mergeCell ref="B1:N1"/>
    <mergeCell ref="O1:O4"/>
    <mergeCell ref="P1:Y1"/>
    <mergeCell ref="N2:N4"/>
    <mergeCell ref="P2:X3"/>
    <mergeCell ref="AA5:AB5"/>
    <mergeCell ref="B16:X16"/>
    <mergeCell ref="B17:AA17"/>
    <mergeCell ref="B18:AA18"/>
    <mergeCell ref="B19:AA19"/>
    <mergeCell ref="A2:A4"/>
    <mergeCell ref="B2:B4"/>
    <mergeCell ref="C2:C4"/>
    <mergeCell ref="D2:D4"/>
    <mergeCell ref="E2:M3"/>
  </mergeCells>
  <pageMargins left="0.7" right="0.7" top="0.75" bottom="0.75" header="0" footer="0"/>
  <pageSetup orientation="landscape" r:id="rId1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3"/>
  <sheetViews>
    <sheetView topLeftCell="C1" zoomScale="115" zoomScaleNormal="115" workbookViewId="0">
      <selection activeCell="O6" sqref="O6"/>
    </sheetView>
  </sheetViews>
  <sheetFormatPr baseColWidth="10" defaultColWidth="14.42578125" defaultRowHeight="15" customHeight="1" zeroHeight="1" x14ac:dyDescent="0.25"/>
  <cols>
    <col min="1" max="1" width="4.28515625" style="251" bestFit="1" customWidth="1"/>
    <col min="2" max="2" width="26.7109375" style="251" customWidth="1"/>
    <col min="3" max="3" width="18.42578125" style="251" customWidth="1"/>
    <col min="4" max="4" width="21.28515625" style="251" bestFit="1" customWidth="1"/>
    <col min="5" max="5" width="1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customWidth="1"/>
    <col min="30" max="30" width="39" style="251" customWidth="1"/>
    <col min="31" max="31" width="21.28515625" style="251" bestFit="1" customWidth="1"/>
    <col min="32" max="32" width="32.7109375" style="251" hidden="1" customWidth="1"/>
    <col min="33" max="35" width="11.42578125" style="251" hidden="1" customWidth="1"/>
    <col min="36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37"/>
      <c r="F1" s="437"/>
      <c r="G1" s="437"/>
      <c r="H1" s="437"/>
      <c r="I1" s="437"/>
      <c r="J1" s="437"/>
      <c r="K1" s="437"/>
      <c r="L1" s="437"/>
      <c r="M1" s="437"/>
      <c r="N1" s="419"/>
      <c r="O1" s="420" t="s">
        <v>40</v>
      </c>
      <c r="P1" s="439" t="s">
        <v>41</v>
      </c>
      <c r="Q1" s="440"/>
      <c r="R1" s="440"/>
      <c r="S1" s="440"/>
      <c r="T1" s="440"/>
      <c r="U1" s="440"/>
      <c r="V1" s="440"/>
      <c r="W1" s="440"/>
      <c r="X1" s="441"/>
      <c r="Y1" s="424"/>
      <c r="Z1" s="239"/>
      <c r="AA1" s="310" t="s">
        <v>42</v>
      </c>
      <c r="AB1" s="311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404" t="s">
        <v>48</v>
      </c>
      <c r="E2" s="434" t="s">
        <v>49</v>
      </c>
      <c r="F2" s="434"/>
      <c r="G2" s="434"/>
      <c r="H2" s="434"/>
      <c r="I2" s="434"/>
      <c r="J2" s="434"/>
      <c r="K2" s="434"/>
      <c r="L2" s="434"/>
      <c r="M2" s="434"/>
      <c r="N2" s="406" t="s">
        <v>50</v>
      </c>
      <c r="O2" s="438"/>
      <c r="P2" s="434" t="s">
        <v>51</v>
      </c>
      <c r="Q2" s="434"/>
      <c r="R2" s="434"/>
      <c r="S2" s="434"/>
      <c r="T2" s="434"/>
      <c r="U2" s="434"/>
      <c r="V2" s="434"/>
      <c r="W2" s="434"/>
      <c r="X2" s="435"/>
      <c r="Y2" s="406" t="s">
        <v>52</v>
      </c>
      <c r="Z2" s="239"/>
      <c r="AA2" s="286" t="s">
        <v>53</v>
      </c>
      <c r="AB2" s="287" t="s">
        <v>54</v>
      </c>
      <c r="AD2"/>
      <c r="AE2"/>
      <c r="AF2"/>
      <c r="AG2" s="240"/>
      <c r="AH2" s="240"/>
      <c r="AI2" s="240"/>
      <c r="AJ2" s="240"/>
      <c r="AK2" s="240"/>
      <c r="AL2" s="240"/>
      <c r="AM2" s="240"/>
    </row>
    <row r="3" spans="1:39" s="243" customFormat="1" ht="8.65" customHeight="1" x14ac:dyDescent="0.25">
      <c r="A3" s="396"/>
      <c r="B3" s="399"/>
      <c r="C3" s="399"/>
      <c r="D3" s="433"/>
      <c r="E3" s="435"/>
      <c r="F3" s="435"/>
      <c r="G3" s="435"/>
      <c r="H3" s="435"/>
      <c r="I3" s="435"/>
      <c r="J3" s="435"/>
      <c r="K3" s="435"/>
      <c r="L3" s="435"/>
      <c r="M3" s="435"/>
      <c r="N3" s="395"/>
      <c r="O3" s="438"/>
      <c r="P3" s="435"/>
      <c r="Q3" s="435"/>
      <c r="R3" s="435"/>
      <c r="S3" s="435"/>
      <c r="T3" s="435"/>
      <c r="U3" s="435"/>
      <c r="V3" s="435"/>
      <c r="W3" s="435"/>
      <c r="X3" s="435"/>
      <c r="Y3" s="395"/>
      <c r="Z3" s="239"/>
      <c r="AA3" s="252" t="str">
        <f>+P4</f>
        <v>BOGOTÁ</v>
      </c>
      <c r="AB3" s="253">
        <f>+SUM(P5:P6)</f>
        <v>14365286</v>
      </c>
      <c r="AD3"/>
      <c r="AE3"/>
      <c r="AF3"/>
      <c r="AG3" s="240"/>
      <c r="AH3" s="240"/>
      <c r="AI3" s="240"/>
      <c r="AJ3" s="240"/>
      <c r="AK3" s="240"/>
      <c r="AL3" s="240"/>
      <c r="AM3" s="240"/>
    </row>
    <row r="4" spans="1:39" s="243" customFormat="1" ht="18" x14ac:dyDescent="0.25">
      <c r="A4" s="397"/>
      <c r="B4" s="400"/>
      <c r="C4" s="400"/>
      <c r="D4" s="403"/>
      <c r="E4" s="279" t="s">
        <v>57</v>
      </c>
      <c r="F4" s="279" t="s">
        <v>18</v>
      </c>
      <c r="G4" s="279" t="s">
        <v>58</v>
      </c>
      <c r="H4" s="279" t="s">
        <v>59</v>
      </c>
      <c r="I4" s="279" t="s">
        <v>60</v>
      </c>
      <c r="J4" s="279" t="s">
        <v>61</v>
      </c>
      <c r="K4" s="279" t="s">
        <v>62</v>
      </c>
      <c r="L4" s="279" t="s">
        <v>63</v>
      </c>
      <c r="M4" s="279" t="s">
        <v>18</v>
      </c>
      <c r="N4" s="403"/>
      <c r="O4" s="400"/>
      <c r="P4" s="276" t="str">
        <f>+E4</f>
        <v>BOGOTÁ</v>
      </c>
      <c r="Q4" s="276" t="str">
        <f t="shared" ref="Q4:X4" si="0">+F4</f>
        <v>ORIENTE</v>
      </c>
      <c r="R4" s="276" t="str">
        <f t="shared" si="0"/>
        <v xml:space="preserve">CENTRAL </v>
      </c>
      <c r="S4" s="276" t="str">
        <f t="shared" si="0"/>
        <v xml:space="preserve">SUR </v>
      </c>
      <c r="T4" s="276" t="str">
        <f t="shared" si="0"/>
        <v xml:space="preserve">NORTE </v>
      </c>
      <c r="U4" s="276" t="str">
        <f t="shared" si="0"/>
        <v xml:space="preserve">OCCIDENTE </v>
      </c>
      <c r="V4" s="276" t="str">
        <f t="shared" si="0"/>
        <v xml:space="preserve">NOROCCIDENTE </v>
      </c>
      <c r="W4" s="276" t="str">
        <f t="shared" si="0"/>
        <v xml:space="preserve">SUROCCIDENTE </v>
      </c>
      <c r="X4" s="276" t="str">
        <f t="shared" si="0"/>
        <v>ORIENTE</v>
      </c>
      <c r="Y4" s="403"/>
      <c r="Z4" s="239"/>
      <c r="AA4" s="252" t="str">
        <f>+Q4</f>
        <v>ORIENTE</v>
      </c>
      <c r="AB4" s="253">
        <f>SUM(Q5:Q6)</f>
        <v>5206980</v>
      </c>
      <c r="AD4"/>
      <c r="AE4"/>
      <c r="AF4"/>
      <c r="AG4" s="240"/>
      <c r="AH4" s="240"/>
      <c r="AI4" s="240"/>
      <c r="AJ4" s="240"/>
      <c r="AK4" s="240"/>
      <c r="AL4" s="240"/>
      <c r="AM4" s="240"/>
    </row>
    <row r="5" spans="1:39" ht="16.149999999999999" customHeight="1" x14ac:dyDescent="0.25">
      <c r="A5" s="247">
        <v>4</v>
      </c>
      <c r="B5" s="257">
        <v>13</v>
      </c>
      <c r="C5" s="258" t="s">
        <v>131</v>
      </c>
      <c r="D5" s="248" t="s">
        <v>81</v>
      </c>
      <c r="E5" s="247">
        <v>2</v>
      </c>
      <c r="F5" s="247">
        <v>0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2</v>
      </c>
      <c r="O5" s="247">
        <v>7182643</v>
      </c>
      <c r="P5" s="247">
        <f t="shared" ref="P5" si="1">+E5*O5</f>
        <v>14365286</v>
      </c>
      <c r="Q5" s="247">
        <f t="shared" ref="Q5" si="2">+F5*O5</f>
        <v>0</v>
      </c>
      <c r="R5" s="247">
        <f t="shared" ref="R5" si="3">+G5*O5</f>
        <v>0</v>
      </c>
      <c r="S5" s="247">
        <f t="shared" ref="S5" si="4">+H5*O5</f>
        <v>0</v>
      </c>
      <c r="T5" s="247">
        <f t="shared" ref="T5" si="5">+I5*O5</f>
        <v>0</v>
      </c>
      <c r="U5" s="247">
        <f t="shared" ref="U5" si="6">+J5*O5</f>
        <v>0</v>
      </c>
      <c r="V5" s="247">
        <f t="shared" ref="V5" si="7">+K5*O5</f>
        <v>0</v>
      </c>
      <c r="W5" s="247">
        <f t="shared" ref="W5" si="8">+L5*O5</f>
        <v>0</v>
      </c>
      <c r="X5" s="247">
        <f t="shared" ref="X5" si="9">+M5*O5</f>
        <v>0</v>
      </c>
      <c r="Y5" s="247">
        <f t="shared" ref="Y5" si="10">+SUM(P5:X5)</f>
        <v>14365286</v>
      </c>
      <c r="Z5" s="249"/>
      <c r="AA5" s="254" t="s">
        <v>71</v>
      </c>
      <c r="AB5" s="255">
        <f>+SUM(AB3:AB4)</f>
        <v>19572266</v>
      </c>
      <c r="AC5" s="250"/>
      <c r="AD5"/>
      <c r="AE5"/>
      <c r="AF5"/>
      <c r="AG5" s="250"/>
      <c r="AH5" s="250"/>
      <c r="AI5" s="250"/>
      <c r="AJ5" s="250"/>
      <c r="AK5" s="250"/>
      <c r="AL5" s="250"/>
      <c r="AM5" s="250"/>
    </row>
    <row r="6" spans="1:39" ht="25.15" customHeight="1" x14ac:dyDescent="0.25">
      <c r="A6" s="247">
        <v>4</v>
      </c>
      <c r="B6" s="257">
        <v>14</v>
      </c>
      <c r="C6" s="258" t="s">
        <v>132</v>
      </c>
      <c r="D6" s="248" t="s">
        <v>81</v>
      </c>
      <c r="E6" s="247">
        <v>0</v>
      </c>
      <c r="F6" s="247">
        <v>2</v>
      </c>
      <c r="G6" s="247">
        <v>0</v>
      </c>
      <c r="H6" s="247">
        <v>0</v>
      </c>
      <c r="I6" s="247">
        <v>0</v>
      </c>
      <c r="J6" s="247">
        <v>0</v>
      </c>
      <c r="K6" s="247">
        <v>0</v>
      </c>
      <c r="L6" s="247">
        <v>0</v>
      </c>
      <c r="M6" s="247">
        <v>0</v>
      </c>
      <c r="N6" s="247">
        <f>+SUM(E6:F6)</f>
        <v>2</v>
      </c>
      <c r="O6" s="247">
        <v>2603490</v>
      </c>
      <c r="P6" s="247">
        <f>+E6*O6</f>
        <v>0</v>
      </c>
      <c r="Q6" s="247">
        <f>+F6*O6</f>
        <v>5206980</v>
      </c>
      <c r="R6" s="247">
        <f>+G6*O6</f>
        <v>0</v>
      </c>
      <c r="S6" s="247">
        <f>+H6*O6</f>
        <v>0</v>
      </c>
      <c r="T6" s="247">
        <f>+I6*O6</f>
        <v>0</v>
      </c>
      <c r="U6" s="247">
        <f>+J6*O6</f>
        <v>0</v>
      </c>
      <c r="V6" s="247">
        <f>+K6*O6</f>
        <v>0</v>
      </c>
      <c r="W6" s="247">
        <f>+L6*O6</f>
        <v>0</v>
      </c>
      <c r="X6" s="247">
        <f>+M6*O6</f>
        <v>0</v>
      </c>
      <c r="Y6" s="247">
        <f>+SUM(P6:X6)</f>
        <v>5206980</v>
      </c>
      <c r="Z6" s="249"/>
      <c r="AC6" s="250"/>
      <c r="AD6"/>
      <c r="AE6"/>
      <c r="AF6"/>
      <c r="AG6" s="250"/>
      <c r="AH6" s="250"/>
      <c r="AI6" s="250"/>
      <c r="AJ6" s="250"/>
      <c r="AK6" s="250"/>
      <c r="AL6" s="250"/>
      <c r="AM6" s="250"/>
    </row>
    <row r="7" spans="1:39" ht="14.25" customHeight="1" x14ac:dyDescent="0.25">
      <c r="A7" s="256"/>
      <c r="B7" s="412" t="s">
        <v>75</v>
      </c>
      <c r="C7" s="413"/>
      <c r="D7" s="413"/>
      <c r="E7" s="413"/>
      <c r="F7" s="413"/>
      <c r="G7" s="413"/>
      <c r="H7" s="413"/>
      <c r="I7" s="413"/>
      <c r="J7" s="413"/>
      <c r="K7" s="413"/>
      <c r="L7" s="413"/>
      <c r="M7" s="413"/>
      <c r="N7" s="413"/>
      <c r="O7" s="414"/>
      <c r="P7" s="247">
        <f t="shared" ref="P7:X7" si="11">+SUM(P5:P6)</f>
        <v>14365286</v>
      </c>
      <c r="Q7" s="247">
        <f t="shared" si="11"/>
        <v>5206980</v>
      </c>
      <c r="R7" s="247">
        <f t="shared" si="11"/>
        <v>0</v>
      </c>
      <c r="S7" s="247">
        <f t="shared" si="11"/>
        <v>0</v>
      </c>
      <c r="T7" s="247">
        <f t="shared" si="11"/>
        <v>0</v>
      </c>
      <c r="U7" s="247">
        <f t="shared" si="11"/>
        <v>0</v>
      </c>
      <c r="V7" s="247">
        <f t="shared" si="11"/>
        <v>0</v>
      </c>
      <c r="W7" s="247">
        <f t="shared" si="11"/>
        <v>0</v>
      </c>
      <c r="X7" s="247">
        <f t="shared" si="11"/>
        <v>0</v>
      </c>
      <c r="Y7" s="247">
        <f>SUM(Y5:Y6)</f>
        <v>19572266</v>
      </c>
      <c r="Z7" s="249"/>
      <c r="AA7" s="250"/>
      <c r="AB7" s="250"/>
      <c r="AD7"/>
      <c r="AE7"/>
      <c r="AF7"/>
      <c r="AG7" s="250"/>
      <c r="AH7" s="250"/>
      <c r="AI7" s="250"/>
      <c r="AJ7" s="250"/>
      <c r="AK7" s="250"/>
      <c r="AL7" s="250"/>
      <c r="AM7" s="250"/>
    </row>
    <row r="8" spans="1:39" ht="15" customHeight="1" x14ac:dyDescent="0.25">
      <c r="AF8" s="210" t="s">
        <v>94</v>
      </c>
      <c r="AG8" t="s">
        <v>87</v>
      </c>
      <c r="AH8" t="s">
        <v>88</v>
      </c>
    </row>
    <row r="9" spans="1:39" ht="15" customHeight="1" x14ac:dyDescent="0.25">
      <c r="B9" s="444" t="s">
        <v>86</v>
      </c>
      <c r="C9" s="444"/>
      <c r="D9" s="444"/>
      <c r="E9" s="444"/>
      <c r="F9" s="444"/>
      <c r="G9" s="444"/>
      <c r="H9" s="444"/>
      <c r="I9" s="444"/>
      <c r="J9" s="444"/>
      <c r="K9" s="444"/>
      <c r="L9" s="444"/>
      <c r="M9" s="444"/>
      <c r="N9" s="444"/>
      <c r="O9" s="444"/>
      <c r="P9" s="444"/>
      <c r="Q9" s="444"/>
      <c r="R9" s="444"/>
      <c r="S9" s="444"/>
      <c r="T9" s="444"/>
      <c r="U9" s="444"/>
      <c r="V9" s="444"/>
      <c r="W9" s="444"/>
      <c r="X9" s="444"/>
      <c r="Y9" s="444"/>
      <c r="Z9" s="444"/>
      <c r="AA9" s="444"/>
      <c r="AB9" s="332" t="s">
        <v>87</v>
      </c>
      <c r="AC9" s="332" t="s">
        <v>88</v>
      </c>
      <c r="AD9" s="332" t="s">
        <v>89</v>
      </c>
      <c r="AF9" s="312">
        <v>4</v>
      </c>
      <c r="AG9" s="8">
        <v>14365286</v>
      </c>
      <c r="AH9">
        <v>5206980</v>
      </c>
    </row>
    <row r="10" spans="1:39" ht="15" customHeight="1" x14ac:dyDescent="0.25">
      <c r="B10" s="445" t="str">
        <f>+AF10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C10" s="446"/>
      <c r="D10" s="446"/>
      <c r="E10" s="446"/>
      <c r="F10" s="446"/>
      <c r="G10" s="446"/>
      <c r="H10" s="446"/>
      <c r="I10" s="446"/>
      <c r="J10" s="446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277">
        <f>+AG10</f>
        <v>14365286</v>
      </c>
      <c r="AC10" s="277">
        <f>+AH10</f>
        <v>0</v>
      </c>
      <c r="AD10" s="277">
        <f>+AB10+AC10</f>
        <v>14365286</v>
      </c>
      <c r="AF10" s="315" t="s">
        <v>90</v>
      </c>
      <c r="AG10" s="8">
        <v>14365286</v>
      </c>
      <c r="AH10">
        <v>0</v>
      </c>
    </row>
    <row r="11" spans="1:39" ht="15" customHeight="1" x14ac:dyDescent="0.25">
      <c r="B11" s="432" t="str">
        <f>+AF11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C11" s="447"/>
      <c r="D11" s="447"/>
      <c r="E11" s="447"/>
      <c r="F11" s="447"/>
      <c r="G11" s="447"/>
      <c r="H11" s="447"/>
      <c r="I11" s="447"/>
      <c r="J11" s="447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8"/>
      <c r="AB11" s="277">
        <f>+AG11</f>
        <v>0</v>
      </c>
      <c r="AC11" s="277">
        <f>+AH11</f>
        <v>5206980</v>
      </c>
      <c r="AD11" s="278">
        <f>+AB11+AC11</f>
        <v>5206980</v>
      </c>
      <c r="AF11" s="315" t="s">
        <v>98</v>
      </c>
      <c r="AG11" s="8">
        <v>0</v>
      </c>
      <c r="AH11">
        <v>5206980</v>
      </c>
    </row>
    <row r="12" spans="1:39" ht="15" customHeight="1" x14ac:dyDescent="0.25">
      <c r="B12" s="428" t="s">
        <v>71</v>
      </c>
      <c r="C12" s="429"/>
      <c r="D12" s="429"/>
      <c r="E12" s="429"/>
      <c r="F12" s="429"/>
      <c r="G12" s="429"/>
      <c r="H12" s="429"/>
      <c r="I12" s="429"/>
      <c r="J12" s="42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36"/>
      <c r="AB12" s="328">
        <f>+SUM(AB10:AB11)</f>
        <v>14365286</v>
      </c>
      <c r="AC12" s="328">
        <f>SUM(AC10:AC11)</f>
        <v>5206980</v>
      </c>
      <c r="AD12" s="328">
        <f>+SUM(AD10:AD11)</f>
        <v>19572266</v>
      </c>
      <c r="AF12" s="312" t="s">
        <v>95</v>
      </c>
      <c r="AG12" s="8">
        <v>14365286</v>
      </c>
      <c r="AH12">
        <v>5206980</v>
      </c>
    </row>
    <row r="13" spans="1:39" ht="15" customHeight="1" x14ac:dyDescent="0.25">
      <c r="AD13" s="251" t="b">
        <f>+AD12=AB5</f>
        <v>1</v>
      </c>
    </row>
    <row r="14" spans="1:39" ht="15" customHeight="1" x14ac:dyDescent="0.25"/>
    <row r="15" spans="1:39" ht="15" customHeight="1" x14ac:dyDescent="0.25"/>
    <row r="16" spans="1:39" ht="15" customHeight="1" x14ac:dyDescent="0.25"/>
    <row r="17" ht="15" customHeight="1" x14ac:dyDescent="0.25"/>
    <row r="18" ht="15" customHeight="1" x14ac:dyDescent="0.25"/>
    <row r="19" ht="15" customHeight="1" x14ac:dyDescent="0.25"/>
    <row r="20" ht="258.60000000000002" customHeight="1" x14ac:dyDescent="0.25"/>
    <row r="21" ht="258.60000000000002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16">
    <mergeCell ref="B11:AA11"/>
    <mergeCell ref="B12:AA12"/>
    <mergeCell ref="Y2:Y4"/>
    <mergeCell ref="B7:O7"/>
    <mergeCell ref="B10:AA10"/>
    <mergeCell ref="B9:AA9"/>
    <mergeCell ref="B1:N1"/>
    <mergeCell ref="O1:O4"/>
    <mergeCell ref="P1:Y1"/>
    <mergeCell ref="A2:A4"/>
    <mergeCell ref="B2:B4"/>
    <mergeCell ref="C2:C4"/>
    <mergeCell ref="D2:D4"/>
    <mergeCell ref="E2:M3"/>
    <mergeCell ref="N2:N4"/>
    <mergeCell ref="P2:X3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13"/>
  <sheetViews>
    <sheetView topLeftCell="D4" zoomScale="130" zoomScaleNormal="130" workbookViewId="0">
      <selection activeCell="Z8" sqref="Z8:Z9"/>
    </sheetView>
  </sheetViews>
  <sheetFormatPr baseColWidth="10" defaultColWidth="14.42578125" defaultRowHeight="0" customHeight="1" zeroHeight="1" x14ac:dyDescent="0.25"/>
  <cols>
    <col min="1" max="1" width="4.28515625" style="270" bestFit="1" customWidth="1"/>
    <col min="2" max="2" width="5" style="270" bestFit="1" customWidth="1"/>
    <col min="3" max="3" width="26.7109375" style="270" customWidth="1"/>
    <col min="4" max="4" width="16.7109375" style="270" customWidth="1"/>
    <col min="5" max="6" width="11.5703125" style="270" customWidth="1"/>
    <col min="7" max="13" width="11.5703125" style="270" hidden="1" customWidth="1"/>
    <col min="14" max="14" width="11.5703125" style="270" customWidth="1"/>
    <col min="15" max="15" width="14.28515625" style="270" customWidth="1"/>
    <col min="16" max="17" width="13" style="270" customWidth="1"/>
    <col min="18" max="23" width="13" style="270" hidden="1" customWidth="1"/>
    <col min="24" max="24" width="15.7109375" style="270" hidden="1" customWidth="1"/>
    <col min="25" max="25" width="14.7109375" style="270" customWidth="1"/>
    <col min="26" max="27" width="11.42578125" style="270" customWidth="1"/>
    <col min="28" max="28" width="17" style="270" customWidth="1"/>
    <col min="29" max="29" width="12.7109375" style="270" customWidth="1"/>
    <col min="30" max="30" width="16.28515625" style="270" customWidth="1"/>
    <col min="31" max="31" width="24.28515625" style="270" customWidth="1"/>
    <col min="32" max="32" width="92.28515625" style="270" hidden="1" customWidth="1"/>
    <col min="33" max="33" width="22.28515625" style="270" hidden="1" customWidth="1"/>
    <col min="34" max="34" width="26" style="322" hidden="1" customWidth="1"/>
    <col min="35" max="38" width="11.42578125" style="270" customWidth="1"/>
    <col min="39" max="16384" width="14.42578125" style="270"/>
  </cols>
  <sheetData>
    <row r="1" spans="1:38" s="262" customFormat="1" ht="8.25" x14ac:dyDescent="0.25">
      <c r="A1" s="259"/>
      <c r="B1" s="476" t="s">
        <v>39</v>
      </c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8"/>
      <c r="O1" s="460" t="s">
        <v>40</v>
      </c>
      <c r="P1" s="463" t="s">
        <v>41</v>
      </c>
      <c r="Q1" s="464"/>
      <c r="R1" s="464"/>
      <c r="S1" s="464"/>
      <c r="T1" s="464"/>
      <c r="U1" s="464"/>
      <c r="V1" s="464"/>
      <c r="W1" s="464"/>
      <c r="X1" s="465"/>
      <c r="Y1" s="466"/>
      <c r="Z1" s="260"/>
      <c r="AA1" s="473" t="s">
        <v>42</v>
      </c>
      <c r="AB1" s="474"/>
      <c r="AE1" s="261"/>
      <c r="AF1" s="261"/>
      <c r="AG1" s="261"/>
      <c r="AH1" s="319"/>
      <c r="AI1" s="261"/>
      <c r="AJ1" s="261"/>
      <c r="AK1" s="261"/>
      <c r="AL1" s="261"/>
    </row>
    <row r="2" spans="1:38" s="262" customFormat="1" ht="7.9" customHeight="1" x14ac:dyDescent="0.25">
      <c r="A2" s="479" t="s">
        <v>45</v>
      </c>
      <c r="B2" s="452" t="s">
        <v>46</v>
      </c>
      <c r="C2" s="482" t="s">
        <v>47</v>
      </c>
      <c r="D2" s="452" t="s">
        <v>48</v>
      </c>
      <c r="E2" s="467" t="s">
        <v>49</v>
      </c>
      <c r="F2" s="468"/>
      <c r="G2" s="468"/>
      <c r="H2" s="468"/>
      <c r="I2" s="468"/>
      <c r="J2" s="468"/>
      <c r="K2" s="468"/>
      <c r="L2" s="468"/>
      <c r="M2" s="483"/>
      <c r="N2" s="452" t="s">
        <v>50</v>
      </c>
      <c r="O2" s="461"/>
      <c r="P2" s="467" t="s">
        <v>51</v>
      </c>
      <c r="Q2" s="468"/>
      <c r="R2" s="468"/>
      <c r="S2" s="468"/>
      <c r="T2" s="468"/>
      <c r="U2" s="468"/>
      <c r="V2" s="468"/>
      <c r="W2" s="468"/>
      <c r="X2" s="469"/>
      <c r="Y2" s="452" t="s">
        <v>52</v>
      </c>
      <c r="Z2" s="260"/>
      <c r="AA2" s="288" t="s">
        <v>53</v>
      </c>
      <c r="AB2" s="289" t="s">
        <v>54</v>
      </c>
      <c r="AE2" s="261"/>
      <c r="AF2" s="261"/>
      <c r="AG2" s="261"/>
      <c r="AH2" s="319"/>
      <c r="AI2" s="261"/>
      <c r="AJ2" s="261"/>
      <c r="AK2" s="261"/>
      <c r="AL2" s="261"/>
    </row>
    <row r="3" spans="1:38" s="262" customFormat="1" ht="13.9" customHeight="1" x14ac:dyDescent="0.25">
      <c r="A3" s="480"/>
      <c r="B3" s="461"/>
      <c r="C3" s="461"/>
      <c r="D3" s="453"/>
      <c r="E3" s="470"/>
      <c r="F3" s="471"/>
      <c r="G3" s="471"/>
      <c r="H3" s="471"/>
      <c r="I3" s="471"/>
      <c r="J3" s="471"/>
      <c r="K3" s="471"/>
      <c r="L3" s="471"/>
      <c r="M3" s="472"/>
      <c r="N3" s="453"/>
      <c r="O3" s="461"/>
      <c r="P3" s="470"/>
      <c r="Q3" s="471"/>
      <c r="R3" s="471"/>
      <c r="S3" s="471"/>
      <c r="T3" s="471"/>
      <c r="U3" s="471"/>
      <c r="V3" s="471"/>
      <c r="W3" s="471"/>
      <c r="X3" s="472"/>
      <c r="Y3" s="453"/>
      <c r="Z3" s="260"/>
      <c r="AA3" s="271" t="str">
        <f>+P4</f>
        <v>BOGOTÁ</v>
      </c>
      <c r="AB3" s="265">
        <f>+P9</f>
        <v>228239620</v>
      </c>
      <c r="AE3" s="261"/>
      <c r="AF3" s="261"/>
      <c r="AG3" s="261"/>
      <c r="AH3" s="319"/>
      <c r="AI3" s="261"/>
      <c r="AJ3" s="261"/>
      <c r="AK3" s="261"/>
      <c r="AL3" s="261"/>
    </row>
    <row r="4" spans="1:38" s="262" customFormat="1" ht="18" x14ac:dyDescent="0.25">
      <c r="A4" s="481"/>
      <c r="B4" s="462"/>
      <c r="C4" s="462"/>
      <c r="D4" s="454"/>
      <c r="E4" s="263" t="s">
        <v>57</v>
      </c>
      <c r="F4" s="263" t="s">
        <v>18</v>
      </c>
      <c r="G4" s="263" t="s">
        <v>58</v>
      </c>
      <c r="H4" s="263" t="s">
        <v>59</v>
      </c>
      <c r="I4" s="263" t="s">
        <v>60</v>
      </c>
      <c r="J4" s="263" t="s">
        <v>61</v>
      </c>
      <c r="K4" s="263" t="s">
        <v>62</v>
      </c>
      <c r="L4" s="263" t="s">
        <v>63</v>
      </c>
      <c r="M4" s="263" t="s">
        <v>64</v>
      </c>
      <c r="N4" s="454"/>
      <c r="O4" s="462"/>
      <c r="P4" s="264" t="str">
        <f>+E4</f>
        <v>BOGOTÁ</v>
      </c>
      <c r="Q4" s="264" t="str">
        <f t="shared" ref="Q4:X4" si="0">+F4</f>
        <v>ORIENTE</v>
      </c>
      <c r="R4" s="264" t="str">
        <f t="shared" si="0"/>
        <v xml:space="preserve">CENTRAL </v>
      </c>
      <c r="S4" s="264" t="str">
        <f t="shared" si="0"/>
        <v xml:space="preserve">SUR </v>
      </c>
      <c r="T4" s="264" t="str">
        <f t="shared" si="0"/>
        <v xml:space="preserve">NORTE </v>
      </c>
      <c r="U4" s="264" t="str">
        <f t="shared" si="0"/>
        <v xml:space="preserve">OCCIDENTE </v>
      </c>
      <c r="V4" s="264" t="str">
        <f t="shared" si="0"/>
        <v xml:space="preserve">NOROCCIDENTE </v>
      </c>
      <c r="W4" s="264" t="str">
        <f t="shared" si="0"/>
        <v xml:space="preserve">SUROCCIDENTE </v>
      </c>
      <c r="X4" s="264" t="str">
        <f t="shared" si="0"/>
        <v xml:space="preserve">NORORIENTE </v>
      </c>
      <c r="Y4" s="454"/>
      <c r="Z4" s="260"/>
      <c r="AA4" s="271" t="str">
        <f>++Q4</f>
        <v>ORIENTE</v>
      </c>
      <c r="AB4" s="265">
        <f>+Q9</f>
        <v>311013811</v>
      </c>
      <c r="AE4" s="261"/>
      <c r="AF4" s="261"/>
      <c r="AG4" s="261"/>
      <c r="AH4" s="319"/>
      <c r="AI4" s="261"/>
      <c r="AJ4" s="261"/>
      <c r="AK4" s="261"/>
      <c r="AL4" s="261"/>
    </row>
    <row r="5" spans="1:38" ht="22.5" x14ac:dyDescent="0.25">
      <c r="A5" s="266">
        <f>+'[1]INGRESO DE DATOS '!A4</f>
        <v>5</v>
      </c>
      <c r="B5" s="266">
        <v>15</v>
      </c>
      <c r="C5" s="267" t="s">
        <v>140</v>
      </c>
      <c r="D5" s="267" t="s">
        <v>81</v>
      </c>
      <c r="E5" s="266">
        <v>2</v>
      </c>
      <c r="F5" s="266">
        <v>0</v>
      </c>
      <c r="G5" s="266">
        <v>0</v>
      </c>
      <c r="H5" s="266">
        <v>0</v>
      </c>
      <c r="I5" s="266">
        <v>0</v>
      </c>
      <c r="J5" s="266">
        <v>0</v>
      </c>
      <c r="K5" s="266">
        <v>0</v>
      </c>
      <c r="L5" s="266">
        <v>0</v>
      </c>
      <c r="M5" s="266">
        <v>0</v>
      </c>
      <c r="N5" s="266">
        <f>+E5+F5</f>
        <v>2</v>
      </c>
      <c r="O5" s="266">
        <v>114119810</v>
      </c>
      <c r="P5" s="266">
        <f t="shared" ref="P5:P8" si="1">+E5*O5</f>
        <v>228239620</v>
      </c>
      <c r="Q5" s="266">
        <f t="shared" ref="Q5:Q8" si="2">+F5*O5</f>
        <v>0</v>
      </c>
      <c r="R5" s="266">
        <f t="shared" ref="R5:R8" si="3">+G5*O5</f>
        <v>0</v>
      </c>
      <c r="S5" s="266">
        <f t="shared" ref="S5:S8" si="4">+H5*O5</f>
        <v>0</v>
      </c>
      <c r="T5" s="266">
        <f t="shared" ref="T5:T8" si="5">+I5*O5</f>
        <v>0</v>
      </c>
      <c r="U5" s="266">
        <f t="shared" ref="U5:U8" si="6">+J5*O5</f>
        <v>0</v>
      </c>
      <c r="V5" s="266">
        <f t="shared" ref="V5:V8" si="7">+K5*O5</f>
        <v>0</v>
      </c>
      <c r="W5" s="266">
        <f t="shared" ref="W5:W8" si="8">+L5*O5</f>
        <v>0</v>
      </c>
      <c r="X5" s="266">
        <f t="shared" ref="X5:X8" si="9">+M5*O5</f>
        <v>0</v>
      </c>
      <c r="Y5" s="266">
        <f t="shared" ref="Y5:Y8" si="10">+SUM(P5:X5)</f>
        <v>228239620</v>
      </c>
      <c r="Z5" s="268"/>
      <c r="AA5" s="272" t="s">
        <v>71</v>
      </c>
      <c r="AB5" s="273">
        <f>+SUM(AB3:AB4)</f>
        <v>539253431</v>
      </c>
      <c r="AC5" s="269"/>
      <c r="AD5" s="269"/>
      <c r="AE5" s="269"/>
      <c r="AF5" s="269"/>
      <c r="AG5" s="269"/>
      <c r="AH5" s="320"/>
      <c r="AI5" s="269"/>
      <c r="AJ5" s="269"/>
      <c r="AK5" s="269"/>
      <c r="AL5" s="269"/>
    </row>
    <row r="6" spans="1:38" ht="11.25" x14ac:dyDescent="0.25">
      <c r="A6" s="266">
        <f>+'[1]INGRESO DE DATOS '!A5</f>
        <v>5</v>
      </c>
      <c r="B6" s="266">
        <v>16</v>
      </c>
      <c r="C6" s="267" t="s">
        <v>141</v>
      </c>
      <c r="D6" s="267" t="s">
        <v>81</v>
      </c>
      <c r="E6" s="266">
        <v>0</v>
      </c>
      <c r="F6" s="266">
        <v>1</v>
      </c>
      <c r="G6" s="266">
        <v>0</v>
      </c>
      <c r="H6" s="266">
        <v>0</v>
      </c>
      <c r="I6" s="266">
        <v>0</v>
      </c>
      <c r="J6" s="266">
        <v>0</v>
      </c>
      <c r="K6" s="266">
        <v>0</v>
      </c>
      <c r="L6" s="266">
        <v>0</v>
      </c>
      <c r="M6" s="266">
        <v>0</v>
      </c>
      <c r="N6" s="266">
        <f t="shared" ref="N6:N8" si="11">+E6+F6</f>
        <v>1</v>
      </c>
      <c r="O6" s="266">
        <v>73211033</v>
      </c>
      <c r="P6" s="266">
        <f t="shared" si="1"/>
        <v>0</v>
      </c>
      <c r="Q6" s="266">
        <f t="shared" si="2"/>
        <v>73211033</v>
      </c>
      <c r="R6" s="266">
        <f t="shared" si="3"/>
        <v>0</v>
      </c>
      <c r="S6" s="266">
        <f t="shared" si="4"/>
        <v>0</v>
      </c>
      <c r="T6" s="266">
        <f t="shared" si="5"/>
        <v>0</v>
      </c>
      <c r="U6" s="266">
        <f t="shared" si="6"/>
        <v>0</v>
      </c>
      <c r="V6" s="266">
        <f t="shared" si="7"/>
        <v>0</v>
      </c>
      <c r="W6" s="266">
        <f t="shared" si="8"/>
        <v>0</v>
      </c>
      <c r="X6" s="266">
        <f t="shared" si="9"/>
        <v>0</v>
      </c>
      <c r="Y6" s="266">
        <f t="shared" si="10"/>
        <v>73211033</v>
      </c>
      <c r="Z6" s="268"/>
      <c r="AC6" s="269"/>
      <c r="AD6" s="269"/>
      <c r="AE6" s="269"/>
      <c r="AF6" s="269"/>
      <c r="AG6" s="269"/>
      <c r="AH6" s="320"/>
      <c r="AI6" s="269"/>
      <c r="AJ6" s="269"/>
      <c r="AK6" s="269"/>
      <c r="AL6" s="269"/>
    </row>
    <row r="7" spans="1:38" ht="11.25" x14ac:dyDescent="0.25">
      <c r="A7" s="266">
        <f>+'[1]INGRESO DE DATOS '!A6</f>
        <v>5</v>
      </c>
      <c r="B7" s="266">
        <v>17</v>
      </c>
      <c r="C7" s="267" t="s">
        <v>142</v>
      </c>
      <c r="D7" s="267" t="s">
        <v>81</v>
      </c>
      <c r="E7" s="266">
        <v>0</v>
      </c>
      <c r="F7" s="266">
        <v>2</v>
      </c>
      <c r="G7" s="266">
        <v>0</v>
      </c>
      <c r="H7" s="266">
        <v>0</v>
      </c>
      <c r="I7" s="266">
        <v>0</v>
      </c>
      <c r="J7" s="266">
        <v>0</v>
      </c>
      <c r="K7" s="266">
        <v>0</v>
      </c>
      <c r="L7" s="266">
        <v>0</v>
      </c>
      <c r="M7" s="266">
        <v>0</v>
      </c>
      <c r="N7" s="266">
        <f t="shared" si="11"/>
        <v>2</v>
      </c>
      <c r="O7" s="266">
        <v>111426840</v>
      </c>
      <c r="P7" s="266">
        <f t="shared" si="1"/>
        <v>0</v>
      </c>
      <c r="Q7" s="266">
        <f t="shared" si="2"/>
        <v>222853680</v>
      </c>
      <c r="R7" s="266">
        <f t="shared" si="3"/>
        <v>0</v>
      </c>
      <c r="S7" s="266">
        <f t="shared" si="4"/>
        <v>0</v>
      </c>
      <c r="T7" s="266">
        <f t="shared" si="5"/>
        <v>0</v>
      </c>
      <c r="U7" s="266">
        <f t="shared" si="6"/>
        <v>0</v>
      </c>
      <c r="V7" s="266">
        <f t="shared" si="7"/>
        <v>0</v>
      </c>
      <c r="W7" s="266">
        <f t="shared" si="8"/>
        <v>0</v>
      </c>
      <c r="X7" s="266">
        <f t="shared" si="9"/>
        <v>0</v>
      </c>
      <c r="Y7" s="266">
        <f t="shared" si="10"/>
        <v>222853680</v>
      </c>
      <c r="Z7" s="268"/>
      <c r="AC7" s="269"/>
      <c r="AD7" s="269"/>
      <c r="AE7" s="269"/>
      <c r="AF7" s="269"/>
      <c r="AG7" s="269"/>
      <c r="AH7" s="320"/>
      <c r="AI7" s="269"/>
      <c r="AJ7" s="269"/>
      <c r="AK7" s="269"/>
      <c r="AL7" s="269"/>
    </row>
    <row r="8" spans="1:38" ht="22.5" x14ac:dyDescent="0.25">
      <c r="A8" s="266">
        <f>+'[1]INGRESO DE DATOS '!A7</f>
        <v>5</v>
      </c>
      <c r="B8" s="266">
        <v>18</v>
      </c>
      <c r="C8" s="267" t="s">
        <v>143</v>
      </c>
      <c r="D8" s="267" t="s">
        <v>81</v>
      </c>
      <c r="E8" s="266">
        <v>0</v>
      </c>
      <c r="F8" s="266">
        <v>2</v>
      </c>
      <c r="G8" s="266">
        <v>0</v>
      </c>
      <c r="H8" s="266">
        <v>0</v>
      </c>
      <c r="I8" s="266">
        <v>0</v>
      </c>
      <c r="J8" s="266">
        <v>0</v>
      </c>
      <c r="K8" s="266">
        <v>0</v>
      </c>
      <c r="L8" s="266">
        <v>0</v>
      </c>
      <c r="M8" s="266">
        <v>0</v>
      </c>
      <c r="N8" s="266">
        <f t="shared" si="11"/>
        <v>2</v>
      </c>
      <c r="O8" s="266">
        <v>7474549</v>
      </c>
      <c r="P8" s="266">
        <f t="shared" si="1"/>
        <v>0</v>
      </c>
      <c r="Q8" s="266">
        <f t="shared" si="2"/>
        <v>14949098</v>
      </c>
      <c r="R8" s="266">
        <f t="shared" si="3"/>
        <v>0</v>
      </c>
      <c r="S8" s="266">
        <f t="shared" si="4"/>
        <v>0</v>
      </c>
      <c r="T8" s="266">
        <f t="shared" si="5"/>
        <v>0</v>
      </c>
      <c r="U8" s="266">
        <f t="shared" si="6"/>
        <v>0</v>
      </c>
      <c r="V8" s="266">
        <f t="shared" si="7"/>
        <v>0</v>
      </c>
      <c r="W8" s="266">
        <f t="shared" si="8"/>
        <v>0</v>
      </c>
      <c r="X8" s="266">
        <f t="shared" si="9"/>
        <v>0</v>
      </c>
      <c r="Y8" s="266">
        <f t="shared" si="10"/>
        <v>14949098</v>
      </c>
      <c r="Z8" s="455"/>
      <c r="AC8" s="269"/>
      <c r="AD8" s="269"/>
      <c r="AE8" s="269"/>
      <c r="AF8" s="269"/>
      <c r="AG8" s="269"/>
      <c r="AH8" s="320"/>
      <c r="AI8" s="269"/>
      <c r="AJ8" s="269"/>
      <c r="AK8" s="269"/>
      <c r="AL8" s="269"/>
    </row>
    <row r="9" spans="1:38" ht="11.25" x14ac:dyDescent="0.25">
      <c r="A9" s="274"/>
      <c r="B9" s="457" t="s">
        <v>75</v>
      </c>
      <c r="C9" s="458"/>
      <c r="D9" s="458"/>
      <c r="E9" s="458"/>
      <c r="F9" s="458"/>
      <c r="G9" s="458"/>
      <c r="H9" s="458"/>
      <c r="I9" s="458"/>
      <c r="J9" s="458"/>
      <c r="K9" s="458"/>
      <c r="L9" s="458"/>
      <c r="M9" s="458"/>
      <c r="N9" s="458"/>
      <c r="O9" s="459"/>
      <c r="P9" s="266">
        <f t="shared" ref="P9:X9" si="12">+SUM(P5:P8)</f>
        <v>228239620</v>
      </c>
      <c r="Q9" s="266">
        <f t="shared" si="12"/>
        <v>311013811</v>
      </c>
      <c r="R9" s="266">
        <f t="shared" si="12"/>
        <v>0</v>
      </c>
      <c r="S9" s="266">
        <f t="shared" si="12"/>
        <v>0</v>
      </c>
      <c r="T9" s="266">
        <f t="shared" si="12"/>
        <v>0</v>
      </c>
      <c r="U9" s="266">
        <f t="shared" si="12"/>
        <v>0</v>
      </c>
      <c r="V9" s="266">
        <f t="shared" si="12"/>
        <v>0</v>
      </c>
      <c r="W9" s="266">
        <f t="shared" si="12"/>
        <v>0</v>
      </c>
      <c r="X9" s="266">
        <f t="shared" si="12"/>
        <v>0</v>
      </c>
      <c r="Y9" s="266">
        <f>SUM(Y5:Y8)</f>
        <v>539253431</v>
      </c>
      <c r="Z9" s="456"/>
      <c r="AA9" s="269"/>
      <c r="AB9" s="269"/>
      <c r="AC9" s="269"/>
      <c r="AD9" s="269"/>
      <c r="AE9" s="269"/>
      <c r="AF9" s="269"/>
      <c r="AG9" s="269"/>
      <c r="AH9" s="320"/>
      <c r="AI9" s="269"/>
      <c r="AJ9" s="269"/>
      <c r="AK9" s="269"/>
      <c r="AL9" s="269"/>
    </row>
    <row r="10" spans="1:38" ht="14.25" customHeight="1" x14ac:dyDescent="0.25">
      <c r="Z10" s="268"/>
      <c r="AA10" s="274"/>
      <c r="AB10" s="274"/>
      <c r="AC10" s="269"/>
      <c r="AD10" s="269"/>
      <c r="AE10" s="269"/>
      <c r="AF10" s="210" t="s">
        <v>94</v>
      </c>
      <c r="AG10" t="s">
        <v>87</v>
      </c>
      <c r="AH10" s="121" t="s">
        <v>88</v>
      </c>
      <c r="AI10" s="269"/>
      <c r="AJ10" s="269"/>
    </row>
    <row r="11" spans="1:38" ht="15" x14ac:dyDescent="0.25">
      <c r="B11" s="444" t="s">
        <v>86</v>
      </c>
      <c r="C11" s="444"/>
      <c r="D11" s="444"/>
      <c r="E11" s="444"/>
      <c r="F11" s="444"/>
      <c r="G11" s="444"/>
      <c r="H11" s="444"/>
      <c r="I11" s="444"/>
      <c r="J11" s="444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332" t="s">
        <v>87</v>
      </c>
      <c r="AC11" s="332" t="s">
        <v>88</v>
      </c>
      <c r="AD11" s="332" t="s">
        <v>89</v>
      </c>
      <c r="AF11" s="312">
        <v>5</v>
      </c>
      <c r="AG11" s="8">
        <v>228239620</v>
      </c>
      <c r="AH11" s="121">
        <v>311013811</v>
      </c>
    </row>
    <row r="12" spans="1:38" ht="15" customHeight="1" x14ac:dyDescent="0.25">
      <c r="B12" s="410" t="str">
        <f>+AF24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C12" s="410"/>
      <c r="D12" s="410"/>
      <c r="E12" s="410"/>
      <c r="F12" s="410"/>
      <c r="G12" s="410"/>
      <c r="H12" s="410"/>
      <c r="I12" s="410"/>
      <c r="J12" s="410"/>
      <c r="K12" s="410"/>
      <c r="L12" s="410"/>
      <c r="M12" s="410"/>
      <c r="N12" s="410"/>
      <c r="O12" s="410"/>
      <c r="P12" s="410"/>
      <c r="Q12" s="410"/>
      <c r="R12" s="410"/>
      <c r="S12" s="410"/>
      <c r="T12" s="410"/>
      <c r="U12" s="410"/>
      <c r="V12" s="410"/>
      <c r="W12" s="410"/>
      <c r="X12" s="410"/>
      <c r="Y12" s="410"/>
      <c r="Z12" s="410"/>
      <c r="AA12" s="410"/>
      <c r="AB12" s="323">
        <f t="shared" ref="AB12:AC15" si="13">+AG24</f>
        <v>0</v>
      </c>
      <c r="AC12" s="275">
        <f t="shared" si="13"/>
        <v>14949098</v>
      </c>
      <c r="AD12" s="323">
        <f>+AB12+AC12</f>
        <v>14949098</v>
      </c>
      <c r="AF12" s="315" t="s">
        <v>90</v>
      </c>
      <c r="AG12" s="217">
        <v>0</v>
      </c>
      <c r="AH12" s="321">
        <v>14949098</v>
      </c>
    </row>
    <row r="13" spans="1:38" ht="15" customHeight="1" x14ac:dyDescent="0.25">
      <c r="B13" s="475" t="str">
        <f>+AF25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C13" s="475"/>
      <c r="D13" s="475"/>
      <c r="E13" s="475"/>
      <c r="F13" s="475"/>
      <c r="G13" s="475"/>
      <c r="H13" s="475"/>
      <c r="I13" s="475"/>
      <c r="J13" s="475"/>
      <c r="K13" s="475"/>
      <c r="L13" s="475"/>
      <c r="M13" s="475"/>
      <c r="N13" s="475"/>
      <c r="O13" s="475"/>
      <c r="P13" s="475"/>
      <c r="Q13" s="475"/>
      <c r="R13" s="475"/>
      <c r="S13" s="475"/>
      <c r="T13" s="475"/>
      <c r="U13" s="475"/>
      <c r="V13" s="475"/>
      <c r="W13" s="475"/>
      <c r="X13" s="475"/>
      <c r="Y13" s="475"/>
      <c r="Z13" s="475"/>
      <c r="AA13" s="475"/>
      <c r="AB13" s="323">
        <f t="shared" si="13"/>
        <v>0</v>
      </c>
      <c r="AC13" s="334">
        <f t="shared" si="13"/>
        <v>216627055</v>
      </c>
      <c r="AD13" s="323">
        <f t="shared" ref="AD13:AD15" si="14">+AB13+AC13</f>
        <v>216627055</v>
      </c>
      <c r="AE13" s="270">
        <f>AD13-AC13</f>
        <v>0</v>
      </c>
      <c r="AF13" s="315" t="s">
        <v>92</v>
      </c>
      <c r="AG13" s="217">
        <v>0</v>
      </c>
      <c r="AH13" s="321">
        <v>216627055</v>
      </c>
    </row>
    <row r="14" spans="1:38" ht="15" customHeight="1" x14ac:dyDescent="0.25">
      <c r="B14" s="410" t="str">
        <f>+AF26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C14" s="410"/>
      <c r="D14" s="410"/>
      <c r="E14" s="410"/>
      <c r="F14" s="410"/>
      <c r="G14" s="410"/>
      <c r="H14" s="410"/>
      <c r="I14" s="410"/>
      <c r="J14" s="410"/>
      <c r="K14" s="410"/>
      <c r="L14" s="410"/>
      <c r="M14" s="410"/>
      <c r="N14" s="410"/>
      <c r="O14" s="410"/>
      <c r="P14" s="410"/>
      <c r="Q14" s="410"/>
      <c r="R14" s="410"/>
      <c r="S14" s="410"/>
      <c r="T14" s="410"/>
      <c r="U14" s="410"/>
      <c r="V14" s="410"/>
      <c r="W14" s="410"/>
      <c r="X14" s="410"/>
      <c r="Y14" s="410"/>
      <c r="Z14" s="410"/>
      <c r="AA14" s="410"/>
      <c r="AB14" s="323">
        <f t="shared" si="13"/>
        <v>0</v>
      </c>
      <c r="AC14" s="275">
        <f t="shared" si="13"/>
        <v>73211033</v>
      </c>
      <c r="AD14" s="323">
        <f t="shared" si="14"/>
        <v>73211033</v>
      </c>
      <c r="AF14" s="315" t="s">
        <v>93</v>
      </c>
      <c r="AG14" s="217">
        <v>0</v>
      </c>
      <c r="AH14" s="321">
        <v>73211033</v>
      </c>
    </row>
    <row r="15" spans="1:38" ht="15" customHeight="1" x14ac:dyDescent="0.25">
      <c r="B15" s="410" t="str">
        <f>+AF27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C15" s="410"/>
      <c r="D15" s="410"/>
      <c r="E15" s="410"/>
      <c r="F15" s="410"/>
      <c r="G15" s="410"/>
      <c r="H15" s="410"/>
      <c r="I15" s="410"/>
      <c r="J15" s="410"/>
      <c r="K15" s="410"/>
      <c r="L15" s="410"/>
      <c r="M15" s="410"/>
      <c r="N15" s="410"/>
      <c r="O15" s="410"/>
      <c r="P15" s="410"/>
      <c r="Q15" s="410"/>
      <c r="R15" s="410"/>
      <c r="S15" s="410"/>
      <c r="T15" s="410"/>
      <c r="U15" s="410"/>
      <c r="V15" s="410"/>
      <c r="W15" s="410"/>
      <c r="X15" s="410"/>
      <c r="Y15" s="410"/>
      <c r="Z15" s="410"/>
      <c r="AA15" s="410"/>
      <c r="AB15" s="335">
        <f t="shared" si="13"/>
        <v>228239620</v>
      </c>
      <c r="AC15" s="336">
        <f t="shared" si="13"/>
        <v>6226625</v>
      </c>
      <c r="AD15" s="323">
        <f t="shared" si="14"/>
        <v>234466245</v>
      </c>
      <c r="AE15" s="337">
        <f>AB15+AC15</f>
        <v>234466245</v>
      </c>
      <c r="AF15" s="315" t="s">
        <v>98</v>
      </c>
      <c r="AG15" s="217">
        <v>228239620</v>
      </c>
      <c r="AH15" s="321">
        <v>6226625</v>
      </c>
    </row>
    <row r="16" spans="1:38" ht="15" customHeight="1" x14ac:dyDescent="0.25">
      <c r="B16" s="449" t="s">
        <v>71</v>
      </c>
      <c r="C16" s="450"/>
      <c r="D16" s="450"/>
      <c r="E16" s="450"/>
      <c r="F16" s="450"/>
      <c r="G16" s="450"/>
      <c r="H16" s="450"/>
      <c r="I16" s="450"/>
      <c r="J16" s="450"/>
      <c r="K16" s="450"/>
      <c r="L16" s="450"/>
      <c r="M16" s="450"/>
      <c r="N16" s="450"/>
      <c r="O16" s="450"/>
      <c r="P16" s="450"/>
      <c r="Q16" s="450"/>
      <c r="R16" s="450"/>
      <c r="S16" s="450"/>
      <c r="T16" s="450"/>
      <c r="U16" s="450"/>
      <c r="V16" s="450"/>
      <c r="W16" s="450"/>
      <c r="X16" s="450"/>
      <c r="Y16" s="450"/>
      <c r="Z16" s="450"/>
      <c r="AA16" s="451"/>
      <c r="AB16" s="290">
        <f t="shared" ref="AB16:AC16" si="15">+SUM(AB12:AB15)</f>
        <v>228239620</v>
      </c>
      <c r="AC16" s="290">
        <f t="shared" si="15"/>
        <v>311013811</v>
      </c>
      <c r="AD16" s="290">
        <f>+SUM(AD12:AD15)</f>
        <v>539253431</v>
      </c>
      <c r="AE16" s="270" t="b">
        <f>+AD16=AB5</f>
        <v>1</v>
      </c>
      <c r="AF16" s="312" t="s">
        <v>95</v>
      </c>
      <c r="AG16" s="8">
        <v>228239620</v>
      </c>
      <c r="AH16" s="121">
        <v>311013811</v>
      </c>
    </row>
    <row r="17" spans="29:34" ht="15" customHeight="1" x14ac:dyDescent="0.25"/>
    <row r="18" spans="29:34" ht="15" customHeight="1" x14ac:dyDescent="0.25"/>
    <row r="19" spans="29:34" ht="15" customHeight="1" x14ac:dyDescent="0.25"/>
    <row r="20" spans="29:34" ht="15" customHeight="1" x14ac:dyDescent="0.25"/>
    <row r="21" spans="29:34" ht="15" hidden="1" customHeight="1" x14ac:dyDescent="0.25"/>
    <row r="22" spans="29:34" ht="15" hidden="1" customHeight="1" x14ac:dyDescent="0.25">
      <c r="AF22" s="210" t="s">
        <v>94</v>
      </c>
      <c r="AG22" t="s">
        <v>87</v>
      </c>
      <c r="AH22" s="121" t="s">
        <v>88</v>
      </c>
    </row>
    <row r="23" spans="29:34" ht="15" hidden="1" customHeight="1" x14ac:dyDescent="0.25">
      <c r="AF23" s="312">
        <v>5</v>
      </c>
      <c r="AG23" s="8">
        <v>228239620</v>
      </c>
      <c r="AH23" s="121">
        <v>311013811</v>
      </c>
    </row>
    <row r="24" spans="29:34" s="318" customFormat="1" ht="15" hidden="1" customHeight="1" x14ac:dyDescent="0.25">
      <c r="AC24" s="318" t="b">
        <f>+B12=AF24</f>
        <v>1</v>
      </c>
      <c r="AF24" s="315" t="s">
        <v>90</v>
      </c>
      <c r="AG24" s="217">
        <v>0</v>
      </c>
      <c r="AH24" s="321">
        <v>14949098</v>
      </c>
    </row>
    <row r="25" spans="29:34" s="318" customFormat="1" ht="15" hidden="1" customHeight="1" x14ac:dyDescent="0.25">
      <c r="AC25" s="318" t="b">
        <f>+B13=AF25</f>
        <v>1</v>
      </c>
      <c r="AF25" s="315" t="s">
        <v>92</v>
      </c>
      <c r="AG25" s="217">
        <v>0</v>
      </c>
      <c r="AH25" s="321">
        <v>216627055</v>
      </c>
    </row>
    <row r="26" spans="29:34" s="318" customFormat="1" ht="15" hidden="1" customHeight="1" x14ac:dyDescent="0.25">
      <c r="AC26" s="318" t="b">
        <f>+B14=AF26</f>
        <v>1</v>
      </c>
      <c r="AF26" s="315" t="s">
        <v>93</v>
      </c>
      <c r="AG26" s="217">
        <v>0</v>
      </c>
      <c r="AH26" s="321">
        <v>73211033</v>
      </c>
    </row>
    <row r="27" spans="29:34" s="318" customFormat="1" ht="15" hidden="1" customHeight="1" x14ac:dyDescent="0.25">
      <c r="AC27" s="318" t="b">
        <f>+B15=AF27</f>
        <v>1</v>
      </c>
      <c r="AF27" s="315" t="s">
        <v>98</v>
      </c>
      <c r="AG27" s="217">
        <v>228239620</v>
      </c>
      <c r="AH27" s="321">
        <v>6226625</v>
      </c>
    </row>
    <row r="28" spans="29:34" ht="15" hidden="1" customHeight="1" x14ac:dyDescent="0.25">
      <c r="AF28" s="312" t="s">
        <v>95</v>
      </c>
      <c r="AG28" s="8">
        <v>228239620</v>
      </c>
      <c r="AH28" s="121">
        <v>311013811</v>
      </c>
    </row>
    <row r="29" spans="29:34" ht="15" customHeight="1" x14ac:dyDescent="0.25">
      <c r="AD29" s="270">
        <f>AD12+AD13+AD14+AD15</f>
        <v>539253431</v>
      </c>
    </row>
    <row r="30" spans="29:34" ht="15" customHeight="1" x14ac:dyDescent="0.25"/>
    <row r="31" spans="29:34" ht="15" customHeight="1" x14ac:dyDescent="0.25"/>
    <row r="32" spans="29:34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20">
    <mergeCell ref="A2:A4"/>
    <mergeCell ref="B2:B4"/>
    <mergeCell ref="C2:C4"/>
    <mergeCell ref="D2:D4"/>
    <mergeCell ref="E2:M3"/>
    <mergeCell ref="B16:AA16"/>
    <mergeCell ref="B15:AA15"/>
    <mergeCell ref="Y2:Y4"/>
    <mergeCell ref="Z8:Z9"/>
    <mergeCell ref="B9:O9"/>
    <mergeCell ref="O1:O4"/>
    <mergeCell ref="P1:Y1"/>
    <mergeCell ref="N2:N4"/>
    <mergeCell ref="P2:X3"/>
    <mergeCell ref="AA1:AB1"/>
    <mergeCell ref="B12:AA12"/>
    <mergeCell ref="B13:AA13"/>
    <mergeCell ref="B14:AA14"/>
    <mergeCell ref="B1:N1"/>
    <mergeCell ref="B11:AA11"/>
  </mergeCells>
  <pageMargins left="0.7" right="0.7" top="0.75" bottom="0.75" header="0" footer="0"/>
  <pageSetup orientation="landscape" r:id="rId3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8"/>
  <sheetViews>
    <sheetView topLeftCell="C1" zoomScale="115" zoomScaleNormal="115" workbookViewId="0">
      <selection activeCell="Y5" sqref="Y5"/>
    </sheetView>
  </sheetViews>
  <sheetFormatPr baseColWidth="10" defaultColWidth="14.42578125" defaultRowHeight="15" customHeight="1" x14ac:dyDescent="0.25"/>
  <cols>
    <col min="1" max="1" width="5.5703125" style="251" customWidth="1"/>
    <col min="2" max="2" width="5" style="251" bestFit="1" customWidth="1"/>
    <col min="3" max="3" width="30.7109375" style="251" customWidth="1"/>
    <col min="4" max="4" width="11.85546875" style="251" customWidth="1"/>
    <col min="5" max="6" width="11.5703125" style="251" customWidth="1"/>
    <col min="7" max="13" width="11.5703125" style="251" hidden="1" customWidth="1"/>
    <col min="14" max="14" width="11.5703125" style="251" customWidth="1"/>
    <col min="15" max="15" width="14.28515625" style="251" customWidth="1"/>
    <col min="16" max="17" width="13" style="251" customWidth="1"/>
    <col min="18" max="23" width="13" style="251" hidden="1" customWidth="1"/>
    <col min="24" max="24" width="15.7109375" style="251" hidden="1" customWidth="1"/>
    <col min="25" max="25" width="14.7109375" style="251" customWidth="1"/>
    <col min="26" max="27" width="11.42578125" style="251" customWidth="1"/>
    <col min="28" max="28" width="16.42578125" style="251" customWidth="1"/>
    <col min="29" max="29" width="14.28515625" style="251" customWidth="1"/>
    <col min="30" max="30" width="17.7109375" style="251" customWidth="1"/>
    <col min="31" max="32" width="11.42578125" style="251" customWidth="1"/>
    <col min="33" max="33" width="255.7109375" style="251" bestFit="1" customWidth="1"/>
    <col min="34" max="34" width="20.5703125" style="251" bestFit="1" customWidth="1"/>
    <col min="35" max="35" width="24.28515625" style="251" bestFit="1" customWidth="1"/>
    <col min="36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18"/>
      <c r="F1" s="418"/>
      <c r="G1" s="418"/>
      <c r="H1" s="418"/>
      <c r="I1" s="418"/>
      <c r="J1" s="418"/>
      <c r="K1" s="418"/>
      <c r="L1" s="418"/>
      <c r="M1" s="418"/>
      <c r="N1" s="419"/>
      <c r="O1" s="420" t="s">
        <v>40</v>
      </c>
      <c r="P1" s="421" t="s">
        <v>41</v>
      </c>
      <c r="Q1" s="422"/>
      <c r="R1" s="422"/>
      <c r="S1" s="422"/>
      <c r="T1" s="422"/>
      <c r="U1" s="422"/>
      <c r="V1" s="422"/>
      <c r="W1" s="422"/>
      <c r="X1" s="423"/>
      <c r="Y1" s="424"/>
      <c r="Z1" s="239"/>
      <c r="AA1" s="240"/>
      <c r="AB1" s="241"/>
      <c r="AC1" s="242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398" t="s">
        <v>48</v>
      </c>
      <c r="E2" s="404" t="s">
        <v>49</v>
      </c>
      <c r="F2" s="405"/>
      <c r="G2" s="405"/>
      <c r="H2" s="405"/>
      <c r="I2" s="405"/>
      <c r="J2" s="405"/>
      <c r="K2" s="405"/>
      <c r="L2" s="405"/>
      <c r="M2" s="406"/>
      <c r="N2" s="398" t="s">
        <v>50</v>
      </c>
      <c r="O2" s="399"/>
      <c r="P2" s="404" t="s">
        <v>51</v>
      </c>
      <c r="Q2" s="405"/>
      <c r="R2" s="405"/>
      <c r="S2" s="405"/>
      <c r="T2" s="405"/>
      <c r="U2" s="405"/>
      <c r="V2" s="405"/>
      <c r="W2" s="405"/>
      <c r="X2" s="425"/>
      <c r="Y2" s="398" t="s">
        <v>52</v>
      </c>
      <c r="Z2" s="239"/>
      <c r="AA2" s="244"/>
      <c r="AB2" s="240"/>
      <c r="AC2" s="244"/>
      <c r="AF2" s="240"/>
      <c r="AG2" s="240"/>
      <c r="AH2" s="240"/>
      <c r="AI2" s="240"/>
      <c r="AJ2" s="240"/>
      <c r="AK2" s="240"/>
      <c r="AL2" s="240"/>
      <c r="AM2" s="240"/>
    </row>
    <row r="3" spans="1:39" s="243" customFormat="1" ht="13.9" customHeight="1" x14ac:dyDescent="0.25">
      <c r="A3" s="396"/>
      <c r="B3" s="399"/>
      <c r="C3" s="399"/>
      <c r="D3" s="402"/>
      <c r="E3" s="407"/>
      <c r="F3" s="408"/>
      <c r="G3" s="408"/>
      <c r="H3" s="408"/>
      <c r="I3" s="408"/>
      <c r="J3" s="408"/>
      <c r="K3" s="408"/>
      <c r="L3" s="408"/>
      <c r="M3" s="409"/>
      <c r="N3" s="402"/>
      <c r="O3" s="399"/>
      <c r="P3" s="407"/>
      <c r="Q3" s="408"/>
      <c r="R3" s="408"/>
      <c r="S3" s="408"/>
      <c r="T3" s="408"/>
      <c r="U3" s="408"/>
      <c r="V3" s="408"/>
      <c r="W3" s="408"/>
      <c r="X3" s="409"/>
      <c r="Y3" s="402"/>
      <c r="Z3" s="239"/>
      <c r="AA3" s="240"/>
      <c r="AB3" s="415" t="s">
        <v>42</v>
      </c>
      <c r="AC3" s="416"/>
      <c r="AF3" s="240"/>
      <c r="AG3" s="240"/>
      <c r="AH3" s="240"/>
      <c r="AI3" s="240"/>
      <c r="AJ3" s="240"/>
      <c r="AK3" s="240"/>
      <c r="AL3" s="240"/>
      <c r="AM3" s="240"/>
    </row>
    <row r="4" spans="1:39" s="243" customFormat="1" ht="18" x14ac:dyDescent="0.25">
      <c r="A4" s="397"/>
      <c r="B4" s="400"/>
      <c r="C4" s="400"/>
      <c r="D4" s="403"/>
      <c r="E4" s="245" t="s">
        <v>57</v>
      </c>
      <c r="F4" s="245" t="s">
        <v>18</v>
      </c>
      <c r="G4" s="245" t="s">
        <v>58</v>
      </c>
      <c r="H4" s="245" t="s">
        <v>59</v>
      </c>
      <c r="I4" s="245" t="s">
        <v>60</v>
      </c>
      <c r="J4" s="245" t="s">
        <v>61</v>
      </c>
      <c r="K4" s="245" t="s">
        <v>62</v>
      </c>
      <c r="L4" s="245" t="s">
        <v>63</v>
      </c>
      <c r="M4" s="245" t="s">
        <v>64</v>
      </c>
      <c r="N4" s="403"/>
      <c r="O4" s="400"/>
      <c r="P4" s="246" t="str">
        <f>+E4</f>
        <v>BOGOTÁ</v>
      </c>
      <c r="Q4" s="246" t="str">
        <f t="shared" ref="Q4:X4" si="0">+F4</f>
        <v>ORIENTE</v>
      </c>
      <c r="R4" s="246" t="str">
        <f t="shared" si="0"/>
        <v xml:space="preserve">CENTRAL </v>
      </c>
      <c r="S4" s="246" t="str">
        <f t="shared" si="0"/>
        <v xml:space="preserve">SUR </v>
      </c>
      <c r="T4" s="246" t="str">
        <f t="shared" si="0"/>
        <v xml:space="preserve">NORTE </v>
      </c>
      <c r="U4" s="246" t="str">
        <f t="shared" si="0"/>
        <v xml:space="preserve">OCCIDENTE </v>
      </c>
      <c r="V4" s="246" t="str">
        <f t="shared" si="0"/>
        <v xml:space="preserve">NOROCCIDENTE </v>
      </c>
      <c r="W4" s="246" t="str">
        <f t="shared" si="0"/>
        <v xml:space="preserve">SUROCCIDENTE </v>
      </c>
      <c r="X4" s="246" t="str">
        <f t="shared" si="0"/>
        <v xml:space="preserve">NORORIENTE </v>
      </c>
      <c r="Y4" s="403"/>
      <c r="Z4" s="239"/>
      <c r="AA4" s="240"/>
      <c r="AB4" s="286" t="s">
        <v>53</v>
      </c>
      <c r="AC4" s="287" t="s">
        <v>54</v>
      </c>
      <c r="AF4" s="240"/>
      <c r="AG4" s="240"/>
      <c r="AH4" s="240"/>
      <c r="AI4" s="240"/>
      <c r="AJ4" s="240"/>
      <c r="AK4" s="240"/>
      <c r="AL4" s="240"/>
      <c r="AM4" s="240"/>
    </row>
    <row r="5" spans="1:39" ht="23.45" customHeight="1" x14ac:dyDescent="0.25">
      <c r="A5" s="247">
        <v>6</v>
      </c>
      <c r="B5" s="247">
        <v>19</v>
      </c>
      <c r="C5" s="248" t="s">
        <v>144</v>
      </c>
      <c r="D5" s="248" t="s">
        <v>81</v>
      </c>
      <c r="E5" s="247">
        <v>1</v>
      </c>
      <c r="F5" s="247">
        <v>0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1</v>
      </c>
      <c r="O5" s="247">
        <v>19359943</v>
      </c>
      <c r="P5" s="247">
        <f>+E5*O5</f>
        <v>19359943</v>
      </c>
      <c r="Q5" s="247">
        <f t="shared" ref="Q5:Q6" si="1">+F5*O5</f>
        <v>0</v>
      </c>
      <c r="R5" s="247">
        <f t="shared" ref="R5:R6" si="2">+G5*O5</f>
        <v>0</v>
      </c>
      <c r="S5" s="247">
        <f t="shared" ref="S5:S6" si="3">+H5*O5</f>
        <v>0</v>
      </c>
      <c r="T5" s="247">
        <f t="shared" ref="T5:T6" si="4">+I5*O5</f>
        <v>0</v>
      </c>
      <c r="U5" s="247">
        <f t="shared" ref="U5:U6" si="5">+J5*O5</f>
        <v>0</v>
      </c>
      <c r="V5" s="247">
        <f t="shared" ref="V5:V6" si="6">+K5*O5</f>
        <v>0</v>
      </c>
      <c r="W5" s="247">
        <f t="shared" ref="W5:W6" si="7">+L5*O5</f>
        <v>0</v>
      </c>
      <c r="X5" s="247">
        <f t="shared" ref="X5:X6" si="8">+M5*O5</f>
        <v>0</v>
      </c>
      <c r="Y5" s="247">
        <f t="shared" ref="Y5:Y6" si="9">+SUM(P5:X5)</f>
        <v>19359943</v>
      </c>
      <c r="Z5" s="249"/>
      <c r="AA5" s="250"/>
      <c r="AB5" s="252" t="str">
        <f>+P4</f>
        <v>BOGOTÁ</v>
      </c>
      <c r="AC5" s="253">
        <f>+SUM(P5:P6)</f>
        <v>34833145</v>
      </c>
      <c r="AD5" s="250"/>
      <c r="AE5" s="250"/>
      <c r="AF5" s="250"/>
      <c r="AG5" s="250"/>
      <c r="AH5" s="250"/>
      <c r="AI5" s="250"/>
      <c r="AJ5" s="250"/>
      <c r="AK5" s="250"/>
      <c r="AL5" s="250"/>
      <c r="AM5" s="250"/>
    </row>
    <row r="6" spans="1:39" ht="25.15" customHeight="1" x14ac:dyDescent="0.25">
      <c r="A6" s="247">
        <v>6</v>
      </c>
      <c r="B6" s="247">
        <v>20</v>
      </c>
      <c r="C6" s="248" t="s">
        <v>145</v>
      </c>
      <c r="D6" s="248" t="s">
        <v>81</v>
      </c>
      <c r="E6" s="247">
        <v>1</v>
      </c>
      <c r="F6" s="247">
        <v>0</v>
      </c>
      <c r="G6" s="247">
        <v>0</v>
      </c>
      <c r="H6" s="247">
        <v>0</v>
      </c>
      <c r="I6" s="247">
        <v>0</v>
      </c>
      <c r="J6" s="247">
        <v>0</v>
      </c>
      <c r="K6" s="247">
        <v>0</v>
      </c>
      <c r="L6" s="247">
        <v>0</v>
      </c>
      <c r="M6" s="247">
        <v>0</v>
      </c>
      <c r="N6" s="247">
        <f>+SUM(E6:F6)</f>
        <v>1</v>
      </c>
      <c r="O6" s="247">
        <v>15473202</v>
      </c>
      <c r="P6" s="247">
        <f t="shared" ref="P6" si="10">+E6*O6</f>
        <v>15473202</v>
      </c>
      <c r="Q6" s="247">
        <f t="shared" si="1"/>
        <v>0</v>
      </c>
      <c r="R6" s="247">
        <f t="shared" si="2"/>
        <v>0</v>
      </c>
      <c r="S6" s="247">
        <f t="shared" si="3"/>
        <v>0</v>
      </c>
      <c r="T6" s="247">
        <f t="shared" si="4"/>
        <v>0</v>
      </c>
      <c r="U6" s="247">
        <f t="shared" si="5"/>
        <v>0</v>
      </c>
      <c r="V6" s="247">
        <f t="shared" si="6"/>
        <v>0</v>
      </c>
      <c r="W6" s="247">
        <f t="shared" si="7"/>
        <v>0</v>
      </c>
      <c r="X6" s="247">
        <f t="shared" si="8"/>
        <v>0</v>
      </c>
      <c r="Y6" s="247">
        <f t="shared" si="9"/>
        <v>15473202</v>
      </c>
      <c r="Z6" s="249"/>
      <c r="AA6" s="250"/>
      <c r="AB6" s="252" t="str">
        <f>+Q4</f>
        <v>ORIENTE</v>
      </c>
      <c r="AC6" s="253">
        <f>SUM(Q5:Q6)</f>
        <v>0</v>
      </c>
      <c r="AD6" s="250"/>
      <c r="AE6" s="250"/>
      <c r="AF6" s="250"/>
      <c r="AG6" s="250"/>
      <c r="AH6" s="250"/>
      <c r="AI6" s="250"/>
      <c r="AJ6" s="250"/>
      <c r="AK6" s="250"/>
      <c r="AL6" s="250"/>
      <c r="AM6" s="250"/>
    </row>
    <row r="7" spans="1:39" ht="14.25" customHeight="1" x14ac:dyDescent="0.25">
      <c r="A7" s="256"/>
      <c r="B7" s="412" t="s">
        <v>75</v>
      </c>
      <c r="C7" s="413"/>
      <c r="D7" s="413"/>
      <c r="E7" s="413"/>
      <c r="F7" s="413"/>
      <c r="G7" s="413"/>
      <c r="H7" s="413"/>
      <c r="I7" s="413"/>
      <c r="J7" s="413"/>
      <c r="K7" s="413"/>
      <c r="L7" s="413"/>
      <c r="M7" s="413"/>
      <c r="N7" s="413"/>
      <c r="O7" s="414"/>
      <c r="P7" s="247">
        <f t="shared" ref="P7:X7" si="11">+SUM(P5:P6)</f>
        <v>34833145</v>
      </c>
      <c r="Q7" s="247">
        <f t="shared" si="11"/>
        <v>0</v>
      </c>
      <c r="R7" s="247">
        <f t="shared" si="11"/>
        <v>0</v>
      </c>
      <c r="S7" s="247">
        <f t="shared" si="11"/>
        <v>0</v>
      </c>
      <c r="T7" s="247">
        <f t="shared" si="11"/>
        <v>0</v>
      </c>
      <c r="U7" s="247">
        <f t="shared" si="11"/>
        <v>0</v>
      </c>
      <c r="V7" s="247">
        <f t="shared" si="11"/>
        <v>0</v>
      </c>
      <c r="W7" s="247">
        <f t="shared" si="11"/>
        <v>0</v>
      </c>
      <c r="X7" s="247">
        <f t="shared" si="11"/>
        <v>0</v>
      </c>
      <c r="Y7" s="247">
        <f>SUM(Y5:Y6)</f>
        <v>34833145</v>
      </c>
      <c r="Z7" s="249"/>
      <c r="AA7" s="250"/>
      <c r="AB7" s="254" t="s">
        <v>71</v>
      </c>
      <c r="AC7" s="255">
        <f>+SUM(AC5:AC6)</f>
        <v>34833145</v>
      </c>
      <c r="AF7" s="250"/>
      <c r="AG7" s="250"/>
      <c r="AH7" s="250"/>
      <c r="AI7" s="250"/>
      <c r="AJ7" s="250"/>
      <c r="AK7" s="250"/>
      <c r="AL7" s="250"/>
      <c r="AM7" s="250"/>
    </row>
    <row r="9" spans="1:39" ht="15" customHeight="1" x14ac:dyDescent="0.25">
      <c r="AD9" s="251" t="b">
        <f>+AC7=AD12</f>
        <v>1</v>
      </c>
    </row>
    <row r="10" spans="1:39" ht="15" customHeight="1" x14ac:dyDescent="0.25">
      <c r="B10" s="444" t="s">
        <v>86</v>
      </c>
      <c r="C10" s="444"/>
      <c r="D10" s="444"/>
      <c r="E10" s="444"/>
      <c r="F10" s="444"/>
      <c r="G10" s="444"/>
      <c r="H10" s="444"/>
      <c r="I10" s="444"/>
      <c r="J10" s="444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332" t="s">
        <v>87</v>
      </c>
      <c r="AC10" s="332" t="s">
        <v>88</v>
      </c>
      <c r="AD10" s="332" t="s">
        <v>89</v>
      </c>
    </row>
    <row r="11" spans="1:39" ht="50.25" customHeight="1" x14ac:dyDescent="0.25">
      <c r="B11" s="410" t="str">
        <f>+AG16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C11" s="410"/>
      <c r="D11" s="410"/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0"/>
      <c r="P11" s="410"/>
      <c r="Q11" s="410"/>
      <c r="R11" s="410"/>
      <c r="S11" s="410"/>
      <c r="T11" s="410"/>
      <c r="U11" s="410"/>
      <c r="V11" s="410"/>
      <c r="W11" s="410"/>
      <c r="X11" s="410"/>
      <c r="Y11" s="410"/>
      <c r="Z11" s="410"/>
      <c r="AA11" s="445"/>
      <c r="AB11" s="277">
        <f>+AH15</f>
        <v>34833145</v>
      </c>
      <c r="AC11" s="277">
        <f>+AI15</f>
        <v>0</v>
      </c>
      <c r="AD11" s="277">
        <f>+AB11+AC11</f>
        <v>34833145</v>
      </c>
    </row>
    <row r="12" spans="1:39" ht="15" customHeight="1" x14ac:dyDescent="0.25">
      <c r="B12" s="428" t="s">
        <v>71</v>
      </c>
      <c r="C12" s="429"/>
      <c r="D12" s="429"/>
      <c r="E12" s="429"/>
      <c r="F12" s="429"/>
      <c r="G12" s="429"/>
      <c r="H12" s="429"/>
      <c r="I12" s="429"/>
      <c r="J12" s="42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29"/>
      <c r="AB12" s="328">
        <f>+AB11</f>
        <v>34833145</v>
      </c>
      <c r="AC12" s="328">
        <f t="shared" ref="AC12:AD12" si="12">+AC11</f>
        <v>0</v>
      </c>
      <c r="AD12" s="328">
        <f t="shared" si="12"/>
        <v>34833145</v>
      </c>
    </row>
    <row r="14" spans="1:39" ht="15" customHeight="1" x14ac:dyDescent="0.25">
      <c r="AG14" s="210" t="s">
        <v>94</v>
      </c>
      <c r="AH14" t="s">
        <v>87</v>
      </c>
      <c r="AI14" t="s">
        <v>88</v>
      </c>
    </row>
    <row r="15" spans="1:39" ht="15" customHeight="1" x14ac:dyDescent="0.25">
      <c r="AG15" s="312">
        <v>6</v>
      </c>
      <c r="AH15" s="8">
        <v>34833145</v>
      </c>
      <c r="AI15">
        <v>0</v>
      </c>
    </row>
    <row r="16" spans="1:39" ht="15" customHeight="1" x14ac:dyDescent="0.25">
      <c r="AE16" s="251" t="b">
        <f>+B11=AG16</f>
        <v>1</v>
      </c>
      <c r="AG16" s="315" t="s">
        <v>91</v>
      </c>
      <c r="AH16" s="8">
        <v>34833145</v>
      </c>
      <c r="AI16">
        <v>0</v>
      </c>
    </row>
    <row r="17" spans="33:35" ht="15" customHeight="1" x14ac:dyDescent="0.25">
      <c r="AG17" s="312" t="s">
        <v>95</v>
      </c>
      <c r="AH17" s="8">
        <v>34833145</v>
      </c>
      <c r="AI17">
        <v>0</v>
      </c>
    </row>
    <row r="18" spans="33:35" ht="15" customHeight="1" x14ac:dyDescent="0.25">
      <c r="AG18"/>
      <c r="AH18"/>
      <c r="AI18"/>
    </row>
  </sheetData>
  <mergeCells count="16">
    <mergeCell ref="AB3:AC3"/>
    <mergeCell ref="B1:N1"/>
    <mergeCell ref="O1:O4"/>
    <mergeCell ref="P1:Y1"/>
    <mergeCell ref="N2:N4"/>
    <mergeCell ref="P2:X3"/>
    <mergeCell ref="B11:AA11"/>
    <mergeCell ref="B12:AA12"/>
    <mergeCell ref="A2:A4"/>
    <mergeCell ref="B2:B4"/>
    <mergeCell ref="C2:C4"/>
    <mergeCell ref="D2:D4"/>
    <mergeCell ref="E2:M3"/>
    <mergeCell ref="Y2:Y4"/>
    <mergeCell ref="B7:O7"/>
    <mergeCell ref="B10:AA10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5"/>
  <sheetViews>
    <sheetView view="pageBreakPreview" topLeftCell="A18" zoomScaleNormal="100" zoomScaleSheetLayoutView="100" zoomScalePageLayoutView="145" workbookViewId="0">
      <selection activeCell="B23" sqref="B23"/>
    </sheetView>
  </sheetViews>
  <sheetFormatPr baseColWidth="10" defaultColWidth="11.42578125" defaultRowHeight="15" x14ac:dyDescent="0.25"/>
  <cols>
    <col min="1" max="5" width="13.28515625" style="123" customWidth="1"/>
    <col min="6" max="6" width="8" style="125" customWidth="1"/>
    <col min="7" max="7" width="17" style="123" customWidth="1"/>
    <col min="8" max="8" width="12.7109375" style="125" customWidth="1"/>
    <col min="9" max="9" width="4.28515625" style="125" customWidth="1"/>
    <col min="10" max="10" width="56" style="123" customWidth="1"/>
    <col min="11" max="11" width="20.42578125" style="121" bestFit="1" customWidth="1"/>
    <col min="12" max="12" width="19.28515625" style="48" customWidth="1"/>
    <col min="13" max="13" width="22.7109375" style="125" customWidth="1"/>
    <col min="14" max="16384" width="11.42578125" style="125"/>
  </cols>
  <sheetData>
    <row r="1" spans="1:21" ht="18" x14ac:dyDescent="0.25">
      <c r="B1" s="484" t="s">
        <v>0</v>
      </c>
      <c r="C1" s="485"/>
      <c r="D1" s="485"/>
      <c r="E1" s="485"/>
      <c r="F1" s="485"/>
      <c r="G1" s="485"/>
      <c r="H1" s="485"/>
      <c r="I1" s="485"/>
      <c r="J1" s="485"/>
      <c r="K1" s="486"/>
    </row>
    <row r="2" spans="1:21" x14ac:dyDescent="0.25">
      <c r="B2" s="126"/>
      <c r="C2" s="127"/>
      <c r="D2" s="127"/>
      <c r="E2" s="127"/>
      <c r="F2" s="127"/>
      <c r="G2" s="127"/>
      <c r="H2" s="127"/>
      <c r="I2" s="127"/>
      <c r="J2" s="127" t="s">
        <v>8</v>
      </c>
      <c r="K2" s="222" t="s">
        <v>9</v>
      </c>
      <c r="M2" s="125" t="s">
        <v>10</v>
      </c>
      <c r="O2" s="125" t="s">
        <v>11</v>
      </c>
      <c r="Q2" s="125" t="s">
        <v>12</v>
      </c>
      <c r="S2" s="125" t="s">
        <v>13</v>
      </c>
      <c r="U2" s="125" t="s">
        <v>14</v>
      </c>
    </row>
    <row r="3" spans="1:21" x14ac:dyDescent="0.25">
      <c r="B3" s="129"/>
      <c r="C3" s="130"/>
      <c r="D3" s="130"/>
      <c r="E3" s="130"/>
      <c r="F3" s="130"/>
      <c r="G3" s="130"/>
      <c r="H3" s="130"/>
      <c r="I3" s="130"/>
      <c r="J3" s="131" t="s">
        <v>15</v>
      </c>
      <c r="K3" s="223">
        <v>114155647000</v>
      </c>
      <c r="L3" s="48" t="s">
        <v>16</v>
      </c>
      <c r="M3" s="125" t="s">
        <v>17</v>
      </c>
      <c r="N3" s="125" t="s">
        <v>18</v>
      </c>
      <c r="O3" s="125" t="s">
        <v>17</v>
      </c>
      <c r="P3" s="125" t="s">
        <v>19</v>
      </c>
      <c r="Q3" s="125" t="s">
        <v>17</v>
      </c>
      <c r="R3" s="125" t="s">
        <v>19</v>
      </c>
      <c r="S3" s="125" t="s">
        <v>20</v>
      </c>
      <c r="T3" s="125" t="s">
        <v>18</v>
      </c>
      <c r="U3" s="125" t="s">
        <v>17</v>
      </c>
    </row>
    <row r="4" spans="1:21" x14ac:dyDescent="0.25">
      <c r="B4" s="129"/>
      <c r="C4" s="130"/>
      <c r="D4" s="130"/>
      <c r="E4" s="130"/>
      <c r="F4" s="130"/>
      <c r="G4" s="133"/>
      <c r="H4" s="133"/>
      <c r="I4" s="130"/>
      <c r="J4" s="131" t="s">
        <v>146</v>
      </c>
      <c r="K4" s="223"/>
    </row>
    <row r="5" spans="1:21" s="142" customFormat="1" ht="31.5" x14ac:dyDescent="0.25">
      <c r="A5" s="134"/>
      <c r="B5" s="135"/>
      <c r="C5" s="136"/>
      <c r="D5" s="136"/>
      <c r="E5" s="136"/>
      <c r="F5" s="136"/>
      <c r="G5" s="137"/>
      <c r="H5" s="138"/>
      <c r="I5" s="136"/>
      <c r="J5" s="139" t="s">
        <v>22</v>
      </c>
      <c r="K5" s="224">
        <v>11474400000</v>
      </c>
      <c r="L5" s="50"/>
    </row>
    <row r="6" spans="1:21" s="142" customFormat="1" ht="294" x14ac:dyDescent="0.25">
      <c r="A6" s="134" t="str">
        <f>+CONCATENATE("A-",B6)</f>
        <v>A-2901-0800-9-20111D-2901002-02</v>
      </c>
      <c r="B6" s="131" t="s">
        <v>146</v>
      </c>
      <c r="C6" s="139" t="s">
        <v>22</v>
      </c>
      <c r="D6" s="143" t="s">
        <v>24</v>
      </c>
      <c r="E6" s="143" t="s">
        <v>26</v>
      </c>
      <c r="F6" s="144" t="s">
        <v>27</v>
      </c>
      <c r="G6" s="143" t="str">
        <f>+CONCATENATE("Nombre del proyecto = ",C6," Nombre del Poducto =  ",D6,"  Nombre del Objeto del Gasto = ",E6," Actividad Asociada =  ",F6)</f>
        <v xml:space="preserve">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H6" s="122">
        <f>+'VERIFICACION '!I12</f>
        <v>570771360</v>
      </c>
      <c r="I6" s="122"/>
      <c r="J6" s="143" t="s">
        <v>24</v>
      </c>
      <c r="K6" s="225">
        <f>+SUM(L7:L11)</f>
        <v>455552981</v>
      </c>
      <c r="L6" s="50"/>
    </row>
    <row r="7" spans="1:21" s="142" customFormat="1" x14ac:dyDescent="0.25">
      <c r="A7" s="134"/>
      <c r="B7" s="146"/>
      <c r="C7" s="122" t="b">
        <f>+C6=J5</f>
        <v>1</v>
      </c>
      <c r="D7" s="122"/>
      <c r="E7" s="122"/>
      <c r="F7" s="122"/>
      <c r="G7" s="143"/>
      <c r="H7" s="147"/>
      <c r="I7" s="122"/>
      <c r="J7" s="143" t="s">
        <v>26</v>
      </c>
      <c r="K7" s="225">
        <v>11474400000</v>
      </c>
      <c r="L7" s="110"/>
    </row>
    <row r="8" spans="1:21" s="142" customFormat="1" ht="21" x14ac:dyDescent="0.25">
      <c r="A8" s="134"/>
      <c r="B8" s="146"/>
      <c r="C8" s="122"/>
      <c r="D8" s="122"/>
      <c r="E8" s="122"/>
      <c r="F8" s="122"/>
      <c r="G8" s="143"/>
      <c r="H8" s="147"/>
      <c r="I8" s="122"/>
      <c r="J8" s="143" t="s">
        <v>27</v>
      </c>
      <c r="K8" s="225"/>
      <c r="L8" s="234">
        <v>100000000</v>
      </c>
    </row>
    <row r="9" spans="1:21" s="142" customFormat="1" ht="21" x14ac:dyDescent="0.25">
      <c r="A9" s="134"/>
      <c r="B9" s="146"/>
      <c r="C9" s="122"/>
      <c r="D9" s="122"/>
      <c r="E9" s="122"/>
      <c r="F9" s="122"/>
      <c r="G9" s="143"/>
      <c r="H9" s="147"/>
      <c r="I9" s="122"/>
      <c r="J9" s="143" t="s">
        <v>27</v>
      </c>
      <c r="K9" s="225"/>
      <c r="L9" s="234">
        <v>295552981</v>
      </c>
    </row>
    <row r="10" spans="1:21" s="142" customFormat="1" ht="21" x14ac:dyDescent="0.25">
      <c r="A10" s="134"/>
      <c r="B10" s="146"/>
      <c r="C10" s="122"/>
      <c r="D10" s="122"/>
      <c r="E10" s="122"/>
      <c r="F10" s="122"/>
      <c r="G10" s="143"/>
      <c r="H10" s="147"/>
      <c r="I10" s="122"/>
      <c r="J10" s="143" t="s">
        <v>27</v>
      </c>
      <c r="K10" s="225"/>
      <c r="L10" s="234">
        <v>30000000</v>
      </c>
    </row>
    <row r="11" spans="1:21" s="142" customFormat="1" ht="21" x14ac:dyDescent="0.25">
      <c r="A11" s="134"/>
      <c r="B11" s="146"/>
      <c r="C11" s="122"/>
      <c r="D11" s="122"/>
      <c r="E11" s="122"/>
      <c r="F11" s="122"/>
      <c r="G11" s="143"/>
      <c r="H11" s="147"/>
      <c r="I11" s="122"/>
      <c r="J11" s="143" t="s">
        <v>27</v>
      </c>
      <c r="K11" s="225"/>
      <c r="L11" s="234">
        <v>30000000</v>
      </c>
    </row>
    <row r="12" spans="1:21" s="142" customFormat="1" x14ac:dyDescent="0.25">
      <c r="A12" s="134"/>
      <c r="B12" s="146"/>
      <c r="C12" s="122"/>
      <c r="D12" s="122"/>
      <c r="E12" s="122"/>
      <c r="F12" s="122"/>
      <c r="G12" s="143"/>
      <c r="H12" s="147"/>
      <c r="I12" s="122"/>
      <c r="J12" s="143"/>
      <c r="K12" s="225">
        <f>+SUM(L7:L11)</f>
        <v>455552981</v>
      </c>
      <c r="L12" s="50"/>
    </row>
    <row r="13" spans="1:21" s="142" customFormat="1" ht="31.5" x14ac:dyDescent="0.25">
      <c r="A13" s="134"/>
      <c r="B13" s="146"/>
      <c r="C13" s="122"/>
      <c r="D13" s="122"/>
      <c r="E13" s="122"/>
      <c r="F13" s="122"/>
      <c r="G13" s="143"/>
      <c r="H13" s="147"/>
      <c r="I13" s="122"/>
      <c r="J13" s="131" t="s">
        <v>147</v>
      </c>
      <c r="K13" s="225"/>
      <c r="L13" s="131" t="s">
        <v>148</v>
      </c>
    </row>
    <row r="14" spans="1:21" s="155" customFormat="1" ht="94.5" x14ac:dyDescent="0.25">
      <c r="A14" s="148"/>
      <c r="B14" s="149"/>
      <c r="C14" s="150"/>
      <c r="D14" s="150"/>
      <c r="E14" s="150"/>
      <c r="F14" s="150"/>
      <c r="G14" s="143"/>
      <c r="H14" s="151"/>
      <c r="I14" s="150"/>
      <c r="J14" s="152" t="s">
        <v>28</v>
      </c>
      <c r="K14" s="226">
        <v>1191767000</v>
      </c>
      <c r="L14" s="152" t="s">
        <v>28</v>
      </c>
    </row>
    <row r="15" spans="1:21" s="155" customFormat="1" ht="21" x14ac:dyDescent="0.25">
      <c r="A15" s="148"/>
      <c r="B15" s="156"/>
      <c r="C15" s="157"/>
      <c r="D15" s="157"/>
      <c r="E15" s="157"/>
      <c r="F15" s="157"/>
      <c r="G15" s="143"/>
      <c r="H15" s="158"/>
      <c r="I15" s="157"/>
      <c r="J15" s="159" t="s">
        <v>29</v>
      </c>
      <c r="K15" s="71"/>
      <c r="L15" s="159" t="s">
        <v>26</v>
      </c>
    </row>
    <row r="16" spans="1:21" s="155" customFormat="1" x14ac:dyDescent="0.25">
      <c r="A16" s="148"/>
      <c r="B16" s="156"/>
      <c r="C16" s="157"/>
      <c r="D16" s="157"/>
      <c r="E16" s="157"/>
      <c r="F16" s="157"/>
      <c r="G16" s="143"/>
      <c r="H16" s="158"/>
      <c r="I16" s="157"/>
      <c r="J16" s="159" t="s">
        <v>26</v>
      </c>
      <c r="K16" s="71">
        <v>4332952000</v>
      </c>
      <c r="L16" s="49"/>
    </row>
    <row r="17" spans="1:14" s="155" customFormat="1" ht="59.65" customHeight="1" x14ac:dyDescent="0.25">
      <c r="A17" s="148" t="str">
        <f>+CONCATENATE("A- ",J13)</f>
        <v>A- 2901-0800-14-20111D-2901006-02</v>
      </c>
      <c r="B17" s="156"/>
      <c r="C17" s="159" t="s">
        <v>28</v>
      </c>
      <c r="D17" s="157" t="s">
        <v>29</v>
      </c>
      <c r="E17" s="157" t="s">
        <v>26</v>
      </c>
      <c r="F17" s="157" t="s">
        <v>30</v>
      </c>
      <c r="G17" s="143" t="str">
        <f>+CONCATENATE("Nombre del proyecto = ",C17," Nombre del Poducto =  ",D17,"  Nombre del Objeto del Gasto = ",E17," Actividad Asociada =  ",F17)</f>
        <v xml:space="preserve">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H17" s="158"/>
      <c r="I17" s="157"/>
      <c r="J17" s="159" t="s">
        <v>30</v>
      </c>
      <c r="K17" s="232">
        <f>+L17</f>
        <v>100920000</v>
      </c>
      <c r="L17" s="49">
        <v>100920000</v>
      </c>
    </row>
    <row r="18" spans="1:14" s="155" customFormat="1" ht="336" x14ac:dyDescent="0.25">
      <c r="A18" s="148" t="str">
        <f>+CONCATENATE("B-",J13)</f>
        <v>B-2901-0800-14-20111D-2901006-02</v>
      </c>
      <c r="B18" s="156"/>
      <c r="C18" s="159" t="s">
        <v>28</v>
      </c>
      <c r="D18" s="157" t="s">
        <v>29</v>
      </c>
      <c r="E18" s="157" t="s">
        <v>26</v>
      </c>
      <c r="F18" s="157" t="s">
        <v>31</v>
      </c>
      <c r="G18" s="143" t="str">
        <f>+CONCATENATE("Nombre del proyecto = ",C18," Nombre del Poducto =  ",D18,"  Nombre del Objeto del Gasto = ",E18," Actividad Asociada =  ",F18)</f>
        <v xml:space="preserve">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</v>
      </c>
      <c r="H18" s="158"/>
      <c r="I18" s="157"/>
      <c r="J18" s="159" t="s">
        <v>31</v>
      </c>
      <c r="K18" s="232">
        <f>+L18</f>
        <v>130000000</v>
      </c>
      <c r="L18" s="49">
        <v>130000000</v>
      </c>
      <c r="M18" s="155" t="s">
        <v>149</v>
      </c>
    </row>
    <row r="19" spans="1:14" s="155" customFormat="1" x14ac:dyDescent="0.25">
      <c r="A19" s="148"/>
      <c r="B19" s="156"/>
      <c r="C19" s="159"/>
      <c r="D19" s="157"/>
      <c r="E19" s="157"/>
      <c r="F19" s="157"/>
      <c r="G19" s="143"/>
      <c r="H19" s="158"/>
      <c r="I19" s="157"/>
      <c r="J19" s="131" t="s">
        <v>148</v>
      </c>
      <c r="K19" s="232"/>
      <c r="L19" s="49"/>
    </row>
    <row r="20" spans="1:14" s="155" customFormat="1" ht="31.5" x14ac:dyDescent="0.25">
      <c r="A20" s="148"/>
      <c r="B20" s="156"/>
      <c r="C20" s="159"/>
      <c r="D20" s="157"/>
      <c r="E20" s="157"/>
      <c r="F20" s="157"/>
      <c r="G20" s="143"/>
      <c r="H20" s="158"/>
      <c r="I20" s="157"/>
      <c r="J20" s="152" t="s">
        <v>28</v>
      </c>
      <c r="K20" s="232"/>
      <c r="L20" s="49"/>
    </row>
    <row r="21" spans="1:14" s="155" customFormat="1" x14ac:dyDescent="0.25">
      <c r="A21" s="148"/>
      <c r="B21" s="156"/>
      <c r="C21" s="157"/>
      <c r="D21" s="157"/>
      <c r="E21" s="157"/>
      <c r="F21" s="157"/>
      <c r="G21" s="143"/>
      <c r="H21" s="158"/>
      <c r="I21" s="157"/>
      <c r="J21" s="159" t="s">
        <v>26</v>
      </c>
      <c r="K21" s="71">
        <v>1191767000</v>
      </c>
      <c r="L21" s="49"/>
    </row>
    <row r="22" spans="1:14" s="155" customFormat="1" x14ac:dyDescent="0.25">
      <c r="A22" s="148"/>
      <c r="B22" s="156"/>
      <c r="C22" s="157"/>
      <c r="D22" s="157"/>
      <c r="E22" s="157"/>
      <c r="F22" s="157"/>
      <c r="G22" s="143"/>
      <c r="H22" s="158"/>
      <c r="I22" s="157"/>
      <c r="J22" s="159" t="s">
        <v>32</v>
      </c>
      <c r="K22" s="71"/>
      <c r="L22" s="49"/>
    </row>
    <row r="23" spans="1:14" s="155" customFormat="1" ht="325.5" x14ac:dyDescent="0.25">
      <c r="A23" s="131" t="s">
        <v>150</v>
      </c>
      <c r="B23" s="156"/>
      <c r="C23" s="159" t="s">
        <v>28</v>
      </c>
      <c r="D23" s="157" t="str">
        <f>+J22</f>
        <v>SALAS DE NECROPSIAS DOTADAS</v>
      </c>
      <c r="E23" s="157" t="str">
        <f>+J21</f>
        <v>ADQUISICIÓN DE BIENES Y SERVICIOS</v>
      </c>
      <c r="F23" s="157" t="s">
        <v>33</v>
      </c>
      <c r="G23" s="143" t="str">
        <f>+CONCATENATE("Nombre del proyecto = ",C23," Nombre del Poducto =  ",D23,"  Nombre del Objeto del Gasto = ",E23," Actividad Asociada =  ",F23)</f>
        <v xml:space="preserve">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v>
      </c>
      <c r="H23" s="158"/>
      <c r="I23" s="157"/>
      <c r="J23" s="159" t="s">
        <v>33</v>
      </c>
      <c r="K23" s="232">
        <f>+L23</f>
        <v>300000000</v>
      </c>
      <c r="L23" s="49">
        <v>300000000</v>
      </c>
    </row>
    <row r="24" spans="1:14" x14ac:dyDescent="0.25">
      <c r="B24" s="161"/>
      <c r="C24" s="162" t="b">
        <f>+J14=C23</f>
        <v>1</v>
      </c>
      <c r="D24" s="162"/>
      <c r="E24" s="162"/>
      <c r="F24" s="162"/>
      <c r="G24" s="143"/>
      <c r="H24" s="163"/>
      <c r="I24" s="162"/>
      <c r="J24" s="131" t="s">
        <v>151</v>
      </c>
      <c r="K24" s="227"/>
    </row>
    <row r="25" spans="1:14" s="172" customFormat="1" ht="31.5" x14ac:dyDescent="0.25">
      <c r="A25" s="165"/>
      <c r="B25" s="166"/>
      <c r="C25" s="167"/>
      <c r="D25" s="167"/>
      <c r="E25" s="167"/>
      <c r="F25" s="167"/>
      <c r="G25" s="143"/>
      <c r="H25" s="168"/>
      <c r="I25" s="167"/>
      <c r="J25" s="169" t="s">
        <v>34</v>
      </c>
      <c r="K25" s="228">
        <v>21856000000</v>
      </c>
      <c r="L25" s="58"/>
    </row>
    <row r="26" spans="1:14" s="172" customFormat="1" x14ac:dyDescent="0.25">
      <c r="A26" s="165"/>
      <c r="B26" s="173"/>
      <c r="C26" s="174"/>
      <c r="D26" s="174"/>
      <c r="E26" s="174"/>
      <c r="F26" s="174"/>
      <c r="G26" s="143"/>
      <c r="H26" s="175"/>
      <c r="I26" s="174"/>
      <c r="J26" s="176" t="s">
        <v>24</v>
      </c>
      <c r="K26" s="229"/>
      <c r="L26" s="58"/>
    </row>
    <row r="27" spans="1:14" s="172" customFormat="1" x14ac:dyDescent="0.25">
      <c r="A27" s="165"/>
      <c r="B27" s="173"/>
      <c r="C27" s="174"/>
      <c r="D27" s="174"/>
      <c r="E27" s="174"/>
      <c r="F27" s="174"/>
      <c r="G27" s="143"/>
      <c r="H27" s="175"/>
      <c r="I27" s="174"/>
      <c r="J27" s="176" t="s">
        <v>26</v>
      </c>
      <c r="K27" s="229">
        <v>14263763540</v>
      </c>
      <c r="L27" s="58">
        <f>+M28</f>
        <v>115218379</v>
      </c>
    </row>
    <row r="28" spans="1:14" s="172" customFormat="1" ht="325.5" x14ac:dyDescent="0.25">
      <c r="A28" s="148" t="str">
        <f>+CONCATENATE("A-",J24)</f>
        <v>A-2901-0800-16-20113A-2901002-02</v>
      </c>
      <c r="B28" s="173"/>
      <c r="C28" s="176" t="s">
        <v>34</v>
      </c>
      <c r="D28" s="174" t="s">
        <v>24</v>
      </c>
      <c r="E28" s="174" t="s">
        <v>26</v>
      </c>
      <c r="F28" s="178" t="s">
        <v>36</v>
      </c>
      <c r="G28" s="143" t="str">
        <f>+CONCATENATE("Nombre del proyecto = ",C28," Nombre del Poducto =  ",D28,"  Nombre del Objeto del Gasto = ",E28," Actividad Asociada =  ",F28)</f>
        <v xml:space="preserve">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H28" s="179"/>
      <c r="I28" s="178"/>
      <c r="J28" s="176" t="s">
        <v>36</v>
      </c>
      <c r="K28" s="235">
        <f>+L28+M28</f>
        <v>465218379</v>
      </c>
      <c r="L28" s="233">
        <v>350000000</v>
      </c>
      <c r="M28" s="110">
        <v>115218379</v>
      </c>
    </row>
    <row r="29" spans="1:14" s="172" customFormat="1" ht="304.5" x14ac:dyDescent="0.25">
      <c r="A29" s="148" t="str">
        <f>+CONCATENATE("B-",J24)</f>
        <v>B-2901-0800-16-20113A-2901002-02</v>
      </c>
      <c r="B29" s="173"/>
      <c r="C29" s="176" t="s">
        <v>34</v>
      </c>
      <c r="D29" s="174" t="s">
        <v>24</v>
      </c>
      <c r="E29" s="174" t="s">
        <v>26</v>
      </c>
      <c r="F29" s="178" t="s">
        <v>27</v>
      </c>
      <c r="G29" s="143" t="str">
        <f>+CONCATENATE("Nombre del proyecto = ",C29," Nombre del Poducto =  ",D29,"  Nombre del Objeto del Gasto = ",E29," Actividad Asociada =  ",F29)</f>
        <v xml:space="preserve">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H29" s="179"/>
      <c r="I29" s="178"/>
      <c r="J29" s="176" t="s">
        <v>27</v>
      </c>
      <c r="K29" s="230">
        <f>+L29</f>
        <v>98308640</v>
      </c>
      <c r="L29" s="233">
        <v>98308640</v>
      </c>
      <c r="M29" s="110"/>
      <c r="N29" s="172">
        <f>+M29+L29</f>
        <v>98308640</v>
      </c>
    </row>
    <row r="30" spans="1:14" s="172" customFormat="1" x14ac:dyDescent="0.25">
      <c r="A30" s="165"/>
      <c r="B30" s="173"/>
      <c r="C30" s="174"/>
      <c r="D30" s="174"/>
      <c r="E30" s="174"/>
      <c r="F30" s="174"/>
      <c r="G30" s="143"/>
      <c r="H30" s="175"/>
      <c r="I30" s="174"/>
      <c r="J30" s="176"/>
      <c r="K30" s="229"/>
      <c r="L30" s="58"/>
    </row>
    <row r="31" spans="1:14" x14ac:dyDescent="0.25">
      <c r="B31" s="161"/>
      <c r="C31" s="162"/>
      <c r="D31" s="162"/>
      <c r="E31" s="162"/>
      <c r="F31" s="162"/>
      <c r="H31" s="163"/>
      <c r="I31" s="162"/>
      <c r="J31" s="131" t="s">
        <v>152</v>
      </c>
      <c r="K31" s="227"/>
    </row>
    <row r="32" spans="1:14" x14ac:dyDescent="0.25">
      <c r="B32" s="161"/>
      <c r="C32" s="162"/>
      <c r="D32" s="162"/>
      <c r="E32" s="162"/>
      <c r="F32" s="162"/>
      <c r="G32" s="143"/>
      <c r="H32" s="163"/>
      <c r="I32" s="162"/>
      <c r="J32" s="183"/>
      <c r="K32" s="227"/>
    </row>
    <row r="33" spans="1:15" x14ac:dyDescent="0.25">
      <c r="B33" s="161"/>
      <c r="C33" s="162"/>
      <c r="D33" s="162"/>
      <c r="E33" s="162"/>
      <c r="F33" s="162"/>
      <c r="H33" s="163"/>
      <c r="I33" s="162"/>
      <c r="J33" s="183" t="s">
        <v>37</v>
      </c>
      <c r="K33" s="227"/>
    </row>
    <row r="34" spans="1:15" x14ac:dyDescent="0.25">
      <c r="B34" s="161"/>
      <c r="C34" s="162"/>
      <c r="D34" s="184"/>
      <c r="E34" s="184"/>
      <c r="F34" s="184"/>
      <c r="G34" s="143"/>
      <c r="H34" s="185"/>
      <c r="I34" s="184"/>
      <c r="J34" s="186" t="s">
        <v>26</v>
      </c>
      <c r="K34" s="231">
        <v>5531215836</v>
      </c>
    </row>
    <row r="35" spans="1:15" ht="315" x14ac:dyDescent="0.25">
      <c r="A35" s="148" t="str">
        <f>+CONCATENATE("A-",J31)</f>
        <v>A-2901-0800-16-20113A-2901007-02</v>
      </c>
      <c r="B35" s="161"/>
      <c r="C35" s="183" t="s">
        <v>34</v>
      </c>
      <c r="D35" s="184" t="s">
        <v>37</v>
      </c>
      <c r="E35" s="184" t="s">
        <v>26</v>
      </c>
      <c r="F35" s="184" t="s">
        <v>38</v>
      </c>
      <c r="G35" s="143" t="str">
        <f>+CONCATENATE("Nombre del proyecto = ",C35," Nombre del Poducto =  ",D35,"  Nombre del Objeto del Gasto = ",E35," Actividad Asociada =  ",F35)</f>
        <v xml:space="preserve">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H35" s="185"/>
      <c r="I35" s="184"/>
      <c r="J35" s="186" t="s">
        <v>38</v>
      </c>
      <c r="K35" s="231">
        <f>+SUM(L35:L38)</f>
        <v>300000000</v>
      </c>
      <c r="L35" s="48">
        <v>100000000</v>
      </c>
    </row>
    <row r="36" spans="1:15" ht="21" x14ac:dyDescent="0.25">
      <c r="A36" s="148"/>
      <c r="B36" s="161"/>
      <c r="C36" s="183"/>
      <c r="D36" s="184"/>
      <c r="E36" s="184"/>
      <c r="F36" s="184"/>
      <c r="G36" s="184"/>
      <c r="H36" s="185"/>
      <c r="I36" s="184"/>
      <c r="J36" s="186" t="s">
        <v>38</v>
      </c>
      <c r="K36" s="231"/>
      <c r="L36" s="48">
        <v>200000000</v>
      </c>
    </row>
    <row r="37" spans="1:15" ht="21" x14ac:dyDescent="0.25">
      <c r="A37" s="148"/>
      <c r="B37" s="161"/>
      <c r="C37" s="183"/>
      <c r="D37" s="184"/>
      <c r="E37" s="184"/>
      <c r="F37" s="184"/>
      <c r="G37" s="184"/>
      <c r="H37" s="185"/>
      <c r="I37" s="184"/>
      <c r="J37" s="186" t="s">
        <v>38</v>
      </c>
      <c r="K37" s="231"/>
      <c r="M37" s="125" t="s">
        <v>153</v>
      </c>
      <c r="N37" s="48">
        <v>130000000</v>
      </c>
      <c r="O37" s="125" t="s">
        <v>153</v>
      </c>
    </row>
    <row r="38" spans="1:15" x14ac:dyDescent="0.25">
      <c r="A38" s="148"/>
      <c r="B38" s="161"/>
      <c r="C38" s="183"/>
      <c r="D38" s="184"/>
      <c r="E38" s="184"/>
      <c r="F38" s="184"/>
      <c r="G38" s="184"/>
      <c r="H38" s="185"/>
      <c r="I38" s="184"/>
      <c r="J38" s="186"/>
      <c r="K38" s="231"/>
    </row>
    <row r="39" spans="1:15" x14ac:dyDescent="0.25">
      <c r="B39" s="161"/>
      <c r="C39" s="162"/>
      <c r="D39" s="162"/>
      <c r="E39" s="162"/>
      <c r="F39" s="162"/>
      <c r="G39" s="162"/>
      <c r="H39" s="163"/>
      <c r="I39" s="162"/>
      <c r="J39" s="183"/>
      <c r="K39" s="227">
        <f>+SUM(L35:L38)</f>
        <v>300000000</v>
      </c>
    </row>
    <row r="41" spans="1:15" x14ac:dyDescent="0.25">
      <c r="B41" s="188"/>
      <c r="L41" s="48">
        <f>SUM(L5:L39)</f>
        <v>1850000000</v>
      </c>
    </row>
    <row r="42" spans="1:15" x14ac:dyDescent="0.25">
      <c r="B42" s="188"/>
      <c r="L42" s="48">
        <v>1850000000</v>
      </c>
    </row>
    <row r="43" spans="1:15" x14ac:dyDescent="0.25">
      <c r="B43" s="188"/>
      <c r="L43" s="48">
        <f>+L42-L41</f>
        <v>0</v>
      </c>
    </row>
    <row r="44" spans="1:15" x14ac:dyDescent="0.25">
      <c r="B44" s="188"/>
    </row>
    <row r="45" spans="1:15" x14ac:dyDescent="0.25">
      <c r="B45" s="188"/>
    </row>
  </sheetData>
  <mergeCells count="1">
    <mergeCell ref="B1:K1"/>
  </mergeCells>
  <pageMargins left="0.7" right="0.7" top="0.75" bottom="0.75" header="0.3" footer="0.3"/>
  <pageSetup scale="28" fitToHeight="0" orientation="portrait" horizontalDpi="4294967293" r:id="rId1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7"/>
  <sheetViews>
    <sheetView topLeftCell="A8" zoomScale="70" zoomScaleNormal="70" workbookViewId="0">
      <selection activeCell="A15" sqref="A15"/>
    </sheetView>
  </sheetViews>
  <sheetFormatPr baseColWidth="10" defaultColWidth="11.42578125" defaultRowHeight="15" x14ac:dyDescent="0.25"/>
  <cols>
    <col min="1" max="1" width="120.7109375" style="120" bestFit="1" customWidth="1"/>
    <col min="2" max="2" width="17.28515625" bestFit="1" customWidth="1"/>
    <col min="3" max="3" width="13.5703125" bestFit="1" customWidth="1"/>
    <col min="4" max="4" width="8.5703125" bestFit="1" customWidth="1"/>
  </cols>
  <sheetData>
    <row r="3" spans="1:4" ht="30" x14ac:dyDescent="0.25">
      <c r="A3" s="215" t="s">
        <v>94</v>
      </c>
      <c r="B3" s="120" t="s">
        <v>88</v>
      </c>
      <c r="C3" s="120" t="s">
        <v>154</v>
      </c>
      <c r="D3" s="120" t="s">
        <v>155</v>
      </c>
    </row>
    <row r="4" spans="1:4" ht="60" x14ac:dyDescent="0.25">
      <c r="A4" s="216" t="s">
        <v>90</v>
      </c>
      <c r="B4" s="217">
        <v>14949098</v>
      </c>
      <c r="C4" s="217">
        <v>27554526</v>
      </c>
      <c r="D4" s="217">
        <v>10</v>
      </c>
    </row>
    <row r="5" spans="1:4" ht="60" x14ac:dyDescent="0.25">
      <c r="A5" s="216" t="s">
        <v>91</v>
      </c>
      <c r="B5" s="217">
        <v>0</v>
      </c>
      <c r="C5" s="217">
        <v>855198770</v>
      </c>
      <c r="D5" s="217">
        <v>21</v>
      </c>
    </row>
    <row r="6" spans="1:4" ht="60" x14ac:dyDescent="0.25">
      <c r="A6" s="216" t="s">
        <v>92</v>
      </c>
      <c r="B6" s="217">
        <v>282009957</v>
      </c>
      <c r="C6" s="217">
        <v>663470172</v>
      </c>
      <c r="D6" s="217">
        <v>14</v>
      </c>
    </row>
    <row r="7" spans="1:4" ht="60" x14ac:dyDescent="0.25">
      <c r="A7" s="216" t="s">
        <v>93</v>
      </c>
      <c r="B7" s="217">
        <v>73211033</v>
      </c>
      <c r="C7" s="217">
        <v>300258100</v>
      </c>
      <c r="D7" s="217">
        <v>7</v>
      </c>
    </row>
    <row r="8" spans="1:4" ht="60" x14ac:dyDescent="0.25">
      <c r="A8" s="216" t="s">
        <v>98</v>
      </c>
      <c r="B8" s="217">
        <v>260849368</v>
      </c>
      <c r="C8" s="217">
        <v>-591208964</v>
      </c>
      <c r="D8" s="217">
        <v>31</v>
      </c>
    </row>
    <row r="9" spans="1:4" ht="60" x14ac:dyDescent="0.25">
      <c r="A9" s="216" t="s">
        <v>156</v>
      </c>
      <c r="B9" s="217">
        <v>0</v>
      </c>
      <c r="C9" s="217">
        <v>405735591</v>
      </c>
      <c r="D9" s="217">
        <v>9</v>
      </c>
    </row>
    <row r="10" spans="1:4" ht="60" x14ac:dyDescent="0.25">
      <c r="A10" s="216" t="s">
        <v>129</v>
      </c>
      <c r="B10" s="217">
        <v>0</v>
      </c>
      <c r="C10" s="217">
        <v>-3386702</v>
      </c>
      <c r="D10" s="217">
        <v>3</v>
      </c>
    </row>
    <row r="11" spans="1:4" x14ac:dyDescent="0.25">
      <c r="A11" s="216" t="s">
        <v>95</v>
      </c>
      <c r="B11" s="217">
        <v>631019456</v>
      </c>
      <c r="C11" s="217">
        <v>1657621493</v>
      </c>
      <c r="D11" s="217">
        <v>95</v>
      </c>
    </row>
    <row r="12" spans="1:4" x14ac:dyDescent="0.25">
      <c r="A12"/>
    </row>
    <row r="13" spans="1:4" x14ac:dyDescent="0.25">
      <c r="A13"/>
    </row>
    <row r="14" spans="1:4" x14ac:dyDescent="0.25">
      <c r="A14"/>
    </row>
    <row r="15" spans="1:4" x14ac:dyDescent="0.25">
      <c r="A15"/>
    </row>
    <row r="16" spans="1:4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</sheetData>
  <pageMargins left="0.7" right="0.7" top="0.75" bottom="0.75" header="0.3" footer="0.3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N1143"/>
  <sheetViews>
    <sheetView topLeftCell="A6" zoomScale="85" zoomScaleNormal="85" zoomScaleSheetLayoutView="115" workbookViewId="0">
      <pane xSplit="2" topLeftCell="J1" activePane="topRight" state="frozen"/>
      <selection pane="topRight" activeCell="P9" sqref="P9"/>
    </sheetView>
  </sheetViews>
  <sheetFormatPr baseColWidth="10" defaultColWidth="14.42578125" defaultRowHeight="0" customHeight="1" zeroHeight="1" x14ac:dyDescent="0.25"/>
  <cols>
    <col min="1" max="1" width="4.28515625" style="91" bestFit="1" customWidth="1"/>
    <col min="2" max="2" width="5" style="91" bestFit="1" customWidth="1"/>
    <col min="3" max="3" width="26.7109375" style="98" customWidth="1"/>
    <col min="4" max="4" width="16.7109375" style="91" customWidth="1"/>
    <col min="5" max="7" width="11.5703125" style="91" customWidth="1"/>
    <col min="8" max="8" width="14.28515625" style="91" customWidth="1"/>
    <col min="9" max="10" width="13" style="91" customWidth="1"/>
    <col min="11" max="12" width="14.7109375" style="91" customWidth="1"/>
    <col min="13" max="13" width="25.28515625" style="91" customWidth="1"/>
    <col min="14" max="15" width="14.7109375" style="91" customWidth="1"/>
    <col min="16" max="16" width="86.42578125" style="98" customWidth="1"/>
    <col min="17" max="26" width="14.7109375" style="91" customWidth="1"/>
    <col min="27" max="28" width="11.42578125" style="91" customWidth="1"/>
    <col min="29" max="30" width="15" style="91" customWidth="1"/>
    <col min="31" max="31" width="13.7109375" style="91" customWidth="1"/>
    <col min="32" max="40" width="11.42578125" style="91" customWidth="1"/>
    <col min="41" max="16384" width="14.42578125" style="91"/>
  </cols>
  <sheetData>
    <row r="1" spans="1:40" s="90" customFormat="1" ht="8.25" customHeight="1" x14ac:dyDescent="0.25">
      <c r="A1" s="203"/>
      <c r="B1" s="203" t="s">
        <v>39</v>
      </c>
      <c r="C1" s="206"/>
      <c r="D1" s="206"/>
      <c r="E1" s="206"/>
      <c r="F1" s="206"/>
      <c r="G1" s="206"/>
      <c r="H1" s="207" t="s">
        <v>40</v>
      </c>
      <c r="I1" s="203" t="s">
        <v>41</v>
      </c>
      <c r="J1" s="203"/>
      <c r="K1" s="206"/>
      <c r="L1" s="118" t="s">
        <v>100</v>
      </c>
      <c r="M1" s="118" t="s">
        <v>101</v>
      </c>
      <c r="N1" s="118" t="s">
        <v>102</v>
      </c>
      <c r="O1" s="118" t="s">
        <v>103</v>
      </c>
      <c r="P1" s="211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73"/>
      <c r="AB1" s="74" t="s">
        <v>42</v>
      </c>
      <c r="AC1" s="89"/>
      <c r="AD1" s="89"/>
      <c r="AE1" s="74" t="s">
        <v>43</v>
      </c>
      <c r="AF1" s="74" t="s">
        <v>44</v>
      </c>
      <c r="AG1" s="74"/>
      <c r="AH1" s="74"/>
      <c r="AI1" s="74"/>
      <c r="AJ1" s="74"/>
      <c r="AK1" s="74"/>
      <c r="AL1" s="74"/>
      <c r="AM1" s="74"/>
      <c r="AN1" s="74"/>
    </row>
    <row r="2" spans="1:40" s="90" customFormat="1" ht="7.9" customHeight="1" x14ac:dyDescent="0.25">
      <c r="E2" s="205" t="s">
        <v>49</v>
      </c>
      <c r="F2" s="205"/>
      <c r="H2" s="206"/>
      <c r="I2" s="205" t="s">
        <v>51</v>
      </c>
      <c r="J2" s="205"/>
      <c r="K2" s="205" t="s">
        <v>52</v>
      </c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73"/>
      <c r="AB2" s="75" t="s">
        <v>53</v>
      </c>
      <c r="AC2" s="75" t="s">
        <v>54</v>
      </c>
      <c r="AD2" s="75" t="s">
        <v>55</v>
      </c>
      <c r="AE2" s="75" t="s">
        <v>56</v>
      </c>
      <c r="AF2" s="75" t="s">
        <v>44</v>
      </c>
      <c r="AG2" s="74"/>
      <c r="AH2" s="74"/>
      <c r="AI2" s="74"/>
      <c r="AJ2" s="74"/>
      <c r="AK2" s="74"/>
      <c r="AL2" s="74"/>
      <c r="AM2" s="74"/>
      <c r="AN2" s="74"/>
    </row>
    <row r="3" spans="1:40" s="90" customFormat="1" ht="13.9" customHeight="1" x14ac:dyDescent="0.25">
      <c r="A3" s="208"/>
      <c r="B3" s="206"/>
      <c r="C3" s="209"/>
      <c r="D3" s="205"/>
      <c r="E3" s="206"/>
      <c r="F3" s="206"/>
      <c r="G3" s="205"/>
      <c r="H3" s="206"/>
      <c r="I3" s="206"/>
      <c r="J3" s="206"/>
      <c r="K3" s="205"/>
      <c r="L3" s="119"/>
      <c r="M3" s="119"/>
      <c r="N3" s="191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08" t="s">
        <v>10</v>
      </c>
      <c r="AB3" s="109" t="str">
        <f>+I4</f>
        <v xml:space="preserve">valor REG bta </v>
      </c>
      <c r="AC3" s="109">
        <f>+SUM(I5:I9)</f>
        <v>474415466</v>
      </c>
      <c r="AD3" s="109">
        <f t="shared" ref="AD3" si="0">+SUM(AC3:AC4)</f>
        <v>517506779</v>
      </c>
      <c r="AE3" s="100"/>
      <c r="AF3" s="92" t="b">
        <f t="shared" ref="AF3:AF13" si="1">+EXACT(AC3,AE3)</f>
        <v>0</v>
      </c>
      <c r="AG3" s="73"/>
      <c r="AH3" s="74"/>
      <c r="AI3" s="74"/>
      <c r="AJ3" s="74"/>
      <c r="AK3" s="74"/>
      <c r="AL3" s="74"/>
      <c r="AM3" s="74"/>
      <c r="AN3" s="74"/>
    </row>
    <row r="4" spans="1:40" s="90" customFormat="1" ht="24.75" x14ac:dyDescent="0.25">
      <c r="A4" s="205" t="s">
        <v>45</v>
      </c>
      <c r="B4" s="205" t="s">
        <v>46</v>
      </c>
      <c r="C4" s="205" t="s">
        <v>47</v>
      </c>
      <c r="D4" s="205" t="s">
        <v>48</v>
      </c>
      <c r="E4" s="204" t="s">
        <v>57</v>
      </c>
      <c r="F4" s="204" t="s">
        <v>18</v>
      </c>
      <c r="G4" s="205" t="s">
        <v>50</v>
      </c>
      <c r="H4" s="206" t="s">
        <v>104</v>
      </c>
      <c r="I4" s="205" t="s">
        <v>105</v>
      </c>
      <c r="J4" s="205" t="s">
        <v>106</v>
      </c>
      <c r="K4" s="205" t="s">
        <v>52</v>
      </c>
      <c r="L4" s="119" t="s">
        <v>107</v>
      </c>
      <c r="M4" s="119" t="s">
        <v>101</v>
      </c>
      <c r="N4" s="191" t="s">
        <v>108</v>
      </c>
      <c r="O4" s="119" t="s">
        <v>109</v>
      </c>
      <c r="P4" s="119" t="s">
        <v>86</v>
      </c>
      <c r="Q4" s="119" t="s">
        <v>110</v>
      </c>
      <c r="R4" s="119" t="s">
        <v>111</v>
      </c>
      <c r="S4" s="119"/>
      <c r="T4" s="119"/>
      <c r="U4" s="119"/>
      <c r="V4" s="119"/>
      <c r="W4" s="119"/>
      <c r="X4" s="119"/>
      <c r="Y4" s="119"/>
      <c r="Z4" s="119"/>
      <c r="AA4" s="108" t="s">
        <v>10</v>
      </c>
      <c r="AB4" s="109" t="str">
        <f>+J4</f>
        <v xml:space="preserve">valor REG oriente </v>
      </c>
      <c r="AC4" s="109">
        <f>SUM(J5:J9)</f>
        <v>43091313</v>
      </c>
      <c r="AD4" s="109"/>
      <c r="AE4" s="100"/>
      <c r="AF4" s="92" t="b">
        <f t="shared" si="1"/>
        <v>0</v>
      </c>
      <c r="AG4" s="73"/>
      <c r="AH4" s="74"/>
      <c r="AI4" s="74"/>
      <c r="AJ4" s="74"/>
      <c r="AK4" s="74"/>
      <c r="AL4" s="74"/>
      <c r="AM4" s="74"/>
      <c r="AN4" s="74"/>
    </row>
    <row r="5" spans="1:40" ht="51.6" hidden="1" customHeight="1" x14ac:dyDescent="0.25">
      <c r="A5" s="95">
        <f>+'DATOS REGIONALIZADO LOTE 1'!A5</f>
        <v>1</v>
      </c>
      <c r="B5" s="95">
        <f>+'DATOS REGIONALIZADO LOTE 1'!B5</f>
        <v>1</v>
      </c>
      <c r="C5" s="111" t="str">
        <f>+'DATOS REGIONALIZADO LOTE 1'!C5</f>
        <v xml:space="preserve">CABINAS EXTRACTORAS PARA LABORATORIO DE ESTUPEFACIENTES DE LA REGIONAL BOGOTA (2) CABINA Y (1) CABINA PARA - PATOLOGIA - LABORATORIO DE HISTOTECNOLOGÍA </v>
      </c>
      <c r="D5" s="95" t="str">
        <f>+'DATOS REGIONALIZADO LOTE 1'!D5</f>
        <v>UNIDAD</v>
      </c>
      <c r="E5" s="95">
        <f>+'DATOS REGIONALIZADO LOTE 1'!E5</f>
        <v>3</v>
      </c>
      <c r="F5" s="95">
        <f>+'DATOS REGIONALIZADO LOTE 1'!F5</f>
        <v>0</v>
      </c>
      <c r="G5" s="95">
        <f>+'DATOS REGIONALIZADO LOTE 1'!N5</f>
        <v>3</v>
      </c>
      <c r="H5" s="95">
        <f>+'DATOS REGIONALIZADO LOTE 1'!O5</f>
        <v>64542518</v>
      </c>
      <c r="I5" s="95">
        <f>+'DATOS REGIONALIZADO LOTE 1'!P5</f>
        <v>193627554</v>
      </c>
      <c r="J5" s="95">
        <f>+'DATOS REGIONALIZADO LOTE 1'!Q5</f>
        <v>0</v>
      </c>
      <c r="K5" s="95">
        <f>+'DATOS REGIONALIZADO LOTE 1'!Y5</f>
        <v>193627554</v>
      </c>
      <c r="L5" s="87" t="s">
        <v>112</v>
      </c>
      <c r="M5" s="87" t="s">
        <v>113</v>
      </c>
      <c r="N5" s="191">
        <f>+VLOOKUP(M5,Hoja3!$B$2:$E$8,4,FALSE)</f>
        <v>455552981</v>
      </c>
      <c r="O5" s="191">
        <f>+N5-K5</f>
        <v>261925427</v>
      </c>
      <c r="P5" s="212" t="str">
        <f>+VLOOKUP(M5,Hoja3!$B$2:$D$8,3,FALSE)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Q5" s="87">
        <f>+K5</f>
        <v>193627554</v>
      </c>
      <c r="R5" s="87"/>
      <c r="S5" s="87"/>
      <c r="T5" s="87"/>
      <c r="U5" s="87"/>
      <c r="V5" s="87"/>
      <c r="W5" s="87"/>
      <c r="X5" s="87"/>
      <c r="Y5" s="87"/>
      <c r="Z5" s="87"/>
      <c r="AA5" s="99" t="s">
        <v>65</v>
      </c>
      <c r="AB5" s="100" t="s">
        <v>57</v>
      </c>
      <c r="AC5" s="100">
        <f>+'DATOS REGIONALIZADO LOTE 2'!P7</f>
        <v>161915416</v>
      </c>
      <c r="AD5" s="100">
        <f>+Tabla379[[#This Row],[VALOR TOTAL]]+AC6</f>
        <v>208217404</v>
      </c>
      <c r="AE5" s="100"/>
      <c r="AF5" s="92" t="b">
        <f>+EXACT(AC5,AE5)</f>
        <v>0</v>
      </c>
      <c r="AG5" s="82"/>
      <c r="AH5" s="83"/>
      <c r="AI5" s="83"/>
      <c r="AJ5" s="83"/>
      <c r="AK5" s="83"/>
      <c r="AL5" s="83"/>
      <c r="AM5" s="83"/>
      <c r="AN5" s="83"/>
    </row>
    <row r="6" spans="1:40" s="195" customFormat="1" ht="45" x14ac:dyDescent="0.25">
      <c r="A6" s="189">
        <f>+'DATOS REGIONALIZADO LOTE 1'!A6</f>
        <v>1</v>
      </c>
      <c r="B6" s="189">
        <f>+'DATOS REGIONALIZADO LOTE 1'!B6</f>
        <v>2</v>
      </c>
      <c r="C6" s="190" t="str">
        <f>+'DATOS REGIONALIZADO LOTE 1'!C6</f>
        <v>CABINA EXTRACTORA PARA EL GRUPO DE PATOLOGIA FORENSE  DE LA REGIONAL BOGOTA</v>
      </c>
      <c r="D6" s="189" t="str">
        <f>+'DATOS REGIONALIZADO LOTE 1'!D6</f>
        <v>UNIDAD</v>
      </c>
      <c r="E6" s="189">
        <f>+'DATOS REGIONALIZADO LOTE 1'!E6</f>
        <v>1</v>
      </c>
      <c r="F6" s="189">
        <f>+'DATOS REGIONALIZADO LOTE 1'!F6</f>
        <v>0</v>
      </c>
      <c r="G6" s="189">
        <f>+'DATOS REGIONALIZADO LOTE 1'!N6</f>
        <v>1</v>
      </c>
      <c r="H6" s="189">
        <f>+'DATOS REGIONALIZADO LOTE 1'!O6</f>
        <v>60791847</v>
      </c>
      <c r="I6" s="189">
        <f>+'DATOS REGIONALIZADO LOTE 1'!P6</f>
        <v>60791847</v>
      </c>
      <c r="J6" s="189">
        <f>+'DATOS REGIONALIZADO LOTE 1'!Q6</f>
        <v>0</v>
      </c>
      <c r="K6" s="189">
        <f>+'DATOS REGIONALIZADO LOTE 1'!Y6</f>
        <v>60791847</v>
      </c>
      <c r="L6" s="191" t="s">
        <v>114</v>
      </c>
      <c r="M6" s="191" t="s">
        <v>115</v>
      </c>
      <c r="N6" s="191">
        <f>+VLOOKUP(M6,Hoja3!$B$2:$E$8,4,FALSE)</f>
        <v>465218379</v>
      </c>
      <c r="O6" s="191">
        <f>+N6-K6</f>
        <v>404426532</v>
      </c>
      <c r="P6" s="212" t="str">
        <f>+VLOOKUP(M6,Hoja3!$B$2:$D$8,3,FALSE)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6" s="191">
        <f>+K6</f>
        <v>60791847</v>
      </c>
      <c r="R6" s="191"/>
      <c r="S6" s="191"/>
      <c r="T6" s="191"/>
      <c r="U6" s="191"/>
      <c r="V6" s="191"/>
      <c r="W6" s="191"/>
      <c r="X6" s="191"/>
      <c r="Y6" s="191"/>
      <c r="Z6" s="191"/>
      <c r="AA6" s="192" t="s">
        <v>65</v>
      </c>
      <c r="AB6" s="197" t="s">
        <v>18</v>
      </c>
      <c r="AC6" s="197">
        <f>+'DATOS REGIONALIZADO LOTE 2'!Q7</f>
        <v>46301988</v>
      </c>
      <c r="AD6" s="197"/>
      <c r="AE6" s="197"/>
      <c r="AF6" s="198" t="b">
        <f>+EXACT(AC6,AE6)</f>
        <v>0</v>
      </c>
      <c r="AG6" s="193"/>
      <c r="AH6" s="194"/>
      <c r="AI6" s="194"/>
      <c r="AJ6" s="194"/>
      <c r="AK6" s="194"/>
      <c r="AL6" s="194"/>
      <c r="AM6" s="194"/>
      <c r="AN6" s="194"/>
    </row>
    <row r="7" spans="1:40" ht="50.65" hidden="1" customHeight="1" x14ac:dyDescent="0.25">
      <c r="A7" s="95">
        <f>+'DATOS REGIONALIZADO LOTE 1'!A7</f>
        <v>1</v>
      </c>
      <c r="B7" s="95">
        <f>+'DATOS REGIONALIZADO LOTE 1'!B7</f>
        <v>3</v>
      </c>
      <c r="C7" s="111" t="str">
        <f>+'DATOS REGIONALIZADO LOTE 1'!C7</f>
        <v>CABINAS EXTRACTORAS PARA EL LABORATORIO DE EVIDENCIA TRAZA  DE LA REGIONAL BOGOTA</v>
      </c>
      <c r="D7" s="95" t="str">
        <f>+'DATOS REGIONALIZADO LOTE 1'!D7</f>
        <v>UNIDAD</v>
      </c>
      <c r="E7" s="95">
        <f>+'DATOS REGIONALIZADO LOTE 1'!E7</f>
        <v>3</v>
      </c>
      <c r="F7" s="95">
        <f>+'DATOS REGIONALIZADO LOTE 1'!F7</f>
        <v>0</v>
      </c>
      <c r="G7" s="95">
        <f>+'DATOS REGIONALIZADO LOTE 1'!N7</f>
        <v>3</v>
      </c>
      <c r="H7" s="95">
        <f>+'DATOS REGIONALIZADO LOTE 1'!O7</f>
        <v>55298393</v>
      </c>
      <c r="I7" s="95">
        <f>+'DATOS REGIONALIZADO LOTE 1'!P7</f>
        <v>165895179</v>
      </c>
      <c r="J7" s="95">
        <f>+'DATOS REGIONALIZADO LOTE 1'!Q7</f>
        <v>0</v>
      </c>
      <c r="K7" s="95">
        <f>+'DATOS REGIONALIZADO LOTE 1'!Y7</f>
        <v>165895179</v>
      </c>
      <c r="L7" s="87" t="s">
        <v>112</v>
      </c>
      <c r="M7" s="87" t="s">
        <v>113</v>
      </c>
      <c r="N7" s="191">
        <f>+O5</f>
        <v>261925427</v>
      </c>
      <c r="O7" s="191">
        <f t="shared" ref="O7:O32" si="2">+N7-K7</f>
        <v>96030248</v>
      </c>
      <c r="P7" s="212" t="str">
        <f>+VLOOKUP(M7,Hoja3!$B$2:$D$8,3,FALSE)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Q7" s="87">
        <f>+K7</f>
        <v>165895179</v>
      </c>
      <c r="R7" s="87"/>
      <c r="S7" s="87"/>
      <c r="T7" s="87"/>
      <c r="U7" s="87"/>
      <c r="V7" s="87"/>
      <c r="W7" s="87"/>
      <c r="X7" s="87"/>
      <c r="Y7" s="87"/>
      <c r="Z7" s="87"/>
      <c r="AA7" s="108" t="s">
        <v>66</v>
      </c>
      <c r="AB7" s="109" t="s">
        <v>57</v>
      </c>
      <c r="AC7" s="109">
        <f>+Tabla34[[#This Row],[VALOR TOTAL]]</f>
        <v>668421095</v>
      </c>
      <c r="AD7" s="109">
        <f>+Tabla379[[#This Row],[VALOR TOTAL]]+AC8</f>
        <v>668421095</v>
      </c>
      <c r="AE7" s="100"/>
      <c r="AF7" s="92" t="b">
        <f>+EXACT(AC7,AE7)</f>
        <v>0</v>
      </c>
      <c r="AG7" s="82"/>
      <c r="AH7" s="83"/>
      <c r="AI7" s="83"/>
      <c r="AJ7" s="83"/>
      <c r="AK7" s="83"/>
      <c r="AL7" s="83"/>
      <c r="AM7" s="83"/>
      <c r="AN7" s="83"/>
    </row>
    <row r="8" spans="1:40" ht="63" hidden="1" customHeight="1" x14ac:dyDescent="0.25">
      <c r="A8" s="95">
        <f>+'DATOS REGIONALIZADO LOTE 1'!A8</f>
        <v>1</v>
      </c>
      <c r="B8" s="95">
        <f>+'DATOS REGIONALIZADO LOTE 1'!B8</f>
        <v>4</v>
      </c>
      <c r="C8" s="112" t="str">
        <f>+'DATOS REGIONALIZADO LOTE 1'!C8</f>
        <v>CABINA EXTRACTORA PARA EL LABORATORIO DE GENÉTICA DE LA REGIONAL BOGOTA</v>
      </c>
      <c r="D8" s="95" t="str">
        <f>+'DATOS REGIONALIZADO LOTE 1'!D8</f>
        <v>UNIDAD</v>
      </c>
      <c r="E8" s="95">
        <f>+'DATOS REGIONALIZADO LOTE 1'!E8</f>
        <v>1</v>
      </c>
      <c r="F8" s="95">
        <f>+'DATOS REGIONALIZADO LOTE 1'!F8</f>
        <v>0</v>
      </c>
      <c r="G8" s="95">
        <f>+'DATOS REGIONALIZADO LOTE 1'!N8</f>
        <v>1</v>
      </c>
      <c r="H8" s="95">
        <f>+'DATOS REGIONALIZADO LOTE 1'!O8</f>
        <v>54100886</v>
      </c>
      <c r="I8" s="95">
        <f>+'DATOS REGIONALIZADO LOTE 1'!P8</f>
        <v>54100886</v>
      </c>
      <c r="J8" s="95">
        <f>+'DATOS REGIONALIZADO LOTE 1'!Q8</f>
        <v>0</v>
      </c>
      <c r="K8" s="95">
        <f>+'DATOS REGIONALIZADO LOTE 1'!Y8</f>
        <v>54100886</v>
      </c>
      <c r="L8" s="87" t="s">
        <v>74</v>
      </c>
      <c r="M8" s="87" t="s">
        <v>116</v>
      </c>
      <c r="N8" s="191">
        <f>+VLOOKUP(M8,Hoja3!$B$2:$E$8,4,FALSE)</f>
        <v>100920000</v>
      </c>
      <c r="O8" s="191">
        <f t="shared" si="2"/>
        <v>46819114</v>
      </c>
      <c r="P8" s="212" t="str">
        <f>+VLOOKUP(M8,Hoja3!$B$2:$D$8,3,FALSE)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Q8" s="87">
        <f>+K8</f>
        <v>54100886</v>
      </c>
      <c r="R8" s="87"/>
      <c r="S8" s="87"/>
      <c r="T8" s="87"/>
      <c r="U8" s="87"/>
      <c r="V8" s="87"/>
      <c r="W8" s="87"/>
      <c r="X8" s="87"/>
      <c r="Y8" s="87"/>
      <c r="Z8" s="87"/>
      <c r="AA8" s="108" t="s">
        <v>67</v>
      </c>
      <c r="AB8" s="109" t="s">
        <v>18</v>
      </c>
      <c r="AC8" s="109">
        <f>+Tabla34[[#This Row],[VALOR TOTAL]]</f>
        <v>0</v>
      </c>
      <c r="AD8" s="109"/>
      <c r="AE8" s="100"/>
      <c r="AF8" s="92" t="b">
        <f>+EXACT(AC8,AE8)</f>
        <v>0</v>
      </c>
      <c r="AG8" s="82"/>
      <c r="AH8" s="83"/>
      <c r="AI8" s="83"/>
      <c r="AJ8" s="83"/>
      <c r="AK8" s="83"/>
      <c r="AL8" s="83"/>
      <c r="AM8" s="83"/>
      <c r="AN8" s="83"/>
    </row>
    <row r="9" spans="1:40" ht="56.25" customHeight="1" x14ac:dyDescent="0.25">
      <c r="A9" s="95">
        <f>+'DATOS REGIONALIZADO LOTE 1'!A9</f>
        <v>1</v>
      </c>
      <c r="B9" s="95">
        <f>+'DATOS REGIONALIZADO LOTE 1'!B9</f>
        <v>5</v>
      </c>
      <c r="C9" s="112" t="str">
        <f>+'DATOS REGIONALIZADO LOTE 1'!C9</f>
        <v>CABINA DE SEGURIDAD BIOLÓGICA CLASE II TIPO II PARA EL LABORATORIO DE GENÉTICA VILLAVICENCIO</v>
      </c>
      <c r="D9" s="95" t="str">
        <f>+'DATOS REGIONALIZADO LOTE 1'!D9</f>
        <v>UNIDAD</v>
      </c>
      <c r="E9" s="95">
        <f>+'DATOS REGIONALIZADO LOTE 1'!E9</f>
        <v>0</v>
      </c>
      <c r="F9" s="95">
        <f>+'DATOS REGIONALIZADO LOTE 1'!F9</f>
        <v>1</v>
      </c>
      <c r="G9" s="95">
        <f>+'DATOS REGIONALIZADO LOTE 1'!N9</f>
        <v>1</v>
      </c>
      <c r="H9" s="95">
        <f>+'DATOS REGIONALIZADO LOTE 1'!O9</f>
        <v>43091313</v>
      </c>
      <c r="I9" s="95">
        <f>+'DATOS REGIONALIZADO LOTE 1'!P9</f>
        <v>0</v>
      </c>
      <c r="J9" s="95">
        <f>+'DATOS REGIONALIZADO LOTE 1'!Q9</f>
        <v>43091313</v>
      </c>
      <c r="K9" s="189">
        <f>+'DATOS REGIONALIZADO LOTE 1'!Y9</f>
        <v>43091313</v>
      </c>
      <c r="L9" s="87" t="s">
        <v>74</v>
      </c>
      <c r="M9" s="87" t="s">
        <v>117</v>
      </c>
      <c r="N9" s="191">
        <f>+VLOOKUP(M9,Hoja3!$B$2:$E$8,4,FALSE)</f>
        <v>300000000</v>
      </c>
      <c r="O9" s="191">
        <f>+N9-K9</f>
        <v>256908687</v>
      </c>
      <c r="P9" s="212" t="str">
        <f>+VLOOKUP(M9,Hoja3!$B$2:$D$8,3,FALSE)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Q9" s="87">
        <f>+J9</f>
        <v>43091313</v>
      </c>
      <c r="R9" s="87"/>
      <c r="S9" s="87"/>
      <c r="T9" s="87"/>
      <c r="U9" s="87"/>
      <c r="V9" s="87"/>
      <c r="W9" s="87"/>
      <c r="X9" s="87"/>
      <c r="Y9" s="87"/>
      <c r="Z9" s="87"/>
      <c r="AA9" s="99" t="s">
        <v>68</v>
      </c>
      <c r="AB9" s="100" t="s">
        <v>57</v>
      </c>
      <c r="AC9" s="100">
        <f>+'DATOS REGIONALIZADO LOTE 4 tota'!AB7</f>
        <v>328507571</v>
      </c>
      <c r="AD9" s="100">
        <f>+Tabla379[[#This Row],[VALOR TOTAL]]+AC10</f>
        <v>548261931</v>
      </c>
      <c r="AE9" s="100"/>
      <c r="AF9" s="92" t="b">
        <f t="shared" ref="AF9:AF10" si="3">+EXACT(AC9,AE9)</f>
        <v>0</v>
      </c>
      <c r="AG9" s="82"/>
      <c r="AH9" s="83"/>
      <c r="AI9" s="83"/>
      <c r="AJ9" s="83"/>
      <c r="AK9" s="83"/>
      <c r="AL9" s="83"/>
      <c r="AM9" s="83"/>
      <c r="AN9" s="83"/>
    </row>
    <row r="10" spans="1:40" ht="54.75" customHeight="1" x14ac:dyDescent="0.25">
      <c r="A10" s="95">
        <f>+'DATOS REGIONALIZADO LOTE 2'!A5</f>
        <v>2</v>
      </c>
      <c r="B10" s="95">
        <f>+'DATOS REGIONALIZADO LOTE 2'!B5</f>
        <v>6</v>
      </c>
      <c r="C10" s="111" t="str">
        <f>+'DATOS REGIONALIZADO LOTE 2'!C5</f>
        <v>MICROSCOPIO ÓPTICO TRINOCULAR</v>
      </c>
      <c r="D10" s="95" t="str">
        <f>+'DATOS REGIONALIZADO LOTE 2'!D5</f>
        <v>UNIDAD</v>
      </c>
      <c r="E10" s="95">
        <f>+'DATOS REGIONALIZADO LOTE 2'!E5</f>
        <v>0</v>
      </c>
      <c r="F10" s="95">
        <f>+'DATOS REGIONALIZADO LOTE 2'!F5</f>
        <v>1</v>
      </c>
      <c r="G10" s="95">
        <f>+'DATOS REGIONALIZADO LOTE 2'!N5</f>
        <v>1</v>
      </c>
      <c r="H10" s="95">
        <f>+'DATOS REGIONALIZADO LOTE 2'!O5</f>
        <v>46301988</v>
      </c>
      <c r="I10" s="95">
        <f>+'DATOS REGIONALIZADO LOTE 2'!P5</f>
        <v>0</v>
      </c>
      <c r="J10" s="95">
        <f>+'DATOS REGIONALIZADO LOTE 2'!Q5</f>
        <v>46301988</v>
      </c>
      <c r="K10" s="95">
        <f>+'DATOS REGIONALIZADO LOTE 2'!Y5</f>
        <v>46301988</v>
      </c>
      <c r="L10" s="87" t="s">
        <v>112</v>
      </c>
      <c r="M10" s="87" t="s">
        <v>118</v>
      </c>
      <c r="N10" s="191">
        <f>+VLOOKUP(M10,Hoja3!$B$2:$E$8,4,FALSE)</f>
        <v>98308640</v>
      </c>
      <c r="O10" s="191">
        <f t="shared" si="2"/>
        <v>52006652</v>
      </c>
      <c r="P10" s="212" t="str">
        <f>+VLOOKUP(M10,Hoja3!$B$2:$D$8,3,FALSE)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10" s="87">
        <f>+K10</f>
        <v>46301988</v>
      </c>
      <c r="R10" s="87"/>
      <c r="S10" s="87"/>
      <c r="T10" s="87"/>
      <c r="U10" s="87"/>
      <c r="V10" s="87"/>
      <c r="W10" s="87"/>
      <c r="X10" s="87"/>
      <c r="Y10" s="87"/>
      <c r="Z10" s="87"/>
      <c r="AA10" s="99" t="s">
        <v>69</v>
      </c>
      <c r="AB10" s="100" t="s">
        <v>18</v>
      </c>
      <c r="AC10" s="100">
        <f>+'DATOS REGIONALIZADO LOTE 4 tota'!AB8</f>
        <v>219754360</v>
      </c>
      <c r="AD10" s="100"/>
      <c r="AE10" s="100"/>
      <c r="AF10" s="92" t="b">
        <f t="shared" si="3"/>
        <v>0</v>
      </c>
      <c r="AG10" s="82"/>
      <c r="AH10" s="83"/>
      <c r="AI10" s="83"/>
      <c r="AJ10" s="83"/>
      <c r="AK10" s="83"/>
      <c r="AL10" s="83"/>
      <c r="AM10" s="83"/>
      <c r="AN10" s="83"/>
    </row>
    <row r="11" spans="1:40" s="195" customFormat="1" ht="45" x14ac:dyDescent="0.25">
      <c r="A11" s="189">
        <f>+'DATOS REGIONALIZADO LOTE 2'!A6</f>
        <v>2</v>
      </c>
      <c r="B11" s="189">
        <f>+'DATOS REGIONALIZADO LOTE 2'!B6</f>
        <v>7</v>
      </c>
      <c r="C11" s="190" t="str">
        <f>+'DATOS REGIONALIZADO LOTE 2'!C6</f>
        <v xml:space="preserve">Estereomicroscopio  con camara </v>
      </c>
      <c r="D11" s="189" t="str">
        <f>+'DATOS REGIONALIZADO LOTE 2'!D6</f>
        <v>UNIDAD</v>
      </c>
      <c r="E11" s="189">
        <f>+'DATOS REGIONALIZADO LOTE 2'!E6</f>
        <v>1</v>
      </c>
      <c r="F11" s="189">
        <f>+'DATOS REGIONALIZADO LOTE 2'!F6</f>
        <v>0</v>
      </c>
      <c r="G11" s="189">
        <f>+'DATOS REGIONALIZADO LOTE 2'!N6</f>
        <v>1</v>
      </c>
      <c r="H11" s="189">
        <f>+'DATOS REGIONALIZADO LOTE 2'!O6</f>
        <v>161915416</v>
      </c>
      <c r="I11" s="189">
        <f>+'DATOS REGIONALIZADO LOTE 2'!P6</f>
        <v>161915416</v>
      </c>
      <c r="J11" s="189">
        <f>+'DATOS REGIONALIZADO LOTE 2'!Q6</f>
        <v>0</v>
      </c>
      <c r="K11" s="189">
        <f>+'DATOS REGIONALIZADO LOTE 2'!Y6</f>
        <v>161915416</v>
      </c>
      <c r="L11" s="191" t="s">
        <v>114</v>
      </c>
      <c r="M11" s="191" t="s">
        <v>115</v>
      </c>
      <c r="N11" s="191">
        <f>+O6</f>
        <v>404426532</v>
      </c>
      <c r="O11" s="191">
        <f t="shared" si="2"/>
        <v>242511116</v>
      </c>
      <c r="P11" s="212" t="str">
        <f>+VLOOKUP(M11,Hoja3!$B$2:$D$8,3,FALSE)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11" s="195">
        <f>+K11</f>
        <v>161915416</v>
      </c>
      <c r="S11" s="191"/>
      <c r="T11" s="191"/>
      <c r="U11" s="191"/>
      <c r="V11" s="191"/>
      <c r="W11" s="191"/>
      <c r="X11" s="191"/>
      <c r="Y11" s="191"/>
      <c r="Z11" s="191"/>
      <c r="AA11" s="192" t="s">
        <v>70</v>
      </c>
      <c r="AB11" s="197" t="s">
        <v>57</v>
      </c>
      <c r="AC11" s="197" t="e">
        <f>+Tabla36[[#This Row],[VALOR TOTAL]]</f>
        <v>#VALUE!</v>
      </c>
      <c r="AD11" s="197" t="e">
        <f>+Tabla379[[#This Row],[VALOR TOTAL]]+AC12</f>
        <v>#VALUE!</v>
      </c>
      <c r="AE11" s="197"/>
      <c r="AF11" s="198" t="e">
        <f>+EXACT(AC11,AE11)</f>
        <v>#VALUE!</v>
      </c>
      <c r="AG11" s="193"/>
      <c r="AH11" s="194"/>
      <c r="AI11" s="194"/>
      <c r="AJ11" s="194"/>
      <c r="AK11" s="194"/>
      <c r="AL11" s="194"/>
      <c r="AM11" s="194"/>
      <c r="AN11" s="194"/>
    </row>
    <row r="12" spans="1:40" s="195" customFormat="1" ht="15" hidden="1" x14ac:dyDescent="0.25">
      <c r="A12" s="189">
        <f>+'DATOS REGIONALIZADO LOTE 3'!A5</f>
        <v>3</v>
      </c>
      <c r="B12" s="189">
        <f>+'DATOS REGIONALIZADO LOTE 3'!B5</f>
        <v>8</v>
      </c>
      <c r="C12" s="190" t="str">
        <f>+'DATOS REGIONALIZADO LOTE 3'!C5</f>
        <v xml:space="preserve">Baño De Flotación  </v>
      </c>
      <c r="D12" s="189" t="str">
        <f>+'DATOS REGIONALIZADO LOTE 3'!D5</f>
        <v>UNIDAD</v>
      </c>
      <c r="E12" s="189">
        <f>+'DATOS REGIONALIZADO LOTE 3'!E5</f>
        <v>1</v>
      </c>
      <c r="F12" s="189">
        <f>+'DATOS REGIONALIZADO LOTE 3'!F5</f>
        <v>0</v>
      </c>
      <c r="G12" s="189">
        <f>+'DATOS REGIONALIZADO LOTE 3'!N5</f>
        <v>1</v>
      </c>
      <c r="H12" s="189">
        <f>+'DATOS REGIONALIZADO LOTE 3'!O5</f>
        <v>7329714</v>
      </c>
      <c r="I12" s="189">
        <f>+'DATOS REGIONALIZADO LOTE 3'!P5</f>
        <v>7329714</v>
      </c>
      <c r="J12" s="189">
        <f>+'DATOS REGIONALIZADO LOTE 3'!Q5</f>
        <v>0</v>
      </c>
      <c r="K12" s="189">
        <f>+'DATOS REGIONALIZADO LOTE 3'!Y5</f>
        <v>7329714</v>
      </c>
      <c r="L12" s="191" t="s">
        <v>114</v>
      </c>
      <c r="M12" s="191" t="s">
        <v>119</v>
      </c>
      <c r="N12" s="191" t="e">
        <f>+VLOOKUP(M12,Hoja3!$B$2:$E$8,4,FALSE)</f>
        <v>#N/A</v>
      </c>
      <c r="O12" s="191" t="e">
        <f t="shared" si="2"/>
        <v>#N/A</v>
      </c>
      <c r="P12" s="221" t="e">
        <f>+VLOOKUP(M12,Hoja3!$B$2:$D$8,3,FALSE)</f>
        <v>#N/A</v>
      </c>
      <c r="Q12" s="191">
        <f>+K12</f>
        <v>7329714</v>
      </c>
      <c r="R12" s="191"/>
      <c r="S12" s="191"/>
      <c r="T12" s="191"/>
      <c r="U12" s="191"/>
      <c r="V12" s="191"/>
      <c r="W12" s="191"/>
      <c r="X12" s="191"/>
      <c r="Y12" s="191"/>
      <c r="Z12" s="191"/>
      <c r="AA12" s="192" t="s">
        <v>70</v>
      </c>
      <c r="AB12" s="197" t="s">
        <v>18</v>
      </c>
      <c r="AC12" s="197" t="e">
        <f>+Tabla36[[#This Row],[VALOR TOTAL]]</f>
        <v>#VALUE!</v>
      </c>
      <c r="AD12" s="197"/>
      <c r="AE12" s="197"/>
      <c r="AF12" s="198" t="e">
        <f>+EXACT(AC12,AE12)</f>
        <v>#VALUE!</v>
      </c>
      <c r="AG12" s="193"/>
      <c r="AH12" s="194"/>
      <c r="AI12" s="194"/>
      <c r="AJ12" s="194"/>
      <c r="AK12" s="194"/>
      <c r="AL12" s="194"/>
      <c r="AM12" s="194"/>
      <c r="AN12" s="194"/>
    </row>
    <row r="13" spans="1:40" s="195" customFormat="1" ht="45" x14ac:dyDescent="0.25">
      <c r="A13" s="189">
        <f>+'DATOS REGIONALIZADO LOTE 3'!A6</f>
        <v>3</v>
      </c>
      <c r="B13" s="189">
        <f>+'DATOS REGIONALIZADO LOTE 3'!B6</f>
        <v>9</v>
      </c>
      <c r="C13" s="190" t="str">
        <f>+'DATOS REGIONALIZADO LOTE 3'!C6</f>
        <v xml:space="preserve">Central De Inclusión </v>
      </c>
      <c r="D13" s="189" t="str">
        <f>+'DATOS REGIONALIZADO LOTE 3'!D6</f>
        <v>UNIDAD</v>
      </c>
      <c r="E13" s="189">
        <f>+'DATOS REGIONALIZADO LOTE 3'!E6</f>
        <v>1</v>
      </c>
      <c r="F13" s="189">
        <f>+'DATOS REGIONALIZADO LOTE 3'!F6</f>
        <v>0</v>
      </c>
      <c r="G13" s="189">
        <f>+'DATOS REGIONALIZADO LOTE 3'!N6</f>
        <v>1</v>
      </c>
      <c r="H13" s="189">
        <f>+'DATOS REGIONALIZADO LOTE 3'!O6</f>
        <v>101320276</v>
      </c>
      <c r="I13" s="189">
        <f>+'DATOS REGIONALIZADO LOTE 3'!P6</f>
        <v>101320276</v>
      </c>
      <c r="J13" s="189">
        <f>+'DATOS REGIONALIZADO LOTE 3'!Q6</f>
        <v>0</v>
      </c>
      <c r="K13" s="189">
        <f>+'DATOS REGIONALIZADO LOTE 3'!Y6</f>
        <v>101320276</v>
      </c>
      <c r="L13" s="191" t="s">
        <v>114</v>
      </c>
      <c r="M13" s="191" t="s">
        <v>115</v>
      </c>
      <c r="N13" s="191">
        <f>+O11</f>
        <v>242511116</v>
      </c>
      <c r="O13" s="191">
        <f t="shared" si="2"/>
        <v>141190840</v>
      </c>
      <c r="P13" s="212" t="str">
        <f>+VLOOKUP(M13,Hoja3!$B$2:$D$8,3,FALSE)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13" s="191">
        <f>+K13</f>
        <v>101320276</v>
      </c>
      <c r="R13" s="191"/>
      <c r="S13" s="191"/>
      <c r="T13" s="191"/>
      <c r="U13" s="191"/>
      <c r="V13" s="191"/>
      <c r="W13" s="191"/>
      <c r="X13" s="191"/>
      <c r="Y13" s="191"/>
      <c r="Z13" s="191"/>
      <c r="AA13" s="192"/>
      <c r="AB13" s="196" t="s">
        <v>71</v>
      </c>
      <c r="AC13" s="196" t="e">
        <f>+SUM(AC3:AC12)</f>
        <v>#VALUE!</v>
      </c>
      <c r="AD13" s="196" t="e">
        <f>+SUM(AD3:AD12)</f>
        <v>#VALUE!</v>
      </c>
      <c r="AE13" s="197">
        <f>+K34</f>
        <v>2516493785</v>
      </c>
      <c r="AF13" s="198" t="e">
        <f t="shared" si="1"/>
        <v>#VALUE!</v>
      </c>
      <c r="AG13" s="193"/>
      <c r="AH13" s="194"/>
      <c r="AI13" s="194"/>
      <c r="AJ13" s="194"/>
      <c r="AK13" s="194"/>
      <c r="AL13" s="194"/>
      <c r="AM13" s="194"/>
      <c r="AN13" s="194"/>
    </row>
    <row r="14" spans="1:40" s="195" customFormat="1" ht="11.25" hidden="1" x14ac:dyDescent="0.25">
      <c r="A14" s="189">
        <f>+'DATOS REGIONALIZADO LOTE 3'!A7</f>
        <v>3</v>
      </c>
      <c r="B14" s="189">
        <f>+'DATOS REGIONALIZADO LOTE 3'!B7</f>
        <v>10</v>
      </c>
      <c r="C14" s="190" t="str">
        <f>+'DATOS REGIONALIZADO LOTE 3'!C7</f>
        <v>Criostato</v>
      </c>
      <c r="D14" s="189" t="str">
        <f>+'DATOS REGIONALIZADO LOTE 3'!D7</f>
        <v>UNIDAD</v>
      </c>
      <c r="E14" s="189">
        <f>+'DATOS REGIONALIZADO LOTE 3'!E7</f>
        <v>1</v>
      </c>
      <c r="F14" s="189">
        <f>+'DATOS REGIONALIZADO LOTE 3'!F7</f>
        <v>0</v>
      </c>
      <c r="G14" s="189">
        <f>+'DATOS REGIONALIZADO LOTE 3'!N7</f>
        <v>1</v>
      </c>
      <c r="H14" s="189">
        <f>+'DATOS REGIONALIZADO LOTE 3'!O7</f>
        <v>179604981</v>
      </c>
      <c r="I14" s="189">
        <f>+'DATOS REGIONALIZADO LOTE 3'!P7</f>
        <v>179604981</v>
      </c>
      <c r="J14" s="189">
        <f>+'DATOS REGIONALIZADO LOTE 3'!Q7</f>
        <v>0</v>
      </c>
      <c r="K14" s="189">
        <f>+'DATOS REGIONALIZADO LOTE 3'!Y7</f>
        <v>179604981</v>
      </c>
      <c r="L14" s="191" t="s">
        <v>114</v>
      </c>
      <c r="M14" s="191" t="s">
        <v>119</v>
      </c>
      <c r="N14" s="191" t="e">
        <f>+O12</f>
        <v>#N/A</v>
      </c>
      <c r="O14" s="191" t="e">
        <f t="shared" si="2"/>
        <v>#N/A</v>
      </c>
      <c r="P14" s="212" t="e">
        <f>+VLOOKUP(M14,Hoja3!$B$2:$D$8,3,FALSE)</f>
        <v>#N/A</v>
      </c>
      <c r="Q14" s="191">
        <f>+K14</f>
        <v>179604981</v>
      </c>
      <c r="R14" s="191"/>
      <c r="S14" s="191"/>
      <c r="T14" s="191"/>
      <c r="U14" s="191"/>
      <c r="V14" s="191"/>
      <c r="W14" s="191"/>
      <c r="X14" s="191"/>
      <c r="Y14" s="191"/>
      <c r="Z14" s="191"/>
      <c r="AA14" s="193"/>
      <c r="AB14" s="199"/>
      <c r="AC14" s="199"/>
      <c r="AD14" s="199"/>
      <c r="AE14" s="199"/>
      <c r="AF14" s="199"/>
      <c r="AG14" s="194"/>
      <c r="AH14" s="194"/>
      <c r="AI14" s="194"/>
      <c r="AJ14" s="194"/>
      <c r="AK14" s="194"/>
      <c r="AL14" s="194"/>
      <c r="AM14" s="194"/>
      <c r="AN14" s="194"/>
    </row>
    <row r="15" spans="1:40" s="195" customFormat="1" ht="99.75" hidden="1" customHeight="1" x14ac:dyDescent="0.25">
      <c r="A15" s="189">
        <f>+'DATOS REGIONALIZADO LOTE 3'!A8</f>
        <v>3</v>
      </c>
      <c r="B15" s="189">
        <f>+'DATOS REGIONALIZADO LOTE 3'!B8</f>
        <v>11</v>
      </c>
      <c r="C15" s="190" t="str">
        <f>+'DATOS REGIONALIZADO LOTE 3'!C8</f>
        <v xml:space="preserve">Micrótomo Motorizado </v>
      </c>
      <c r="D15" s="189" t="str">
        <f>+'DATOS REGIONALIZADO LOTE 3'!D8</f>
        <v>UNIDAD</v>
      </c>
      <c r="E15" s="189">
        <f>+'DATOS REGIONALIZADO LOTE 3'!E8</f>
        <v>1</v>
      </c>
      <c r="F15" s="189">
        <f>+'DATOS REGIONALIZADO LOTE 3'!F8</f>
        <v>0</v>
      </c>
      <c r="G15" s="189">
        <f>+'DATOS REGIONALIZADO LOTE 3'!N8</f>
        <v>1</v>
      </c>
      <c r="H15" s="189">
        <f>+'DATOS REGIONALIZADO LOTE 3'!O8</f>
        <v>133386702</v>
      </c>
      <c r="I15" s="189">
        <f>+'DATOS REGIONALIZADO LOTE 3'!P8</f>
        <v>133386702</v>
      </c>
      <c r="J15" s="189">
        <f>+'DATOS REGIONALIZADO LOTE 3'!Q8</f>
        <v>0</v>
      </c>
      <c r="K15" s="189">
        <f>+'DATOS REGIONALIZADO LOTE 3'!Y8</f>
        <v>133386702</v>
      </c>
      <c r="L15" s="191" t="s">
        <v>114</v>
      </c>
      <c r="M15" s="191" t="s">
        <v>120</v>
      </c>
      <c r="N15" s="191">
        <f>+VLOOKUP(M15,Hoja3!$B$2:$E$8,4,FALSE)</f>
        <v>130000000</v>
      </c>
      <c r="O15" s="191">
        <f t="shared" si="2"/>
        <v>-3386702</v>
      </c>
      <c r="P15" s="212" t="str">
        <f>+VLOOKUP(M15,Hoja3!$B$2:$D$8,3,FALSE)</f>
        <v xml:space="preserve">código Rubro = B-2901-0800-14-20111D-2901006-02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</v>
      </c>
      <c r="Q15" s="191">
        <f>+I15+O15</f>
        <v>130000000</v>
      </c>
      <c r="R15" s="191">
        <f>+O15</f>
        <v>-3386702</v>
      </c>
      <c r="S15" s="191"/>
      <c r="T15" s="191"/>
      <c r="U15" s="191"/>
      <c r="V15" s="191"/>
      <c r="W15" s="191"/>
      <c r="X15" s="191"/>
      <c r="Y15" s="191"/>
      <c r="Z15" s="191"/>
      <c r="AA15" s="193"/>
      <c r="AB15" s="194"/>
      <c r="AC15" s="194"/>
      <c r="AD15" s="194"/>
      <c r="AE15" s="194"/>
      <c r="AF15" s="194"/>
      <c r="AG15" s="194"/>
      <c r="AH15" s="194"/>
      <c r="AI15" s="194"/>
      <c r="AJ15" s="194"/>
      <c r="AK15" s="194"/>
      <c r="AL15" s="194"/>
      <c r="AM15" s="194"/>
      <c r="AN15" s="194"/>
    </row>
    <row r="16" spans="1:40" s="195" customFormat="1" ht="22.5" hidden="1" x14ac:dyDescent="0.25">
      <c r="A16" s="189">
        <f>+'DATOS REGIONALIZADO LOTE 3'!A9</f>
        <v>3</v>
      </c>
      <c r="B16" s="189">
        <f>+'DATOS REGIONALIZADO LOTE 3'!B9</f>
        <v>12</v>
      </c>
      <c r="C16" s="190" t="str">
        <f>+'DATOS REGIONALIZADO LOTE 3'!C9</f>
        <v xml:space="preserve">Procesador de Tejidos automatico cerrado </v>
      </c>
      <c r="D16" s="189" t="str">
        <f>+'DATOS REGIONALIZADO LOTE 3'!D9</f>
        <v>UNIDAD</v>
      </c>
      <c r="E16" s="189">
        <f>+'DATOS REGIONALIZADO LOTE 3'!E9</f>
        <v>1</v>
      </c>
      <c r="F16" s="189">
        <f>+'DATOS REGIONALIZADO LOTE 3'!F9</f>
        <v>0</v>
      </c>
      <c r="G16" s="189">
        <f>+'DATOS REGIONALIZADO LOTE 3'!N9</f>
        <v>1</v>
      </c>
      <c r="H16" s="189">
        <v>113065305</v>
      </c>
      <c r="I16" s="189">
        <f>+H16</f>
        <v>113065305</v>
      </c>
      <c r="J16" s="189">
        <f>+'DATOS REGIONALIZADO LOTE 3'!Q9</f>
        <v>0</v>
      </c>
      <c r="K16" s="189">
        <f>+I16</f>
        <v>113065305</v>
      </c>
      <c r="L16" s="191" t="s">
        <v>114</v>
      </c>
      <c r="M16" s="191" t="s">
        <v>119</v>
      </c>
      <c r="N16" s="191" t="e">
        <f>+O14</f>
        <v>#N/A</v>
      </c>
      <c r="O16" s="191"/>
      <c r="P16" s="212" t="e">
        <f>+VLOOKUP(M16,Hoja3!$B$2:$D$8,3,FALSE)</f>
        <v>#N/A</v>
      </c>
      <c r="Q16" s="191" t="e">
        <f>+N16</f>
        <v>#N/A</v>
      </c>
      <c r="R16" s="191"/>
      <c r="S16" s="191"/>
      <c r="T16" s="191"/>
      <c r="U16" s="191"/>
      <c r="V16" s="191"/>
      <c r="W16" s="191"/>
      <c r="X16" s="191"/>
      <c r="Y16" s="191"/>
      <c r="Z16" s="191"/>
      <c r="AA16" s="193"/>
      <c r="AB16" s="194"/>
      <c r="AC16" s="194"/>
      <c r="AD16" s="194"/>
      <c r="AE16" s="194"/>
      <c r="AF16" s="194"/>
      <c r="AG16" s="194"/>
      <c r="AH16" s="194"/>
      <c r="AI16" s="194"/>
      <c r="AJ16" s="194"/>
      <c r="AK16" s="194"/>
      <c r="AL16" s="194"/>
      <c r="AM16" s="194"/>
      <c r="AN16" s="194"/>
    </row>
    <row r="17" spans="1:40" s="195" customFormat="1" ht="45" x14ac:dyDescent="0.25">
      <c r="A17" s="189">
        <v>3</v>
      </c>
      <c r="B17" s="189">
        <v>12</v>
      </c>
      <c r="C17" s="190" t="s">
        <v>121</v>
      </c>
      <c r="D17" s="189" t="s">
        <v>122</v>
      </c>
      <c r="E17" s="189">
        <v>1</v>
      </c>
      <c r="F17" s="189">
        <v>0</v>
      </c>
      <c r="G17" s="189">
        <v>1</v>
      </c>
      <c r="H17" s="189">
        <v>133714117</v>
      </c>
      <c r="I17" s="189">
        <f>+H17*E17</f>
        <v>133714117</v>
      </c>
      <c r="J17" s="189"/>
      <c r="K17" s="189">
        <f>+I17</f>
        <v>133714117</v>
      </c>
      <c r="L17" s="191" t="s">
        <v>114</v>
      </c>
      <c r="M17" s="191" t="s">
        <v>115</v>
      </c>
      <c r="N17" s="191">
        <f>+O32</f>
        <v>106357695</v>
      </c>
      <c r="O17" s="191">
        <f>+N17-I17</f>
        <v>-27356422</v>
      </c>
      <c r="P17" s="212" t="str">
        <f>+VLOOKUP(M17,Hoja3!$B$2:$D$8,3,FALSE)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17" s="191">
        <f>+N17</f>
        <v>106357695</v>
      </c>
      <c r="R17" s="191">
        <f>+O17</f>
        <v>-27356422</v>
      </c>
      <c r="S17" s="191">
        <f>+Q17-R17</f>
        <v>133714117</v>
      </c>
      <c r="T17" s="191"/>
      <c r="U17" s="191"/>
      <c r="V17" s="191"/>
      <c r="W17" s="191"/>
      <c r="X17" s="191"/>
      <c r="Y17" s="191"/>
      <c r="Z17" s="191"/>
      <c r="AA17" s="193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</row>
    <row r="18" spans="1:40" ht="45" hidden="1" x14ac:dyDescent="0.25">
      <c r="A18" s="95">
        <f>+'DATOS REGIONALIZADO LOTE 4 tota'!A5</f>
        <v>4</v>
      </c>
      <c r="B18" s="95">
        <f>+'DATOS REGIONALIZADO LOTE 4 tota'!B5</f>
        <v>13</v>
      </c>
      <c r="C18" s="114" t="str">
        <f>+'DATOS REGIONALIZADO LOTE 4 tota'!C5</f>
        <v>Baño ultrasónico para uso en laboratorio</v>
      </c>
      <c r="D18" s="95" t="str">
        <f>+'DATOS REGIONALIZADO LOTE 4 tota'!D5</f>
        <v>UNIDAD</v>
      </c>
      <c r="E18" s="95">
        <f>+'DATOS REGIONALIZADO LOTE 4 tota'!E5</f>
        <v>2</v>
      </c>
      <c r="F18" s="95">
        <f>+'DATOS REGIONALIZADO LOTE 4 tota'!F5</f>
        <v>0</v>
      </c>
      <c r="G18" s="95">
        <f>+'DATOS REGIONALIZADO LOTE 4 tota'!N5</f>
        <v>2</v>
      </c>
      <c r="H18" s="95">
        <f>+'DATOS REGIONALIZADO LOTE 4 tota'!O5</f>
        <v>7182643</v>
      </c>
      <c r="I18" s="95">
        <f>+'DATOS REGIONALIZADO LOTE 4 tota'!P5</f>
        <v>14365286</v>
      </c>
      <c r="J18" s="95">
        <f>+'DATOS REGIONALIZADO LOTE 4 tota'!Q5</f>
        <v>0</v>
      </c>
      <c r="K18" s="95">
        <f>+'DATOS REGIONALIZADO LOTE 4 tota'!Y5</f>
        <v>14365286</v>
      </c>
      <c r="L18" s="87" t="s">
        <v>112</v>
      </c>
      <c r="M18" s="87" t="s">
        <v>116</v>
      </c>
      <c r="N18" s="191">
        <f>+O30</f>
        <v>31870016</v>
      </c>
      <c r="O18" s="191">
        <f>+N18-K18</f>
        <v>17504730</v>
      </c>
      <c r="P18" s="212" t="str">
        <f>+VLOOKUP(M18,Hoja3!$B$2:$D$8,3,FALSE)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Q18" s="87">
        <f>+N18</f>
        <v>31870016</v>
      </c>
      <c r="R18" s="87">
        <f>+O18</f>
        <v>17504730</v>
      </c>
      <c r="S18" s="87"/>
      <c r="T18" s="87"/>
      <c r="U18" s="87"/>
      <c r="V18" s="87"/>
      <c r="W18" s="87"/>
      <c r="X18" s="87"/>
      <c r="Y18" s="87"/>
      <c r="Z18" s="87"/>
      <c r="AA18" s="82"/>
      <c r="AB18" s="115" t="s">
        <v>72</v>
      </c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</row>
    <row r="19" spans="1:40" ht="45" x14ac:dyDescent="0.25">
      <c r="A19" s="95">
        <f>+'DATOS REGIONALIZADO LOTE 4 tota'!A6</f>
        <v>4</v>
      </c>
      <c r="B19" s="95">
        <f>+'DATOS REGIONALIZADO LOTE 4 tota'!B6</f>
        <v>14</v>
      </c>
      <c r="C19" s="114" t="str">
        <f>+'DATOS REGIONALIZADO LOTE 4 tota'!C6</f>
        <v>Agitador tipo vórtex para tubos</v>
      </c>
      <c r="D19" s="95" t="str">
        <f>+'DATOS REGIONALIZADO LOTE 4 tota'!D6</f>
        <v>UNIDAD</v>
      </c>
      <c r="E19" s="95">
        <f>+'DATOS REGIONALIZADO LOTE 4 tota'!E6</f>
        <v>0</v>
      </c>
      <c r="F19" s="95">
        <f>+'DATOS REGIONALIZADO LOTE 4 tota'!F6</f>
        <v>2</v>
      </c>
      <c r="G19" s="95">
        <f>+'DATOS REGIONALIZADO LOTE 4 tota'!N6</f>
        <v>2</v>
      </c>
      <c r="H19" s="95">
        <f>+'DATOS REGIONALIZADO LOTE 4 tota'!O6</f>
        <v>2603490</v>
      </c>
      <c r="I19" s="95">
        <f>+'DATOS REGIONALIZADO LOTE 4 tota'!P6</f>
        <v>0</v>
      </c>
      <c r="J19" s="95">
        <f>+'DATOS REGIONALIZADO LOTE 4 tota'!Q6</f>
        <v>5206980</v>
      </c>
      <c r="K19" s="95">
        <f>+'DATOS REGIONALIZADO LOTE 4 tota'!Y6</f>
        <v>5206980</v>
      </c>
      <c r="L19" s="87" t="s">
        <v>112</v>
      </c>
      <c r="M19" s="87" t="s">
        <v>118</v>
      </c>
      <c r="N19" s="191">
        <f>+O10</f>
        <v>52006652</v>
      </c>
      <c r="O19" s="191">
        <f>+N19-K19</f>
        <v>46799672</v>
      </c>
      <c r="P19" s="212" t="str">
        <f>+VLOOKUP(M19,Hoja3!$B$2:$D$8,3,FALSE)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19" s="87">
        <f>+K19</f>
        <v>5206980</v>
      </c>
      <c r="R19" s="87"/>
      <c r="S19" s="87"/>
      <c r="T19" s="87"/>
      <c r="U19" s="87"/>
      <c r="V19" s="87"/>
      <c r="W19" s="87"/>
      <c r="X19" s="87"/>
      <c r="Y19" s="87"/>
      <c r="Z19" s="87"/>
      <c r="AA19" s="82"/>
      <c r="AB19" s="116" t="s">
        <v>73</v>
      </c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</row>
    <row r="20" spans="1:40" ht="45" x14ac:dyDescent="0.25">
      <c r="A20" s="95">
        <f>+'DATOS REGIONALIZADO LOTE 4 tota'!A7</f>
        <v>8</v>
      </c>
      <c r="B20" s="95">
        <f>+'DATOS REGIONALIZADO LOTE 4 tota'!B7</f>
        <v>23</v>
      </c>
      <c r="C20" s="112" t="str">
        <f>+'DATOS REGIONALIZADO LOTE 4 tota'!C7</f>
        <v>Homogenizador de tejidos, vertical con vástago:</v>
      </c>
      <c r="D20" s="95" t="str">
        <f>+'DATOS REGIONALIZADO LOTE 4 tota'!D7</f>
        <v>UNIDAD</v>
      </c>
      <c r="E20" s="95">
        <f>+'DATOS REGIONALIZADO LOTE 4 tota'!E7</f>
        <v>1</v>
      </c>
      <c r="F20" s="95">
        <f>+'DATOS REGIONALIZADO LOTE 4 tota'!F7</f>
        <v>0</v>
      </c>
      <c r="G20" s="95">
        <f>+'DATOS REGIONALIZADO LOTE 4 tota'!N7</f>
        <v>1</v>
      </c>
      <c r="H20" s="95">
        <f>+'DATOS REGIONALIZADO LOTE 4 tota'!O7</f>
        <v>19454635</v>
      </c>
      <c r="I20" s="95">
        <f>+'DATOS REGIONALIZADO LOTE 4 tota'!P7</f>
        <v>19454635</v>
      </c>
      <c r="J20" s="95">
        <f>+'DATOS REGIONALIZADO LOTE 4 tota'!Q7</f>
        <v>0</v>
      </c>
      <c r="K20" s="189">
        <f>+'DATOS REGIONALIZADO LOTE 4 tota'!Y7</f>
        <v>19454635</v>
      </c>
      <c r="L20" s="87" t="s">
        <v>74</v>
      </c>
      <c r="M20" s="87" t="s">
        <v>117</v>
      </c>
      <c r="N20" s="191">
        <f>+O9</f>
        <v>256908687</v>
      </c>
      <c r="O20" s="191">
        <f>+N20-K20</f>
        <v>237454052</v>
      </c>
      <c r="P20" s="212" t="str">
        <f>+VLOOKUP(M20,Hoja3!$B$2:$D$8,3,FALSE)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Q20" s="87">
        <f>+I20</f>
        <v>19454635</v>
      </c>
      <c r="R20" s="87"/>
      <c r="S20" s="87"/>
      <c r="T20" s="87"/>
      <c r="U20" s="87"/>
      <c r="V20" s="87"/>
      <c r="W20" s="87"/>
      <c r="X20" s="87"/>
      <c r="Y20" s="87"/>
      <c r="Z20" s="87"/>
      <c r="AA20" s="82"/>
      <c r="AB20" s="117" t="s">
        <v>74</v>
      </c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</row>
    <row r="21" spans="1:40" ht="45" x14ac:dyDescent="0.25">
      <c r="A21" s="95">
        <f>+'DATOS REGIONALIZADO LOTE 4 tota'!A8</f>
        <v>8</v>
      </c>
      <c r="B21" s="95">
        <f>+'DATOS REGIONALIZADO LOTE 4 tota'!B8</f>
        <v>24</v>
      </c>
      <c r="C21" s="114" t="str">
        <f>+'DATOS REGIONALIZADO LOTE 4 tota'!C8</f>
        <v xml:space="preserve">Vórtex multiprobeta / multitubo: </v>
      </c>
      <c r="D21" s="95" t="str">
        <f>+'DATOS REGIONALIZADO LOTE 4 tota'!D8</f>
        <v>UNIDAD</v>
      </c>
      <c r="E21" s="95">
        <f>+'DATOS REGIONALIZADO LOTE 4 tota'!E8</f>
        <v>3</v>
      </c>
      <c r="F21" s="95">
        <f>+'DATOS REGIONALIZADO LOTE 4 tota'!F8</f>
        <v>0</v>
      </c>
      <c r="G21" s="95">
        <f>+'DATOS REGIONALIZADO LOTE 4 tota'!N8</f>
        <v>3</v>
      </c>
      <c r="H21" s="95">
        <f>+'DATOS REGIONALIZADO LOTE 4 tota'!O8</f>
        <v>24247119</v>
      </c>
      <c r="I21" s="95">
        <f>+'DATOS REGIONALIZADO LOTE 4 tota'!P8</f>
        <v>72741357</v>
      </c>
      <c r="J21" s="95">
        <f>+'DATOS REGIONALIZADO LOTE 4 tota'!Q8</f>
        <v>0</v>
      </c>
      <c r="K21" s="95">
        <f>+'DATOS REGIONALIZADO LOTE 4 tota'!Y8</f>
        <v>72741357</v>
      </c>
      <c r="L21" s="87" t="s">
        <v>112</v>
      </c>
      <c r="M21" s="87" t="s">
        <v>118</v>
      </c>
      <c r="N21" s="191">
        <f>+O19</f>
        <v>46799672</v>
      </c>
      <c r="O21" s="191">
        <f t="shared" si="2"/>
        <v>-25941685</v>
      </c>
      <c r="P21" s="212" t="str">
        <f>+VLOOKUP(M21,Hoja3!$B$2:$D$8,3,FALSE)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1" s="87">
        <f>+N21</f>
        <v>46799672</v>
      </c>
      <c r="R21" s="87">
        <f>+O21</f>
        <v>-25941685</v>
      </c>
      <c r="S21" s="87"/>
      <c r="T21" s="87"/>
      <c r="U21" s="87"/>
      <c r="V21" s="87"/>
      <c r="W21" s="87"/>
      <c r="X21" s="87"/>
      <c r="Y21" s="87"/>
      <c r="Z21" s="87"/>
      <c r="AA21" s="82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</row>
    <row r="22" spans="1:40" ht="45" x14ac:dyDescent="0.25">
      <c r="A22" s="95">
        <f>+'DATOS REGIONALIZADO LOTE 4 tota'!A9</f>
        <v>9</v>
      </c>
      <c r="B22" s="95">
        <f>+'DATOS REGIONALIZADO LOTE 4 tota'!B9</f>
        <v>25</v>
      </c>
      <c r="C22" s="114" t="str">
        <f>+'DATOS REGIONALIZADO LOTE 4 tota'!C9</f>
        <v>Esterilizador o autocleve horizontal y/o sobremesa:</v>
      </c>
      <c r="D22" s="95" t="str">
        <f>+'DATOS REGIONALIZADO LOTE 4 tota'!D9</f>
        <v>UNIDAD</v>
      </c>
      <c r="E22" s="95">
        <f>+'DATOS REGIONALIZADO LOTE 4 tota'!E9</f>
        <v>1</v>
      </c>
      <c r="F22" s="95">
        <f>+'DATOS REGIONALIZADO LOTE 4 tota'!F9</f>
        <v>0</v>
      </c>
      <c r="G22" s="95">
        <f>+'DATOS REGIONALIZADO LOTE 4 tota'!N9</f>
        <v>1</v>
      </c>
      <c r="H22" s="95">
        <f>+'DATOS REGIONALIZADO LOTE 4 tota'!O9</f>
        <v>29155000</v>
      </c>
      <c r="I22" s="95">
        <f>+'DATOS REGIONALIZADO LOTE 4 tota'!P9</f>
        <v>29155000</v>
      </c>
      <c r="J22" s="95">
        <f>+'DATOS REGIONALIZADO LOTE 4 tota'!Q9</f>
        <v>0</v>
      </c>
      <c r="K22" s="95">
        <f>+'DATOS REGIONALIZADO LOTE 4 tota'!Y9</f>
        <v>29155000</v>
      </c>
      <c r="L22" s="87" t="s">
        <v>112</v>
      </c>
      <c r="M22" s="87" t="s">
        <v>118</v>
      </c>
      <c r="N22" s="191"/>
      <c r="O22" s="191">
        <f t="shared" si="2"/>
        <v>-29155000</v>
      </c>
      <c r="P22" s="212" t="str">
        <f>+VLOOKUP(M22,Hoja3!$B$2:$D$8,3,FALSE)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2" s="87">
        <f>+N22</f>
        <v>0</v>
      </c>
      <c r="R22" s="87">
        <f>+O22</f>
        <v>-29155000</v>
      </c>
      <c r="S22" s="87"/>
      <c r="T22" s="87"/>
      <c r="U22" s="87"/>
      <c r="V22" s="87"/>
      <c r="W22" s="87"/>
      <c r="X22" s="87"/>
      <c r="Y22" s="87"/>
      <c r="Z22" s="87"/>
      <c r="AA22" s="82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</row>
    <row r="23" spans="1:40" ht="45" x14ac:dyDescent="0.25">
      <c r="A23" s="95">
        <f>+'DATOS REGIONALIZADO LOTE 4 tota'!A10</f>
        <v>10</v>
      </c>
      <c r="B23" s="95">
        <f>+'DATOS REGIONALIZADO LOTE 4 tota'!B10</f>
        <v>26</v>
      </c>
      <c r="C23" s="114" t="str">
        <f>+'DATOS REGIONALIZADO LOTE 4 tota'!C10</f>
        <v>Evaporador concentrador de muestras con centrifuga (rapidvap)</v>
      </c>
      <c r="D23" s="95" t="str">
        <f>+'DATOS REGIONALIZADO LOTE 4 tota'!D10</f>
        <v>UNIDAD</v>
      </c>
      <c r="E23" s="95">
        <f>+'DATOS REGIONALIZADO LOTE 4 tota'!E10</f>
        <v>1</v>
      </c>
      <c r="F23" s="95">
        <f>+'DATOS REGIONALIZADO LOTE 4 tota'!F10</f>
        <v>0</v>
      </c>
      <c r="G23" s="95">
        <f>+'DATOS REGIONALIZADO LOTE 4 tota'!N10</f>
        <v>1</v>
      </c>
      <c r="H23" s="95">
        <f>+'DATOS REGIONALIZADO LOTE 4 tota'!O10</f>
        <v>192791293</v>
      </c>
      <c r="I23" s="95">
        <f>+'DATOS REGIONALIZADO LOTE 4 tota'!P10</f>
        <v>192791293</v>
      </c>
      <c r="J23" s="95">
        <f>+'DATOS REGIONALIZADO LOTE 4 tota'!Q10</f>
        <v>0</v>
      </c>
      <c r="K23" s="95">
        <f>+'DATOS REGIONALIZADO LOTE 4 tota'!Y10</f>
        <v>192791293</v>
      </c>
      <c r="L23" s="87" t="s">
        <v>112</v>
      </c>
      <c r="M23" s="87" t="s">
        <v>118</v>
      </c>
      <c r="N23" s="191">
        <v>0</v>
      </c>
      <c r="O23" s="191">
        <f t="shared" si="2"/>
        <v>-192791293</v>
      </c>
      <c r="P23" s="212" t="str">
        <f>+VLOOKUP(M23,Hoja3!$B$2:$D$8,3,FALSE)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3" s="87"/>
      <c r="R23" s="87">
        <f>+O23</f>
        <v>-192791293</v>
      </c>
      <c r="S23" s="87"/>
      <c r="T23" s="87"/>
      <c r="U23" s="87"/>
      <c r="V23" s="87"/>
      <c r="W23" s="87"/>
      <c r="X23" s="87"/>
      <c r="Y23" s="87"/>
      <c r="Z23" s="87"/>
      <c r="AA23" s="82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</row>
    <row r="24" spans="1:40" ht="45" x14ac:dyDescent="0.25">
      <c r="A24" s="95">
        <f>+'DATOS REGIONALIZADO LOTE 4 tota'!A11</f>
        <v>11</v>
      </c>
      <c r="B24" s="95">
        <f>+'DATOS REGIONALIZADO LOTE 4 tota'!B11</f>
        <v>27</v>
      </c>
      <c r="C24" s="114" t="str">
        <f>+'DATOS REGIONALIZADO LOTE 4 tota'!C11</f>
        <v>Evaporador concentrador de muestras (rapidvap)</v>
      </c>
      <c r="D24" s="95" t="str">
        <f>+'DATOS REGIONALIZADO LOTE 4 tota'!D11</f>
        <v>UNIDAD</v>
      </c>
      <c r="E24" s="95">
        <f>+'DATOS REGIONALIZADO LOTE 4 tota'!E11</f>
        <v>0</v>
      </c>
      <c r="F24" s="95">
        <f>+'DATOS REGIONALIZADO LOTE 4 tota'!F11</f>
        <v>1</v>
      </c>
      <c r="G24" s="95">
        <f>+'DATOS REGIONALIZADO LOTE 4 tota'!N11</f>
        <v>1</v>
      </c>
      <c r="H24" s="95">
        <f>+'DATOS REGIONALIZADO LOTE 4 tota'!O11</f>
        <v>136873800</v>
      </c>
      <c r="I24" s="95">
        <f>+'DATOS REGIONALIZADO LOTE 4 tota'!P11</f>
        <v>0</v>
      </c>
      <c r="J24" s="95">
        <f>+'DATOS REGIONALIZADO LOTE 4 tota'!Q11</f>
        <v>136873800</v>
      </c>
      <c r="K24" s="95">
        <f>+'DATOS REGIONALIZADO LOTE 4 tota'!Y11</f>
        <v>136873800</v>
      </c>
      <c r="L24" s="87" t="s">
        <v>112</v>
      </c>
      <c r="M24" s="87" t="s">
        <v>118</v>
      </c>
      <c r="N24" s="191">
        <v>0</v>
      </c>
      <c r="O24" s="191">
        <f t="shared" si="2"/>
        <v>-136873800</v>
      </c>
      <c r="P24" s="212" t="str">
        <f>+VLOOKUP(M24,Hoja3!$B$2:$D$8,3,FALSE)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4" s="87"/>
      <c r="R24" s="87">
        <f>+O24</f>
        <v>-136873800</v>
      </c>
      <c r="S24" s="87"/>
      <c r="T24" s="87"/>
      <c r="U24" s="87"/>
      <c r="V24" s="87"/>
      <c r="W24" s="87"/>
      <c r="X24" s="87"/>
      <c r="Y24" s="87"/>
      <c r="Z24" s="87"/>
      <c r="AA24" s="82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</row>
    <row r="25" spans="1:40" ht="45" x14ac:dyDescent="0.25">
      <c r="A25" s="95">
        <f>+'DATOS REGIONALIZADO LOTE 4 tota'!A12</f>
        <v>12</v>
      </c>
      <c r="B25" s="95">
        <f>+'DATOS REGIONALIZADO LOTE 4 tota'!B12</f>
        <v>28</v>
      </c>
      <c r="C25" s="114" t="str">
        <f>+'DATOS REGIONALIZADO LOTE 4 tota'!C12</f>
        <v>Sistema dilutor dispensador de Líquidos</v>
      </c>
      <c r="D25" s="95" t="str">
        <f>+'DATOS REGIONALIZADO LOTE 4 tota'!D12</f>
        <v>UNIDAD</v>
      </c>
      <c r="E25" s="95">
        <f>+'DATOS REGIONALIZADO LOTE 4 tota'!E12</f>
        <v>0</v>
      </c>
      <c r="F25" s="95">
        <f>+'DATOS REGIONALIZADO LOTE 4 tota'!F12</f>
        <v>1</v>
      </c>
      <c r="G25" s="95">
        <f>+'DATOS REGIONALIZADO LOTE 4 tota'!N12</f>
        <v>1</v>
      </c>
      <c r="H25" s="95">
        <f>+'DATOS REGIONALIZADO LOTE 4 tota'!O12</f>
        <v>59381000</v>
      </c>
      <c r="I25" s="95">
        <f>+'DATOS REGIONALIZADO LOTE 4 tota'!P12</f>
        <v>0</v>
      </c>
      <c r="J25" s="95">
        <f>+'DATOS REGIONALIZADO LOTE 4 tota'!Q12</f>
        <v>59381000</v>
      </c>
      <c r="K25" s="95">
        <f>+'DATOS REGIONALIZADO LOTE 4 tota'!Y12</f>
        <v>59381000</v>
      </c>
      <c r="L25" s="87" t="s">
        <v>112</v>
      </c>
      <c r="M25" s="87" t="s">
        <v>118</v>
      </c>
      <c r="N25" s="191">
        <v>0</v>
      </c>
      <c r="O25" s="191">
        <f t="shared" si="2"/>
        <v>-59381000</v>
      </c>
      <c r="P25" s="212" t="str">
        <f>+VLOOKUP(M25,Hoja3!$B$2:$D$8,3,FALSE)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5" s="87"/>
      <c r="R25" s="87">
        <f>+O25</f>
        <v>-59381000</v>
      </c>
      <c r="S25" s="87"/>
      <c r="T25" s="87"/>
      <c r="U25" s="87"/>
      <c r="V25" s="87"/>
      <c r="W25" s="87"/>
      <c r="X25" s="87"/>
      <c r="Y25" s="87"/>
      <c r="Z25" s="87"/>
      <c r="AA25" s="82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</row>
    <row r="26" spans="1:40" ht="45" x14ac:dyDescent="0.25">
      <c r="A26" s="95">
        <f>+'DATOS REGIONALIZADO LOTE 4 tota'!A13</f>
        <v>13</v>
      </c>
      <c r="B26" s="95">
        <f>+'DATOS REGIONALIZADO LOTE 4 tota'!B13</f>
        <v>29</v>
      </c>
      <c r="C26" s="112" t="str">
        <f>+'DATOS REGIONALIZADO LOTE 4 tota'!C13</f>
        <v>Sistema de esterilización con luz UV-C (254nm) (Crosslinker)</v>
      </c>
      <c r="D26" s="95" t="str">
        <f>+'DATOS REGIONALIZADO LOTE 4 tota'!D13</f>
        <v>UNIDAD</v>
      </c>
      <c r="E26" s="95">
        <f>+'DATOS REGIONALIZADO LOTE 4 tota'!E13</f>
        <v>0</v>
      </c>
      <c r="F26" s="95">
        <f>+'DATOS REGIONALIZADO LOTE 4 tota'!F13</f>
        <v>1</v>
      </c>
      <c r="G26" s="95">
        <f>+'DATOS REGIONALIZADO LOTE 4 tota'!N13</f>
        <v>1</v>
      </c>
      <c r="H26" s="95">
        <f>+'DATOS REGIONALIZADO LOTE 4 tota'!O13</f>
        <v>18292580</v>
      </c>
      <c r="I26" s="95">
        <f>+'DATOS REGIONALIZADO LOTE 4 tota'!P13</f>
        <v>0</v>
      </c>
      <c r="J26" s="95">
        <f>+'DATOS REGIONALIZADO LOTE 4 tota'!Q13</f>
        <v>18292580</v>
      </c>
      <c r="K26" s="189">
        <f>+'DATOS REGIONALIZADO LOTE 4 tota'!Y13</f>
        <v>18292580</v>
      </c>
      <c r="L26" s="87" t="s">
        <v>74</v>
      </c>
      <c r="M26" s="87" t="s">
        <v>117</v>
      </c>
      <c r="N26" s="191">
        <f>+O20</f>
        <v>237454052</v>
      </c>
      <c r="O26" s="191">
        <f>+N26-K26</f>
        <v>219161472</v>
      </c>
      <c r="P26" s="212" t="str">
        <f>+VLOOKUP(M26,Hoja3!$B$2:$D$8,3,FALSE)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Q26" s="87">
        <f>+J26</f>
        <v>18292580</v>
      </c>
      <c r="R26" s="87"/>
      <c r="S26" s="87"/>
      <c r="T26" s="87"/>
      <c r="U26" s="87"/>
      <c r="V26" s="87"/>
      <c r="W26" s="87"/>
      <c r="X26" s="87"/>
      <c r="Y26" s="87"/>
      <c r="Z26" s="87"/>
      <c r="AA26" s="82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</row>
    <row r="27" spans="1:40" ht="45" x14ac:dyDescent="0.25">
      <c r="A27" s="95">
        <f>+'DATOS REGIONALIZADO LOTE 5'!A5</f>
        <v>5</v>
      </c>
      <c r="B27" s="95">
        <f>+'DATOS REGIONALIZADO LOTE 5'!B5</f>
        <v>15</v>
      </c>
      <c r="C27" s="114" t="str">
        <f>+'DATOS REGIONALIZADO LOTE 5'!C5</f>
        <v>Centrifuga de mesa de altas revoluciones con refrigeración:</v>
      </c>
      <c r="D27" s="95" t="str">
        <f>+'DATOS REGIONALIZADO LOTE 5'!D5</f>
        <v>UNIDAD</v>
      </c>
      <c r="E27" s="95">
        <f>+'DATOS REGIONALIZADO LOTE 5'!E5</f>
        <v>2</v>
      </c>
      <c r="F27" s="95">
        <f>+'DATOS REGIONALIZADO LOTE 5'!F5</f>
        <v>0</v>
      </c>
      <c r="G27" s="95">
        <f>+'DATOS REGIONALIZADO LOTE 5'!N5</f>
        <v>2</v>
      </c>
      <c r="H27" s="95">
        <f>+'DATOS REGIONALIZADO LOTE 5'!O5</f>
        <v>114119810</v>
      </c>
      <c r="I27" s="95">
        <f>+'DATOS REGIONALIZADO LOTE 5'!P5</f>
        <v>228239620</v>
      </c>
      <c r="J27" s="95">
        <f>+'DATOS REGIONALIZADO LOTE 5'!Q5</f>
        <v>0</v>
      </c>
      <c r="K27" s="95">
        <f>+'DATOS REGIONALIZADO LOTE 5'!Y5</f>
        <v>228239620</v>
      </c>
      <c r="L27" s="87" t="s">
        <v>112</v>
      </c>
      <c r="M27" s="87" t="s">
        <v>118</v>
      </c>
      <c r="N27" s="191">
        <v>0</v>
      </c>
      <c r="O27" s="191">
        <f t="shared" si="2"/>
        <v>-228239620</v>
      </c>
      <c r="P27" s="212" t="str">
        <f>+VLOOKUP(M27,Hoja3!$B$2:$D$8,3,FALSE)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Q27" s="87">
        <f>+I27+O27</f>
        <v>0</v>
      </c>
      <c r="R27" s="87">
        <f>+O27</f>
        <v>-228239620</v>
      </c>
      <c r="S27" s="87"/>
      <c r="T27" s="87"/>
      <c r="U27" s="87"/>
      <c r="V27" s="87"/>
      <c r="W27" s="87"/>
      <c r="X27" s="87"/>
      <c r="Y27" s="87"/>
      <c r="Z27" s="87"/>
      <c r="AA27" s="82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</row>
    <row r="28" spans="1:40" ht="45" hidden="1" x14ac:dyDescent="0.25">
      <c r="A28" s="95">
        <f>+'DATOS REGIONALIZADO LOTE 5'!A6</f>
        <v>5</v>
      </c>
      <c r="B28" s="95">
        <f>+'DATOS REGIONALIZADO LOTE 5'!B6</f>
        <v>16</v>
      </c>
      <c r="C28" s="114" t="str">
        <f>+'DATOS REGIONALIZADO LOTE 5'!C6</f>
        <v>Centrifuga de mesa no refrigerada</v>
      </c>
      <c r="D28" s="95" t="str">
        <f>+'DATOS REGIONALIZADO LOTE 5'!D6</f>
        <v>UNIDAD</v>
      </c>
      <c r="E28" s="95">
        <f>+'DATOS REGIONALIZADO LOTE 5'!E6</f>
        <v>0</v>
      </c>
      <c r="F28" s="95">
        <f>+'DATOS REGIONALIZADO LOTE 5'!F6</f>
        <v>1</v>
      </c>
      <c r="G28" s="95">
        <f>+'DATOS REGIONALIZADO LOTE 5'!N6</f>
        <v>1</v>
      </c>
      <c r="H28" s="95">
        <f>+'DATOS REGIONALIZADO LOTE 5'!O6</f>
        <v>73211033</v>
      </c>
      <c r="I28" s="95">
        <f>+'DATOS REGIONALIZADO LOTE 5'!P6</f>
        <v>0</v>
      </c>
      <c r="J28" s="95">
        <f>+'DATOS REGIONALIZADO LOTE 5'!Q6</f>
        <v>73211033</v>
      </c>
      <c r="K28" s="95">
        <f>+'DATOS REGIONALIZADO LOTE 5'!Y6</f>
        <v>73211033</v>
      </c>
      <c r="L28" s="87" t="s">
        <v>112</v>
      </c>
      <c r="M28" s="87" t="s">
        <v>113</v>
      </c>
      <c r="N28" s="191">
        <f>+O7</f>
        <v>96030248</v>
      </c>
      <c r="O28" s="191">
        <f t="shared" si="2"/>
        <v>22819215</v>
      </c>
      <c r="P28" s="212" t="str">
        <f>+VLOOKUP(M28,Hoja3!$B$2:$D$8,3,FALSE)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Q28" s="87">
        <f>+N28</f>
        <v>96030248</v>
      </c>
      <c r="R28" s="87">
        <f>+O28</f>
        <v>22819215</v>
      </c>
      <c r="S28" s="87"/>
      <c r="T28" s="87"/>
      <c r="U28" s="87"/>
      <c r="V28" s="87"/>
      <c r="W28" s="87"/>
      <c r="X28" s="87"/>
      <c r="Y28" s="87"/>
      <c r="Z28" s="87"/>
      <c r="AA28" s="82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</row>
    <row r="29" spans="1:40" ht="45" x14ac:dyDescent="0.25">
      <c r="A29" s="95">
        <f>+'DATOS REGIONALIZADO LOTE 5'!A7</f>
        <v>5</v>
      </c>
      <c r="B29" s="95">
        <f>+'DATOS REGIONALIZADO LOTE 5'!B7</f>
        <v>17</v>
      </c>
      <c r="C29" s="112" t="str">
        <f>+'DATOS REGIONALIZADO LOTE 5'!C7</f>
        <v>Centrífuga de Piso refrigerada.</v>
      </c>
      <c r="D29" s="95" t="str">
        <f>+'DATOS REGIONALIZADO LOTE 5'!D7</f>
        <v>UNIDAD</v>
      </c>
      <c r="E29" s="95">
        <f>+'DATOS REGIONALIZADO LOTE 5'!E7</f>
        <v>0</v>
      </c>
      <c r="F29" s="95">
        <f>+'DATOS REGIONALIZADO LOTE 5'!F7</f>
        <v>2</v>
      </c>
      <c r="G29" s="95">
        <f>+'DATOS REGIONALIZADO LOTE 5'!N7</f>
        <v>2</v>
      </c>
      <c r="H29" s="95">
        <f>+'DATOS REGIONALIZADO LOTE 5'!O7</f>
        <v>111426840</v>
      </c>
      <c r="I29" s="95">
        <f>+'DATOS REGIONALIZADO LOTE 5'!P7</f>
        <v>0</v>
      </c>
      <c r="J29" s="95">
        <f>+'DATOS REGIONALIZADO LOTE 5'!Q7</f>
        <v>222853680</v>
      </c>
      <c r="K29" s="95">
        <f>+'DATOS REGIONALIZADO LOTE 5'!Y7</f>
        <v>222853680</v>
      </c>
      <c r="L29" s="87" t="s">
        <v>74</v>
      </c>
      <c r="M29" s="87" t="s">
        <v>117</v>
      </c>
      <c r="N29" s="191">
        <f>+O26</f>
        <v>219161472</v>
      </c>
      <c r="O29" s="191">
        <f t="shared" si="2"/>
        <v>-3692208</v>
      </c>
      <c r="P29" s="212" t="str">
        <f>+VLOOKUP(M29,Hoja3!$B$2:$D$8,3,FALSE)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Q29" s="87">
        <f>+N29</f>
        <v>219161472</v>
      </c>
      <c r="R29" s="87">
        <f>+O29</f>
        <v>-3692208</v>
      </c>
      <c r="S29" s="87"/>
      <c r="T29" s="87"/>
      <c r="U29" s="87"/>
      <c r="V29" s="87"/>
      <c r="W29" s="87"/>
      <c r="X29" s="87"/>
      <c r="Y29" s="87"/>
      <c r="Z29" s="87"/>
      <c r="AA29" s="82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</row>
    <row r="30" spans="1:40" ht="45" hidden="1" x14ac:dyDescent="0.25">
      <c r="A30" s="95">
        <f>+'DATOS REGIONALIZADO LOTE 5'!A8</f>
        <v>5</v>
      </c>
      <c r="B30" s="95">
        <f>+'DATOS REGIONALIZADO LOTE 5'!B8</f>
        <v>18</v>
      </c>
      <c r="C30" s="112" t="str">
        <f>+'DATOS REGIONALIZADO LOTE 5'!C8</f>
        <v>Microcentrífuga de alta velocidad tipo MiniSpli</v>
      </c>
      <c r="D30" s="95" t="str">
        <f>+'DATOS REGIONALIZADO LOTE 5'!D8</f>
        <v>UNIDAD</v>
      </c>
      <c r="E30" s="95">
        <f>+'DATOS REGIONALIZADO LOTE 5'!E8</f>
        <v>0</v>
      </c>
      <c r="F30" s="95">
        <f>+'DATOS REGIONALIZADO LOTE 5'!F8</f>
        <v>2</v>
      </c>
      <c r="G30" s="95">
        <f>+'DATOS REGIONALIZADO LOTE 5'!N8</f>
        <v>2</v>
      </c>
      <c r="H30" s="95">
        <f>+'DATOS REGIONALIZADO LOTE 5'!O8</f>
        <v>7474549</v>
      </c>
      <c r="I30" s="95">
        <f>+'DATOS REGIONALIZADO LOTE 5'!P8</f>
        <v>0</v>
      </c>
      <c r="J30" s="95">
        <f>+'DATOS REGIONALIZADO LOTE 5'!Q8</f>
        <v>14949098</v>
      </c>
      <c r="K30" s="189">
        <f>+'DATOS REGIONALIZADO LOTE 5'!Y8</f>
        <v>14949098</v>
      </c>
      <c r="L30" s="87" t="s">
        <v>74</v>
      </c>
      <c r="M30" s="87" t="s">
        <v>116</v>
      </c>
      <c r="N30" s="191">
        <f>+O8</f>
        <v>46819114</v>
      </c>
      <c r="O30" s="191">
        <f>+N30-K30</f>
        <v>31870016</v>
      </c>
      <c r="P30" s="212" t="str">
        <f>+VLOOKUP(M30,Hoja3!$B$2:$D$8,3,FALSE)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Q30" s="87">
        <f>+K30</f>
        <v>14949098</v>
      </c>
      <c r="R30" s="87"/>
      <c r="S30" s="87"/>
      <c r="T30" s="87"/>
      <c r="U30" s="87"/>
      <c r="V30" s="87"/>
      <c r="W30" s="87"/>
      <c r="X30" s="87"/>
      <c r="Y30" s="87"/>
      <c r="Z30" s="87"/>
      <c r="AA30" s="82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</row>
    <row r="31" spans="1:40" s="195" customFormat="1" ht="45" x14ac:dyDescent="0.25">
      <c r="A31" s="189">
        <f>+'DATOS REGIONALIZADO LOTE 6'!A5</f>
        <v>6</v>
      </c>
      <c r="B31" s="189">
        <f>+'DATOS REGIONALIZADO LOTE 6'!B5</f>
        <v>19</v>
      </c>
      <c r="C31" s="190" t="str">
        <f>+'DATOS REGIONALIZADO LOTE 6'!C5</f>
        <v xml:space="preserve">scaner  3D  portatil e inalambrico  CR de  alta precisión  </v>
      </c>
      <c r="D31" s="189" t="str">
        <f>+'DATOS REGIONALIZADO LOTE 6'!D5</f>
        <v>UNIDAD</v>
      </c>
      <c r="E31" s="189">
        <f>+'DATOS REGIONALIZADO LOTE 6'!E5</f>
        <v>1</v>
      </c>
      <c r="F31" s="189">
        <f>+'DATOS REGIONALIZADO LOTE 6'!F5</f>
        <v>0</v>
      </c>
      <c r="G31" s="189">
        <f>+'DATOS REGIONALIZADO LOTE 6'!N5</f>
        <v>1</v>
      </c>
      <c r="H31" s="189">
        <f>+'DATOS REGIONALIZADO LOTE 6'!O5</f>
        <v>19359943</v>
      </c>
      <c r="I31" s="189">
        <f>+'DATOS REGIONALIZADO LOTE 6'!P5</f>
        <v>19359943</v>
      </c>
      <c r="J31" s="189">
        <f>+'DATOS REGIONALIZADO LOTE 6'!Q5</f>
        <v>0</v>
      </c>
      <c r="K31" s="189">
        <f>+'DATOS REGIONALIZADO LOTE 6'!Y5</f>
        <v>19359943</v>
      </c>
      <c r="L31" s="191" t="s">
        <v>114</v>
      </c>
      <c r="M31" s="191" t="s">
        <v>115</v>
      </c>
      <c r="N31" s="191">
        <f>+O13</f>
        <v>141190840</v>
      </c>
      <c r="O31" s="191">
        <f t="shared" si="2"/>
        <v>121830897</v>
      </c>
      <c r="P31" s="212" t="str">
        <f>+VLOOKUP(M31,Hoja3!$B$2:$D$8,3,FALSE)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31" s="191">
        <f>+I31</f>
        <v>19359943</v>
      </c>
      <c r="R31" s="191"/>
      <c r="S31" s="191"/>
      <c r="T31" s="191"/>
      <c r="U31" s="191"/>
      <c r="V31" s="191"/>
      <c r="W31" s="191"/>
      <c r="X31" s="191"/>
      <c r="Y31" s="191"/>
      <c r="Z31" s="191"/>
      <c r="AA31" s="193"/>
      <c r="AB31" s="194"/>
      <c r="AC31" s="194"/>
      <c r="AD31" s="194"/>
      <c r="AE31" s="194"/>
      <c r="AF31" s="194"/>
      <c r="AG31" s="194"/>
      <c r="AH31" s="194"/>
      <c r="AI31" s="194"/>
      <c r="AJ31" s="194"/>
      <c r="AK31" s="194"/>
      <c r="AL31" s="194"/>
      <c r="AM31" s="194"/>
      <c r="AN31" s="194"/>
    </row>
    <row r="32" spans="1:40" s="195" customFormat="1" ht="45" x14ac:dyDescent="0.25">
      <c r="A32" s="189">
        <f>+'DATOS REGIONALIZADO LOTE 6'!A6</f>
        <v>6</v>
      </c>
      <c r="B32" s="189">
        <f>+'DATOS REGIONALIZADO LOTE 6'!B6</f>
        <v>20</v>
      </c>
      <c r="C32" s="190" t="str">
        <f>+'DATOS REGIONALIZADO LOTE 6'!C6</f>
        <v>impresora  3D</v>
      </c>
      <c r="D32" s="189" t="str">
        <f>+'DATOS REGIONALIZADO LOTE 6'!D6</f>
        <v>UNIDAD</v>
      </c>
      <c r="E32" s="189">
        <f>+'DATOS REGIONALIZADO LOTE 6'!E6</f>
        <v>1</v>
      </c>
      <c r="F32" s="189">
        <f>+'DATOS REGIONALIZADO LOTE 6'!F6</f>
        <v>0</v>
      </c>
      <c r="G32" s="189">
        <f>+'DATOS REGIONALIZADO LOTE 6'!N6</f>
        <v>1</v>
      </c>
      <c r="H32" s="189">
        <f>+'DATOS REGIONALIZADO LOTE 6'!O6</f>
        <v>15473202</v>
      </c>
      <c r="I32" s="189">
        <f>+'DATOS REGIONALIZADO LOTE 6'!P6</f>
        <v>15473202</v>
      </c>
      <c r="J32" s="189">
        <f>+'DATOS REGIONALIZADO LOTE 6'!Q6</f>
        <v>0</v>
      </c>
      <c r="K32" s="189">
        <f>+'DATOS REGIONALIZADO LOTE 6'!Y6</f>
        <v>15473202</v>
      </c>
      <c r="L32" s="191" t="s">
        <v>114</v>
      </c>
      <c r="M32" s="191" t="s">
        <v>115</v>
      </c>
      <c r="N32" s="191">
        <f>+O31</f>
        <v>121830897</v>
      </c>
      <c r="O32" s="191">
        <f t="shared" si="2"/>
        <v>106357695</v>
      </c>
      <c r="P32" s="212" t="str">
        <f>+VLOOKUP(M32,Hoja3!$B$2:$D$8,3,FALSE)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Q32" s="191">
        <f>+I32</f>
        <v>15473202</v>
      </c>
      <c r="R32" s="191"/>
      <c r="S32" s="191"/>
      <c r="T32" s="191"/>
      <c r="U32" s="191"/>
      <c r="V32" s="191"/>
      <c r="W32" s="191"/>
      <c r="X32" s="191"/>
      <c r="Y32" s="191"/>
      <c r="Z32" s="191"/>
      <c r="AA32" s="193"/>
      <c r="AB32" s="194"/>
      <c r="AC32" s="194"/>
      <c r="AD32" s="194"/>
      <c r="AE32" s="194"/>
      <c r="AF32" s="194"/>
      <c r="AG32" s="194"/>
      <c r="AH32" s="194"/>
      <c r="AI32" s="194"/>
      <c r="AJ32" s="194"/>
      <c r="AK32" s="194"/>
      <c r="AL32" s="194"/>
      <c r="AM32" s="194"/>
      <c r="AN32" s="194"/>
    </row>
    <row r="33" spans="1:40" s="195" customFormat="1" ht="11.25" hidden="1" x14ac:dyDescent="0.25">
      <c r="A33" s="189">
        <v>7</v>
      </c>
      <c r="B33" s="189">
        <v>28</v>
      </c>
      <c r="C33" s="190"/>
      <c r="D33" s="189"/>
      <c r="E33" s="189">
        <v>1</v>
      </c>
      <c r="F33" s="189"/>
      <c r="G33" s="189"/>
      <c r="H33" s="189"/>
      <c r="I33" s="189"/>
      <c r="J33" s="189"/>
      <c r="K33" s="189"/>
      <c r="L33" s="191"/>
      <c r="M33" s="191"/>
      <c r="N33" s="191" t="e">
        <f>+VLOOKUP(M33,Hoja3!$B$2:$E$8,4,FALSE)</f>
        <v>#N/A</v>
      </c>
      <c r="O33" s="191"/>
      <c r="P33" s="212" t="e">
        <f>+VLOOKUP(M33,Hoja3!$B$2:$D$8,3,FALSE)</f>
        <v>#N/A</v>
      </c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3"/>
      <c r="AB33" s="194"/>
      <c r="AC33" s="194"/>
      <c r="AD33" s="194"/>
      <c r="AE33" s="194"/>
      <c r="AF33" s="194"/>
      <c r="AG33" s="194"/>
      <c r="AH33" s="194"/>
      <c r="AI33" s="194"/>
      <c r="AJ33" s="194"/>
      <c r="AK33" s="194"/>
      <c r="AL33" s="194"/>
      <c r="AM33" s="194"/>
      <c r="AN33" s="194"/>
    </row>
    <row r="34" spans="1:40" ht="14.25" hidden="1" customHeight="1" x14ac:dyDescent="0.25">
      <c r="A34" s="95"/>
      <c r="B34" s="354" t="s">
        <v>75</v>
      </c>
      <c r="C34" s="355"/>
      <c r="D34" s="355"/>
      <c r="E34" s="355"/>
      <c r="F34" s="355"/>
      <c r="G34" s="355"/>
      <c r="H34" s="355"/>
      <c r="I34" s="95">
        <f t="shared" ref="I34:J34" si="4">+SUM(I5:I32)</f>
        <v>1896332313</v>
      </c>
      <c r="J34" s="95">
        <f t="shared" si="4"/>
        <v>620161472</v>
      </c>
      <c r="K34" s="95">
        <f>+SUM(K5:K32)</f>
        <v>2516493785</v>
      </c>
      <c r="L34" s="87"/>
      <c r="M34" s="87"/>
      <c r="N34" s="87"/>
      <c r="O34" s="87"/>
      <c r="P34" s="212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2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</row>
    <row r="35" spans="1:40" ht="15" hidden="1" customHeight="1" x14ac:dyDescent="0.25">
      <c r="A35" s="96"/>
      <c r="B35" s="96"/>
      <c r="C35" s="97"/>
      <c r="D35" s="96"/>
      <c r="E35" s="96"/>
      <c r="F35" s="96"/>
      <c r="G35" s="104"/>
      <c r="H35" s="104"/>
      <c r="I35" s="104" t="s">
        <v>57</v>
      </c>
      <c r="J35" s="104" t="s">
        <v>18</v>
      </c>
      <c r="K35" s="96"/>
      <c r="L35" s="96"/>
      <c r="M35" s="96"/>
      <c r="N35" s="96"/>
      <c r="O35" s="96">
        <f>+I32+I31+I27+I22+I21++I20+I19+I18+I16+I15+I14+I13+I12+I8+I11+I7+I6+I5</f>
        <v>1569826903</v>
      </c>
      <c r="P35" s="97">
        <f>+O35+O37</f>
        <v>1441799466</v>
      </c>
      <c r="Q35" s="96" t="e">
        <f>+SUM(Q5:Q34)</f>
        <v>#N/A</v>
      </c>
      <c r="R35" s="96">
        <f>+SUM(R5:R34)</f>
        <v>-666493785</v>
      </c>
      <c r="S35" s="96" t="e">
        <f>-R35+Q35</f>
        <v>#N/A</v>
      </c>
      <c r="T35" s="96"/>
      <c r="U35" s="96"/>
      <c r="V35" s="96"/>
      <c r="W35" s="96"/>
      <c r="X35" s="96"/>
      <c r="Y35" s="96"/>
      <c r="Z35" s="96"/>
      <c r="AB35" s="83"/>
      <c r="AC35" s="83"/>
      <c r="AD35" s="83"/>
      <c r="AE35" s="83"/>
      <c r="AF35" s="83"/>
    </row>
    <row r="36" spans="1:40" ht="25.15" hidden="1" customHeight="1" x14ac:dyDescent="0.25">
      <c r="G36" s="349" t="s">
        <v>76</v>
      </c>
      <c r="H36" s="349"/>
      <c r="I36" s="105">
        <f>+I34/K34</f>
        <v>0.75356129401289185</v>
      </c>
      <c r="J36" s="105">
        <f>1-I36</f>
        <v>0.24643870598710815</v>
      </c>
      <c r="O36" s="91">
        <f>+O27+O29+O28+O25+O24+O23+O22+O21+O18+O16+O15+O13</f>
        <v>-497946523</v>
      </c>
      <c r="AB36" s="83"/>
      <c r="AC36" s="83"/>
      <c r="AD36" s="83"/>
      <c r="AE36" s="83"/>
      <c r="AF36" s="83"/>
    </row>
    <row r="37" spans="1:40" ht="15" hidden="1" customHeight="1" x14ac:dyDescent="0.25">
      <c r="D37" s="107"/>
      <c r="E37" s="107"/>
      <c r="F37" s="107"/>
      <c r="G37" s="104"/>
      <c r="H37" s="104"/>
      <c r="I37" s="104"/>
      <c r="J37" s="104"/>
      <c r="K37" s="107"/>
      <c r="L37" s="107"/>
      <c r="M37" s="107"/>
      <c r="N37" s="107"/>
      <c r="O37" s="107">
        <f>++O27+O22+O21+O18++O16+O15+O13</f>
        <v>-128027437</v>
      </c>
      <c r="P37" s="213"/>
      <c r="Q37" s="107" t="e">
        <f>+Q5+Q6+Q7+Q8+Q13+Q12+Q15+Q16+Q18+Q19+Q20+Q21+Q11+Q14+Q27+Q22+Q31+Q32</f>
        <v>#N/A</v>
      </c>
      <c r="R37" s="96">
        <f>+R22+R21+R18+R16+R15+R13+R7+R27</f>
        <v>-269218277</v>
      </c>
      <c r="S37" s="107" t="e">
        <f>+Q37-R37</f>
        <v>#N/A</v>
      </c>
      <c r="T37" s="107" t="e">
        <f>+I34-S37</f>
        <v>#N/A</v>
      </c>
      <c r="U37" s="107"/>
      <c r="V37" s="107"/>
      <c r="W37" s="107"/>
      <c r="X37" s="107"/>
      <c r="Y37" s="107"/>
      <c r="Z37" s="107"/>
      <c r="AB37" s="83"/>
      <c r="AC37" s="83"/>
      <c r="AD37" s="83"/>
      <c r="AE37" s="83"/>
      <c r="AF37" s="83"/>
    </row>
    <row r="38" spans="1:40" ht="15" hidden="1" customHeight="1" x14ac:dyDescent="0.25">
      <c r="C38" s="106"/>
      <c r="D38" s="353" t="s">
        <v>77</v>
      </c>
      <c r="E38" s="353"/>
      <c r="F38" s="353"/>
      <c r="G38" s="353"/>
      <c r="H38" s="353"/>
      <c r="I38" s="353">
        <v>1850000000</v>
      </c>
      <c r="J38" s="353"/>
      <c r="K38" s="353"/>
      <c r="L38" s="85"/>
      <c r="M38" s="85"/>
      <c r="N38" s="85"/>
      <c r="O38" s="85"/>
      <c r="P38" s="214"/>
      <c r="Q38" s="85">
        <f>+Q29+Q28+Q23</f>
        <v>315191720</v>
      </c>
      <c r="R38" s="85">
        <f>+Q9+Q26+Q30+R29+Q10</f>
        <v>118942771</v>
      </c>
      <c r="S38" s="85">
        <f>-Q38+R38</f>
        <v>-196248949</v>
      </c>
      <c r="T38" s="85"/>
      <c r="U38" s="85"/>
      <c r="V38" s="85"/>
      <c r="W38" s="85"/>
      <c r="X38" s="85"/>
      <c r="Y38" s="85"/>
      <c r="Z38" s="85"/>
      <c r="AA38" s="103"/>
      <c r="AB38" s="83"/>
      <c r="AC38" s="83"/>
      <c r="AD38" s="83"/>
      <c r="AE38" s="83"/>
      <c r="AF38" s="83"/>
    </row>
    <row r="39" spans="1:40" ht="15" hidden="1" customHeight="1" x14ac:dyDescent="0.25">
      <c r="C39" s="106"/>
      <c r="D39" s="353"/>
      <c r="E39" s="353"/>
      <c r="F39" s="353"/>
      <c r="G39" s="353"/>
      <c r="H39" s="353"/>
      <c r="I39" s="353"/>
      <c r="J39" s="353"/>
      <c r="K39" s="353"/>
      <c r="L39" s="85"/>
      <c r="M39" s="85"/>
      <c r="N39" s="85"/>
      <c r="O39" s="85">
        <f>+O23+O24+O25+O28+O29</f>
        <v>-369919086</v>
      </c>
      <c r="P39" s="214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103"/>
      <c r="AB39" s="83"/>
      <c r="AC39" s="83"/>
      <c r="AD39" s="83"/>
      <c r="AE39" s="83"/>
      <c r="AF39" s="83"/>
    </row>
    <row r="40" spans="1:40" ht="15" hidden="1" customHeight="1" x14ac:dyDescent="0.25">
      <c r="C40" s="106"/>
      <c r="D40" s="353" t="s">
        <v>78</v>
      </c>
      <c r="E40" s="353"/>
      <c r="F40" s="353"/>
      <c r="G40" s="353"/>
      <c r="H40" s="353"/>
      <c r="I40" s="353">
        <f>+K34-I38</f>
        <v>666493785</v>
      </c>
      <c r="J40" s="353"/>
      <c r="K40" s="353"/>
      <c r="L40" s="85"/>
      <c r="M40" s="85"/>
      <c r="N40" s="85"/>
      <c r="O40" s="85"/>
      <c r="P40" s="214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103"/>
      <c r="AB40" s="83"/>
      <c r="AC40" s="83"/>
      <c r="AD40" s="83"/>
      <c r="AE40" s="83"/>
      <c r="AF40" s="83"/>
    </row>
    <row r="41" spans="1:40" ht="15" hidden="1" customHeight="1" x14ac:dyDescent="0.25">
      <c r="C41" s="106"/>
      <c r="D41" s="353"/>
      <c r="E41" s="353"/>
      <c r="F41" s="353"/>
      <c r="G41" s="353"/>
      <c r="H41" s="353"/>
      <c r="I41" s="353"/>
      <c r="J41" s="353"/>
      <c r="K41" s="353"/>
      <c r="L41" s="85"/>
      <c r="M41" s="85"/>
      <c r="N41" s="85"/>
      <c r="O41" s="85"/>
      <c r="P41" s="214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103"/>
      <c r="AB41" s="83"/>
      <c r="AC41" s="83"/>
      <c r="AD41" s="83"/>
      <c r="AE41" s="83"/>
      <c r="AF41" s="83"/>
    </row>
    <row r="42" spans="1:40" ht="15" customHeight="1" x14ac:dyDescent="0.25"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7"/>
      <c r="Q42" s="96" t="e">
        <f>+Q12+Q16+Q14</f>
        <v>#N/A</v>
      </c>
      <c r="R42" s="96">
        <f>+R23+R25+R24</f>
        <v>-389046093</v>
      </c>
      <c r="S42" s="96"/>
      <c r="T42" s="96"/>
      <c r="U42" s="96"/>
      <c r="V42" s="96"/>
      <c r="W42" s="96"/>
      <c r="X42" s="96"/>
      <c r="Y42" s="96"/>
      <c r="Z42" s="96"/>
    </row>
    <row r="43" spans="1:40" ht="15" customHeight="1" x14ac:dyDescent="0.25">
      <c r="N43" s="91">
        <f>+N19+N21</f>
        <v>98806324</v>
      </c>
    </row>
    <row r="44" spans="1:40" ht="15" customHeight="1" x14ac:dyDescent="0.25"/>
    <row r="45" spans="1:40" ht="15" customHeight="1" x14ac:dyDescent="0.25"/>
    <row r="46" spans="1:40" ht="15" customHeight="1" x14ac:dyDescent="0.25"/>
    <row r="47" spans="1:40" ht="15" customHeight="1" x14ac:dyDescent="0.25">
      <c r="P47" s="98">
        <v>246779422</v>
      </c>
    </row>
    <row r="48" spans="1:40" ht="15" customHeight="1" x14ac:dyDescent="0.25">
      <c r="P48" s="98">
        <f>+K16+K17</f>
        <v>246779422</v>
      </c>
    </row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</sheetData>
  <autoFilter ref="A4:P41">
    <filterColumn colId="12">
      <filters>
        <filter val="A-2901-0800-16-20113A-2901002-02"/>
        <filter val="A-2901-0800-16-20113A-2901007-02"/>
        <filter val="B-2901-0800-16-20113A-2901002-02"/>
      </filters>
    </filterColumn>
  </autoFilter>
  <mergeCells count="6">
    <mergeCell ref="D40:H41"/>
    <mergeCell ref="I40:K41"/>
    <mergeCell ref="B34:H34"/>
    <mergeCell ref="G36:H36"/>
    <mergeCell ref="D38:H39"/>
    <mergeCell ref="I38:K39"/>
  </mergeCells>
  <pageMargins left="0.70866141732283472" right="0.70866141732283472" top="0.74803149606299213" bottom="0.74803149606299213" header="0" footer="0"/>
  <pageSetup scale="28" orientation="landscape" r:id="rId1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rowBreaks count="1" manualBreakCount="1">
    <brk id="42" max="26" man="1"/>
  </rowBreak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789DEEB-8B6C-4E69-A888-847751EC3C92}">
            <xm:f>NOT(ISERROR(SEARCH("-",O1)))</xm:f>
            <xm:f>"-"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O1:O1048576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Hoja3!$B$2:$B$8</xm:f>
          </x14:formula1>
          <xm:sqref>M5:M33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0"/>
  <sheetViews>
    <sheetView topLeftCell="A2" zoomScale="85" zoomScaleNormal="85" workbookViewId="0">
      <selection activeCell="B23" sqref="B23"/>
    </sheetView>
  </sheetViews>
  <sheetFormatPr baseColWidth="10" defaultColWidth="11.42578125" defaultRowHeight="15" x14ac:dyDescent="0.25"/>
  <cols>
    <col min="2" max="2" width="32.28515625" customWidth="1"/>
    <col min="3" max="3" width="66.7109375" style="120" customWidth="1"/>
    <col min="4" max="4" width="63" style="120" customWidth="1"/>
    <col min="5" max="5" width="16.5703125" style="48" bestFit="1" customWidth="1"/>
    <col min="7" max="7" width="27.5703125" customWidth="1"/>
  </cols>
  <sheetData>
    <row r="1" spans="2:7" x14ac:dyDescent="0.25">
      <c r="B1" t="s">
        <v>157</v>
      </c>
      <c r="C1" s="120" t="s">
        <v>158</v>
      </c>
      <c r="D1" s="120" t="s">
        <v>159</v>
      </c>
      <c r="E1" s="48" t="s">
        <v>160</v>
      </c>
    </row>
    <row r="2" spans="2:7" ht="102.6" customHeight="1" x14ac:dyDescent="0.25">
      <c r="B2" t="s">
        <v>113</v>
      </c>
      <c r="C2" s="220" t="str">
        <f>+VLOOKUP(Hoja3!B2,AJUSTADO!$A$6:$G$36,7,FALSE)</f>
        <v xml:space="preserve">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D2" s="220" t="str">
        <f>+CONCATENATE("código Rubro = ",B2," ",C2)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E2" s="202">
        <f>+VLOOKUP(B2,AJUSTADO!$A$6:$K$36,11,FALSE)</f>
        <v>455552981</v>
      </c>
      <c r="F2" s="200" t="s">
        <v>161</v>
      </c>
      <c r="G2" s="48">
        <f>+AJUSTADO!L7</f>
        <v>0</v>
      </c>
    </row>
    <row r="3" spans="2:7" ht="133.9" customHeight="1" x14ac:dyDescent="0.25">
      <c r="B3" t="s">
        <v>116</v>
      </c>
      <c r="C3" s="120" t="str">
        <f>+VLOOKUP(Hoja3!B3,AJUSTADO!$A$6:$G$36,7,FALSE)</f>
        <v xml:space="preserve">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D3" s="201" t="str">
        <f t="shared" ref="D3:D8" si="0">+CONCATENATE("código Rubro = ",B3," ",C3)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E3" s="202">
        <f>+VLOOKUP(B3,AJUSTADO!$A$6:$K$36,11,FALSE)</f>
        <v>100920000</v>
      </c>
      <c r="F3" s="200" t="s">
        <v>162</v>
      </c>
      <c r="G3" s="200"/>
    </row>
    <row r="4" spans="2:7" ht="120" x14ac:dyDescent="0.25">
      <c r="B4" t="s">
        <v>120</v>
      </c>
      <c r="C4" s="120" t="str">
        <f>+VLOOKUP(Hoja3!B4,AJUSTADO!$A$6:$G$36,7,FALSE)</f>
        <v xml:space="preserve">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</v>
      </c>
      <c r="D4" s="201" t="str">
        <f t="shared" si="0"/>
        <v xml:space="preserve">código Rubro = B-2901-0800-14-20111D-2901006-02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</v>
      </c>
      <c r="E4" s="202">
        <f>+VLOOKUP(B4,AJUSTADO!$A$6:$K$36,11,FALSE)</f>
        <v>130000000</v>
      </c>
      <c r="F4" s="200" t="s">
        <v>114</v>
      </c>
      <c r="G4" s="121"/>
    </row>
    <row r="5" spans="2:7" ht="120" x14ac:dyDescent="0.25">
      <c r="B5" t="s">
        <v>150</v>
      </c>
      <c r="C5" s="120" t="str">
        <f>+VLOOKUP(Hoja3!B5,AJUSTADO!$A$6:$G$36,7,FALSE)</f>
        <v xml:space="preserve">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v>
      </c>
      <c r="D5" s="201" t="str">
        <f t="shared" si="0"/>
        <v xml:space="preserve">código Rubro = C-2901-0800-14-20111D-2901010-02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v>
      </c>
      <c r="E5" s="202">
        <f>+VLOOKUP(B5,AJUSTADO!$A$6:$K$36,11,FALSE)</f>
        <v>300000000</v>
      </c>
      <c r="F5" s="200" t="s">
        <v>114</v>
      </c>
    </row>
    <row r="6" spans="2:7" ht="120" x14ac:dyDescent="0.25">
      <c r="B6" t="s">
        <v>115</v>
      </c>
      <c r="C6" s="120" t="str">
        <f>+VLOOKUP(Hoja3!B6,AJUSTADO!$A$6:$G$36,7,FALSE)</f>
        <v xml:space="preserve">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D6" s="201" t="str">
        <f t="shared" si="0"/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E6" s="202">
        <f>+VLOOKUP(B6,AJUSTADO!$A$6:$K$36,11,FALSE)</f>
        <v>465218379</v>
      </c>
      <c r="F6" s="200" t="s">
        <v>114</v>
      </c>
    </row>
    <row r="7" spans="2:7" ht="120" x14ac:dyDescent="0.25">
      <c r="B7" t="s">
        <v>118</v>
      </c>
      <c r="C7" s="120" t="str">
        <f>+VLOOKUP(Hoja3!B7,AJUSTADO!$A$6:$G$36,7,FALSE)</f>
        <v xml:space="preserve">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D7" s="201" t="str">
        <f t="shared" si="0"/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E7" s="48">
        <f>+VLOOKUP(B7,AJUSTADO!$A$6:$K$36,11,FALSE)</f>
        <v>98308640</v>
      </c>
      <c r="F7" t="s">
        <v>73</v>
      </c>
    </row>
    <row r="8" spans="2:7" ht="123" customHeight="1" x14ac:dyDescent="0.25">
      <c r="B8" s="200" t="s">
        <v>117</v>
      </c>
      <c r="C8" s="201" t="str">
        <f>+VLOOKUP(Hoja3!B8,AJUSTADO!$A$6:$G$36,7,FALSE)</f>
        <v xml:space="preserve">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D8" s="201" t="str">
        <f t="shared" si="0"/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E8" s="202">
        <f>+VLOOKUP(B8,AJUSTADO!$A$6:$K$36,11,FALSE)</f>
        <v>300000000</v>
      </c>
      <c r="F8" t="s">
        <v>162</v>
      </c>
      <c r="G8" s="8"/>
    </row>
    <row r="9" spans="2:7" x14ac:dyDescent="0.25">
      <c r="D9" s="120" t="str">
        <f t="shared" ref="D9:D10" si="1">+CONCATENATE(B9," ",C9)</f>
        <v xml:space="preserve"> </v>
      </c>
      <c r="E9" s="48">
        <f>+SUM(E2:E8)</f>
        <v>1850000000</v>
      </c>
      <c r="F9" t="b">
        <f>+EXACT(E9,E10)</f>
        <v>1</v>
      </c>
    </row>
    <row r="10" spans="2:7" x14ac:dyDescent="0.25">
      <c r="D10" s="120" t="str">
        <f t="shared" si="1"/>
        <v xml:space="preserve"> </v>
      </c>
      <c r="E10" s="48">
        <f>+AJUSTADO!L41</f>
        <v>1850000000</v>
      </c>
    </row>
  </sheetData>
  <pageMargins left="0.7" right="0.7" top="0.75" bottom="0.75" header="0.3" footer="0.3"/>
  <pageSetup paperSize="9" scale="78" fitToHeight="0" orientation="portrait" r:id="rId1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9"/>
  <sheetViews>
    <sheetView topLeftCell="A87" zoomScale="55" zoomScaleNormal="55" workbookViewId="0">
      <selection activeCell="A15" sqref="A15"/>
    </sheetView>
  </sheetViews>
  <sheetFormatPr baseColWidth="10" defaultColWidth="8.7109375" defaultRowHeight="15" x14ac:dyDescent="0.25"/>
  <cols>
    <col min="1" max="1" width="255.7109375" bestFit="1" customWidth="1"/>
    <col min="2" max="2" width="29.42578125" style="120" bestFit="1" customWidth="1"/>
    <col min="3" max="3" width="18.28515625" bestFit="1" customWidth="1"/>
    <col min="4" max="4" width="13.7109375" bestFit="1" customWidth="1"/>
    <col min="5" max="5" width="35" bestFit="1" customWidth="1"/>
    <col min="6" max="6" width="22.5703125" customWidth="1"/>
    <col min="7" max="7" width="21.28515625" customWidth="1"/>
    <col min="8" max="8" width="10.7109375" bestFit="1" customWidth="1"/>
    <col min="9" max="9" width="40.7109375" customWidth="1"/>
    <col min="10" max="10" width="20.7109375" customWidth="1"/>
    <col min="11" max="11" width="26" bestFit="1" customWidth="1"/>
    <col min="12" max="12" width="62.28515625" style="120" customWidth="1"/>
    <col min="13" max="17" width="12" bestFit="1" customWidth="1"/>
    <col min="18" max="20" width="12.7109375" bestFit="1" customWidth="1"/>
    <col min="21" max="21" width="12" bestFit="1" customWidth="1"/>
    <col min="22" max="22" width="13.7109375" bestFit="1" customWidth="1"/>
  </cols>
  <sheetData>
    <row r="1" spans="1:11" x14ac:dyDescent="0.25">
      <c r="B1"/>
    </row>
    <row r="2" spans="1:11" x14ac:dyDescent="0.25">
      <c r="B2"/>
      <c r="E2" s="210" t="s">
        <v>101</v>
      </c>
      <c r="F2" t="s">
        <v>163</v>
      </c>
      <c r="I2" s="210" t="s">
        <v>101</v>
      </c>
      <c r="J2" s="210" t="s">
        <v>106</v>
      </c>
      <c r="K2" t="s">
        <v>88</v>
      </c>
    </row>
    <row r="3" spans="1:11" x14ac:dyDescent="0.25">
      <c r="A3" s="210" t="s">
        <v>86</v>
      </c>
      <c r="B3" t="s">
        <v>163</v>
      </c>
      <c r="C3" t="s">
        <v>155</v>
      </c>
      <c r="E3" t="s">
        <v>116</v>
      </c>
      <c r="F3" s="8">
        <v>106313874</v>
      </c>
      <c r="I3" t="s">
        <v>116</v>
      </c>
      <c r="K3" s="8">
        <v>14949098</v>
      </c>
    </row>
    <row r="4" spans="1:11" x14ac:dyDescent="0.25">
      <c r="A4" t="s">
        <v>164</v>
      </c>
      <c r="B4" s="8">
        <v>106295048</v>
      </c>
      <c r="C4" s="8">
        <v>10</v>
      </c>
      <c r="E4" t="s">
        <v>115</v>
      </c>
      <c r="F4" s="8">
        <v>514887191</v>
      </c>
      <c r="I4" t="s">
        <v>117</v>
      </c>
      <c r="K4" s="8">
        <v>278010948</v>
      </c>
    </row>
    <row r="5" spans="1:11" x14ac:dyDescent="0.25">
      <c r="A5" t="s">
        <v>165</v>
      </c>
      <c r="B5" s="8">
        <v>514868449</v>
      </c>
      <c r="C5" s="8">
        <v>21</v>
      </c>
      <c r="E5" t="s">
        <v>117</v>
      </c>
      <c r="F5" s="8">
        <v>307165948</v>
      </c>
      <c r="I5" t="s">
        <v>113</v>
      </c>
      <c r="K5" s="8">
        <v>73211033</v>
      </c>
    </row>
    <row r="6" spans="1:11" x14ac:dyDescent="0.25">
      <c r="A6" t="s">
        <v>166</v>
      </c>
      <c r="B6" s="8">
        <v>311164957</v>
      </c>
      <c r="C6" s="8">
        <v>14</v>
      </c>
      <c r="E6" t="s">
        <v>113</v>
      </c>
      <c r="F6" s="8">
        <v>488006199</v>
      </c>
      <c r="I6" t="s">
        <v>118</v>
      </c>
      <c r="K6" s="8">
        <v>260849368</v>
      </c>
    </row>
    <row r="7" spans="1:11" x14ac:dyDescent="0.25">
      <c r="A7" t="s">
        <v>93</v>
      </c>
      <c r="B7" s="8">
        <v>487896892</v>
      </c>
      <c r="C7" s="8">
        <v>7</v>
      </c>
      <c r="E7" t="s">
        <v>120</v>
      </c>
      <c r="F7" s="8">
        <v>133386702</v>
      </c>
      <c r="I7" t="s">
        <v>95</v>
      </c>
      <c r="K7" s="8">
        <v>627020447</v>
      </c>
    </row>
    <row r="8" spans="1:11" x14ac:dyDescent="0.25">
      <c r="A8" t="s">
        <v>167</v>
      </c>
      <c r="B8" s="8">
        <v>774076273</v>
      </c>
      <c r="C8" s="8">
        <v>31</v>
      </c>
      <c r="E8" t="s">
        <v>118</v>
      </c>
      <c r="F8" s="8">
        <v>774076273</v>
      </c>
    </row>
    <row r="9" spans="1:11" x14ac:dyDescent="0.25">
      <c r="A9" t="s">
        <v>168</v>
      </c>
      <c r="B9" s="8">
        <v>300000000</v>
      </c>
      <c r="C9" s="8">
        <v>9</v>
      </c>
      <c r="E9" t="s">
        <v>119</v>
      </c>
      <c r="F9" s="8">
        <v>300000000</v>
      </c>
    </row>
    <row r="10" spans="1:11" x14ac:dyDescent="0.25">
      <c r="A10" t="s">
        <v>169</v>
      </c>
      <c r="B10" s="8">
        <v>133386702</v>
      </c>
      <c r="C10" s="8">
        <v>3</v>
      </c>
      <c r="E10" t="s">
        <v>95</v>
      </c>
      <c r="F10" s="8">
        <v>2623836187</v>
      </c>
    </row>
    <row r="11" spans="1:11" ht="20.25" customHeight="1" x14ac:dyDescent="0.25">
      <c r="A11" t="s">
        <v>95</v>
      </c>
      <c r="B11" s="8">
        <v>2627688321</v>
      </c>
      <c r="C11" s="8">
        <v>95</v>
      </c>
    </row>
    <row r="12" spans="1:11" x14ac:dyDescent="0.25">
      <c r="B12"/>
    </row>
    <row r="13" spans="1:11" x14ac:dyDescent="0.25">
      <c r="B13"/>
    </row>
    <row r="14" spans="1:11" x14ac:dyDescent="0.25">
      <c r="B14"/>
    </row>
    <row r="15" spans="1:11" x14ac:dyDescent="0.25">
      <c r="B15"/>
    </row>
    <row r="16" spans="1:11" x14ac:dyDescent="0.25">
      <c r="B16"/>
    </row>
    <row r="17" spans="1:12" x14ac:dyDescent="0.25">
      <c r="B17"/>
    </row>
    <row r="18" spans="1:12" x14ac:dyDescent="0.25">
      <c r="B18"/>
    </row>
    <row r="19" spans="1:12" x14ac:dyDescent="0.25">
      <c r="B19"/>
    </row>
    <row r="20" spans="1:12" ht="294" customHeight="1" x14ac:dyDescent="0.25">
      <c r="B20"/>
    </row>
    <row r="21" spans="1:12" x14ac:dyDescent="0.25">
      <c r="B21"/>
    </row>
    <row r="22" spans="1:12" x14ac:dyDescent="0.25">
      <c r="B22"/>
    </row>
    <row r="23" spans="1:12" ht="15" customHeight="1" x14ac:dyDescent="0.25">
      <c r="B23"/>
    </row>
    <row r="24" spans="1:12" x14ac:dyDescent="0.25">
      <c r="B24"/>
    </row>
    <row r="25" spans="1:12" x14ac:dyDescent="0.25">
      <c r="B25"/>
    </row>
    <row r="26" spans="1:12" x14ac:dyDescent="0.25">
      <c r="B26"/>
    </row>
    <row r="29" spans="1:12" x14ac:dyDescent="0.25">
      <c r="A29" s="210" t="s">
        <v>45</v>
      </c>
      <c r="B29" s="215" t="s">
        <v>101</v>
      </c>
      <c r="C29" t="s">
        <v>154</v>
      </c>
      <c r="L29" s="217">
        <f>+K29+K28</f>
        <v>0</v>
      </c>
    </row>
    <row r="30" spans="1:12" ht="30" x14ac:dyDescent="0.25">
      <c r="A30" s="8">
        <v>1</v>
      </c>
      <c r="B30" s="120" t="s">
        <v>116</v>
      </c>
      <c r="C30" s="8">
        <v>23920510</v>
      </c>
    </row>
    <row r="31" spans="1:12" ht="30" x14ac:dyDescent="0.25">
      <c r="B31" s="120" t="s">
        <v>115</v>
      </c>
      <c r="C31" s="8">
        <v>104980348</v>
      </c>
      <c r="L31" s="217">
        <f>+K7+L29</f>
        <v>627020447</v>
      </c>
    </row>
    <row r="32" spans="1:12" ht="30" x14ac:dyDescent="0.25">
      <c r="B32" s="120" t="s">
        <v>117</v>
      </c>
      <c r="C32" s="8">
        <v>250049712</v>
      </c>
    </row>
    <row r="33" spans="1:4" ht="30" x14ac:dyDescent="0.25">
      <c r="B33" s="120" t="s">
        <v>113</v>
      </c>
      <c r="C33" s="8">
        <v>562885102</v>
      </c>
    </row>
    <row r="34" spans="1:4" x14ac:dyDescent="0.25">
      <c r="A34" s="8" t="s">
        <v>170</v>
      </c>
      <c r="C34" s="8">
        <v>941835672</v>
      </c>
    </row>
    <row r="35" spans="1:4" ht="30" x14ac:dyDescent="0.25">
      <c r="A35" s="8">
        <v>2</v>
      </c>
      <c r="B35" s="120" t="s">
        <v>115</v>
      </c>
      <c r="C35" s="8">
        <v>188084584</v>
      </c>
    </row>
    <row r="36" spans="1:4" ht="30" x14ac:dyDescent="0.25">
      <c r="B36" s="120" t="s">
        <v>118</v>
      </c>
      <c r="C36" s="8">
        <v>32552017</v>
      </c>
    </row>
    <row r="37" spans="1:4" x14ac:dyDescent="0.25">
      <c r="A37" s="8" t="s">
        <v>171</v>
      </c>
      <c r="C37" s="8">
        <v>220636601</v>
      </c>
    </row>
    <row r="38" spans="1:4" ht="30" x14ac:dyDescent="0.25">
      <c r="A38" s="8">
        <v>3</v>
      </c>
      <c r="B38" s="120" t="s">
        <v>115</v>
      </c>
      <c r="C38" s="8">
        <v>-31173073</v>
      </c>
    </row>
    <row r="39" spans="1:4" ht="30" x14ac:dyDescent="0.25">
      <c r="B39" s="120" t="s">
        <v>120</v>
      </c>
      <c r="C39" s="8">
        <v>-3386702</v>
      </c>
    </row>
    <row r="40" spans="1:4" ht="30" x14ac:dyDescent="0.25">
      <c r="B40" s="120" t="s">
        <v>119</v>
      </c>
      <c r="C40" s="8">
        <v>272021474</v>
      </c>
    </row>
    <row r="41" spans="1:4" x14ac:dyDescent="0.25">
      <c r="A41" s="8" t="s">
        <v>172</v>
      </c>
      <c r="C41" s="8">
        <v>237461699</v>
      </c>
    </row>
    <row r="42" spans="1:4" ht="30" x14ac:dyDescent="0.25">
      <c r="A42" s="8">
        <v>4</v>
      </c>
      <c r="B42" s="120" t="s">
        <v>116</v>
      </c>
      <c r="C42" s="8">
        <v>-5393874</v>
      </c>
      <c r="D42">
        <f>+GETPIVOTDATA("valor restante ",$A$29,"LOTE",4,"codigo rubro ","A- 2901-0800-14-20111D-2901006-02")+GETPIVOTDATA("valor restante ",$A$29,"LOTE",4,"codigo rubro ","B-2901-0800-16-20113A-2901002-02")</f>
        <v>-374067882</v>
      </c>
    </row>
    <row r="43" spans="1:4" ht="30" x14ac:dyDescent="0.25">
      <c r="B43" s="120" t="s">
        <v>117</v>
      </c>
      <c r="C43" s="8">
        <v>436582444</v>
      </c>
    </row>
    <row r="44" spans="1:4" ht="30" x14ac:dyDescent="0.25">
      <c r="B44" s="120" t="s">
        <v>118</v>
      </c>
      <c r="C44" s="8">
        <v>-368674008</v>
      </c>
    </row>
    <row r="45" spans="1:4" x14ac:dyDescent="0.25">
      <c r="A45" s="8" t="s">
        <v>173</v>
      </c>
      <c r="C45" s="8">
        <v>62514562</v>
      </c>
    </row>
    <row r="46" spans="1:4" ht="30" x14ac:dyDescent="0.25">
      <c r="A46" s="8">
        <v>5</v>
      </c>
      <c r="B46" s="120" t="s">
        <v>116</v>
      </c>
      <c r="C46" s="8">
        <v>8971412</v>
      </c>
    </row>
    <row r="47" spans="1:4" ht="30" x14ac:dyDescent="0.25">
      <c r="B47" s="120" t="s">
        <v>117</v>
      </c>
      <c r="C47" s="8">
        <v>-7165948</v>
      </c>
      <c r="D47">
        <f>+GETPIVOTDATA("valor restante ",$A$29,"LOTE",5,"codigo rubro ","A-2901-0800-16-20113A-2901007-02")+GETPIVOTDATA("valor restante ",$A$29,"LOTE",5,"codigo rubro ","A-2901-0800-9-20111D-2901002-02")</f>
        <v>-152640407</v>
      </c>
    </row>
    <row r="48" spans="1:4" ht="30" x14ac:dyDescent="0.25">
      <c r="B48" s="120" t="s">
        <v>113</v>
      </c>
      <c r="C48" s="8">
        <v>-145474459</v>
      </c>
    </row>
    <row r="49" spans="1:4" x14ac:dyDescent="0.25">
      <c r="A49" s="8" t="s">
        <v>174</v>
      </c>
      <c r="C49" s="8">
        <v>-143668995</v>
      </c>
    </row>
    <row r="50" spans="1:4" ht="30" x14ac:dyDescent="0.25">
      <c r="A50" s="8">
        <v>6</v>
      </c>
      <c r="B50" s="120" t="s">
        <v>115</v>
      </c>
      <c r="C50" s="8">
        <v>159654349</v>
      </c>
    </row>
    <row r="51" spans="1:4" x14ac:dyDescent="0.25">
      <c r="A51" s="8" t="s">
        <v>175</v>
      </c>
      <c r="C51" s="8">
        <v>159654349</v>
      </c>
    </row>
    <row r="52" spans="1:4" x14ac:dyDescent="0.25">
      <c r="A52" s="8" t="s">
        <v>95</v>
      </c>
      <c r="C52" s="8">
        <v>1478433888</v>
      </c>
    </row>
    <row r="54" spans="1:4" x14ac:dyDescent="0.25">
      <c r="A54" s="210" t="s">
        <v>45</v>
      </c>
      <c r="B54" s="215" t="s">
        <v>101</v>
      </c>
      <c r="C54" s="210" t="s">
        <v>105</v>
      </c>
      <c r="D54" t="s">
        <v>154</v>
      </c>
    </row>
    <row r="55" spans="1:4" ht="30" x14ac:dyDescent="0.25">
      <c r="A55" s="8">
        <v>1</v>
      </c>
      <c r="B55" s="120" t="s">
        <v>116</v>
      </c>
      <c r="C55" s="8">
        <v>76999490</v>
      </c>
      <c r="D55" s="8">
        <v>23920510</v>
      </c>
    </row>
    <row r="56" spans="1:4" ht="30" x14ac:dyDescent="0.25">
      <c r="B56" s="120" t="s">
        <v>176</v>
      </c>
      <c r="D56" s="8">
        <v>23920510</v>
      </c>
    </row>
    <row r="57" spans="1:4" ht="30" x14ac:dyDescent="0.25">
      <c r="B57" s="120" t="s">
        <v>115</v>
      </c>
      <c r="C57" s="8">
        <v>83104236</v>
      </c>
      <c r="D57" s="8">
        <v>104980348</v>
      </c>
    </row>
    <row r="58" spans="1:4" ht="30" x14ac:dyDescent="0.25">
      <c r="B58" s="120" t="s">
        <v>177</v>
      </c>
      <c r="D58" s="8">
        <v>104980348</v>
      </c>
    </row>
    <row r="59" spans="1:4" ht="30" x14ac:dyDescent="0.25">
      <c r="B59" s="120" t="s">
        <v>117</v>
      </c>
      <c r="C59" s="8">
        <v>0</v>
      </c>
      <c r="D59" s="8">
        <v>250049712</v>
      </c>
    </row>
    <row r="60" spans="1:4" ht="30" x14ac:dyDescent="0.25">
      <c r="B60" s="120" t="s">
        <v>178</v>
      </c>
      <c r="D60" s="8">
        <v>250049712</v>
      </c>
    </row>
    <row r="61" spans="1:4" ht="30" x14ac:dyDescent="0.25">
      <c r="B61" s="120" t="s">
        <v>113</v>
      </c>
      <c r="C61" s="8">
        <v>163862452</v>
      </c>
      <c r="D61" s="8">
        <v>406908908</v>
      </c>
    </row>
    <row r="62" spans="1:4" x14ac:dyDescent="0.25">
      <c r="C62" s="8">
        <v>250932714</v>
      </c>
      <c r="D62" s="8">
        <v>155976194</v>
      </c>
    </row>
    <row r="63" spans="1:4" ht="30" x14ac:dyDescent="0.25">
      <c r="B63" s="120" t="s">
        <v>179</v>
      </c>
      <c r="D63" s="8">
        <v>562885102</v>
      </c>
    </row>
    <row r="64" spans="1:4" x14ac:dyDescent="0.25">
      <c r="A64" s="8" t="s">
        <v>170</v>
      </c>
      <c r="D64" s="8">
        <v>941835672</v>
      </c>
    </row>
    <row r="65" spans="1:4" ht="30" x14ac:dyDescent="0.25">
      <c r="A65" s="8">
        <v>2</v>
      </c>
      <c r="B65" s="120" t="s">
        <v>115</v>
      </c>
      <c r="C65" s="8">
        <v>161915416</v>
      </c>
      <c r="D65" s="8">
        <v>188084584</v>
      </c>
    </row>
    <row r="66" spans="1:4" ht="30" x14ac:dyDescent="0.25">
      <c r="B66" s="120" t="s">
        <v>177</v>
      </c>
      <c r="D66" s="8">
        <v>188084584</v>
      </c>
    </row>
    <row r="67" spans="1:4" ht="30" x14ac:dyDescent="0.25">
      <c r="B67" s="120" t="s">
        <v>118</v>
      </c>
      <c r="C67" s="8">
        <v>0</v>
      </c>
      <c r="D67" s="8">
        <v>32552017</v>
      </c>
    </row>
    <row r="68" spans="1:4" ht="30" x14ac:dyDescent="0.25">
      <c r="B68" s="120" t="s">
        <v>180</v>
      </c>
      <c r="D68" s="8">
        <v>32552017</v>
      </c>
    </row>
    <row r="69" spans="1:4" x14ac:dyDescent="0.25">
      <c r="A69" s="8" t="s">
        <v>171</v>
      </c>
      <c r="D69" s="8">
        <v>220636601</v>
      </c>
    </row>
    <row r="70" spans="1:4" ht="30" x14ac:dyDescent="0.25">
      <c r="A70" s="8">
        <v>3</v>
      </c>
      <c r="B70" s="120" t="s">
        <v>115</v>
      </c>
      <c r="C70" s="8">
        <v>101320276</v>
      </c>
      <c r="D70" s="8">
        <v>-31173073</v>
      </c>
    </row>
    <row r="71" spans="1:4" ht="30" x14ac:dyDescent="0.25">
      <c r="B71" s="120" t="s">
        <v>177</v>
      </c>
      <c r="D71" s="8">
        <v>-31173073</v>
      </c>
    </row>
    <row r="72" spans="1:4" ht="30" x14ac:dyDescent="0.25">
      <c r="B72" s="120" t="s">
        <v>120</v>
      </c>
      <c r="C72" s="8">
        <v>133386702</v>
      </c>
      <c r="D72" s="8">
        <v>-3386702</v>
      </c>
    </row>
    <row r="73" spans="1:4" ht="30" x14ac:dyDescent="0.25">
      <c r="B73" s="120" t="s">
        <v>181</v>
      </c>
      <c r="D73" s="8">
        <v>-3386702</v>
      </c>
    </row>
    <row r="74" spans="1:4" ht="30" x14ac:dyDescent="0.25">
      <c r="B74" s="120" t="s">
        <v>119</v>
      </c>
      <c r="C74" s="8">
        <v>7329714</v>
      </c>
      <c r="D74" s="8">
        <v>292670286</v>
      </c>
    </row>
    <row r="75" spans="1:4" x14ac:dyDescent="0.25">
      <c r="C75" s="8">
        <v>179604981</v>
      </c>
      <c r="D75" s="8">
        <v>113065305</v>
      </c>
    </row>
    <row r="76" spans="1:4" x14ac:dyDescent="0.25">
      <c r="C76" s="8">
        <v>246779422</v>
      </c>
      <c r="D76" s="8">
        <v>-133714117</v>
      </c>
    </row>
    <row r="77" spans="1:4" ht="30" x14ac:dyDescent="0.25">
      <c r="B77" s="120" t="s">
        <v>182</v>
      </c>
      <c r="D77" s="8">
        <v>272021474</v>
      </c>
    </row>
    <row r="78" spans="1:4" x14ac:dyDescent="0.25">
      <c r="A78" s="8" t="s">
        <v>172</v>
      </c>
      <c r="D78" s="8">
        <v>237461699</v>
      </c>
    </row>
    <row r="79" spans="1:4" ht="30" x14ac:dyDescent="0.25">
      <c r="A79" s="8">
        <v>4</v>
      </c>
      <c r="B79" s="120" t="s">
        <v>116</v>
      </c>
      <c r="C79" s="8">
        <v>14365286</v>
      </c>
      <c r="D79" s="8">
        <v>-5393874</v>
      </c>
    </row>
    <row r="80" spans="1:4" ht="30" x14ac:dyDescent="0.25">
      <c r="B80" s="120" t="s">
        <v>176</v>
      </c>
      <c r="D80" s="8">
        <v>-5393874</v>
      </c>
    </row>
    <row r="81" spans="1:4" ht="30" x14ac:dyDescent="0.25">
      <c r="B81" s="120" t="s">
        <v>117</v>
      </c>
      <c r="C81" s="8">
        <v>0</v>
      </c>
      <c r="D81" s="8">
        <v>215687732</v>
      </c>
    </row>
    <row r="82" spans="1:4" x14ac:dyDescent="0.25">
      <c r="C82" s="8">
        <v>29155000</v>
      </c>
      <c r="D82" s="8">
        <v>220894712</v>
      </c>
    </row>
    <row r="83" spans="1:4" ht="30" x14ac:dyDescent="0.25">
      <c r="B83" s="120" t="s">
        <v>178</v>
      </c>
      <c r="D83" s="8">
        <v>436582444</v>
      </c>
    </row>
    <row r="84" spans="1:4" ht="30" x14ac:dyDescent="0.25">
      <c r="B84" s="120" t="s">
        <v>118</v>
      </c>
      <c r="C84" s="8">
        <v>0</v>
      </c>
      <c r="D84" s="8">
        <v>-214547380</v>
      </c>
    </row>
    <row r="85" spans="1:4" x14ac:dyDescent="0.25">
      <c r="C85" s="8">
        <v>19454635</v>
      </c>
      <c r="D85" s="8">
        <v>78854005</v>
      </c>
    </row>
    <row r="86" spans="1:4" x14ac:dyDescent="0.25">
      <c r="C86" s="8">
        <v>72741357</v>
      </c>
      <c r="D86" s="8">
        <v>-40189340</v>
      </c>
    </row>
    <row r="87" spans="1:4" x14ac:dyDescent="0.25">
      <c r="C87" s="8">
        <v>192791293</v>
      </c>
      <c r="D87" s="8">
        <v>-192791293</v>
      </c>
    </row>
    <row r="88" spans="1:4" ht="30" x14ac:dyDescent="0.25">
      <c r="B88" s="120" t="s">
        <v>180</v>
      </c>
      <c r="D88" s="8">
        <v>-368674008</v>
      </c>
    </row>
    <row r="89" spans="1:4" x14ac:dyDescent="0.25">
      <c r="A89" s="8" t="s">
        <v>173</v>
      </c>
      <c r="D89" s="8">
        <v>62514562</v>
      </c>
    </row>
    <row r="90" spans="1:4" ht="30" x14ac:dyDescent="0.25">
      <c r="A90" s="8">
        <v>5</v>
      </c>
      <c r="B90" s="120" t="s">
        <v>116</v>
      </c>
      <c r="C90" s="8">
        <v>0</v>
      </c>
      <c r="D90" s="8">
        <v>8971412</v>
      </c>
    </row>
    <row r="91" spans="1:4" ht="30" x14ac:dyDescent="0.25">
      <c r="B91" s="120" t="s">
        <v>176</v>
      </c>
      <c r="D91" s="8">
        <v>8971412</v>
      </c>
    </row>
    <row r="92" spans="1:4" ht="30" x14ac:dyDescent="0.25">
      <c r="B92" s="120" t="s">
        <v>117</v>
      </c>
      <c r="C92" s="8">
        <v>0</v>
      </c>
      <c r="D92" s="8">
        <v>-7165948</v>
      </c>
    </row>
    <row r="93" spans="1:4" ht="30" x14ac:dyDescent="0.25">
      <c r="B93" s="120" t="s">
        <v>178</v>
      </c>
      <c r="D93" s="8">
        <v>-7165948</v>
      </c>
    </row>
    <row r="94" spans="1:4" ht="30" x14ac:dyDescent="0.25">
      <c r="B94" s="120" t="s">
        <v>113</v>
      </c>
      <c r="C94" s="8">
        <v>0</v>
      </c>
      <c r="D94" s="8">
        <v>-73211033</v>
      </c>
    </row>
    <row r="95" spans="1:4" x14ac:dyDescent="0.25">
      <c r="C95" s="8">
        <v>228239620</v>
      </c>
      <c r="D95" s="8">
        <v>-72263426</v>
      </c>
    </row>
    <row r="96" spans="1:4" ht="30" x14ac:dyDescent="0.25">
      <c r="B96" s="120" t="s">
        <v>179</v>
      </c>
      <c r="D96" s="8">
        <v>-145474459</v>
      </c>
    </row>
    <row r="97" spans="1:4" x14ac:dyDescent="0.25">
      <c r="A97" s="8" t="s">
        <v>174</v>
      </c>
      <c r="D97" s="8">
        <v>-143668995</v>
      </c>
    </row>
    <row r="98" spans="1:4" ht="30" x14ac:dyDescent="0.25">
      <c r="A98" s="8">
        <v>6</v>
      </c>
      <c r="B98" s="120" t="s">
        <v>115</v>
      </c>
      <c r="C98" s="8">
        <v>15473202</v>
      </c>
      <c r="D98" s="8">
        <v>89507146</v>
      </c>
    </row>
    <row r="99" spans="1:4" x14ac:dyDescent="0.25">
      <c r="C99" s="8">
        <v>19359943</v>
      </c>
      <c r="D99" s="8">
        <v>70147203</v>
      </c>
    </row>
    <row r="100" spans="1:4" ht="30" x14ac:dyDescent="0.25">
      <c r="B100" s="120" t="s">
        <v>177</v>
      </c>
      <c r="D100" s="8">
        <v>159654349</v>
      </c>
    </row>
    <row r="101" spans="1:4" x14ac:dyDescent="0.25">
      <c r="A101" s="8" t="s">
        <v>175</v>
      </c>
      <c r="D101" s="8">
        <v>159654349</v>
      </c>
    </row>
    <row r="102" spans="1:4" x14ac:dyDescent="0.25">
      <c r="A102" s="8" t="s">
        <v>95</v>
      </c>
      <c r="D102" s="8">
        <v>1478433888</v>
      </c>
    </row>
    <row r="105" spans="1:4" x14ac:dyDescent="0.25">
      <c r="A105" s="210" t="s">
        <v>45</v>
      </c>
      <c r="B105" s="215" t="s">
        <v>101</v>
      </c>
      <c r="C105" s="210" t="s">
        <v>106</v>
      </c>
      <c r="D105" t="s">
        <v>154</v>
      </c>
    </row>
    <row r="106" spans="1:4" ht="30" x14ac:dyDescent="0.25">
      <c r="A106" s="8">
        <v>1</v>
      </c>
      <c r="B106" s="120" t="s">
        <v>116</v>
      </c>
      <c r="C106" s="8">
        <v>0</v>
      </c>
      <c r="D106" s="8">
        <v>23920510</v>
      </c>
    </row>
    <row r="107" spans="1:4" ht="30" x14ac:dyDescent="0.25">
      <c r="B107" s="120" t="s">
        <v>176</v>
      </c>
      <c r="D107" s="8">
        <v>23920510</v>
      </c>
    </row>
    <row r="108" spans="1:4" ht="30" x14ac:dyDescent="0.25">
      <c r="B108" s="120" t="s">
        <v>115</v>
      </c>
      <c r="C108" s="8">
        <v>0</v>
      </c>
      <c r="D108" s="8">
        <v>104980348</v>
      </c>
    </row>
    <row r="109" spans="1:4" ht="30" x14ac:dyDescent="0.25">
      <c r="B109" s="120" t="s">
        <v>177</v>
      </c>
      <c r="D109" s="8">
        <v>104980348</v>
      </c>
    </row>
    <row r="110" spans="1:4" ht="30" x14ac:dyDescent="0.25">
      <c r="B110" s="120" t="s">
        <v>117</v>
      </c>
      <c r="C110" s="8">
        <v>49950288</v>
      </c>
      <c r="D110" s="8">
        <v>250049712</v>
      </c>
    </row>
    <row r="111" spans="1:4" ht="30" x14ac:dyDescent="0.25">
      <c r="B111" s="120" t="s">
        <v>178</v>
      </c>
      <c r="D111" s="8">
        <v>250049712</v>
      </c>
    </row>
    <row r="112" spans="1:4" ht="30" x14ac:dyDescent="0.25">
      <c r="B112" s="120" t="s">
        <v>113</v>
      </c>
      <c r="C112" s="8">
        <v>0</v>
      </c>
      <c r="D112" s="8">
        <v>562885102</v>
      </c>
    </row>
    <row r="113" spans="1:4" ht="30" x14ac:dyDescent="0.25">
      <c r="B113" s="120" t="s">
        <v>179</v>
      </c>
      <c r="D113" s="8">
        <v>562885102</v>
      </c>
    </row>
    <row r="114" spans="1:4" x14ac:dyDescent="0.25">
      <c r="A114" s="8" t="s">
        <v>170</v>
      </c>
      <c r="D114" s="8">
        <v>941835672</v>
      </c>
    </row>
    <row r="115" spans="1:4" ht="30" x14ac:dyDescent="0.25">
      <c r="A115" s="8">
        <v>2</v>
      </c>
      <c r="B115" s="120" t="s">
        <v>115</v>
      </c>
      <c r="C115" s="8">
        <v>0</v>
      </c>
      <c r="D115" s="8">
        <v>188084584</v>
      </c>
    </row>
    <row r="116" spans="1:4" ht="30" x14ac:dyDescent="0.25">
      <c r="B116" s="120" t="s">
        <v>177</v>
      </c>
      <c r="D116" s="8">
        <v>188084584</v>
      </c>
    </row>
    <row r="117" spans="1:4" ht="30" x14ac:dyDescent="0.25">
      <c r="B117" s="120" t="s">
        <v>118</v>
      </c>
      <c r="C117" s="8">
        <v>46301988</v>
      </c>
      <c r="D117" s="8">
        <v>32552017</v>
      </c>
    </row>
    <row r="118" spans="1:4" ht="30" x14ac:dyDescent="0.25">
      <c r="B118" s="120" t="s">
        <v>180</v>
      </c>
      <c r="D118" s="8">
        <v>32552017</v>
      </c>
    </row>
    <row r="119" spans="1:4" x14ac:dyDescent="0.25">
      <c r="A119" s="8" t="s">
        <v>171</v>
      </c>
      <c r="D119" s="8">
        <v>220636601</v>
      </c>
    </row>
    <row r="120" spans="1:4" ht="30" x14ac:dyDescent="0.25">
      <c r="A120" s="8">
        <v>3</v>
      </c>
      <c r="B120" s="120" t="s">
        <v>115</v>
      </c>
      <c r="C120" s="8">
        <v>0</v>
      </c>
      <c r="D120" s="8">
        <v>-31173073</v>
      </c>
    </row>
    <row r="121" spans="1:4" ht="30" x14ac:dyDescent="0.25">
      <c r="B121" s="120" t="s">
        <v>177</v>
      </c>
      <c r="D121" s="8">
        <v>-31173073</v>
      </c>
    </row>
    <row r="122" spans="1:4" ht="30" x14ac:dyDescent="0.25">
      <c r="B122" s="120" t="s">
        <v>120</v>
      </c>
      <c r="C122" s="8">
        <v>0</v>
      </c>
      <c r="D122" s="8">
        <v>-3386702</v>
      </c>
    </row>
    <row r="123" spans="1:4" ht="30" x14ac:dyDescent="0.25">
      <c r="B123" s="120" t="s">
        <v>181</v>
      </c>
      <c r="D123" s="8">
        <v>-3386702</v>
      </c>
    </row>
    <row r="124" spans="1:4" ht="30" x14ac:dyDescent="0.25">
      <c r="B124" s="120" t="s">
        <v>119</v>
      </c>
      <c r="C124" s="8">
        <v>0</v>
      </c>
      <c r="D124" s="8">
        <v>272021474</v>
      </c>
    </row>
    <row r="125" spans="1:4" ht="30" x14ac:dyDescent="0.25">
      <c r="B125" s="120" t="s">
        <v>182</v>
      </c>
      <c r="D125" s="8">
        <v>272021474</v>
      </c>
    </row>
    <row r="126" spans="1:4" x14ac:dyDescent="0.25">
      <c r="A126" s="8" t="s">
        <v>172</v>
      </c>
      <c r="D126" s="8">
        <v>237461699</v>
      </c>
    </row>
    <row r="127" spans="1:4" ht="30" x14ac:dyDescent="0.25">
      <c r="A127" s="8">
        <v>4</v>
      </c>
      <c r="B127" s="120" t="s">
        <v>116</v>
      </c>
      <c r="C127" s="8">
        <v>0</v>
      </c>
      <c r="D127" s="8">
        <v>-5393874</v>
      </c>
    </row>
    <row r="128" spans="1:4" ht="30" x14ac:dyDescent="0.25">
      <c r="B128" s="120" t="s">
        <v>176</v>
      </c>
      <c r="D128" s="8">
        <v>-5393874</v>
      </c>
    </row>
    <row r="129" spans="1:4" ht="30" x14ac:dyDescent="0.25">
      <c r="B129" s="120" t="s">
        <v>117</v>
      </c>
      <c r="C129" s="8">
        <v>0</v>
      </c>
      <c r="D129" s="8">
        <v>220894712</v>
      </c>
    </row>
    <row r="130" spans="1:4" x14ac:dyDescent="0.25">
      <c r="C130" s="8">
        <v>5206980</v>
      </c>
      <c r="D130" s="8">
        <v>215687732</v>
      </c>
    </row>
    <row r="131" spans="1:4" ht="30" x14ac:dyDescent="0.25">
      <c r="B131" s="120" t="s">
        <v>178</v>
      </c>
      <c r="D131" s="8">
        <v>436582444</v>
      </c>
    </row>
    <row r="132" spans="1:4" ht="30" x14ac:dyDescent="0.25">
      <c r="B132" s="120" t="s">
        <v>118</v>
      </c>
      <c r="C132" s="8">
        <v>0</v>
      </c>
      <c r="D132" s="8">
        <v>-154126628</v>
      </c>
    </row>
    <row r="133" spans="1:4" x14ac:dyDescent="0.25">
      <c r="C133" s="8">
        <v>18292580</v>
      </c>
      <c r="D133" s="8">
        <v>-18292580</v>
      </c>
    </row>
    <row r="134" spans="1:4" x14ac:dyDescent="0.25">
      <c r="C134" s="8">
        <v>59381000</v>
      </c>
      <c r="D134" s="8">
        <v>-59381000</v>
      </c>
    </row>
    <row r="135" spans="1:4" x14ac:dyDescent="0.25">
      <c r="C135" s="8">
        <v>136873800</v>
      </c>
      <c r="D135" s="8">
        <v>-136873800</v>
      </c>
    </row>
    <row r="136" spans="1:4" ht="30" x14ac:dyDescent="0.25">
      <c r="B136" s="120" t="s">
        <v>180</v>
      </c>
      <c r="D136" s="8">
        <v>-368674008</v>
      </c>
    </row>
    <row r="137" spans="1:4" x14ac:dyDescent="0.25">
      <c r="A137" s="8" t="s">
        <v>173</v>
      </c>
      <c r="D137" s="8">
        <v>62514562</v>
      </c>
    </row>
    <row r="138" spans="1:4" ht="30" x14ac:dyDescent="0.25">
      <c r="A138" s="8">
        <v>5</v>
      </c>
      <c r="B138" s="120" t="s">
        <v>116</v>
      </c>
      <c r="C138" s="8">
        <v>14949098</v>
      </c>
      <c r="D138" s="8">
        <v>8971412</v>
      </c>
    </row>
    <row r="139" spans="1:4" ht="30" x14ac:dyDescent="0.25">
      <c r="B139" s="120" t="s">
        <v>176</v>
      </c>
      <c r="D139" s="8">
        <v>8971412</v>
      </c>
    </row>
    <row r="140" spans="1:4" ht="30" x14ac:dyDescent="0.25">
      <c r="B140" s="120" t="s">
        <v>117</v>
      </c>
      <c r="C140" s="8">
        <v>222853680</v>
      </c>
      <c r="D140" s="8">
        <v>-7165948</v>
      </c>
    </row>
    <row r="141" spans="1:4" ht="30" x14ac:dyDescent="0.25">
      <c r="B141" s="120" t="s">
        <v>178</v>
      </c>
      <c r="D141" s="8">
        <v>-7165948</v>
      </c>
    </row>
    <row r="142" spans="1:4" ht="30" x14ac:dyDescent="0.25">
      <c r="B142" s="120" t="s">
        <v>113</v>
      </c>
      <c r="C142" s="8">
        <v>0</v>
      </c>
      <c r="D142" s="8">
        <v>-72263426</v>
      </c>
    </row>
    <row r="143" spans="1:4" x14ac:dyDescent="0.25">
      <c r="C143" s="8">
        <v>73211033</v>
      </c>
      <c r="D143" s="8">
        <v>-73211033</v>
      </c>
    </row>
    <row r="144" spans="1:4" ht="30" x14ac:dyDescent="0.25">
      <c r="B144" s="120" t="s">
        <v>179</v>
      </c>
      <c r="D144" s="8">
        <v>-145474459</v>
      </c>
    </row>
    <row r="145" spans="1:4" x14ac:dyDescent="0.25">
      <c r="A145" s="8" t="s">
        <v>174</v>
      </c>
      <c r="D145" s="8">
        <v>-143668995</v>
      </c>
    </row>
    <row r="146" spans="1:4" ht="30" x14ac:dyDescent="0.25">
      <c r="A146" s="8">
        <v>6</v>
      </c>
      <c r="B146" s="120" t="s">
        <v>115</v>
      </c>
      <c r="C146" s="8">
        <v>0</v>
      </c>
      <c r="D146" s="8">
        <v>159654349</v>
      </c>
    </row>
    <row r="147" spans="1:4" ht="30" x14ac:dyDescent="0.25">
      <c r="B147" s="120" t="s">
        <v>177</v>
      </c>
      <c r="D147" s="8">
        <v>159654349</v>
      </c>
    </row>
    <row r="148" spans="1:4" x14ac:dyDescent="0.25">
      <c r="A148" s="8" t="s">
        <v>175</v>
      </c>
      <c r="D148" s="8">
        <v>159654349</v>
      </c>
    </row>
    <row r="149" spans="1:4" x14ac:dyDescent="0.25">
      <c r="A149" s="8" t="s">
        <v>95</v>
      </c>
      <c r="D149" s="8">
        <v>1478433888</v>
      </c>
    </row>
  </sheetData>
  <pageMargins left="0.7" right="0.7" top="0.75" bottom="0.75" header="0.3" footer="0.3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"/>
  <sheetViews>
    <sheetView topLeftCell="C1" zoomScaleNormal="100" workbookViewId="0">
      <selection activeCell="O6" sqref="O6"/>
    </sheetView>
  </sheetViews>
  <sheetFormatPr baseColWidth="10" defaultColWidth="14.42578125" defaultRowHeight="15" customHeight="1" x14ac:dyDescent="0.25"/>
  <cols>
    <col min="1" max="1" width="5.5703125" style="295" customWidth="1"/>
    <col min="2" max="2" width="5" style="295" bestFit="1" customWidth="1"/>
    <col min="3" max="3" width="26.7109375" style="295" customWidth="1"/>
    <col min="4" max="4" width="16.7109375" style="295" customWidth="1"/>
    <col min="5" max="6" width="11.5703125" style="295" customWidth="1"/>
    <col min="7" max="13" width="11.5703125" style="295" hidden="1" customWidth="1"/>
    <col min="14" max="14" width="11.5703125" style="295" customWidth="1"/>
    <col min="15" max="15" width="14.28515625" style="295" customWidth="1"/>
    <col min="16" max="17" width="13" style="295" customWidth="1"/>
    <col min="18" max="23" width="13" style="295" hidden="1" customWidth="1"/>
    <col min="24" max="24" width="15.7109375" style="295" hidden="1" customWidth="1"/>
    <col min="25" max="25" width="14.7109375" style="295" customWidth="1"/>
    <col min="26" max="27" width="11.42578125" style="295" customWidth="1"/>
    <col min="28" max="28" width="16.42578125" style="295" customWidth="1"/>
    <col min="29" max="29" width="14.28515625" style="295" customWidth="1"/>
    <col min="30" max="30" width="14.7109375" style="295" customWidth="1"/>
    <col min="31" max="31" width="15" style="295" customWidth="1"/>
    <col min="32" max="32" width="255.7109375" style="295" hidden="1" customWidth="1"/>
    <col min="33" max="33" width="21.28515625" style="295" hidden="1" customWidth="1"/>
    <col min="34" max="34" width="24.7109375" style="295" hidden="1" customWidth="1"/>
    <col min="35" max="41" width="11.42578125" style="295" customWidth="1"/>
    <col min="42" max="16384" width="14.42578125" style="295"/>
  </cols>
  <sheetData>
    <row r="1" spans="1:41" s="291" customFormat="1" ht="8.25" x14ac:dyDescent="0.25">
      <c r="A1" s="296"/>
      <c r="B1" s="489" t="s">
        <v>39</v>
      </c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1"/>
      <c r="O1" s="492" t="s">
        <v>40</v>
      </c>
      <c r="P1" s="495" t="s">
        <v>41</v>
      </c>
      <c r="Q1" s="496"/>
      <c r="R1" s="496"/>
      <c r="S1" s="496"/>
      <c r="T1" s="496"/>
      <c r="U1" s="496"/>
      <c r="V1" s="496"/>
      <c r="W1" s="496"/>
      <c r="X1" s="497"/>
      <c r="Y1" s="498"/>
      <c r="Z1" s="297"/>
      <c r="AA1" s="487" t="s">
        <v>42</v>
      </c>
      <c r="AB1" s="488"/>
      <c r="AC1" s="297" t="s">
        <v>43</v>
      </c>
      <c r="AD1" s="298" t="s">
        <v>44</v>
      </c>
      <c r="AH1" s="298"/>
      <c r="AI1" s="298"/>
      <c r="AJ1" s="298"/>
      <c r="AK1" s="298"/>
      <c r="AL1" s="298"/>
      <c r="AM1" s="298"/>
      <c r="AN1" s="298"/>
      <c r="AO1" s="298"/>
    </row>
    <row r="2" spans="1:41" s="291" customFormat="1" ht="7.9" customHeight="1" x14ac:dyDescent="0.25">
      <c r="A2" s="508" t="s">
        <v>45</v>
      </c>
      <c r="B2" s="499" t="s">
        <v>46</v>
      </c>
      <c r="C2" s="511" t="s">
        <v>47</v>
      </c>
      <c r="D2" s="499" t="s">
        <v>48</v>
      </c>
      <c r="E2" s="502" t="s">
        <v>49</v>
      </c>
      <c r="F2" s="503"/>
      <c r="G2" s="503"/>
      <c r="H2" s="503"/>
      <c r="I2" s="503"/>
      <c r="J2" s="503"/>
      <c r="K2" s="503"/>
      <c r="L2" s="503"/>
      <c r="M2" s="512"/>
      <c r="N2" s="499" t="s">
        <v>50</v>
      </c>
      <c r="O2" s="493"/>
      <c r="P2" s="502" t="s">
        <v>51</v>
      </c>
      <c r="Q2" s="503"/>
      <c r="R2" s="503"/>
      <c r="S2" s="503"/>
      <c r="T2" s="503"/>
      <c r="U2" s="503"/>
      <c r="V2" s="503"/>
      <c r="W2" s="503"/>
      <c r="X2" s="504"/>
      <c r="Y2" s="499" t="s">
        <v>52</v>
      </c>
      <c r="Z2" s="297"/>
      <c r="AA2" s="304" t="s">
        <v>53</v>
      </c>
      <c r="AB2" s="305" t="s">
        <v>54</v>
      </c>
      <c r="AC2" s="306" t="s">
        <v>56</v>
      </c>
      <c r="AD2" s="306" t="s">
        <v>44</v>
      </c>
      <c r="AH2" s="298"/>
      <c r="AI2" s="298"/>
      <c r="AJ2" s="298"/>
      <c r="AK2" s="298"/>
      <c r="AL2" s="298"/>
      <c r="AM2" s="298"/>
      <c r="AN2" s="298"/>
      <c r="AO2" s="298"/>
    </row>
    <row r="3" spans="1:41" s="291" customFormat="1" ht="13.9" customHeight="1" x14ac:dyDescent="0.25">
      <c r="A3" s="509"/>
      <c r="B3" s="493"/>
      <c r="C3" s="493"/>
      <c r="D3" s="500"/>
      <c r="E3" s="505"/>
      <c r="F3" s="506"/>
      <c r="G3" s="506"/>
      <c r="H3" s="506"/>
      <c r="I3" s="506"/>
      <c r="J3" s="506"/>
      <c r="K3" s="506"/>
      <c r="L3" s="506"/>
      <c r="M3" s="507"/>
      <c r="N3" s="500"/>
      <c r="O3" s="493"/>
      <c r="P3" s="505"/>
      <c r="Q3" s="506"/>
      <c r="R3" s="506"/>
      <c r="S3" s="506"/>
      <c r="T3" s="506"/>
      <c r="U3" s="506"/>
      <c r="V3" s="506"/>
      <c r="W3" s="506"/>
      <c r="X3" s="507"/>
      <c r="Y3" s="500"/>
      <c r="Z3" s="297"/>
      <c r="AA3" s="307" t="str">
        <f>+P4</f>
        <v>BOGOTÁ</v>
      </c>
      <c r="AB3" s="303">
        <f>+SUM(P7)</f>
        <v>170023171</v>
      </c>
      <c r="AC3" s="297">
        <f>+P7</f>
        <v>170023171</v>
      </c>
      <c r="AD3" s="298" t="b">
        <f t="shared" ref="AD3:AD5" si="0">+EXACT(AB3,AC3)</f>
        <v>1</v>
      </c>
      <c r="AH3" s="298"/>
      <c r="AI3" s="298"/>
      <c r="AJ3" s="298"/>
      <c r="AK3" s="298"/>
      <c r="AL3" s="298"/>
      <c r="AM3" s="298"/>
      <c r="AN3" s="298"/>
      <c r="AO3" s="298"/>
    </row>
    <row r="4" spans="1:41" s="291" customFormat="1" ht="18" x14ac:dyDescent="0.25">
      <c r="A4" s="510"/>
      <c r="B4" s="494"/>
      <c r="C4" s="494"/>
      <c r="D4" s="501"/>
      <c r="E4" s="299" t="s">
        <v>57</v>
      </c>
      <c r="F4" s="299" t="s">
        <v>18</v>
      </c>
      <c r="G4" s="299" t="s">
        <v>58</v>
      </c>
      <c r="H4" s="299" t="s">
        <v>59</v>
      </c>
      <c r="I4" s="299" t="s">
        <v>60</v>
      </c>
      <c r="J4" s="299" t="s">
        <v>61</v>
      </c>
      <c r="K4" s="299" t="s">
        <v>62</v>
      </c>
      <c r="L4" s="299" t="s">
        <v>63</v>
      </c>
      <c r="M4" s="299" t="s">
        <v>64</v>
      </c>
      <c r="N4" s="501"/>
      <c r="O4" s="494"/>
      <c r="P4" s="300" t="str">
        <f>+E4</f>
        <v>BOGOTÁ</v>
      </c>
      <c r="Q4" s="300" t="str">
        <f t="shared" ref="Q4:X4" si="1">+F4</f>
        <v>ORIENTE</v>
      </c>
      <c r="R4" s="300" t="str">
        <f t="shared" si="1"/>
        <v xml:space="preserve">CENTRAL </v>
      </c>
      <c r="S4" s="300" t="str">
        <f t="shared" si="1"/>
        <v xml:space="preserve">SUR </v>
      </c>
      <c r="T4" s="300" t="str">
        <f t="shared" si="1"/>
        <v xml:space="preserve">NORTE </v>
      </c>
      <c r="U4" s="300" t="str">
        <f t="shared" si="1"/>
        <v xml:space="preserve">OCCIDENTE </v>
      </c>
      <c r="V4" s="300" t="str">
        <f t="shared" si="1"/>
        <v xml:space="preserve">NOROCCIDENTE </v>
      </c>
      <c r="W4" s="300" t="str">
        <f t="shared" si="1"/>
        <v xml:space="preserve">SUROCCIDENTE </v>
      </c>
      <c r="X4" s="300" t="str">
        <f t="shared" si="1"/>
        <v xml:space="preserve">NORORIENTE </v>
      </c>
      <c r="Y4" s="501"/>
      <c r="Z4" s="297"/>
      <c r="AA4" s="307" t="str">
        <f>+Q4</f>
        <v>ORIENTE</v>
      </c>
      <c r="AB4" s="303">
        <f>SUM(Q5:Q5)</f>
        <v>0</v>
      </c>
      <c r="AC4" s="297">
        <f>+Q7</f>
        <v>0</v>
      </c>
      <c r="AD4" s="298" t="b">
        <f t="shared" si="0"/>
        <v>1</v>
      </c>
      <c r="AH4" s="298"/>
      <c r="AI4" s="298"/>
      <c r="AJ4" s="298"/>
      <c r="AK4" s="298"/>
      <c r="AL4" s="298"/>
      <c r="AM4" s="298"/>
      <c r="AN4" s="298"/>
      <c r="AO4" s="298"/>
    </row>
    <row r="5" spans="1:41" ht="14.25" customHeight="1" x14ac:dyDescent="0.25">
      <c r="A5" s="292">
        <f>+#REF!</f>
        <v>7</v>
      </c>
      <c r="B5" s="292">
        <v>21</v>
      </c>
      <c r="C5" s="293" t="s">
        <v>183</v>
      </c>
      <c r="D5" s="293" t="str">
        <f>+'[2]DATOS REGIONALIZADO '!$D$5</f>
        <v>UNIDAD</v>
      </c>
      <c r="E5" s="292">
        <v>1</v>
      </c>
      <c r="F5" s="292">
        <v>0</v>
      </c>
      <c r="G5" s="292"/>
      <c r="H5" s="292"/>
      <c r="I5" s="292"/>
      <c r="J5" s="292"/>
      <c r="K5" s="292"/>
      <c r="L5" s="292"/>
      <c r="M5" s="292"/>
      <c r="N5" s="292">
        <f>+SUM(E5:F5)</f>
        <v>1</v>
      </c>
      <c r="O5" s="292">
        <v>129972575</v>
      </c>
      <c r="P5" s="292">
        <f t="shared" ref="P5:P6" si="2">+E5*O5</f>
        <v>129972575</v>
      </c>
      <c r="Q5" s="292">
        <f t="shared" ref="Q5:Q6" si="3">+F5*O5</f>
        <v>0</v>
      </c>
      <c r="R5" s="292">
        <f t="shared" ref="R5" si="4">+G5*O5</f>
        <v>0</v>
      </c>
      <c r="S5" s="292">
        <f t="shared" ref="S5" si="5">+H5*O5</f>
        <v>0</v>
      </c>
      <c r="T5" s="292">
        <f t="shared" ref="T5" si="6">+I5*O5</f>
        <v>0</v>
      </c>
      <c r="U5" s="292">
        <f t="shared" ref="U5" si="7">+J5*O5</f>
        <v>0</v>
      </c>
      <c r="V5" s="292">
        <f t="shared" ref="V5" si="8">+K5*O5</f>
        <v>0</v>
      </c>
      <c r="W5" s="292">
        <f t="shared" ref="W5" si="9">+L5*O5</f>
        <v>0</v>
      </c>
      <c r="X5" s="292">
        <f t="shared" ref="X5" si="10">+M5*O5</f>
        <v>0</v>
      </c>
      <c r="Y5" s="292">
        <f>+P5+Q5</f>
        <v>129972575</v>
      </c>
      <c r="Z5" s="301"/>
      <c r="AA5" s="308" t="s">
        <v>71</v>
      </c>
      <c r="AB5" s="309">
        <f>+SUM(AB3:AB4)</f>
        <v>170023171</v>
      </c>
      <c r="AC5" s="301">
        <f>+Y7</f>
        <v>170023171</v>
      </c>
      <c r="AD5" s="298" t="b">
        <f t="shared" si="0"/>
        <v>1</v>
      </c>
      <c r="AE5" s="302"/>
      <c r="AF5" s="210" t="s">
        <v>94</v>
      </c>
      <c r="AG5" t="s">
        <v>87</v>
      </c>
      <c r="AH5" t="s">
        <v>88</v>
      </c>
      <c r="AI5" s="302"/>
      <c r="AJ5" s="302"/>
      <c r="AK5" s="302"/>
      <c r="AL5" s="302"/>
      <c r="AM5" s="302"/>
      <c r="AN5" s="302"/>
      <c r="AO5" s="302"/>
    </row>
    <row r="6" spans="1:41" ht="14.25" customHeight="1" x14ac:dyDescent="0.25">
      <c r="A6" s="292">
        <v>7</v>
      </c>
      <c r="B6" s="292">
        <v>22</v>
      </c>
      <c r="C6" s="293" t="s">
        <v>184</v>
      </c>
      <c r="D6" s="293" t="str">
        <f>+'[2]DATOS REGIONALIZADO '!$D$6</f>
        <v>UNIDAD</v>
      </c>
      <c r="E6" s="292">
        <v>1</v>
      </c>
      <c r="F6" s="292">
        <v>0</v>
      </c>
      <c r="G6" s="314"/>
      <c r="H6" s="314"/>
      <c r="I6" s="314"/>
      <c r="J6" s="314"/>
      <c r="K6" s="314"/>
      <c r="L6" s="314"/>
      <c r="M6" s="314"/>
      <c r="N6" s="292">
        <f>+SUM(E6:F6)</f>
        <v>1</v>
      </c>
      <c r="O6" s="292">
        <v>40050596</v>
      </c>
      <c r="P6" s="292">
        <f t="shared" si="2"/>
        <v>40050596</v>
      </c>
      <c r="Q6" s="292">
        <f t="shared" si="3"/>
        <v>0</v>
      </c>
      <c r="R6" s="292"/>
      <c r="S6" s="292"/>
      <c r="T6" s="292"/>
      <c r="U6" s="292"/>
      <c r="V6" s="292"/>
      <c r="W6" s="292"/>
      <c r="X6" s="292"/>
      <c r="Y6" s="292">
        <f t="shared" ref="Y6" si="11">+SUM(P6:X6)</f>
        <v>40050596</v>
      </c>
      <c r="Z6" s="301"/>
      <c r="AA6" s="302"/>
      <c r="AB6" s="302"/>
      <c r="AC6" s="302"/>
      <c r="AD6" s="294"/>
      <c r="AE6" s="294"/>
      <c r="AF6" s="312">
        <v>7</v>
      </c>
      <c r="AG6" s="8">
        <v>170023171</v>
      </c>
      <c r="AH6">
        <v>0</v>
      </c>
      <c r="AI6" s="302"/>
      <c r="AJ6" s="302"/>
      <c r="AK6" s="302"/>
      <c r="AL6" s="302"/>
      <c r="AM6" s="302"/>
      <c r="AN6" s="302"/>
      <c r="AO6" s="302"/>
    </row>
    <row r="7" spans="1:41" ht="15" customHeight="1" x14ac:dyDescent="0.25">
      <c r="A7" s="294"/>
      <c r="B7" s="513" t="s">
        <v>75</v>
      </c>
      <c r="C7" s="514"/>
      <c r="D7" s="514"/>
      <c r="E7" s="514"/>
      <c r="F7" s="514"/>
      <c r="G7" s="514"/>
      <c r="H7" s="514"/>
      <c r="I7" s="514"/>
      <c r="J7" s="514"/>
      <c r="K7" s="514"/>
      <c r="L7" s="514"/>
      <c r="M7" s="514"/>
      <c r="N7" s="514"/>
      <c r="O7" s="515"/>
      <c r="P7" s="292">
        <f>+SUM(P5:P6)</f>
        <v>170023171</v>
      </c>
      <c r="Q7" s="292">
        <f t="shared" ref="Q7:Y7" si="12">+SUM(Q5:Q6)</f>
        <v>0</v>
      </c>
      <c r="R7" s="292">
        <f t="shared" si="12"/>
        <v>0</v>
      </c>
      <c r="S7" s="292">
        <f t="shared" si="12"/>
        <v>0</v>
      </c>
      <c r="T7" s="292">
        <f t="shared" si="12"/>
        <v>0</v>
      </c>
      <c r="U7" s="292">
        <f t="shared" si="12"/>
        <v>0</v>
      </c>
      <c r="V7" s="292">
        <f t="shared" si="12"/>
        <v>0</v>
      </c>
      <c r="W7" s="292">
        <f t="shared" si="12"/>
        <v>0</v>
      </c>
      <c r="X7" s="292">
        <f t="shared" si="12"/>
        <v>0</v>
      </c>
      <c r="Y7" s="292">
        <f t="shared" si="12"/>
        <v>170023171</v>
      </c>
      <c r="Z7" s="301"/>
      <c r="AA7" s="302"/>
      <c r="AB7" s="302"/>
      <c r="AC7" s="302"/>
      <c r="AF7" s="315" t="s">
        <v>92</v>
      </c>
      <c r="AG7" s="8">
        <v>129972575</v>
      </c>
      <c r="AH7">
        <v>0</v>
      </c>
      <c r="AI7" s="302"/>
      <c r="AJ7" s="302"/>
      <c r="AK7" s="302"/>
      <c r="AL7" s="302"/>
      <c r="AM7" s="302"/>
      <c r="AN7" s="302"/>
      <c r="AO7" s="302"/>
    </row>
    <row r="8" spans="1:41" ht="15" customHeight="1" x14ac:dyDescent="0.25">
      <c r="AF8" s="315" t="s">
        <v>93</v>
      </c>
      <c r="AG8" s="8">
        <v>40050596</v>
      </c>
      <c r="AH8">
        <v>0</v>
      </c>
    </row>
    <row r="9" spans="1:41" ht="15" customHeight="1" x14ac:dyDescent="0.25">
      <c r="AF9" s="312" t="s">
        <v>95</v>
      </c>
      <c r="AG9" s="8">
        <v>170023171</v>
      </c>
      <c r="AH9">
        <v>0</v>
      </c>
    </row>
    <row r="10" spans="1:41" ht="11.25" x14ac:dyDescent="0.25"/>
    <row r="11" spans="1:41" x14ac:dyDescent="0.25">
      <c r="B11" s="444" t="s">
        <v>86</v>
      </c>
      <c r="C11" s="444"/>
      <c r="D11" s="444"/>
      <c r="E11" s="444"/>
      <c r="F11" s="444"/>
      <c r="G11" s="444"/>
      <c r="H11" s="444"/>
      <c r="I11" s="444"/>
      <c r="J11" s="444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332" t="s">
        <v>87</v>
      </c>
      <c r="AC11" s="332" t="s">
        <v>88</v>
      </c>
      <c r="AD11" s="332" t="s">
        <v>89</v>
      </c>
    </row>
    <row r="12" spans="1:41" ht="44.25" customHeight="1" x14ac:dyDescent="0.25">
      <c r="B12" s="410" t="str">
        <f>+AF7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C12" s="410"/>
      <c r="D12" s="410"/>
      <c r="E12" s="410"/>
      <c r="F12" s="410"/>
      <c r="G12" s="410"/>
      <c r="H12" s="410"/>
      <c r="I12" s="410"/>
      <c r="J12" s="410"/>
      <c r="K12" s="410"/>
      <c r="L12" s="410"/>
      <c r="M12" s="410"/>
      <c r="N12" s="410"/>
      <c r="O12" s="410"/>
      <c r="P12" s="410"/>
      <c r="Q12" s="410"/>
      <c r="R12" s="410"/>
      <c r="S12" s="410"/>
      <c r="T12" s="410"/>
      <c r="U12" s="410"/>
      <c r="V12" s="410"/>
      <c r="W12" s="410"/>
      <c r="X12" s="410"/>
      <c r="Y12" s="410"/>
      <c r="Z12" s="410"/>
      <c r="AA12" s="445"/>
      <c r="AB12" s="277">
        <f>+AG7</f>
        <v>129972575</v>
      </c>
      <c r="AC12" s="277">
        <f>+AH7</f>
        <v>0</v>
      </c>
      <c r="AD12" s="277">
        <f>+AB12+AC12</f>
        <v>129972575</v>
      </c>
    </row>
    <row r="13" spans="1:41" ht="58.5" customHeight="1" x14ac:dyDescent="0.25">
      <c r="B13" s="410" t="str">
        <f>+AF8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C13" s="410"/>
      <c r="D13" s="410"/>
      <c r="E13" s="410"/>
      <c r="F13" s="410"/>
      <c r="G13" s="410"/>
      <c r="H13" s="410"/>
      <c r="I13" s="410"/>
      <c r="J13" s="410"/>
      <c r="K13" s="410"/>
      <c r="L13" s="410"/>
      <c r="M13" s="410"/>
      <c r="N13" s="410"/>
      <c r="O13" s="410"/>
      <c r="P13" s="410"/>
      <c r="Q13" s="410"/>
      <c r="R13" s="410"/>
      <c r="S13" s="410"/>
      <c r="T13" s="410"/>
      <c r="U13" s="410"/>
      <c r="V13" s="410"/>
      <c r="W13" s="410"/>
      <c r="X13" s="410"/>
      <c r="Y13" s="410"/>
      <c r="Z13" s="410"/>
      <c r="AA13" s="445"/>
      <c r="AB13" s="277">
        <f>+AG8</f>
        <v>40050596</v>
      </c>
      <c r="AC13" s="277">
        <f>+AH8</f>
        <v>0</v>
      </c>
      <c r="AD13" s="277">
        <f>+AB13+AC13</f>
        <v>40050596</v>
      </c>
    </row>
    <row r="14" spans="1:41" ht="15" customHeight="1" x14ac:dyDescent="0.25">
      <c r="B14" s="428" t="s">
        <v>71</v>
      </c>
      <c r="C14" s="429"/>
      <c r="D14" s="429"/>
      <c r="E14" s="429"/>
      <c r="F14" s="429"/>
      <c r="G14" s="429"/>
      <c r="H14" s="429"/>
      <c r="I14" s="429"/>
      <c r="J14" s="429"/>
      <c r="K14" s="429"/>
      <c r="L14" s="429"/>
      <c r="M14" s="429"/>
      <c r="N14" s="429"/>
      <c r="O14" s="429"/>
      <c r="P14" s="429"/>
      <c r="Q14" s="429"/>
      <c r="R14" s="429"/>
      <c r="S14" s="429"/>
      <c r="T14" s="429"/>
      <c r="U14" s="429"/>
      <c r="V14" s="429"/>
      <c r="W14" s="429"/>
      <c r="X14" s="429"/>
      <c r="Y14" s="429"/>
      <c r="Z14" s="429"/>
      <c r="AA14" s="429"/>
      <c r="AB14" s="328">
        <f>+SUM(AB12:AB13)</f>
        <v>170023171</v>
      </c>
      <c r="AC14" s="328">
        <f t="shared" ref="AC14:AD14" si="13">+SUM(AC12:AC13)</f>
        <v>0</v>
      </c>
      <c r="AD14" s="328">
        <f t="shared" si="13"/>
        <v>170023171</v>
      </c>
      <c r="AE14" s="295" t="b">
        <f>+AD14=AB5</f>
        <v>1</v>
      </c>
    </row>
  </sheetData>
  <mergeCells count="17">
    <mergeCell ref="B14:AA14"/>
    <mergeCell ref="B13:AA13"/>
    <mergeCell ref="B12:AA12"/>
    <mergeCell ref="A2:A4"/>
    <mergeCell ref="B2:B4"/>
    <mergeCell ref="C2:C4"/>
    <mergeCell ref="D2:D4"/>
    <mergeCell ref="E2:M3"/>
    <mergeCell ref="Y2:Y4"/>
    <mergeCell ref="B7:O7"/>
    <mergeCell ref="B11:AA11"/>
    <mergeCell ref="AA1:AB1"/>
    <mergeCell ref="B1:N1"/>
    <mergeCell ref="O1:O4"/>
    <mergeCell ref="P1:Y1"/>
    <mergeCell ref="N2:N4"/>
    <mergeCell ref="P2:X3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3"/>
  <sheetViews>
    <sheetView zoomScaleNormal="100" workbookViewId="0">
      <selection activeCell="O6" sqref="O6"/>
    </sheetView>
  </sheetViews>
  <sheetFormatPr baseColWidth="10" defaultColWidth="14.42578125" defaultRowHeight="15" customHeight="1" zeroHeight="1" x14ac:dyDescent="0.25"/>
  <cols>
    <col min="1" max="1" width="4.28515625" style="251" bestFit="1" customWidth="1"/>
    <col min="2" max="2" width="7.5703125" style="251" customWidth="1"/>
    <col min="3" max="3" width="16.7109375" style="251" customWidth="1"/>
    <col min="4" max="4" width="11.5703125" style="251" customWidth="1"/>
    <col min="5" max="5" width="16.570312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customWidth="1"/>
    <col min="30" max="30" width="23.28515625" style="251" customWidth="1"/>
    <col min="31" max="33" width="11.42578125" style="251" customWidth="1"/>
    <col min="34" max="34" width="18.7109375" style="251" hidden="1" customWidth="1"/>
    <col min="35" max="35" width="22.28515625" style="251" hidden="1" customWidth="1"/>
    <col min="36" max="36" width="26" style="251" hidden="1" customWidth="1"/>
    <col min="37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37"/>
      <c r="F1" s="437"/>
      <c r="G1" s="437"/>
      <c r="H1" s="437"/>
      <c r="I1" s="437"/>
      <c r="J1" s="437"/>
      <c r="K1" s="437"/>
      <c r="L1" s="437"/>
      <c r="M1" s="437"/>
      <c r="N1" s="419"/>
      <c r="O1" s="420" t="s">
        <v>40</v>
      </c>
      <c r="P1" s="439" t="s">
        <v>41</v>
      </c>
      <c r="Q1" s="440"/>
      <c r="R1" s="440"/>
      <c r="S1" s="440"/>
      <c r="T1" s="440"/>
      <c r="U1" s="440"/>
      <c r="V1" s="440"/>
      <c r="W1" s="440"/>
      <c r="X1" s="441"/>
      <c r="Y1" s="424"/>
      <c r="Z1" s="239"/>
      <c r="AA1" s="442" t="s">
        <v>42</v>
      </c>
      <c r="AB1" s="443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404" t="s">
        <v>48</v>
      </c>
      <c r="E2" s="434" t="s">
        <v>49</v>
      </c>
      <c r="F2" s="434"/>
      <c r="G2" s="434"/>
      <c r="H2" s="434"/>
      <c r="I2" s="434"/>
      <c r="J2" s="434"/>
      <c r="K2" s="434"/>
      <c r="L2" s="434"/>
      <c r="M2" s="434"/>
      <c r="N2" s="406" t="s">
        <v>50</v>
      </c>
      <c r="O2" s="438"/>
      <c r="P2" s="434" t="s">
        <v>51</v>
      </c>
      <c r="Q2" s="434"/>
      <c r="R2" s="434"/>
      <c r="S2" s="434"/>
      <c r="T2" s="434"/>
      <c r="U2" s="434"/>
      <c r="V2" s="434"/>
      <c r="W2" s="434"/>
      <c r="X2" s="435"/>
      <c r="Y2" s="406" t="s">
        <v>52</v>
      </c>
      <c r="Z2" s="239"/>
      <c r="AA2" s="286" t="s">
        <v>53</v>
      </c>
      <c r="AB2" s="287" t="s">
        <v>54</v>
      </c>
      <c r="AF2" s="240"/>
      <c r="AG2" s="240"/>
      <c r="AH2" s="240"/>
      <c r="AI2" s="240"/>
      <c r="AJ2" s="240"/>
      <c r="AK2" s="240"/>
      <c r="AL2" s="240"/>
      <c r="AM2" s="240"/>
    </row>
    <row r="3" spans="1:39" s="243" customFormat="1" ht="8.65" customHeight="1" x14ac:dyDescent="0.25">
      <c r="A3" s="396"/>
      <c r="B3" s="399"/>
      <c r="C3" s="399"/>
      <c r="D3" s="433"/>
      <c r="E3" s="435"/>
      <c r="F3" s="435"/>
      <c r="G3" s="435"/>
      <c r="H3" s="435"/>
      <c r="I3" s="435"/>
      <c r="J3" s="435"/>
      <c r="K3" s="435"/>
      <c r="L3" s="435"/>
      <c r="M3" s="435"/>
      <c r="N3" s="395"/>
      <c r="O3" s="438"/>
      <c r="P3" s="435"/>
      <c r="Q3" s="435"/>
      <c r="R3" s="435"/>
      <c r="S3" s="435"/>
      <c r="T3" s="435"/>
      <c r="U3" s="435"/>
      <c r="V3" s="435"/>
      <c r="W3" s="435"/>
      <c r="X3" s="435"/>
      <c r="Y3" s="395"/>
      <c r="Z3" s="239"/>
      <c r="AA3" s="252" t="str">
        <f>+P4</f>
        <v>BOGOTÁ</v>
      </c>
      <c r="AB3" s="253">
        <f>+SUM(P5:P6)</f>
        <v>92195992</v>
      </c>
      <c r="AF3" s="240"/>
      <c r="AG3" s="240"/>
      <c r="AH3" s="240"/>
      <c r="AI3" s="240"/>
      <c r="AJ3" s="240"/>
      <c r="AK3" s="240"/>
      <c r="AL3" s="240"/>
      <c r="AM3" s="240"/>
    </row>
    <row r="4" spans="1:39" s="243" customFormat="1" ht="22.9" customHeight="1" x14ac:dyDescent="0.25">
      <c r="A4" s="397"/>
      <c r="B4" s="400"/>
      <c r="C4" s="400"/>
      <c r="D4" s="403"/>
      <c r="E4" s="279" t="s">
        <v>57</v>
      </c>
      <c r="F4" s="279" t="s">
        <v>18</v>
      </c>
      <c r="G4" s="279" t="s">
        <v>58</v>
      </c>
      <c r="H4" s="279" t="s">
        <v>59</v>
      </c>
      <c r="I4" s="279" t="s">
        <v>60</v>
      </c>
      <c r="J4" s="279" t="s">
        <v>61</v>
      </c>
      <c r="K4" s="279" t="s">
        <v>62</v>
      </c>
      <c r="L4" s="279" t="s">
        <v>63</v>
      </c>
      <c r="M4" s="279" t="s">
        <v>18</v>
      </c>
      <c r="N4" s="403"/>
      <c r="O4" s="400"/>
      <c r="P4" s="276" t="str">
        <f>+E4</f>
        <v>BOGOTÁ</v>
      </c>
      <c r="Q4" s="276" t="str">
        <f t="shared" ref="Q4:X4" si="0">+F4</f>
        <v>ORIENTE</v>
      </c>
      <c r="R4" s="276" t="str">
        <f t="shared" si="0"/>
        <v xml:space="preserve">CENTRAL </v>
      </c>
      <c r="S4" s="276" t="str">
        <f t="shared" si="0"/>
        <v xml:space="preserve">SUR </v>
      </c>
      <c r="T4" s="276" t="str">
        <f t="shared" si="0"/>
        <v xml:space="preserve">NORTE </v>
      </c>
      <c r="U4" s="276" t="str">
        <f t="shared" si="0"/>
        <v xml:space="preserve">OCCIDENTE </v>
      </c>
      <c r="V4" s="276" t="str">
        <f t="shared" si="0"/>
        <v xml:space="preserve">NOROCCIDENTE </v>
      </c>
      <c r="W4" s="276" t="str">
        <f t="shared" si="0"/>
        <v xml:space="preserve">SUROCCIDENTE </v>
      </c>
      <c r="X4" s="276" t="str">
        <f t="shared" si="0"/>
        <v>ORIENTE</v>
      </c>
      <c r="Y4" s="403"/>
      <c r="Z4" s="239"/>
      <c r="AA4" s="252" t="str">
        <f>+Q4</f>
        <v>ORIENTE</v>
      </c>
      <c r="AB4" s="253">
        <f>SUM(Q5:Q6)</f>
        <v>0</v>
      </c>
      <c r="AF4" s="240"/>
      <c r="AG4" s="240"/>
      <c r="AH4" s="240"/>
      <c r="AI4" s="240"/>
      <c r="AJ4" s="240"/>
      <c r="AK4" s="240"/>
      <c r="AL4" s="240"/>
      <c r="AM4" s="240"/>
    </row>
    <row r="5" spans="1:39" ht="33.75" x14ac:dyDescent="0.25">
      <c r="A5" s="247">
        <v>8</v>
      </c>
      <c r="B5" s="257">
        <v>23</v>
      </c>
      <c r="C5" s="258" t="s">
        <v>133</v>
      </c>
      <c r="D5" s="248" t="s">
        <v>81</v>
      </c>
      <c r="E5" s="247">
        <v>1</v>
      </c>
      <c r="F5" s="247">
        <v>0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1</v>
      </c>
      <c r="O5" s="247">
        <v>19454635</v>
      </c>
      <c r="P5" s="247">
        <f>+E5*O5</f>
        <v>19454635</v>
      </c>
      <c r="Q5" s="247">
        <f>+F5*O5</f>
        <v>0</v>
      </c>
      <c r="R5" s="247">
        <f>+G5*O5</f>
        <v>0</v>
      </c>
      <c r="S5" s="247">
        <f>+H5*O5</f>
        <v>0</v>
      </c>
      <c r="T5" s="247">
        <f>+I5*O5</f>
        <v>0</v>
      </c>
      <c r="U5" s="247">
        <f>+J5*O5</f>
        <v>0</v>
      </c>
      <c r="V5" s="247">
        <f>+K5*O5</f>
        <v>0</v>
      </c>
      <c r="W5" s="247">
        <f>+L5*O5</f>
        <v>0</v>
      </c>
      <c r="X5" s="247">
        <f>+M5*O5</f>
        <v>0</v>
      </c>
      <c r="Y5" s="247">
        <f>+SUM(P5:X5)</f>
        <v>19454635</v>
      </c>
      <c r="Z5" s="249"/>
      <c r="AA5" s="254" t="s">
        <v>71</v>
      </c>
      <c r="AB5" s="255">
        <f>+SUM(AB3:AB4)</f>
        <v>92195992</v>
      </c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</row>
    <row r="6" spans="1:39" ht="22.5" x14ac:dyDescent="0.25">
      <c r="A6" s="247">
        <v>8</v>
      </c>
      <c r="B6" s="257">
        <v>24</v>
      </c>
      <c r="C6" s="258" t="s">
        <v>134</v>
      </c>
      <c r="D6" s="248" t="s">
        <v>81</v>
      </c>
      <c r="E6" s="247">
        <v>3</v>
      </c>
      <c r="F6" s="247">
        <v>0</v>
      </c>
      <c r="G6" s="247">
        <v>0</v>
      </c>
      <c r="H6" s="247">
        <v>0</v>
      </c>
      <c r="I6" s="247">
        <v>0</v>
      </c>
      <c r="J6" s="247">
        <v>0</v>
      </c>
      <c r="K6" s="247">
        <v>0</v>
      </c>
      <c r="L6" s="247">
        <v>0</v>
      </c>
      <c r="M6" s="247">
        <v>0</v>
      </c>
      <c r="N6" s="247">
        <f>+SUM(E6:F6)</f>
        <v>3</v>
      </c>
      <c r="O6" s="247">
        <v>24247119</v>
      </c>
      <c r="P6" s="247">
        <f>+E6*O6</f>
        <v>72741357</v>
      </c>
      <c r="Q6" s="247">
        <f>+F6*O6</f>
        <v>0</v>
      </c>
      <c r="R6" s="247">
        <f>+G6*O6</f>
        <v>0</v>
      </c>
      <c r="S6" s="247">
        <f>+H6*O6</f>
        <v>0</v>
      </c>
      <c r="T6" s="247">
        <f>+I6*O6</f>
        <v>0</v>
      </c>
      <c r="U6" s="247">
        <f>+J6*O6</f>
        <v>0</v>
      </c>
      <c r="V6" s="247">
        <f>+K6*O6</f>
        <v>0</v>
      </c>
      <c r="W6" s="247">
        <f>+L6*O6</f>
        <v>0</v>
      </c>
      <c r="X6" s="247">
        <f>+M6*O6</f>
        <v>0</v>
      </c>
      <c r="Y6" s="247">
        <f>+SUM(P6:X6)</f>
        <v>72741357</v>
      </c>
      <c r="Z6" s="249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</row>
    <row r="7" spans="1:39" ht="14.25" customHeight="1" x14ac:dyDescent="0.25">
      <c r="A7" s="256"/>
      <c r="B7" s="412" t="s">
        <v>75</v>
      </c>
      <c r="C7" s="413"/>
      <c r="D7" s="413"/>
      <c r="E7" s="413"/>
      <c r="F7" s="413"/>
      <c r="G7" s="413"/>
      <c r="H7" s="413"/>
      <c r="I7" s="413"/>
      <c r="J7" s="413"/>
      <c r="K7" s="413"/>
      <c r="L7" s="413"/>
      <c r="M7" s="413"/>
      <c r="N7" s="413"/>
      <c r="O7" s="414"/>
      <c r="P7" s="247">
        <f t="shared" ref="P7:X7" si="1">+SUM(P5:P6)</f>
        <v>92195992</v>
      </c>
      <c r="Q7" s="247">
        <f t="shared" si="1"/>
        <v>0</v>
      </c>
      <c r="R7" s="247">
        <f t="shared" si="1"/>
        <v>0</v>
      </c>
      <c r="S7" s="247">
        <f t="shared" si="1"/>
        <v>0</v>
      </c>
      <c r="T7" s="247">
        <f t="shared" si="1"/>
        <v>0</v>
      </c>
      <c r="U7" s="247">
        <f t="shared" si="1"/>
        <v>0</v>
      </c>
      <c r="V7" s="247">
        <f t="shared" si="1"/>
        <v>0</v>
      </c>
      <c r="W7" s="247">
        <f t="shared" si="1"/>
        <v>0</v>
      </c>
      <c r="X7" s="247">
        <f t="shared" si="1"/>
        <v>0</v>
      </c>
      <c r="Y7" s="247">
        <f>SUM(Y5:Y6)</f>
        <v>92195992</v>
      </c>
      <c r="Z7" s="249"/>
      <c r="AA7" s="250"/>
      <c r="AB7" s="250"/>
      <c r="AF7" s="250"/>
      <c r="AG7" s="250"/>
      <c r="AH7" s="250"/>
      <c r="AI7" s="250"/>
      <c r="AJ7" s="250"/>
      <c r="AK7" s="250"/>
      <c r="AL7" s="250"/>
      <c r="AM7" s="250"/>
    </row>
    <row r="8" spans="1:39" ht="15" customHeight="1" x14ac:dyDescent="0.25"/>
    <row r="9" spans="1:39" ht="15" customHeight="1" x14ac:dyDescent="0.25">
      <c r="B9" s="444" t="s">
        <v>86</v>
      </c>
      <c r="C9" s="444"/>
      <c r="D9" s="444"/>
      <c r="E9" s="444"/>
      <c r="F9" s="444"/>
      <c r="G9" s="444"/>
      <c r="H9" s="444"/>
      <c r="I9" s="444"/>
      <c r="J9" s="444"/>
      <c r="K9" s="444"/>
      <c r="L9" s="444"/>
      <c r="M9" s="444"/>
      <c r="N9" s="444"/>
      <c r="O9" s="444"/>
      <c r="P9" s="444"/>
      <c r="Q9" s="444"/>
      <c r="R9" s="444"/>
      <c r="S9" s="444"/>
      <c r="T9" s="444"/>
      <c r="U9" s="444"/>
      <c r="V9" s="444"/>
      <c r="W9" s="444"/>
      <c r="X9" s="444"/>
      <c r="Y9" s="444"/>
      <c r="Z9" s="444"/>
      <c r="AA9" s="444"/>
      <c r="AB9" s="332" t="s">
        <v>87</v>
      </c>
      <c r="AC9" s="332" t="s">
        <v>88</v>
      </c>
      <c r="AD9" s="332" t="s">
        <v>89</v>
      </c>
    </row>
    <row r="10" spans="1:39" ht="51.75" customHeight="1" x14ac:dyDescent="0.25">
      <c r="B10" s="445" t="str">
        <f>+AH12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C10" s="446"/>
      <c r="D10" s="446"/>
      <c r="E10" s="446"/>
      <c r="F10" s="446"/>
      <c r="G10" s="446"/>
      <c r="H10" s="446"/>
      <c r="I10" s="446"/>
      <c r="J10" s="446"/>
      <c r="K10" s="446"/>
      <c r="L10" s="446"/>
      <c r="M10" s="446"/>
      <c r="N10" s="446"/>
      <c r="O10" s="446"/>
      <c r="P10" s="446"/>
      <c r="Q10" s="446"/>
      <c r="R10" s="446"/>
      <c r="S10" s="446"/>
      <c r="T10" s="446"/>
      <c r="U10" s="446"/>
      <c r="V10" s="446"/>
      <c r="W10" s="446"/>
      <c r="X10" s="446"/>
      <c r="Y10" s="446"/>
      <c r="Z10" s="446"/>
      <c r="AA10" s="446"/>
      <c r="AB10" s="277">
        <f>+AI12</f>
        <v>92195992</v>
      </c>
      <c r="AC10" s="277"/>
      <c r="AD10" s="277">
        <f>+AB10+AC10</f>
        <v>92195992</v>
      </c>
      <c r="AH10" s="210" t="s">
        <v>94</v>
      </c>
      <c r="AI10" t="s">
        <v>87</v>
      </c>
      <c r="AJ10" t="s">
        <v>88</v>
      </c>
    </row>
    <row r="11" spans="1:39" ht="51.75" hidden="1" customHeight="1" x14ac:dyDescent="0.25">
      <c r="B11" s="432" t="str">
        <f>+AH13</f>
        <v>Total general</v>
      </c>
      <c r="C11" s="447"/>
      <c r="D11" s="447"/>
      <c r="E11" s="447"/>
      <c r="F11" s="447"/>
      <c r="G11" s="447"/>
      <c r="H11" s="447"/>
      <c r="I11" s="447"/>
      <c r="J11" s="447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277"/>
      <c r="AC11" s="277"/>
      <c r="AD11" s="277">
        <f>+AB11+AC11</f>
        <v>0</v>
      </c>
      <c r="AH11" s="312">
        <v>8</v>
      </c>
      <c r="AI11" s="8">
        <v>92195992</v>
      </c>
      <c r="AJ11">
        <v>0</v>
      </c>
    </row>
    <row r="12" spans="1:39" ht="15" hidden="1" customHeight="1" x14ac:dyDescent="0.25">
      <c r="B12" s="432"/>
      <c r="C12" s="447"/>
      <c r="D12" s="447"/>
      <c r="E12" s="447"/>
      <c r="F12" s="447"/>
      <c r="G12" s="447"/>
      <c r="H12" s="447"/>
      <c r="I12" s="447"/>
      <c r="J12" s="447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278"/>
      <c r="AC12" s="278"/>
      <c r="AD12" s="278">
        <f>+AB12+AC12</f>
        <v>0</v>
      </c>
      <c r="AH12" s="315" t="s">
        <v>98</v>
      </c>
      <c r="AI12" s="8">
        <v>92195992</v>
      </c>
      <c r="AJ12">
        <v>0</v>
      </c>
    </row>
    <row r="13" spans="1:39" ht="15" customHeight="1" x14ac:dyDescent="0.25">
      <c r="B13" s="428" t="s">
        <v>71</v>
      </c>
      <c r="C13" s="429"/>
      <c r="D13" s="429"/>
      <c r="E13" s="429"/>
      <c r="F13" s="429"/>
      <c r="G13" s="429"/>
      <c r="H13" s="429"/>
      <c r="I13" s="429"/>
      <c r="J13" s="429"/>
      <c r="K13" s="429"/>
      <c r="L13" s="429"/>
      <c r="M13" s="429"/>
      <c r="N13" s="429"/>
      <c r="O13" s="429"/>
      <c r="P13" s="429"/>
      <c r="Q13" s="429"/>
      <c r="R13" s="429"/>
      <c r="S13" s="429"/>
      <c r="T13" s="429"/>
      <c r="U13" s="429"/>
      <c r="V13" s="429"/>
      <c r="W13" s="429"/>
      <c r="X13" s="429"/>
      <c r="Y13" s="429"/>
      <c r="Z13" s="429"/>
      <c r="AA13" s="436"/>
      <c r="AB13" s="328">
        <f>+SUM(AB10:AB12)</f>
        <v>92195992</v>
      </c>
      <c r="AC13" s="328">
        <f>SUM(AC10:AC12)</f>
        <v>0</v>
      </c>
      <c r="AD13" s="328">
        <f>+SUM(AD10:AD12)</f>
        <v>92195992</v>
      </c>
      <c r="AH13" s="312" t="s">
        <v>95</v>
      </c>
      <c r="AI13" s="8">
        <v>92195992</v>
      </c>
      <c r="AJ13">
        <v>0</v>
      </c>
    </row>
    <row r="14" spans="1:39" ht="15" customHeight="1" x14ac:dyDescent="0.25">
      <c r="AE14" s="251" t="b">
        <f>+AD13=AB5</f>
        <v>1</v>
      </c>
      <c r="AH14"/>
      <c r="AI14"/>
      <c r="AJ14"/>
    </row>
    <row r="15" spans="1:39" ht="15" customHeight="1" x14ac:dyDescent="0.25"/>
    <row r="16" spans="1:39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18">
    <mergeCell ref="B12:AA12"/>
    <mergeCell ref="B13:AA13"/>
    <mergeCell ref="Y2:Y4"/>
    <mergeCell ref="AA1:AB1"/>
    <mergeCell ref="B7:O7"/>
    <mergeCell ref="B10:AA10"/>
    <mergeCell ref="B11:AA11"/>
    <mergeCell ref="B1:N1"/>
    <mergeCell ref="O1:O4"/>
    <mergeCell ref="P1:Y1"/>
    <mergeCell ref="N2:N4"/>
    <mergeCell ref="P2:X3"/>
    <mergeCell ref="B9:AA9"/>
    <mergeCell ref="A2:A4"/>
    <mergeCell ref="B2:B4"/>
    <mergeCell ref="C2:C4"/>
    <mergeCell ref="D2:D4"/>
    <mergeCell ref="E2:M3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3"/>
  <sheetViews>
    <sheetView zoomScaleNormal="100" workbookViewId="0">
      <selection activeCell="O5" sqref="O5"/>
    </sheetView>
  </sheetViews>
  <sheetFormatPr baseColWidth="10" defaultColWidth="14.42578125" defaultRowHeight="15" customHeight="1" zeroHeight="1" x14ac:dyDescent="0.25"/>
  <cols>
    <col min="1" max="1" width="4.28515625" style="251" bestFit="1" customWidth="1"/>
    <col min="2" max="2" width="8.85546875" style="251" customWidth="1"/>
    <col min="3" max="3" width="16.7109375" style="251" customWidth="1"/>
    <col min="4" max="4" width="11.5703125" style="251" customWidth="1"/>
    <col min="5" max="5" width="16.570312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customWidth="1"/>
    <col min="30" max="30" width="23.28515625" style="251" customWidth="1"/>
    <col min="31" max="31" width="11.42578125" style="251" customWidth="1"/>
    <col min="32" max="32" width="18.7109375" style="251" hidden="1" customWidth="1"/>
    <col min="33" max="33" width="22.28515625" style="251" hidden="1" customWidth="1"/>
    <col min="34" max="34" width="26" style="251" hidden="1" customWidth="1"/>
    <col min="35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37"/>
      <c r="F1" s="437"/>
      <c r="G1" s="437"/>
      <c r="H1" s="437"/>
      <c r="I1" s="437"/>
      <c r="J1" s="437"/>
      <c r="K1" s="437"/>
      <c r="L1" s="437"/>
      <c r="M1" s="437"/>
      <c r="N1" s="419"/>
      <c r="O1" s="420" t="s">
        <v>40</v>
      </c>
      <c r="P1" s="439" t="s">
        <v>41</v>
      </c>
      <c r="Q1" s="440"/>
      <c r="R1" s="440"/>
      <c r="S1" s="440"/>
      <c r="T1" s="440"/>
      <c r="U1" s="440"/>
      <c r="V1" s="440"/>
      <c r="W1" s="440"/>
      <c r="X1" s="441"/>
      <c r="Y1" s="424"/>
      <c r="Z1" s="239"/>
      <c r="AA1" s="240"/>
      <c r="AB1" s="241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404" t="s">
        <v>48</v>
      </c>
      <c r="E2" s="434" t="s">
        <v>49</v>
      </c>
      <c r="F2" s="434"/>
      <c r="G2" s="434"/>
      <c r="H2" s="434"/>
      <c r="I2" s="434"/>
      <c r="J2" s="434"/>
      <c r="K2" s="434"/>
      <c r="L2" s="434"/>
      <c r="M2" s="434"/>
      <c r="N2" s="406" t="s">
        <v>50</v>
      </c>
      <c r="O2" s="438"/>
      <c r="P2" s="434" t="s">
        <v>51</v>
      </c>
      <c r="Q2" s="434"/>
      <c r="R2" s="434"/>
      <c r="S2" s="434"/>
      <c r="T2" s="434"/>
      <c r="U2" s="434"/>
      <c r="V2" s="434"/>
      <c r="W2" s="434"/>
      <c r="X2" s="435"/>
      <c r="Y2" s="406" t="s">
        <v>52</v>
      </c>
      <c r="Z2" s="239"/>
      <c r="AA2" s="442" t="s">
        <v>42</v>
      </c>
      <c r="AB2" s="443"/>
      <c r="AF2" s="240"/>
      <c r="AG2" s="240"/>
      <c r="AH2" s="240"/>
      <c r="AI2" s="240"/>
      <c r="AJ2" s="240"/>
      <c r="AK2" s="240"/>
      <c r="AL2" s="240"/>
      <c r="AM2" s="240"/>
    </row>
    <row r="3" spans="1:39" s="243" customFormat="1" ht="8.65" customHeight="1" x14ac:dyDescent="0.25">
      <c r="A3" s="396"/>
      <c r="B3" s="399"/>
      <c r="C3" s="399"/>
      <c r="D3" s="433"/>
      <c r="E3" s="435"/>
      <c r="F3" s="435"/>
      <c r="G3" s="435"/>
      <c r="H3" s="435"/>
      <c r="I3" s="435"/>
      <c r="J3" s="435"/>
      <c r="K3" s="435"/>
      <c r="L3" s="435"/>
      <c r="M3" s="435"/>
      <c r="N3" s="395"/>
      <c r="O3" s="438"/>
      <c r="P3" s="435"/>
      <c r="Q3" s="435"/>
      <c r="R3" s="435"/>
      <c r="S3" s="435"/>
      <c r="T3" s="435"/>
      <c r="U3" s="435"/>
      <c r="V3" s="435"/>
      <c r="W3" s="435"/>
      <c r="X3" s="435"/>
      <c r="Y3" s="395"/>
      <c r="Z3" s="239"/>
      <c r="AA3" s="286" t="s">
        <v>53</v>
      </c>
      <c r="AB3" s="287" t="s">
        <v>54</v>
      </c>
      <c r="AF3" s="240"/>
      <c r="AG3" s="240"/>
      <c r="AH3" s="240"/>
      <c r="AI3" s="240"/>
      <c r="AJ3" s="240"/>
      <c r="AK3" s="240"/>
      <c r="AL3" s="240"/>
      <c r="AM3" s="240"/>
    </row>
    <row r="4" spans="1:39" s="243" customFormat="1" ht="18" x14ac:dyDescent="0.25">
      <c r="A4" s="397"/>
      <c r="B4" s="400"/>
      <c r="C4" s="400"/>
      <c r="D4" s="403"/>
      <c r="E4" s="279" t="s">
        <v>57</v>
      </c>
      <c r="F4" s="279" t="s">
        <v>18</v>
      </c>
      <c r="G4" s="279" t="s">
        <v>58</v>
      </c>
      <c r="H4" s="279" t="s">
        <v>59</v>
      </c>
      <c r="I4" s="279" t="s">
        <v>60</v>
      </c>
      <c r="J4" s="279" t="s">
        <v>61</v>
      </c>
      <c r="K4" s="279" t="s">
        <v>62</v>
      </c>
      <c r="L4" s="279" t="s">
        <v>63</v>
      </c>
      <c r="M4" s="279" t="s">
        <v>18</v>
      </c>
      <c r="N4" s="403"/>
      <c r="O4" s="400"/>
      <c r="P4" s="276" t="str">
        <f>+E4</f>
        <v>BOGOTÁ</v>
      </c>
      <c r="Q4" s="276" t="str">
        <f t="shared" ref="Q4:X4" si="0">+F4</f>
        <v>ORIENTE</v>
      </c>
      <c r="R4" s="276" t="str">
        <f t="shared" si="0"/>
        <v xml:space="preserve">CENTRAL </v>
      </c>
      <c r="S4" s="276" t="str">
        <f t="shared" si="0"/>
        <v xml:space="preserve">SUR </v>
      </c>
      <c r="T4" s="276" t="str">
        <f t="shared" si="0"/>
        <v xml:space="preserve">NORTE </v>
      </c>
      <c r="U4" s="276" t="str">
        <f t="shared" si="0"/>
        <v xml:space="preserve">OCCIDENTE </v>
      </c>
      <c r="V4" s="276" t="str">
        <f t="shared" si="0"/>
        <v xml:space="preserve">NOROCCIDENTE </v>
      </c>
      <c r="W4" s="276" t="str">
        <f t="shared" si="0"/>
        <v xml:space="preserve">SUROCCIDENTE </v>
      </c>
      <c r="X4" s="276" t="str">
        <f t="shared" si="0"/>
        <v>ORIENTE</v>
      </c>
      <c r="Y4" s="403"/>
      <c r="Z4" s="239"/>
      <c r="AA4" s="252" t="str">
        <f>+P4</f>
        <v>BOGOTÁ</v>
      </c>
      <c r="AB4" s="253">
        <f>+SUM(P5:P5)</f>
        <v>29155000</v>
      </c>
      <c r="AF4" s="240"/>
      <c r="AG4" s="240"/>
      <c r="AH4" s="240"/>
      <c r="AI4" s="240"/>
      <c r="AJ4" s="240"/>
      <c r="AK4" s="240"/>
      <c r="AL4" s="240"/>
      <c r="AM4" s="240"/>
    </row>
    <row r="5" spans="1:39" ht="33.75" x14ac:dyDescent="0.25">
      <c r="A5" s="247">
        <v>9</v>
      </c>
      <c r="B5" s="257">
        <v>25</v>
      </c>
      <c r="C5" s="258" t="s">
        <v>135</v>
      </c>
      <c r="D5" s="248" t="s">
        <v>81</v>
      </c>
      <c r="E5" s="247">
        <v>1</v>
      </c>
      <c r="F5" s="247">
        <v>0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1</v>
      </c>
      <c r="O5" s="247">
        <v>29155000</v>
      </c>
      <c r="P5" s="247">
        <f>+E5*O5</f>
        <v>29155000</v>
      </c>
      <c r="Q5" s="247">
        <f>+F5*O5</f>
        <v>0</v>
      </c>
      <c r="R5" s="247">
        <f>+G5*O5</f>
        <v>0</v>
      </c>
      <c r="S5" s="247">
        <f>+H5*O5</f>
        <v>0</v>
      </c>
      <c r="T5" s="247">
        <f>+I5*O5</f>
        <v>0</v>
      </c>
      <c r="U5" s="247">
        <f>+J5*O5</f>
        <v>0</v>
      </c>
      <c r="V5" s="247">
        <f>+K5*O5</f>
        <v>0</v>
      </c>
      <c r="W5" s="247">
        <f>+L5*O5</f>
        <v>0</v>
      </c>
      <c r="X5" s="247">
        <f>+M5*O5</f>
        <v>0</v>
      </c>
      <c r="Y5" s="247">
        <f>+SUM(P5:X5)</f>
        <v>29155000</v>
      </c>
      <c r="Z5" s="249"/>
      <c r="AA5" s="254" t="s">
        <v>71</v>
      </c>
      <c r="AB5" s="255">
        <f>+SUM(AB4:AB4)</f>
        <v>29155000</v>
      </c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</row>
    <row r="6" spans="1:39" ht="14.25" customHeight="1" x14ac:dyDescent="0.25">
      <c r="A6" s="256"/>
      <c r="B6" s="412" t="s">
        <v>75</v>
      </c>
      <c r="C6" s="413"/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4"/>
      <c r="P6" s="247">
        <f t="shared" ref="P6:X6" si="1">+SUM(P5:P5)</f>
        <v>29155000</v>
      </c>
      <c r="Q6" s="247">
        <f t="shared" si="1"/>
        <v>0</v>
      </c>
      <c r="R6" s="247">
        <f t="shared" si="1"/>
        <v>0</v>
      </c>
      <c r="S6" s="247">
        <f t="shared" si="1"/>
        <v>0</v>
      </c>
      <c r="T6" s="247">
        <f t="shared" si="1"/>
        <v>0</v>
      </c>
      <c r="U6" s="247">
        <f t="shared" si="1"/>
        <v>0</v>
      </c>
      <c r="V6" s="247">
        <f t="shared" si="1"/>
        <v>0</v>
      </c>
      <c r="W6" s="247">
        <f t="shared" si="1"/>
        <v>0</v>
      </c>
      <c r="X6" s="247">
        <f t="shared" si="1"/>
        <v>0</v>
      </c>
      <c r="Y6" s="247">
        <f>SUM(Y5:Y5)</f>
        <v>29155000</v>
      </c>
      <c r="Z6" s="249"/>
      <c r="AA6" s="250"/>
      <c r="AB6" s="250"/>
      <c r="AF6" s="250"/>
      <c r="AG6" s="250"/>
      <c r="AH6" s="250"/>
      <c r="AI6" s="250"/>
      <c r="AJ6" s="250"/>
      <c r="AK6" s="250"/>
      <c r="AL6" s="250"/>
      <c r="AM6" s="250"/>
    </row>
    <row r="7" spans="1:39" ht="15" customHeight="1" x14ac:dyDescent="0.25"/>
    <row r="8" spans="1:39" ht="15" customHeight="1" x14ac:dyDescent="0.25">
      <c r="B8" s="444" t="s">
        <v>86</v>
      </c>
      <c r="C8" s="444"/>
      <c r="D8" s="444"/>
      <c r="E8" s="444"/>
      <c r="F8" s="444"/>
      <c r="G8" s="444"/>
      <c r="H8" s="444"/>
      <c r="I8" s="444"/>
      <c r="J8" s="444"/>
      <c r="K8" s="444"/>
      <c r="L8" s="444"/>
      <c r="M8" s="444"/>
      <c r="N8" s="444"/>
      <c r="O8" s="444"/>
      <c r="P8" s="444"/>
      <c r="Q8" s="444"/>
      <c r="R8" s="444"/>
      <c r="S8" s="444"/>
      <c r="T8" s="444"/>
      <c r="U8" s="444"/>
      <c r="V8" s="444"/>
      <c r="W8" s="444"/>
      <c r="X8" s="444"/>
      <c r="Y8" s="332"/>
      <c r="Z8" s="332"/>
      <c r="AA8" s="332"/>
      <c r="AB8" s="332" t="s">
        <v>87</v>
      </c>
      <c r="AC8" s="332" t="s">
        <v>88</v>
      </c>
      <c r="AD8" s="332" t="s">
        <v>89</v>
      </c>
    </row>
    <row r="9" spans="1:39" ht="51.75" customHeight="1" x14ac:dyDescent="0.25">
      <c r="B9" s="445" t="str">
        <f>+AF11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C9" s="446"/>
      <c r="D9" s="446"/>
      <c r="E9" s="446"/>
      <c r="F9" s="446"/>
      <c r="G9" s="446"/>
      <c r="H9" s="446"/>
      <c r="I9" s="446"/>
      <c r="J9" s="446"/>
      <c r="K9" s="446"/>
      <c r="L9" s="446"/>
      <c r="M9" s="446"/>
      <c r="N9" s="446"/>
      <c r="O9" s="446"/>
      <c r="P9" s="446"/>
      <c r="Q9" s="446"/>
      <c r="R9" s="446"/>
      <c r="S9" s="446"/>
      <c r="T9" s="446"/>
      <c r="U9" s="446"/>
      <c r="V9" s="446"/>
      <c r="W9" s="446"/>
      <c r="X9" s="446"/>
      <c r="Y9" s="446"/>
      <c r="Z9" s="446"/>
      <c r="AA9" s="446"/>
      <c r="AB9" s="277">
        <f>+AG10</f>
        <v>29155000</v>
      </c>
      <c r="AC9" s="277">
        <f>+AH10</f>
        <v>0</v>
      </c>
      <c r="AD9" s="277">
        <f>+AB9+AC9</f>
        <v>29155000</v>
      </c>
      <c r="AF9" s="210" t="s">
        <v>94</v>
      </c>
      <c r="AG9" t="s">
        <v>87</v>
      </c>
      <c r="AH9" t="s">
        <v>88</v>
      </c>
    </row>
    <row r="10" spans="1:39" ht="51.75" hidden="1" customHeight="1" x14ac:dyDescent="0.25">
      <c r="B10" s="432"/>
      <c r="C10" s="447"/>
      <c r="D10" s="447"/>
      <c r="E10" s="447"/>
      <c r="F10" s="447"/>
      <c r="G10" s="447"/>
      <c r="H10" s="447"/>
      <c r="I10" s="447"/>
      <c r="J10" s="447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277"/>
      <c r="AC10" s="277"/>
      <c r="AD10" s="277">
        <f>+AB10+AC10</f>
        <v>0</v>
      </c>
      <c r="AF10" s="312">
        <v>9</v>
      </c>
      <c r="AG10" s="8">
        <v>29155000</v>
      </c>
      <c r="AH10">
        <v>0</v>
      </c>
    </row>
    <row r="11" spans="1:39" ht="15" hidden="1" customHeight="1" x14ac:dyDescent="0.25">
      <c r="B11" s="432"/>
      <c r="C11" s="447"/>
      <c r="D11" s="447"/>
      <c r="E11" s="447"/>
      <c r="F11" s="447"/>
      <c r="G11" s="447"/>
      <c r="H11" s="447"/>
      <c r="I11" s="447"/>
      <c r="J11" s="447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278"/>
      <c r="AC11" s="278"/>
      <c r="AD11" s="278">
        <f>+AB11+AC11</f>
        <v>0</v>
      </c>
      <c r="AF11" s="315" t="s">
        <v>92</v>
      </c>
      <c r="AG11" s="8">
        <v>29155000</v>
      </c>
      <c r="AH11">
        <v>0</v>
      </c>
    </row>
    <row r="12" spans="1:39" ht="15" customHeight="1" x14ac:dyDescent="0.25">
      <c r="B12" s="428" t="s">
        <v>71</v>
      </c>
      <c r="C12" s="429"/>
      <c r="D12" s="429"/>
      <c r="E12" s="429"/>
      <c r="F12" s="429"/>
      <c r="G12" s="429"/>
      <c r="H12" s="429"/>
      <c r="I12" s="429"/>
      <c r="J12" s="429"/>
      <c r="K12" s="429"/>
      <c r="L12" s="429"/>
      <c r="M12" s="429"/>
      <c r="N12" s="429"/>
      <c r="O12" s="429"/>
      <c r="P12" s="429"/>
      <c r="Q12" s="429"/>
      <c r="R12" s="429"/>
      <c r="S12" s="429"/>
      <c r="T12" s="429"/>
      <c r="U12" s="429"/>
      <c r="V12" s="429"/>
      <c r="W12" s="429"/>
      <c r="X12" s="429"/>
      <c r="Y12" s="429"/>
      <c r="Z12" s="429"/>
      <c r="AA12" s="436"/>
      <c r="AB12" s="328">
        <f>+SUM(AB9:AB11)</f>
        <v>29155000</v>
      </c>
      <c r="AC12" s="328">
        <f>SUM(AC9:AC11)</f>
        <v>0</v>
      </c>
      <c r="AD12" s="328">
        <f>+SUM(AD9:AD11)</f>
        <v>29155000</v>
      </c>
      <c r="AF12" s="312" t="s">
        <v>95</v>
      </c>
      <c r="AG12" s="8">
        <v>29155000</v>
      </c>
      <c r="AH12">
        <v>0</v>
      </c>
    </row>
    <row r="13" spans="1:39" ht="15" customHeight="1" x14ac:dyDescent="0.25">
      <c r="AF13"/>
      <c r="AG13"/>
      <c r="AH13"/>
    </row>
    <row r="14" spans="1:39" ht="15" customHeight="1" x14ac:dyDescent="0.25"/>
    <row r="15" spans="1:39" ht="15" customHeight="1" x14ac:dyDescent="0.25"/>
    <row r="16" spans="1:39" ht="15" customHeight="1" x14ac:dyDescent="0.25">
      <c r="AD16" s="251" t="b">
        <f>+AD12=AB5</f>
        <v>1</v>
      </c>
    </row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18">
    <mergeCell ref="B11:AA11"/>
    <mergeCell ref="B12:AA12"/>
    <mergeCell ref="Y2:Y4"/>
    <mergeCell ref="AA2:AB2"/>
    <mergeCell ref="B6:O6"/>
    <mergeCell ref="B8:X8"/>
    <mergeCell ref="B9:AA9"/>
    <mergeCell ref="B10:AA10"/>
    <mergeCell ref="B1:N1"/>
    <mergeCell ref="O1:O4"/>
    <mergeCell ref="P1:Y1"/>
    <mergeCell ref="A2:A4"/>
    <mergeCell ref="B2:B4"/>
    <mergeCell ref="C2:C4"/>
    <mergeCell ref="D2:D4"/>
    <mergeCell ref="E2:M3"/>
    <mergeCell ref="N2:N4"/>
    <mergeCell ref="P2:X3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3"/>
  <sheetViews>
    <sheetView zoomScaleNormal="100" workbookViewId="0">
      <selection activeCell="Y15" sqref="Y15"/>
    </sheetView>
  </sheetViews>
  <sheetFormatPr baseColWidth="10" defaultColWidth="14.42578125" defaultRowHeight="15" customHeight="1" zeroHeight="1" x14ac:dyDescent="0.25"/>
  <cols>
    <col min="1" max="1" width="4.28515625" style="251" bestFit="1" customWidth="1"/>
    <col min="2" max="2" width="13.7109375" style="251" customWidth="1"/>
    <col min="3" max="3" width="16.7109375" style="251" customWidth="1"/>
    <col min="4" max="4" width="11.5703125" style="251" customWidth="1"/>
    <col min="5" max="5" width="16.570312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hidden="1" customWidth="1"/>
    <col min="30" max="30" width="23.28515625" style="251" customWidth="1"/>
    <col min="31" max="31" width="11.42578125" style="251" customWidth="1"/>
    <col min="32" max="32" width="11.42578125" style="251" hidden="1" customWidth="1"/>
    <col min="33" max="33" width="18.7109375" style="251" hidden="1" customWidth="1"/>
    <col min="34" max="34" width="22.28515625" style="251" hidden="1" customWidth="1"/>
    <col min="35" max="35" width="26" style="251" hidden="1" customWidth="1"/>
    <col min="36" max="37" width="11.42578125" style="251" hidden="1" customWidth="1"/>
    <col min="38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37"/>
      <c r="F1" s="437"/>
      <c r="G1" s="437"/>
      <c r="H1" s="437"/>
      <c r="I1" s="437"/>
      <c r="J1" s="437"/>
      <c r="K1" s="437"/>
      <c r="L1" s="437"/>
      <c r="M1" s="437"/>
      <c r="N1" s="419"/>
      <c r="O1" s="420" t="s">
        <v>40</v>
      </c>
      <c r="P1" s="439" t="s">
        <v>41</v>
      </c>
      <c r="Q1" s="440"/>
      <c r="R1" s="440"/>
      <c r="S1" s="440"/>
      <c r="T1" s="440"/>
      <c r="U1" s="440"/>
      <c r="V1" s="440"/>
      <c r="W1" s="440"/>
      <c r="X1" s="441"/>
      <c r="Y1" s="424"/>
      <c r="Z1" s="239"/>
      <c r="AA1" s="442" t="s">
        <v>42</v>
      </c>
      <c r="AB1" s="443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404" t="s">
        <v>48</v>
      </c>
      <c r="E2" s="434" t="s">
        <v>49</v>
      </c>
      <c r="F2" s="434"/>
      <c r="G2" s="434"/>
      <c r="H2" s="434"/>
      <c r="I2" s="434"/>
      <c r="J2" s="434"/>
      <c r="K2" s="434"/>
      <c r="L2" s="434"/>
      <c r="M2" s="434"/>
      <c r="N2" s="406" t="s">
        <v>50</v>
      </c>
      <c r="O2" s="438"/>
      <c r="P2" s="434" t="s">
        <v>51</v>
      </c>
      <c r="Q2" s="434"/>
      <c r="R2" s="434"/>
      <c r="S2" s="434"/>
      <c r="T2" s="434"/>
      <c r="U2" s="434"/>
      <c r="V2" s="434"/>
      <c r="W2" s="434"/>
      <c r="X2" s="435"/>
      <c r="Y2" s="406" t="s">
        <v>52</v>
      </c>
      <c r="Z2" s="239"/>
      <c r="AA2" s="286" t="s">
        <v>53</v>
      </c>
      <c r="AB2" s="287" t="s">
        <v>54</v>
      </c>
      <c r="AF2" s="240"/>
      <c r="AG2" s="240"/>
      <c r="AH2" s="240"/>
      <c r="AI2" s="240"/>
      <c r="AJ2" s="240"/>
      <c r="AK2" s="240"/>
      <c r="AL2" s="240"/>
      <c r="AM2" s="240"/>
    </row>
    <row r="3" spans="1:39" s="243" customFormat="1" ht="8.65" customHeight="1" x14ac:dyDescent="0.25">
      <c r="A3" s="396"/>
      <c r="B3" s="399"/>
      <c r="C3" s="399"/>
      <c r="D3" s="433"/>
      <c r="E3" s="435"/>
      <c r="F3" s="435"/>
      <c r="G3" s="435"/>
      <c r="H3" s="435"/>
      <c r="I3" s="435"/>
      <c r="J3" s="435"/>
      <c r="K3" s="435"/>
      <c r="L3" s="435"/>
      <c r="M3" s="435"/>
      <c r="N3" s="395"/>
      <c r="O3" s="438"/>
      <c r="P3" s="435"/>
      <c r="Q3" s="435"/>
      <c r="R3" s="435"/>
      <c r="S3" s="435"/>
      <c r="T3" s="435"/>
      <c r="U3" s="435"/>
      <c r="V3" s="435"/>
      <c r="W3" s="435"/>
      <c r="X3" s="435"/>
      <c r="Y3" s="395"/>
      <c r="Z3" s="239"/>
      <c r="AA3" s="252" t="str">
        <f>+P4</f>
        <v>BOGOTÁ</v>
      </c>
      <c r="AB3" s="253">
        <f>+SUM(P5:P5)</f>
        <v>192791293</v>
      </c>
      <c r="AF3" s="240"/>
      <c r="AG3" s="240"/>
      <c r="AH3" s="240"/>
      <c r="AI3" s="240"/>
      <c r="AJ3" s="240"/>
      <c r="AK3" s="240"/>
      <c r="AL3" s="240"/>
      <c r="AM3" s="240"/>
    </row>
    <row r="4" spans="1:39" s="243" customFormat="1" ht="18" x14ac:dyDescent="0.25">
      <c r="A4" s="397"/>
      <c r="B4" s="400"/>
      <c r="C4" s="400"/>
      <c r="D4" s="403"/>
      <c r="E4" s="279" t="s">
        <v>57</v>
      </c>
      <c r="F4" s="279" t="s">
        <v>18</v>
      </c>
      <c r="G4" s="279" t="s">
        <v>58</v>
      </c>
      <c r="H4" s="279" t="s">
        <v>59</v>
      </c>
      <c r="I4" s="279" t="s">
        <v>60</v>
      </c>
      <c r="J4" s="279" t="s">
        <v>61</v>
      </c>
      <c r="K4" s="279" t="s">
        <v>62</v>
      </c>
      <c r="L4" s="279" t="s">
        <v>63</v>
      </c>
      <c r="M4" s="279" t="s">
        <v>18</v>
      </c>
      <c r="N4" s="403"/>
      <c r="O4" s="400"/>
      <c r="P4" s="276" t="str">
        <f>+E4</f>
        <v>BOGOTÁ</v>
      </c>
      <c r="Q4" s="276" t="str">
        <f t="shared" ref="Q4:X4" si="0">+F4</f>
        <v>ORIENTE</v>
      </c>
      <c r="R4" s="276" t="str">
        <f t="shared" si="0"/>
        <v xml:space="preserve">CENTRAL </v>
      </c>
      <c r="S4" s="276" t="str">
        <f t="shared" si="0"/>
        <v xml:space="preserve">SUR </v>
      </c>
      <c r="T4" s="276" t="str">
        <f t="shared" si="0"/>
        <v xml:space="preserve">NORTE </v>
      </c>
      <c r="U4" s="276" t="str">
        <f t="shared" si="0"/>
        <v xml:space="preserve">OCCIDENTE </v>
      </c>
      <c r="V4" s="276" t="str">
        <f t="shared" si="0"/>
        <v xml:space="preserve">NOROCCIDENTE </v>
      </c>
      <c r="W4" s="276" t="str">
        <f t="shared" si="0"/>
        <v xml:space="preserve">SUROCCIDENTE </v>
      </c>
      <c r="X4" s="276" t="str">
        <f t="shared" si="0"/>
        <v>ORIENTE</v>
      </c>
      <c r="Y4" s="403"/>
      <c r="Z4" s="239"/>
      <c r="AA4" s="252" t="str">
        <f>+Q4</f>
        <v>ORIENTE</v>
      </c>
      <c r="AB4" s="253">
        <f>SUM(Q5:Q5)</f>
        <v>0</v>
      </c>
      <c r="AF4" s="240"/>
      <c r="AG4" s="240"/>
      <c r="AH4" s="240"/>
      <c r="AI4" s="240"/>
      <c r="AJ4" s="240"/>
      <c r="AK4" s="240"/>
      <c r="AL4" s="240"/>
      <c r="AM4" s="240"/>
    </row>
    <row r="5" spans="1:39" ht="31.15" customHeight="1" x14ac:dyDescent="0.25">
      <c r="A5" s="247">
        <v>10</v>
      </c>
      <c r="B5" s="257">
        <v>26</v>
      </c>
      <c r="C5" s="258" t="s">
        <v>136</v>
      </c>
      <c r="D5" s="248" t="s">
        <v>81</v>
      </c>
      <c r="E5" s="247">
        <v>1</v>
      </c>
      <c r="F5" s="247">
        <v>0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1</v>
      </c>
      <c r="O5" s="247">
        <v>192791293</v>
      </c>
      <c r="P5" s="247">
        <f>+E5*O5</f>
        <v>192791293</v>
      </c>
      <c r="Q5" s="247">
        <f>+F5*O5</f>
        <v>0</v>
      </c>
      <c r="R5" s="247">
        <f>+G5*O5</f>
        <v>0</v>
      </c>
      <c r="S5" s="247">
        <f>+H5*O5</f>
        <v>0</v>
      </c>
      <c r="T5" s="247">
        <f>+I5*O5</f>
        <v>0</v>
      </c>
      <c r="U5" s="247">
        <f>+J5*O5</f>
        <v>0</v>
      </c>
      <c r="V5" s="247">
        <f>+K5*O5</f>
        <v>0</v>
      </c>
      <c r="W5" s="247">
        <f>+L5*O5</f>
        <v>0</v>
      </c>
      <c r="X5" s="247">
        <f>+M5*O5</f>
        <v>0</v>
      </c>
      <c r="Y5" s="247">
        <f>+SUM(P5:X5)</f>
        <v>192791293</v>
      </c>
      <c r="Z5" s="249"/>
      <c r="AA5" s="254" t="s">
        <v>71</v>
      </c>
      <c r="AB5" s="255">
        <f>+SUM(AB3:AB4)</f>
        <v>192791293</v>
      </c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</row>
    <row r="6" spans="1:39" ht="14.25" customHeight="1" x14ac:dyDescent="0.25">
      <c r="A6" s="256"/>
      <c r="B6" s="412" t="s">
        <v>75</v>
      </c>
      <c r="C6" s="413"/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4"/>
      <c r="P6" s="247">
        <f t="shared" ref="P6:X6" si="1">+SUM(P5:P5)</f>
        <v>192791293</v>
      </c>
      <c r="Q6" s="247">
        <f t="shared" si="1"/>
        <v>0</v>
      </c>
      <c r="R6" s="247">
        <f t="shared" si="1"/>
        <v>0</v>
      </c>
      <c r="S6" s="247">
        <f t="shared" si="1"/>
        <v>0</v>
      </c>
      <c r="T6" s="247">
        <f t="shared" si="1"/>
        <v>0</v>
      </c>
      <c r="U6" s="247">
        <f t="shared" si="1"/>
        <v>0</v>
      </c>
      <c r="V6" s="247">
        <f t="shared" si="1"/>
        <v>0</v>
      </c>
      <c r="W6" s="247">
        <f t="shared" si="1"/>
        <v>0</v>
      </c>
      <c r="X6" s="247">
        <f t="shared" si="1"/>
        <v>0</v>
      </c>
      <c r="Y6" s="247">
        <f>SUM(Y5:Y5)</f>
        <v>192791293</v>
      </c>
      <c r="Z6" s="249"/>
      <c r="AA6" s="250"/>
      <c r="AB6" s="250"/>
      <c r="AF6" s="250"/>
      <c r="AG6" s="210" t="s">
        <v>94</v>
      </c>
      <c r="AH6" t="s">
        <v>87</v>
      </c>
      <c r="AI6" t="s">
        <v>88</v>
      </c>
      <c r="AJ6" s="250"/>
      <c r="AK6" s="250"/>
      <c r="AL6" s="250"/>
      <c r="AM6" s="250"/>
    </row>
    <row r="7" spans="1:39" ht="15" customHeight="1" x14ac:dyDescent="0.25">
      <c r="AG7" s="312">
        <v>10</v>
      </c>
      <c r="AH7" s="8">
        <v>192791293</v>
      </c>
      <c r="AI7">
        <v>0</v>
      </c>
    </row>
    <row r="8" spans="1:39" ht="15" customHeight="1" x14ac:dyDescent="0.25">
      <c r="B8" s="516" t="s">
        <v>86</v>
      </c>
      <c r="C8" s="516"/>
      <c r="D8" s="516"/>
      <c r="E8" s="516"/>
      <c r="F8" s="516"/>
      <c r="G8" s="516"/>
      <c r="H8" s="516"/>
      <c r="I8" s="516"/>
      <c r="J8" s="516"/>
      <c r="K8" s="516"/>
      <c r="L8" s="516"/>
      <c r="M8" s="516"/>
      <c r="N8" s="516"/>
      <c r="O8" s="516"/>
      <c r="P8" s="516"/>
      <c r="Q8" s="516"/>
      <c r="R8" s="516"/>
      <c r="S8" s="516"/>
      <c r="T8" s="516"/>
      <c r="U8" s="516"/>
      <c r="V8" s="516"/>
      <c r="W8" s="516"/>
      <c r="X8" s="516"/>
      <c r="Y8" s="516"/>
      <c r="Z8" s="516"/>
      <c r="AA8" s="516"/>
      <c r="AB8" s="332" t="s">
        <v>87</v>
      </c>
      <c r="AC8" s="332" t="s">
        <v>88</v>
      </c>
      <c r="AD8" s="332" t="s">
        <v>89</v>
      </c>
      <c r="AG8" s="315" t="s">
        <v>98</v>
      </c>
      <c r="AH8" s="8">
        <v>192791293</v>
      </c>
      <c r="AI8">
        <v>0</v>
      </c>
    </row>
    <row r="9" spans="1:39" ht="51.75" customHeight="1" x14ac:dyDescent="0.25">
      <c r="B9" s="445" t="str">
        <f>+AG8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C9" s="446"/>
      <c r="D9" s="446"/>
      <c r="E9" s="446"/>
      <c r="F9" s="446"/>
      <c r="G9" s="446"/>
      <c r="H9" s="446"/>
      <c r="I9" s="446"/>
      <c r="J9" s="446"/>
      <c r="K9" s="446"/>
      <c r="L9" s="446"/>
      <c r="M9" s="446"/>
      <c r="N9" s="446"/>
      <c r="O9" s="446"/>
      <c r="P9" s="446"/>
      <c r="Q9" s="446"/>
      <c r="R9" s="446"/>
      <c r="S9" s="446"/>
      <c r="T9" s="446"/>
      <c r="U9" s="446"/>
      <c r="V9" s="446"/>
      <c r="W9" s="446"/>
      <c r="X9" s="446"/>
      <c r="Y9" s="446"/>
      <c r="Z9" s="446"/>
      <c r="AA9" s="446"/>
      <c r="AB9" s="277">
        <f>+AH8</f>
        <v>192791293</v>
      </c>
      <c r="AC9" s="277">
        <f>+AI8</f>
        <v>0</v>
      </c>
      <c r="AD9" s="277">
        <f>+AB9+AC9</f>
        <v>192791293</v>
      </c>
      <c r="AG9" s="312" t="s">
        <v>95</v>
      </c>
      <c r="AH9" s="8">
        <v>192791293</v>
      </c>
      <c r="AI9">
        <v>0</v>
      </c>
    </row>
    <row r="10" spans="1:39" ht="15" customHeight="1" x14ac:dyDescent="0.25">
      <c r="B10" s="428" t="s">
        <v>71</v>
      </c>
      <c r="C10" s="429"/>
      <c r="D10" s="429"/>
      <c r="E10" s="429"/>
      <c r="F10" s="429"/>
      <c r="G10" s="429"/>
      <c r="H10" s="429"/>
      <c r="I10" s="429"/>
      <c r="J10" s="42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36"/>
      <c r="AB10" s="328">
        <f>+SUM(AB9:AB9)</f>
        <v>192791293</v>
      </c>
      <c r="AC10" s="328">
        <f>SUM(AC9:AC9)</f>
        <v>0</v>
      </c>
      <c r="AD10" s="328">
        <f>+SUM(AD9:AD9)</f>
        <v>192791293</v>
      </c>
    </row>
    <row r="11" spans="1:39" ht="15" customHeight="1" x14ac:dyDescent="0.25"/>
    <row r="12" spans="1:39" ht="15" customHeight="1" x14ac:dyDescent="0.25"/>
    <row r="13" spans="1:39" ht="15" customHeight="1" x14ac:dyDescent="0.25"/>
    <row r="14" spans="1:39" ht="15" customHeight="1" x14ac:dyDescent="0.25">
      <c r="AD14" s="251" t="b">
        <f>+AD10=AB5</f>
        <v>1</v>
      </c>
    </row>
    <row r="15" spans="1:39" ht="15" customHeight="1" x14ac:dyDescent="0.25"/>
    <row r="16" spans="1:39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16">
    <mergeCell ref="B10:AA10"/>
    <mergeCell ref="Y2:Y4"/>
    <mergeCell ref="AA1:AB1"/>
    <mergeCell ref="B6:O6"/>
    <mergeCell ref="B9:AA9"/>
    <mergeCell ref="B1:N1"/>
    <mergeCell ref="O1:O4"/>
    <mergeCell ref="P1:Y1"/>
    <mergeCell ref="N2:N4"/>
    <mergeCell ref="P2:X3"/>
    <mergeCell ref="B8:AA8"/>
    <mergeCell ref="A2:A4"/>
    <mergeCell ref="B2:B4"/>
    <mergeCell ref="C2:C4"/>
    <mergeCell ref="D2:D4"/>
    <mergeCell ref="E2:M3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3"/>
  <sheetViews>
    <sheetView topLeftCell="C1" zoomScaleNormal="100" workbookViewId="0">
      <selection activeCell="O5" sqref="O5"/>
    </sheetView>
  </sheetViews>
  <sheetFormatPr baseColWidth="10" defaultColWidth="14.42578125" defaultRowHeight="0" customHeight="1" zeroHeight="1" x14ac:dyDescent="0.25"/>
  <cols>
    <col min="1" max="1" width="4.28515625" style="251" bestFit="1" customWidth="1"/>
    <col min="2" max="2" width="7.28515625" style="251" customWidth="1"/>
    <col min="3" max="3" width="16.7109375" style="251" customWidth="1"/>
    <col min="4" max="4" width="11.5703125" style="251" customWidth="1"/>
    <col min="5" max="5" width="16.570312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5" width="16.7109375" style="251" customWidth="1"/>
    <col min="16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customWidth="1"/>
    <col min="30" max="30" width="23.28515625" style="251" customWidth="1"/>
    <col min="31" max="31" width="11.42578125" style="251" customWidth="1"/>
    <col min="32" max="32" width="18.7109375" style="251" hidden="1" customWidth="1"/>
    <col min="33" max="33" width="22.28515625" style="251" hidden="1" customWidth="1"/>
    <col min="34" max="34" width="26" style="251" hidden="1" customWidth="1"/>
    <col min="35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37"/>
      <c r="F1" s="437"/>
      <c r="G1" s="437"/>
      <c r="H1" s="437"/>
      <c r="I1" s="437"/>
      <c r="J1" s="437"/>
      <c r="K1" s="437"/>
      <c r="L1" s="437"/>
      <c r="M1" s="437"/>
      <c r="N1" s="419"/>
      <c r="O1" s="420" t="s">
        <v>40</v>
      </c>
      <c r="P1" s="439" t="s">
        <v>41</v>
      </c>
      <c r="Q1" s="440"/>
      <c r="R1" s="440"/>
      <c r="S1" s="440"/>
      <c r="T1" s="440"/>
      <c r="U1" s="440"/>
      <c r="V1" s="440"/>
      <c r="W1" s="440"/>
      <c r="X1" s="441"/>
      <c r="Y1" s="424"/>
      <c r="Z1" s="239"/>
      <c r="AA1" s="240"/>
      <c r="AB1" s="442" t="s">
        <v>42</v>
      </c>
      <c r="AC1" s="443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404" t="s">
        <v>48</v>
      </c>
      <c r="E2" s="434" t="s">
        <v>49</v>
      </c>
      <c r="F2" s="434"/>
      <c r="G2" s="434"/>
      <c r="H2" s="434"/>
      <c r="I2" s="434"/>
      <c r="J2" s="434"/>
      <c r="K2" s="434"/>
      <c r="L2" s="434"/>
      <c r="M2" s="434"/>
      <c r="N2" s="406" t="s">
        <v>50</v>
      </c>
      <c r="O2" s="438"/>
      <c r="P2" s="434" t="s">
        <v>51</v>
      </c>
      <c r="Q2" s="434"/>
      <c r="R2" s="434"/>
      <c r="S2" s="434"/>
      <c r="T2" s="434"/>
      <c r="U2" s="434"/>
      <c r="V2" s="434"/>
      <c r="W2" s="434"/>
      <c r="X2" s="435"/>
      <c r="Y2" s="406" t="s">
        <v>52</v>
      </c>
      <c r="Z2" s="239"/>
      <c r="AA2" s="244"/>
      <c r="AB2" s="286" t="s">
        <v>53</v>
      </c>
      <c r="AC2" s="287" t="s">
        <v>54</v>
      </c>
      <c r="AF2" s="240"/>
      <c r="AG2" s="240"/>
      <c r="AH2" s="240"/>
      <c r="AI2" s="240"/>
      <c r="AJ2" s="240"/>
      <c r="AK2" s="240"/>
      <c r="AL2" s="240"/>
      <c r="AM2" s="240"/>
    </row>
    <row r="3" spans="1:39" s="243" customFormat="1" ht="8.65" customHeight="1" x14ac:dyDescent="0.25">
      <c r="A3" s="396"/>
      <c r="B3" s="399"/>
      <c r="C3" s="399"/>
      <c r="D3" s="433"/>
      <c r="E3" s="435"/>
      <c r="F3" s="435"/>
      <c r="G3" s="435"/>
      <c r="H3" s="435"/>
      <c r="I3" s="435"/>
      <c r="J3" s="435"/>
      <c r="K3" s="435"/>
      <c r="L3" s="435"/>
      <c r="M3" s="435"/>
      <c r="N3" s="395"/>
      <c r="O3" s="438"/>
      <c r="P3" s="435"/>
      <c r="Q3" s="435"/>
      <c r="R3" s="435"/>
      <c r="S3" s="435"/>
      <c r="T3" s="435"/>
      <c r="U3" s="435"/>
      <c r="V3" s="435"/>
      <c r="W3" s="435"/>
      <c r="X3" s="435"/>
      <c r="Y3" s="395"/>
      <c r="Z3" s="239"/>
      <c r="AA3" s="240"/>
      <c r="AB3" s="252" t="str">
        <f>+P4</f>
        <v>BOGOTÁ</v>
      </c>
      <c r="AC3" s="253">
        <f>+SUM(P5:P5)</f>
        <v>0</v>
      </c>
      <c r="AF3" s="240"/>
      <c r="AG3" s="240"/>
      <c r="AH3" s="240"/>
      <c r="AI3" s="240"/>
      <c r="AJ3" s="240"/>
      <c r="AK3" s="240"/>
      <c r="AL3" s="240"/>
      <c r="AM3" s="240"/>
    </row>
    <row r="4" spans="1:39" s="243" customFormat="1" ht="18" x14ac:dyDescent="0.25">
      <c r="A4" s="397"/>
      <c r="B4" s="400"/>
      <c r="C4" s="400"/>
      <c r="D4" s="403"/>
      <c r="E4" s="279" t="s">
        <v>57</v>
      </c>
      <c r="F4" s="279" t="s">
        <v>18</v>
      </c>
      <c r="G4" s="279" t="s">
        <v>58</v>
      </c>
      <c r="H4" s="279" t="s">
        <v>59</v>
      </c>
      <c r="I4" s="279" t="s">
        <v>60</v>
      </c>
      <c r="J4" s="279" t="s">
        <v>61</v>
      </c>
      <c r="K4" s="279" t="s">
        <v>62</v>
      </c>
      <c r="L4" s="279" t="s">
        <v>63</v>
      </c>
      <c r="M4" s="279" t="s">
        <v>18</v>
      </c>
      <c r="N4" s="403"/>
      <c r="O4" s="400"/>
      <c r="P4" s="276" t="str">
        <f>+E4</f>
        <v>BOGOTÁ</v>
      </c>
      <c r="Q4" s="276" t="str">
        <f t="shared" ref="Q4:X4" si="0">+F4</f>
        <v>ORIENTE</v>
      </c>
      <c r="R4" s="276" t="str">
        <f t="shared" si="0"/>
        <v xml:space="preserve">CENTRAL </v>
      </c>
      <c r="S4" s="276" t="str">
        <f t="shared" si="0"/>
        <v xml:space="preserve">SUR </v>
      </c>
      <c r="T4" s="276" t="str">
        <f t="shared" si="0"/>
        <v xml:space="preserve">NORTE </v>
      </c>
      <c r="U4" s="276" t="str">
        <f t="shared" si="0"/>
        <v xml:space="preserve">OCCIDENTE </v>
      </c>
      <c r="V4" s="276" t="str">
        <f t="shared" si="0"/>
        <v xml:space="preserve">NOROCCIDENTE </v>
      </c>
      <c r="W4" s="276" t="str">
        <f t="shared" si="0"/>
        <v xml:space="preserve">SUROCCIDENTE </v>
      </c>
      <c r="X4" s="276" t="str">
        <f t="shared" si="0"/>
        <v>ORIENTE</v>
      </c>
      <c r="Y4" s="403"/>
      <c r="Z4" s="239"/>
      <c r="AA4" s="240"/>
      <c r="AB4" s="252" t="str">
        <f>+Q4</f>
        <v>ORIENTE</v>
      </c>
      <c r="AC4" s="253">
        <f>SUM(Q5:Q5)</f>
        <v>136873800</v>
      </c>
      <c r="AF4" s="240"/>
      <c r="AG4" s="240"/>
      <c r="AH4" s="240"/>
      <c r="AI4" s="240"/>
      <c r="AJ4" s="240"/>
      <c r="AK4" s="240"/>
      <c r="AL4" s="240"/>
      <c r="AM4" s="240"/>
    </row>
    <row r="5" spans="1:39" ht="27" customHeight="1" x14ac:dyDescent="0.25">
      <c r="A5" s="247">
        <v>11</v>
      </c>
      <c r="B5" s="257">
        <v>27</v>
      </c>
      <c r="C5" s="258" t="s">
        <v>137</v>
      </c>
      <c r="D5" s="248" t="s">
        <v>81</v>
      </c>
      <c r="E5" s="247">
        <v>0</v>
      </c>
      <c r="F5" s="247">
        <v>1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1</v>
      </c>
      <c r="O5" s="247">
        <v>136873800</v>
      </c>
      <c r="P5" s="247">
        <f>+E5*O5</f>
        <v>0</v>
      </c>
      <c r="Q5" s="247">
        <f>+F5*O5</f>
        <v>136873800</v>
      </c>
      <c r="R5" s="247">
        <f>+G5*O5</f>
        <v>0</v>
      </c>
      <c r="S5" s="247">
        <f>+H5*O5</f>
        <v>0</v>
      </c>
      <c r="T5" s="247">
        <f>+I5*O5</f>
        <v>0</v>
      </c>
      <c r="U5" s="247">
        <f>+J5*O5</f>
        <v>0</v>
      </c>
      <c r="V5" s="247">
        <f>+K5*O5</f>
        <v>0</v>
      </c>
      <c r="W5" s="247">
        <f>+L5*O5</f>
        <v>0</v>
      </c>
      <c r="X5" s="247">
        <f>+M5*O5</f>
        <v>0</v>
      </c>
      <c r="Y5" s="247">
        <f>+SUM(P5:X5)</f>
        <v>136873800</v>
      </c>
      <c r="Z5" s="249"/>
      <c r="AA5" s="250"/>
      <c r="AB5" s="254" t="s">
        <v>71</v>
      </c>
      <c r="AC5" s="255">
        <f>+SUM(AC3:AC4)</f>
        <v>136873800</v>
      </c>
      <c r="AD5" s="250"/>
      <c r="AE5" s="250"/>
      <c r="AF5" s="210" t="s">
        <v>94</v>
      </c>
      <c r="AG5" t="s">
        <v>87</v>
      </c>
      <c r="AH5" t="s">
        <v>88</v>
      </c>
      <c r="AI5" s="250"/>
      <c r="AJ5" s="250"/>
      <c r="AK5" s="250"/>
      <c r="AL5" s="250"/>
      <c r="AM5" s="250"/>
    </row>
    <row r="6" spans="1:39" ht="14.25" customHeight="1" x14ac:dyDescent="0.25">
      <c r="A6" s="256"/>
      <c r="B6" s="412" t="s">
        <v>75</v>
      </c>
      <c r="C6" s="413"/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4"/>
      <c r="P6" s="247">
        <f t="shared" ref="P6:X6" si="1">+SUM(P5:P5)</f>
        <v>0</v>
      </c>
      <c r="Q6" s="247">
        <f t="shared" si="1"/>
        <v>136873800</v>
      </c>
      <c r="R6" s="247">
        <f t="shared" si="1"/>
        <v>0</v>
      </c>
      <c r="S6" s="247">
        <f t="shared" si="1"/>
        <v>0</v>
      </c>
      <c r="T6" s="247">
        <f t="shared" si="1"/>
        <v>0</v>
      </c>
      <c r="U6" s="247">
        <f t="shared" si="1"/>
        <v>0</v>
      </c>
      <c r="V6" s="247">
        <f t="shared" si="1"/>
        <v>0</v>
      </c>
      <c r="W6" s="247">
        <f t="shared" si="1"/>
        <v>0</v>
      </c>
      <c r="X6" s="247">
        <f t="shared" si="1"/>
        <v>0</v>
      </c>
      <c r="Y6" s="247">
        <f>SUM(Y5:Y5)</f>
        <v>136873800</v>
      </c>
      <c r="Z6" s="249"/>
      <c r="AA6" s="250"/>
      <c r="AB6" s="250"/>
      <c r="AF6" s="312">
        <v>11</v>
      </c>
      <c r="AG6" s="8">
        <v>0</v>
      </c>
      <c r="AH6">
        <v>136873800</v>
      </c>
      <c r="AI6" s="250"/>
      <c r="AJ6" s="250"/>
      <c r="AK6" s="250"/>
      <c r="AL6" s="250"/>
      <c r="AM6" s="250"/>
    </row>
    <row r="7" spans="1:39" ht="15" customHeight="1" x14ac:dyDescent="0.25">
      <c r="AF7" s="315" t="s">
        <v>98</v>
      </c>
      <c r="AG7" s="8">
        <v>0</v>
      </c>
      <c r="AH7">
        <v>136873800</v>
      </c>
    </row>
    <row r="8" spans="1:39" ht="15" customHeight="1" x14ac:dyDescent="0.25">
      <c r="B8" s="444" t="s">
        <v>86</v>
      </c>
      <c r="C8" s="444"/>
      <c r="D8" s="444"/>
      <c r="E8" s="444"/>
      <c r="F8" s="444"/>
      <c r="G8" s="444"/>
      <c r="H8" s="444"/>
      <c r="I8" s="444"/>
      <c r="J8" s="444"/>
      <c r="K8" s="444"/>
      <c r="L8" s="444"/>
      <c r="M8" s="444"/>
      <c r="N8" s="444"/>
      <c r="O8" s="444"/>
      <c r="P8" s="444"/>
      <c r="Q8" s="444"/>
      <c r="R8" s="444"/>
      <c r="S8" s="444"/>
      <c r="T8" s="444"/>
      <c r="U8" s="444"/>
      <c r="V8" s="444"/>
      <c r="W8" s="444"/>
      <c r="X8" s="444"/>
      <c r="Y8" s="444"/>
      <c r="Z8" s="444"/>
      <c r="AA8" s="444"/>
      <c r="AB8" s="332" t="s">
        <v>87</v>
      </c>
      <c r="AC8" s="332" t="s">
        <v>88</v>
      </c>
      <c r="AD8" s="332" t="s">
        <v>89</v>
      </c>
      <c r="AF8" s="312" t="s">
        <v>95</v>
      </c>
      <c r="AG8" s="8">
        <v>0</v>
      </c>
      <c r="AH8">
        <v>136873800</v>
      </c>
    </row>
    <row r="9" spans="1:39" ht="51.75" customHeight="1" x14ac:dyDescent="0.25">
      <c r="B9" s="445" t="str">
        <f>+AF7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C9" s="446"/>
      <c r="D9" s="446"/>
      <c r="E9" s="446"/>
      <c r="F9" s="446"/>
      <c r="G9" s="446"/>
      <c r="H9" s="446"/>
      <c r="I9" s="446"/>
      <c r="J9" s="446"/>
      <c r="K9" s="446"/>
      <c r="L9" s="446"/>
      <c r="M9" s="446"/>
      <c r="N9" s="446"/>
      <c r="O9" s="446"/>
      <c r="P9" s="446"/>
      <c r="Q9" s="446"/>
      <c r="R9" s="446"/>
      <c r="S9" s="446"/>
      <c r="T9" s="446"/>
      <c r="U9" s="446"/>
      <c r="V9" s="446"/>
      <c r="W9" s="446"/>
      <c r="X9" s="446"/>
      <c r="Y9" s="446"/>
      <c r="Z9" s="446"/>
      <c r="AA9" s="446"/>
      <c r="AB9" s="277">
        <f>+AG7</f>
        <v>0</v>
      </c>
      <c r="AC9" s="277">
        <f>+AH7</f>
        <v>136873800</v>
      </c>
      <c r="AD9" s="277">
        <f>+AB9+AC9</f>
        <v>136873800</v>
      </c>
    </row>
    <row r="10" spans="1:39" ht="15" customHeight="1" x14ac:dyDescent="0.25">
      <c r="B10" s="428" t="s">
        <v>71</v>
      </c>
      <c r="C10" s="429"/>
      <c r="D10" s="429"/>
      <c r="E10" s="429"/>
      <c r="F10" s="429"/>
      <c r="G10" s="429"/>
      <c r="H10" s="429"/>
      <c r="I10" s="429"/>
      <c r="J10" s="42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36"/>
      <c r="AB10" s="328">
        <f>+SUM(AB9:AB9)</f>
        <v>0</v>
      </c>
      <c r="AC10" s="328">
        <f>SUM(AC9:AC9)</f>
        <v>136873800</v>
      </c>
      <c r="AD10" s="328">
        <f>+SUM(AD9:AD9)</f>
        <v>136873800</v>
      </c>
    </row>
    <row r="11" spans="1:39" ht="15" customHeight="1" x14ac:dyDescent="0.25"/>
    <row r="12" spans="1:39" ht="15" customHeight="1" x14ac:dyDescent="0.25"/>
    <row r="13" spans="1:39" ht="15" customHeight="1" x14ac:dyDescent="0.25">
      <c r="AD13" s="251" t="b">
        <f>+AD10=AC5</f>
        <v>1</v>
      </c>
    </row>
    <row r="14" spans="1:39" ht="15" customHeight="1" x14ac:dyDescent="0.25"/>
    <row r="15" spans="1:39" ht="15" customHeight="1" x14ac:dyDescent="0.25"/>
    <row r="16" spans="1:39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16">
    <mergeCell ref="B10:AA10"/>
    <mergeCell ref="Y2:Y4"/>
    <mergeCell ref="AB1:AC1"/>
    <mergeCell ref="B6:O6"/>
    <mergeCell ref="B9:AA9"/>
    <mergeCell ref="B1:N1"/>
    <mergeCell ref="O1:O4"/>
    <mergeCell ref="P1:Y1"/>
    <mergeCell ref="N2:N4"/>
    <mergeCell ref="P2:X3"/>
    <mergeCell ref="B8:AA8"/>
    <mergeCell ref="A2:A4"/>
    <mergeCell ref="B2:B4"/>
    <mergeCell ref="C2:C4"/>
    <mergeCell ref="D2:D4"/>
    <mergeCell ref="E2:M3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3"/>
  <sheetViews>
    <sheetView zoomScale="130" zoomScaleNormal="130" workbookViewId="0">
      <selection activeCell="O5" sqref="O5"/>
    </sheetView>
  </sheetViews>
  <sheetFormatPr baseColWidth="10" defaultColWidth="14.42578125" defaultRowHeight="15" customHeight="1" zeroHeight="1" x14ac:dyDescent="0.25"/>
  <cols>
    <col min="1" max="1" width="4.28515625" style="251" bestFit="1" customWidth="1"/>
    <col min="2" max="2" width="7.5703125" style="251" customWidth="1"/>
    <col min="3" max="3" width="16.7109375" style="251" customWidth="1"/>
    <col min="4" max="4" width="11.5703125" style="251" customWidth="1"/>
    <col min="5" max="5" width="16.570312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customWidth="1"/>
    <col min="30" max="30" width="23.28515625" style="251" customWidth="1"/>
    <col min="31" max="32" width="11.42578125" style="251" customWidth="1"/>
    <col min="33" max="33" width="18.7109375" style="251" hidden="1" customWidth="1"/>
    <col min="34" max="34" width="22.28515625" style="251" hidden="1" customWidth="1"/>
    <col min="35" max="35" width="26" style="251" hidden="1" customWidth="1"/>
    <col min="36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37"/>
      <c r="F1" s="437"/>
      <c r="G1" s="437"/>
      <c r="H1" s="437"/>
      <c r="I1" s="437"/>
      <c r="J1" s="437"/>
      <c r="K1" s="437"/>
      <c r="L1" s="437"/>
      <c r="M1" s="437"/>
      <c r="N1" s="419"/>
      <c r="O1" s="420" t="s">
        <v>40</v>
      </c>
      <c r="P1" s="439" t="s">
        <v>41</v>
      </c>
      <c r="Q1" s="440"/>
      <c r="R1" s="440"/>
      <c r="S1" s="440"/>
      <c r="T1" s="440"/>
      <c r="U1" s="440"/>
      <c r="V1" s="440"/>
      <c r="W1" s="440"/>
      <c r="X1" s="441"/>
      <c r="Y1" s="424"/>
      <c r="Z1" s="239"/>
      <c r="AA1" s="240"/>
      <c r="AB1" s="442" t="s">
        <v>42</v>
      </c>
      <c r="AC1" s="443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404" t="s">
        <v>48</v>
      </c>
      <c r="E2" s="434" t="s">
        <v>49</v>
      </c>
      <c r="F2" s="434"/>
      <c r="G2" s="434"/>
      <c r="H2" s="434"/>
      <c r="I2" s="434"/>
      <c r="J2" s="434"/>
      <c r="K2" s="434"/>
      <c r="L2" s="434"/>
      <c r="M2" s="434"/>
      <c r="N2" s="406" t="s">
        <v>50</v>
      </c>
      <c r="O2" s="438"/>
      <c r="P2" s="434" t="s">
        <v>51</v>
      </c>
      <c r="Q2" s="434"/>
      <c r="R2" s="434"/>
      <c r="S2" s="434"/>
      <c r="T2" s="434"/>
      <c r="U2" s="434"/>
      <c r="V2" s="434"/>
      <c r="W2" s="434"/>
      <c r="X2" s="435"/>
      <c r="Y2" s="406" t="s">
        <v>52</v>
      </c>
      <c r="Z2" s="239"/>
      <c r="AA2" s="244"/>
      <c r="AB2" s="286" t="s">
        <v>53</v>
      </c>
      <c r="AC2" s="287" t="s">
        <v>54</v>
      </c>
      <c r="AF2" s="240"/>
      <c r="AG2" s="240"/>
      <c r="AH2" s="240"/>
      <c r="AI2" s="240"/>
      <c r="AJ2" s="240"/>
      <c r="AK2" s="240"/>
      <c r="AL2" s="240"/>
      <c r="AM2" s="240"/>
    </row>
    <row r="3" spans="1:39" s="243" customFormat="1" ht="8.65" customHeight="1" x14ac:dyDescent="0.25">
      <c r="A3" s="396"/>
      <c r="B3" s="399"/>
      <c r="C3" s="399"/>
      <c r="D3" s="433"/>
      <c r="E3" s="435"/>
      <c r="F3" s="435"/>
      <c r="G3" s="435"/>
      <c r="H3" s="435"/>
      <c r="I3" s="435"/>
      <c r="J3" s="435"/>
      <c r="K3" s="435"/>
      <c r="L3" s="435"/>
      <c r="M3" s="435"/>
      <c r="N3" s="395"/>
      <c r="O3" s="438"/>
      <c r="P3" s="435"/>
      <c r="Q3" s="435"/>
      <c r="R3" s="435"/>
      <c r="S3" s="435"/>
      <c r="T3" s="435"/>
      <c r="U3" s="435"/>
      <c r="V3" s="435"/>
      <c r="W3" s="435"/>
      <c r="X3" s="435"/>
      <c r="Y3" s="395"/>
      <c r="Z3" s="239"/>
      <c r="AA3" s="240"/>
      <c r="AB3" s="252" t="str">
        <f>+P4</f>
        <v>BOGOTÁ</v>
      </c>
      <c r="AC3" s="253">
        <f>+SUM(P5:P5)</f>
        <v>0</v>
      </c>
      <c r="AF3" s="240"/>
      <c r="AG3" s="240"/>
      <c r="AH3" s="240"/>
      <c r="AI3" s="240"/>
      <c r="AJ3" s="240"/>
      <c r="AK3" s="240"/>
      <c r="AL3" s="240"/>
      <c r="AM3" s="240"/>
    </row>
    <row r="4" spans="1:39" s="243" customFormat="1" ht="18" x14ac:dyDescent="0.25">
      <c r="A4" s="397"/>
      <c r="B4" s="400"/>
      <c r="C4" s="400"/>
      <c r="D4" s="403"/>
      <c r="E4" s="279" t="s">
        <v>57</v>
      </c>
      <c r="F4" s="279" t="s">
        <v>18</v>
      </c>
      <c r="G4" s="279" t="s">
        <v>58</v>
      </c>
      <c r="H4" s="279" t="s">
        <v>59</v>
      </c>
      <c r="I4" s="279" t="s">
        <v>60</v>
      </c>
      <c r="J4" s="279" t="s">
        <v>61</v>
      </c>
      <c r="K4" s="279" t="s">
        <v>62</v>
      </c>
      <c r="L4" s="279" t="s">
        <v>63</v>
      </c>
      <c r="M4" s="279" t="s">
        <v>18</v>
      </c>
      <c r="N4" s="403"/>
      <c r="O4" s="400"/>
      <c r="P4" s="276" t="str">
        <f>+E4</f>
        <v>BOGOTÁ</v>
      </c>
      <c r="Q4" s="276" t="str">
        <f t="shared" ref="Q4:X4" si="0">+F4</f>
        <v>ORIENTE</v>
      </c>
      <c r="R4" s="276" t="str">
        <f t="shared" si="0"/>
        <v xml:space="preserve">CENTRAL </v>
      </c>
      <c r="S4" s="276" t="str">
        <f t="shared" si="0"/>
        <v xml:space="preserve">SUR </v>
      </c>
      <c r="T4" s="276" t="str">
        <f t="shared" si="0"/>
        <v xml:space="preserve">NORTE </v>
      </c>
      <c r="U4" s="276" t="str">
        <f t="shared" si="0"/>
        <v xml:space="preserve">OCCIDENTE </v>
      </c>
      <c r="V4" s="276" t="str">
        <f t="shared" si="0"/>
        <v xml:space="preserve">NOROCCIDENTE </v>
      </c>
      <c r="W4" s="276" t="str">
        <f t="shared" si="0"/>
        <v xml:space="preserve">SUROCCIDENTE </v>
      </c>
      <c r="X4" s="276" t="str">
        <f t="shared" si="0"/>
        <v>ORIENTE</v>
      </c>
      <c r="Y4" s="403"/>
      <c r="Z4" s="239"/>
      <c r="AA4" s="240"/>
      <c r="AB4" s="252" t="str">
        <f>+Q4</f>
        <v>ORIENTE</v>
      </c>
      <c r="AC4" s="253">
        <f>SUM(Q5:Q5)</f>
        <v>59381000</v>
      </c>
      <c r="AF4" s="240"/>
      <c r="AG4" s="240"/>
      <c r="AH4" s="240"/>
      <c r="AI4" s="240"/>
      <c r="AJ4" s="240"/>
      <c r="AK4" s="240"/>
      <c r="AL4" s="240"/>
      <c r="AM4" s="240"/>
    </row>
    <row r="5" spans="1:39" ht="33.75" x14ac:dyDescent="0.25">
      <c r="A5" s="247">
        <v>12</v>
      </c>
      <c r="B5" s="257">
        <v>28</v>
      </c>
      <c r="C5" s="258" t="s">
        <v>138</v>
      </c>
      <c r="D5" s="248" t="s">
        <v>81</v>
      </c>
      <c r="E5" s="247">
        <v>0</v>
      </c>
      <c r="F5" s="247">
        <v>1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1</v>
      </c>
      <c r="O5" s="247">
        <v>59381000</v>
      </c>
      <c r="P5" s="247">
        <f>+E5*O5</f>
        <v>0</v>
      </c>
      <c r="Q5" s="247">
        <f>+F5*O5</f>
        <v>59381000</v>
      </c>
      <c r="R5" s="247">
        <f>+G5*O5</f>
        <v>0</v>
      </c>
      <c r="S5" s="247">
        <f>+H5*O5</f>
        <v>0</v>
      </c>
      <c r="T5" s="247">
        <f>+I5*O5</f>
        <v>0</v>
      </c>
      <c r="U5" s="247">
        <f>+J5*O5</f>
        <v>0</v>
      </c>
      <c r="V5" s="247">
        <f>+K5*O5</f>
        <v>0</v>
      </c>
      <c r="W5" s="247">
        <f>+L5*O5</f>
        <v>0</v>
      </c>
      <c r="X5" s="247">
        <f>+M5*O5</f>
        <v>0</v>
      </c>
      <c r="Y5" s="247">
        <f>+SUM(P5:X5)</f>
        <v>59381000</v>
      </c>
      <c r="Z5" s="249"/>
      <c r="AA5" s="250"/>
      <c r="AB5" s="254" t="s">
        <v>71</v>
      </c>
      <c r="AC5" s="255">
        <f>+SUM(AC3:AC4)</f>
        <v>59381000</v>
      </c>
      <c r="AD5" s="250"/>
      <c r="AE5" s="250"/>
      <c r="AF5" s="250"/>
      <c r="AG5" s="210" t="s">
        <v>94</v>
      </c>
      <c r="AH5" t="s">
        <v>87</v>
      </c>
      <c r="AI5" t="s">
        <v>88</v>
      </c>
      <c r="AJ5" s="250"/>
      <c r="AK5" s="250"/>
      <c r="AL5" s="250"/>
      <c r="AM5" s="250"/>
    </row>
    <row r="6" spans="1:39" ht="14.25" customHeight="1" x14ac:dyDescent="0.25">
      <c r="A6" s="256"/>
      <c r="B6" s="412" t="s">
        <v>75</v>
      </c>
      <c r="C6" s="413"/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4"/>
      <c r="P6" s="247">
        <f t="shared" ref="P6:X6" si="1">+SUM(P5:P5)</f>
        <v>0</v>
      </c>
      <c r="Q6" s="247">
        <f t="shared" si="1"/>
        <v>59381000</v>
      </c>
      <c r="R6" s="247">
        <f t="shared" si="1"/>
        <v>0</v>
      </c>
      <c r="S6" s="247">
        <f t="shared" si="1"/>
        <v>0</v>
      </c>
      <c r="T6" s="247">
        <f t="shared" si="1"/>
        <v>0</v>
      </c>
      <c r="U6" s="247">
        <f t="shared" si="1"/>
        <v>0</v>
      </c>
      <c r="V6" s="247">
        <f t="shared" si="1"/>
        <v>0</v>
      </c>
      <c r="W6" s="247">
        <f t="shared" si="1"/>
        <v>0</v>
      </c>
      <c r="X6" s="247">
        <f t="shared" si="1"/>
        <v>0</v>
      </c>
      <c r="Y6" s="247">
        <f>SUM(Y5:Y5)</f>
        <v>59381000</v>
      </c>
      <c r="Z6" s="249"/>
      <c r="AA6" s="250"/>
      <c r="AB6" s="250"/>
      <c r="AF6" s="250"/>
      <c r="AG6" s="312">
        <v>12</v>
      </c>
      <c r="AH6" s="8">
        <v>0</v>
      </c>
      <c r="AI6">
        <v>59381000</v>
      </c>
      <c r="AJ6" s="250"/>
      <c r="AK6" s="250"/>
      <c r="AL6" s="250"/>
      <c r="AM6" s="250"/>
    </row>
    <row r="7" spans="1:39" ht="15" customHeight="1" x14ac:dyDescent="0.25">
      <c r="AG7" s="315" t="s">
        <v>98</v>
      </c>
      <c r="AH7" s="8">
        <v>0</v>
      </c>
      <c r="AI7">
        <v>59381000</v>
      </c>
    </row>
    <row r="8" spans="1:39" ht="15" customHeight="1" x14ac:dyDescent="0.25">
      <c r="B8" s="444" t="s">
        <v>86</v>
      </c>
      <c r="C8" s="444"/>
      <c r="D8" s="444"/>
      <c r="E8" s="444"/>
      <c r="F8" s="444"/>
      <c r="G8" s="444"/>
      <c r="H8" s="444"/>
      <c r="I8" s="444"/>
      <c r="J8" s="444"/>
      <c r="K8" s="444"/>
      <c r="L8" s="444"/>
      <c r="M8" s="444"/>
      <c r="N8" s="444"/>
      <c r="O8" s="444"/>
      <c r="P8" s="444"/>
      <c r="Q8" s="444"/>
      <c r="R8" s="444"/>
      <c r="S8" s="444"/>
      <c r="T8" s="444"/>
      <c r="U8" s="444"/>
      <c r="V8" s="444"/>
      <c r="W8" s="444"/>
      <c r="X8" s="444"/>
      <c r="Y8" s="444"/>
      <c r="Z8" s="444"/>
      <c r="AA8" s="444"/>
      <c r="AB8" s="332" t="s">
        <v>87</v>
      </c>
      <c r="AC8" s="332" t="s">
        <v>88</v>
      </c>
      <c r="AD8" s="332" t="s">
        <v>89</v>
      </c>
      <c r="AG8" s="312" t="s">
        <v>95</v>
      </c>
      <c r="AH8" s="8">
        <v>0</v>
      </c>
      <c r="AI8">
        <v>59381000</v>
      </c>
    </row>
    <row r="9" spans="1:39" ht="51.75" customHeight="1" x14ac:dyDescent="0.25">
      <c r="B9" s="445" t="str">
        <f>+AG7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C9" s="446"/>
      <c r="D9" s="446"/>
      <c r="E9" s="446"/>
      <c r="F9" s="446"/>
      <c r="G9" s="446"/>
      <c r="H9" s="446"/>
      <c r="I9" s="446"/>
      <c r="J9" s="446"/>
      <c r="K9" s="446"/>
      <c r="L9" s="446"/>
      <c r="M9" s="446"/>
      <c r="N9" s="446"/>
      <c r="O9" s="446"/>
      <c r="P9" s="446"/>
      <c r="Q9" s="446"/>
      <c r="R9" s="446"/>
      <c r="S9" s="446"/>
      <c r="T9" s="446"/>
      <c r="U9" s="446"/>
      <c r="V9" s="446"/>
      <c r="W9" s="446"/>
      <c r="X9" s="446"/>
      <c r="Y9" s="446"/>
      <c r="Z9" s="446"/>
      <c r="AA9" s="446"/>
      <c r="AB9" s="277">
        <f>+AH7</f>
        <v>0</v>
      </c>
      <c r="AC9" s="277">
        <f>+AI7</f>
        <v>59381000</v>
      </c>
      <c r="AD9" s="277">
        <f>+AB9+AC9</f>
        <v>59381000</v>
      </c>
    </row>
    <row r="10" spans="1:39" ht="15" customHeight="1" x14ac:dyDescent="0.25">
      <c r="B10" s="428" t="s">
        <v>71</v>
      </c>
      <c r="C10" s="429"/>
      <c r="D10" s="429"/>
      <c r="E10" s="429"/>
      <c r="F10" s="429"/>
      <c r="G10" s="429"/>
      <c r="H10" s="429"/>
      <c r="I10" s="429"/>
      <c r="J10" s="42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36"/>
      <c r="AB10" s="328">
        <f>+SUM(AB9:AB9)</f>
        <v>0</v>
      </c>
      <c r="AC10" s="328">
        <f>SUM(AC9:AC9)</f>
        <v>59381000</v>
      </c>
      <c r="AD10" s="328">
        <f>+SUM(AD9:AD9)</f>
        <v>59381000</v>
      </c>
    </row>
    <row r="11" spans="1:39" ht="15" customHeight="1" x14ac:dyDescent="0.25"/>
    <row r="12" spans="1:39" ht="15" customHeight="1" x14ac:dyDescent="0.25"/>
    <row r="13" spans="1:39" ht="15" customHeight="1" x14ac:dyDescent="0.25">
      <c r="AD13" s="251" t="b">
        <f>+AD10=AC5</f>
        <v>1</v>
      </c>
    </row>
    <row r="14" spans="1:39" ht="15" customHeight="1" x14ac:dyDescent="0.25"/>
    <row r="15" spans="1:39" ht="15" customHeight="1" x14ac:dyDescent="0.25"/>
    <row r="16" spans="1:39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16">
    <mergeCell ref="B10:AA10"/>
    <mergeCell ref="Y2:Y4"/>
    <mergeCell ref="AB1:AC1"/>
    <mergeCell ref="B6:O6"/>
    <mergeCell ref="B9:AA9"/>
    <mergeCell ref="B1:N1"/>
    <mergeCell ref="O1:O4"/>
    <mergeCell ref="P1:Y1"/>
    <mergeCell ref="N2:N4"/>
    <mergeCell ref="P2:X3"/>
    <mergeCell ref="B8:AA8"/>
    <mergeCell ref="A2:A4"/>
    <mergeCell ref="B2:B4"/>
    <mergeCell ref="C2:C4"/>
    <mergeCell ref="D2:D4"/>
    <mergeCell ref="E2:M3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3"/>
  <sheetViews>
    <sheetView tabSelected="1" topLeftCell="B1" zoomScaleNormal="100" workbookViewId="0">
      <selection activeCell="AC13" sqref="AC13"/>
    </sheetView>
  </sheetViews>
  <sheetFormatPr baseColWidth="10" defaultColWidth="14.42578125" defaultRowHeight="15" customHeight="1" zeroHeight="1" x14ac:dyDescent="0.25"/>
  <cols>
    <col min="1" max="1" width="4.28515625" style="251" bestFit="1" customWidth="1"/>
    <col min="2" max="2" width="6.5703125" style="251" customWidth="1"/>
    <col min="3" max="3" width="16.7109375" style="251" customWidth="1"/>
    <col min="4" max="4" width="11.5703125" style="251" customWidth="1"/>
    <col min="5" max="5" width="16.5703125" style="251" customWidth="1"/>
    <col min="6" max="6" width="14.42578125" style="251" customWidth="1"/>
    <col min="7" max="13" width="11.5703125" style="251" hidden="1" customWidth="1"/>
    <col min="14" max="14" width="14.28515625" style="251" customWidth="1"/>
    <col min="15" max="16" width="13" style="251" customWidth="1"/>
    <col min="17" max="17" width="14.42578125" style="251" customWidth="1"/>
    <col min="18" max="23" width="13" style="251" hidden="1" customWidth="1"/>
    <col min="24" max="24" width="14.7109375" style="251" hidden="1" customWidth="1"/>
    <col min="25" max="26" width="11.42578125" style="251" customWidth="1"/>
    <col min="27" max="27" width="15" style="251" customWidth="1"/>
    <col min="28" max="28" width="23.28515625" style="251" customWidth="1"/>
    <col min="29" max="29" width="24.5703125" style="251" customWidth="1"/>
    <col min="30" max="30" width="23.28515625" style="251" customWidth="1"/>
    <col min="31" max="31" width="11.42578125" style="251" customWidth="1"/>
    <col min="32" max="32" width="18.7109375" style="251" hidden="1" customWidth="1"/>
    <col min="33" max="33" width="22.28515625" style="251" hidden="1" customWidth="1"/>
    <col min="34" max="34" width="26" style="251" hidden="1" customWidth="1"/>
    <col min="35" max="39" width="11.42578125" style="251" customWidth="1"/>
    <col min="40" max="16384" width="14.42578125" style="251"/>
  </cols>
  <sheetData>
    <row r="1" spans="1:39" s="243" customFormat="1" ht="8.25" x14ac:dyDescent="0.25">
      <c r="A1" s="238"/>
      <c r="B1" s="417" t="s">
        <v>39</v>
      </c>
      <c r="C1" s="418"/>
      <c r="D1" s="418"/>
      <c r="E1" s="437"/>
      <c r="F1" s="437"/>
      <c r="G1" s="437"/>
      <c r="H1" s="437"/>
      <c r="I1" s="437"/>
      <c r="J1" s="437"/>
      <c r="K1" s="437"/>
      <c r="L1" s="437"/>
      <c r="M1" s="437"/>
      <c r="N1" s="419"/>
      <c r="O1" s="420" t="s">
        <v>40</v>
      </c>
      <c r="P1" s="439" t="s">
        <v>41</v>
      </c>
      <c r="Q1" s="440"/>
      <c r="R1" s="440"/>
      <c r="S1" s="440"/>
      <c r="T1" s="440"/>
      <c r="U1" s="440"/>
      <c r="V1" s="440"/>
      <c r="W1" s="440"/>
      <c r="X1" s="441"/>
      <c r="Y1" s="424"/>
      <c r="Z1" s="239"/>
      <c r="AA1" s="240"/>
      <c r="AB1" s="442" t="s">
        <v>42</v>
      </c>
      <c r="AC1" s="443"/>
      <c r="AF1" s="240"/>
      <c r="AG1" s="240"/>
      <c r="AH1" s="240"/>
      <c r="AI1" s="240"/>
      <c r="AJ1" s="240"/>
      <c r="AK1" s="240"/>
      <c r="AL1" s="240"/>
      <c r="AM1" s="240"/>
    </row>
    <row r="2" spans="1:39" s="243" customFormat="1" ht="7.9" customHeight="1" x14ac:dyDescent="0.25">
      <c r="A2" s="395" t="s">
        <v>45</v>
      </c>
      <c r="B2" s="398" t="s">
        <v>46</v>
      </c>
      <c r="C2" s="401" t="s">
        <v>47</v>
      </c>
      <c r="D2" s="404" t="s">
        <v>48</v>
      </c>
      <c r="E2" s="434" t="s">
        <v>49</v>
      </c>
      <c r="F2" s="434"/>
      <c r="G2" s="434"/>
      <c r="H2" s="434"/>
      <c r="I2" s="434"/>
      <c r="J2" s="434"/>
      <c r="K2" s="434"/>
      <c r="L2" s="434"/>
      <c r="M2" s="434"/>
      <c r="N2" s="406" t="s">
        <v>50</v>
      </c>
      <c r="O2" s="438"/>
      <c r="P2" s="434" t="s">
        <v>51</v>
      </c>
      <c r="Q2" s="434"/>
      <c r="R2" s="434"/>
      <c r="S2" s="434"/>
      <c r="T2" s="434"/>
      <c r="U2" s="434"/>
      <c r="V2" s="434"/>
      <c r="W2" s="434"/>
      <c r="X2" s="435"/>
      <c r="Y2" s="406" t="s">
        <v>52</v>
      </c>
      <c r="Z2" s="239"/>
      <c r="AA2" s="244"/>
      <c r="AB2" s="286" t="s">
        <v>53</v>
      </c>
      <c r="AC2" s="287" t="s">
        <v>54</v>
      </c>
      <c r="AF2" s="240"/>
      <c r="AG2" s="240"/>
      <c r="AH2" s="240"/>
      <c r="AI2" s="240"/>
      <c r="AJ2" s="240"/>
      <c r="AK2" s="240"/>
      <c r="AL2" s="240"/>
      <c r="AM2" s="240"/>
    </row>
    <row r="3" spans="1:39" s="243" customFormat="1" ht="8.65" customHeight="1" x14ac:dyDescent="0.25">
      <c r="A3" s="396"/>
      <c r="B3" s="399"/>
      <c r="C3" s="399"/>
      <c r="D3" s="433"/>
      <c r="E3" s="435"/>
      <c r="F3" s="435"/>
      <c r="G3" s="435"/>
      <c r="H3" s="435"/>
      <c r="I3" s="435"/>
      <c r="J3" s="435"/>
      <c r="K3" s="435"/>
      <c r="L3" s="435"/>
      <c r="M3" s="435"/>
      <c r="N3" s="395"/>
      <c r="O3" s="438"/>
      <c r="P3" s="435"/>
      <c r="Q3" s="435"/>
      <c r="R3" s="435"/>
      <c r="S3" s="435"/>
      <c r="T3" s="435"/>
      <c r="U3" s="435"/>
      <c r="V3" s="435"/>
      <c r="W3" s="435"/>
      <c r="X3" s="435"/>
      <c r="Y3" s="395"/>
      <c r="Z3" s="239"/>
      <c r="AA3" s="240"/>
      <c r="AB3" s="252" t="str">
        <f>+P4</f>
        <v>BOGOTÁ</v>
      </c>
      <c r="AC3" s="253">
        <f>+SUM(P5:P5)</f>
        <v>0</v>
      </c>
      <c r="AF3" s="240"/>
      <c r="AG3" s="240"/>
      <c r="AH3" s="240"/>
      <c r="AI3" s="240"/>
      <c r="AJ3" s="240"/>
      <c r="AK3" s="240"/>
      <c r="AL3" s="240"/>
      <c r="AM3" s="240"/>
    </row>
    <row r="4" spans="1:39" s="243" customFormat="1" ht="18" x14ac:dyDescent="0.25">
      <c r="A4" s="397"/>
      <c r="B4" s="400"/>
      <c r="C4" s="400"/>
      <c r="D4" s="403"/>
      <c r="E4" s="279" t="s">
        <v>57</v>
      </c>
      <c r="F4" s="279" t="s">
        <v>18</v>
      </c>
      <c r="G4" s="279" t="s">
        <v>58</v>
      </c>
      <c r="H4" s="279" t="s">
        <v>59</v>
      </c>
      <c r="I4" s="279" t="s">
        <v>60</v>
      </c>
      <c r="J4" s="279" t="s">
        <v>61</v>
      </c>
      <c r="K4" s="279" t="s">
        <v>62</v>
      </c>
      <c r="L4" s="279" t="s">
        <v>63</v>
      </c>
      <c r="M4" s="279" t="s">
        <v>18</v>
      </c>
      <c r="N4" s="403"/>
      <c r="O4" s="400"/>
      <c r="P4" s="276" t="str">
        <f>+E4</f>
        <v>BOGOTÁ</v>
      </c>
      <c r="Q4" s="276" t="str">
        <f t="shared" ref="Q4:X4" si="0">+F4</f>
        <v>ORIENTE</v>
      </c>
      <c r="R4" s="276" t="str">
        <f t="shared" si="0"/>
        <v xml:space="preserve">CENTRAL </v>
      </c>
      <c r="S4" s="276" t="str">
        <f t="shared" si="0"/>
        <v xml:space="preserve">SUR </v>
      </c>
      <c r="T4" s="276" t="str">
        <f t="shared" si="0"/>
        <v xml:space="preserve">NORTE </v>
      </c>
      <c r="U4" s="276" t="str">
        <f t="shared" si="0"/>
        <v xml:space="preserve">OCCIDENTE </v>
      </c>
      <c r="V4" s="276" t="str">
        <f t="shared" si="0"/>
        <v xml:space="preserve">NOROCCIDENTE </v>
      </c>
      <c r="W4" s="276" t="str">
        <f t="shared" si="0"/>
        <v xml:space="preserve">SUROCCIDENTE </v>
      </c>
      <c r="X4" s="276" t="str">
        <f t="shared" si="0"/>
        <v>ORIENTE</v>
      </c>
      <c r="Y4" s="403"/>
      <c r="Z4" s="239"/>
      <c r="AA4" s="240"/>
      <c r="AB4" s="252" t="str">
        <f>+Q4</f>
        <v>ORIENTE</v>
      </c>
      <c r="AC4" s="253">
        <f>SUM(Q5:Q5)</f>
        <v>18292580</v>
      </c>
      <c r="AF4" s="240"/>
      <c r="AG4" s="240"/>
      <c r="AH4" s="240"/>
      <c r="AI4" s="240"/>
      <c r="AJ4" s="240"/>
      <c r="AK4" s="240"/>
      <c r="AL4" s="240"/>
      <c r="AM4" s="240"/>
    </row>
    <row r="5" spans="1:39" ht="67.5" customHeight="1" x14ac:dyDescent="0.25">
      <c r="A5" s="247">
        <v>13</v>
      </c>
      <c r="B5" s="257">
        <v>29</v>
      </c>
      <c r="C5" s="258" t="s">
        <v>139</v>
      </c>
      <c r="D5" s="248" t="s">
        <v>81</v>
      </c>
      <c r="E5" s="247">
        <v>0</v>
      </c>
      <c r="F5" s="247">
        <v>1</v>
      </c>
      <c r="G5" s="247">
        <v>0</v>
      </c>
      <c r="H5" s="247">
        <v>0</v>
      </c>
      <c r="I5" s="247">
        <v>0</v>
      </c>
      <c r="J5" s="247">
        <v>0</v>
      </c>
      <c r="K5" s="247">
        <v>0</v>
      </c>
      <c r="L5" s="247">
        <v>0</v>
      </c>
      <c r="M5" s="247">
        <v>0</v>
      </c>
      <c r="N5" s="247">
        <f>+SUM(E5:F5)</f>
        <v>1</v>
      </c>
      <c r="O5" s="247">
        <v>18292580</v>
      </c>
      <c r="P5" s="247">
        <f>+E5*O5</f>
        <v>0</v>
      </c>
      <c r="Q5" s="247">
        <f>+F5*O5</f>
        <v>18292580</v>
      </c>
      <c r="R5" s="247">
        <f>+G5*O5</f>
        <v>0</v>
      </c>
      <c r="S5" s="247">
        <f>+H5*O5</f>
        <v>0</v>
      </c>
      <c r="T5" s="247">
        <f>+I5*O5</f>
        <v>0</v>
      </c>
      <c r="U5" s="247">
        <f>+J5*O5</f>
        <v>0</v>
      </c>
      <c r="V5" s="247">
        <f>+K5*O5</f>
        <v>0</v>
      </c>
      <c r="W5" s="247">
        <f>+L5*O5</f>
        <v>0</v>
      </c>
      <c r="X5" s="247">
        <f>+M5*O5</f>
        <v>0</v>
      </c>
      <c r="Y5" s="247">
        <f>+SUM(P5:X5)</f>
        <v>18292580</v>
      </c>
      <c r="Z5" s="249"/>
      <c r="AA5" s="250"/>
      <c r="AB5" s="254" t="s">
        <v>71</v>
      </c>
      <c r="AC5" s="255">
        <f>+SUM(AC3:AC4)</f>
        <v>18292580</v>
      </c>
      <c r="AD5" s="250"/>
      <c r="AE5" s="250"/>
      <c r="AF5" s="210" t="s">
        <v>94</v>
      </c>
      <c r="AG5" t="s">
        <v>87</v>
      </c>
      <c r="AH5" t="s">
        <v>88</v>
      </c>
      <c r="AI5" s="250"/>
      <c r="AJ5" s="250"/>
      <c r="AK5" s="250"/>
      <c r="AL5" s="250"/>
      <c r="AM5" s="250"/>
    </row>
    <row r="6" spans="1:39" ht="14.25" customHeight="1" x14ac:dyDescent="0.25">
      <c r="A6" s="256"/>
      <c r="B6" s="412" t="s">
        <v>75</v>
      </c>
      <c r="C6" s="413"/>
      <c r="D6" s="413"/>
      <c r="E6" s="413"/>
      <c r="F6" s="413"/>
      <c r="G6" s="413"/>
      <c r="H6" s="413"/>
      <c r="I6" s="413"/>
      <c r="J6" s="413"/>
      <c r="K6" s="413"/>
      <c r="L6" s="413"/>
      <c r="M6" s="413"/>
      <c r="N6" s="413"/>
      <c r="O6" s="414"/>
      <c r="P6" s="247">
        <f t="shared" ref="P6:X6" si="1">+SUM(P5:P5)</f>
        <v>0</v>
      </c>
      <c r="Q6" s="247">
        <f t="shared" si="1"/>
        <v>18292580</v>
      </c>
      <c r="R6" s="247">
        <f t="shared" si="1"/>
        <v>0</v>
      </c>
      <c r="S6" s="247">
        <f t="shared" si="1"/>
        <v>0</v>
      </c>
      <c r="T6" s="247">
        <f t="shared" si="1"/>
        <v>0</v>
      </c>
      <c r="U6" s="247">
        <f t="shared" si="1"/>
        <v>0</v>
      </c>
      <c r="V6" s="247">
        <f t="shared" si="1"/>
        <v>0</v>
      </c>
      <c r="W6" s="247">
        <f t="shared" si="1"/>
        <v>0</v>
      </c>
      <c r="X6" s="247">
        <f t="shared" si="1"/>
        <v>0</v>
      </c>
      <c r="Y6" s="247">
        <f>SUM(Y5:Y5)</f>
        <v>18292580</v>
      </c>
      <c r="Z6" s="249"/>
      <c r="AA6" s="250"/>
      <c r="AB6" s="250"/>
      <c r="AF6" s="312">
        <v>13</v>
      </c>
      <c r="AG6" s="8">
        <v>0</v>
      </c>
      <c r="AH6">
        <v>18292580</v>
      </c>
      <c r="AI6" s="250"/>
      <c r="AJ6" s="250"/>
      <c r="AK6" s="250"/>
      <c r="AL6" s="250"/>
      <c r="AM6" s="250"/>
    </row>
    <row r="7" spans="1:39" ht="15" customHeight="1" x14ac:dyDescent="0.25">
      <c r="AF7" s="315" t="s">
        <v>92</v>
      </c>
      <c r="AG7" s="8">
        <v>0</v>
      </c>
      <c r="AH7">
        <v>18292580</v>
      </c>
    </row>
    <row r="8" spans="1:39" ht="15" customHeight="1" x14ac:dyDescent="0.25">
      <c r="B8" s="444" t="s">
        <v>86</v>
      </c>
      <c r="C8" s="444"/>
      <c r="D8" s="444"/>
      <c r="E8" s="444"/>
      <c r="F8" s="444"/>
      <c r="G8" s="444"/>
      <c r="H8" s="444"/>
      <c r="I8" s="444"/>
      <c r="J8" s="444"/>
      <c r="K8" s="444"/>
      <c r="L8" s="444"/>
      <c r="M8" s="444"/>
      <c r="N8" s="444"/>
      <c r="O8" s="444"/>
      <c r="P8" s="444"/>
      <c r="Q8" s="444"/>
      <c r="R8" s="444"/>
      <c r="S8" s="444"/>
      <c r="T8" s="444"/>
      <c r="U8" s="444"/>
      <c r="V8" s="444"/>
      <c r="W8" s="444"/>
      <c r="X8" s="444"/>
      <c r="Y8" s="444"/>
      <c r="Z8" s="444"/>
      <c r="AA8" s="444"/>
      <c r="AB8" s="332" t="s">
        <v>87</v>
      </c>
      <c r="AC8" s="332" t="s">
        <v>88</v>
      </c>
      <c r="AD8" s="332" t="s">
        <v>89</v>
      </c>
      <c r="AF8" s="312" t="s">
        <v>95</v>
      </c>
      <c r="AG8" s="8">
        <v>0</v>
      </c>
      <c r="AH8">
        <v>18292580</v>
      </c>
    </row>
    <row r="9" spans="1:39" ht="51.75" customHeight="1" x14ac:dyDescent="0.25">
      <c r="B9" s="445" t="str">
        <f>+AF7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C9" s="446"/>
      <c r="D9" s="446"/>
      <c r="E9" s="446"/>
      <c r="F9" s="446"/>
      <c r="G9" s="446"/>
      <c r="H9" s="446"/>
      <c r="I9" s="446"/>
      <c r="J9" s="446"/>
      <c r="K9" s="446"/>
      <c r="L9" s="446"/>
      <c r="M9" s="446"/>
      <c r="N9" s="446"/>
      <c r="O9" s="446"/>
      <c r="P9" s="446"/>
      <c r="Q9" s="446"/>
      <c r="R9" s="446"/>
      <c r="S9" s="446"/>
      <c r="T9" s="446"/>
      <c r="U9" s="446"/>
      <c r="V9" s="446"/>
      <c r="W9" s="446"/>
      <c r="X9" s="446"/>
      <c r="Y9" s="446"/>
      <c r="Z9" s="446"/>
      <c r="AA9" s="446"/>
      <c r="AB9" s="277">
        <f>+AG7</f>
        <v>0</v>
      </c>
      <c r="AC9" s="277">
        <f>+AH7</f>
        <v>18292580</v>
      </c>
      <c r="AD9" s="277">
        <f>+AB9+AC9</f>
        <v>18292580</v>
      </c>
    </row>
    <row r="10" spans="1:39" ht="15" customHeight="1" x14ac:dyDescent="0.25">
      <c r="B10" s="428" t="s">
        <v>71</v>
      </c>
      <c r="C10" s="429"/>
      <c r="D10" s="429"/>
      <c r="E10" s="429"/>
      <c r="F10" s="429"/>
      <c r="G10" s="429"/>
      <c r="H10" s="429"/>
      <c r="I10" s="429"/>
      <c r="J10" s="429"/>
      <c r="K10" s="429"/>
      <c r="L10" s="429"/>
      <c r="M10" s="429"/>
      <c r="N10" s="429"/>
      <c r="O10" s="429"/>
      <c r="P10" s="429"/>
      <c r="Q10" s="429"/>
      <c r="R10" s="429"/>
      <c r="S10" s="429"/>
      <c r="T10" s="429"/>
      <c r="U10" s="429"/>
      <c r="V10" s="429"/>
      <c r="W10" s="429"/>
      <c r="X10" s="429"/>
      <c r="Y10" s="429"/>
      <c r="Z10" s="429"/>
      <c r="AA10" s="436"/>
      <c r="AB10" s="328">
        <f>+SUM(AB9:AB9)</f>
        <v>0</v>
      </c>
      <c r="AC10" s="328">
        <f>SUM(AC9:AC9)</f>
        <v>18292580</v>
      </c>
      <c r="AD10" s="328">
        <f>+SUM(AD9:AD9)</f>
        <v>18292580</v>
      </c>
    </row>
    <row r="11" spans="1:39" ht="15" customHeight="1" x14ac:dyDescent="0.25"/>
    <row r="12" spans="1:39" ht="15" customHeight="1" x14ac:dyDescent="0.25"/>
    <row r="13" spans="1:39" ht="15" customHeight="1" x14ac:dyDescent="0.25">
      <c r="AD13" s="251" t="b">
        <f>+AD10=AC5</f>
        <v>1</v>
      </c>
    </row>
    <row r="14" spans="1:39" ht="15" customHeight="1" x14ac:dyDescent="0.25"/>
    <row r="15" spans="1:39" ht="15" customHeight="1" x14ac:dyDescent="0.25"/>
    <row r="16" spans="1:39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</sheetData>
  <mergeCells count="16">
    <mergeCell ref="B10:AA10"/>
    <mergeCell ref="Y2:Y4"/>
    <mergeCell ref="AB1:AC1"/>
    <mergeCell ref="B6:O6"/>
    <mergeCell ref="B9:AA9"/>
    <mergeCell ref="B1:N1"/>
    <mergeCell ref="O1:O4"/>
    <mergeCell ref="P1:Y1"/>
    <mergeCell ref="N2:N4"/>
    <mergeCell ref="P2:X3"/>
    <mergeCell ref="B8:AA8"/>
    <mergeCell ref="A2:A4"/>
    <mergeCell ref="B2:B4"/>
    <mergeCell ref="C2:C4"/>
    <mergeCell ref="D2:D4"/>
    <mergeCell ref="E2:M3"/>
  </mergeCells>
  <pageMargins left="0.7" right="0.7" top="0.75" bottom="0.75" header="0" footer="0"/>
  <pageSetup orientation="landscape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tableParts count="1">
    <tablePart r:id="rId3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2"/>
  <sheetViews>
    <sheetView zoomScale="55" zoomScaleNormal="55" workbookViewId="0">
      <selection activeCell="C38" sqref="C38"/>
    </sheetView>
  </sheetViews>
  <sheetFormatPr baseColWidth="10" defaultColWidth="11.42578125" defaultRowHeight="15" x14ac:dyDescent="0.25"/>
  <cols>
    <col min="1" max="1" width="125" style="120" bestFit="1" customWidth="1"/>
    <col min="2" max="2" width="29.28515625" style="48" bestFit="1" customWidth="1"/>
    <col min="3" max="3" width="33.5703125" style="48" bestFit="1" customWidth="1"/>
    <col min="4" max="4" width="9.5703125" style="48" customWidth="1"/>
    <col min="5" max="5" width="8.7109375" style="48" customWidth="1"/>
    <col min="6" max="9" width="9" customWidth="1"/>
    <col min="10" max="11" width="9" bestFit="1" customWidth="1"/>
    <col min="12" max="13" width="10" bestFit="1" customWidth="1"/>
    <col min="14" max="14" width="11.28515625" bestFit="1" customWidth="1"/>
    <col min="15" max="15" width="12.7109375" bestFit="1" customWidth="1"/>
    <col min="16" max="16" width="12.28515625" bestFit="1" customWidth="1"/>
    <col min="17" max="17" width="14.7109375" bestFit="1" customWidth="1"/>
    <col min="18" max="18" width="12.28515625" bestFit="1" customWidth="1"/>
    <col min="19" max="19" width="14.7109375" bestFit="1" customWidth="1"/>
    <col min="20" max="20" width="12.28515625" bestFit="1" customWidth="1"/>
    <col min="21" max="21" width="14.7109375" bestFit="1" customWidth="1"/>
    <col min="22" max="22" width="12.28515625" bestFit="1" customWidth="1"/>
    <col min="23" max="23" width="14.7109375" bestFit="1" customWidth="1"/>
    <col min="24" max="24" width="12.28515625" bestFit="1" customWidth="1"/>
    <col min="25" max="25" width="14.7109375" bestFit="1" customWidth="1"/>
    <col min="26" max="26" width="12.28515625" bestFit="1" customWidth="1"/>
    <col min="27" max="27" width="14.7109375" bestFit="1" customWidth="1"/>
    <col min="28" max="28" width="12.28515625" bestFit="1" customWidth="1"/>
    <col min="29" max="29" width="14.7109375" bestFit="1" customWidth="1"/>
    <col min="30" max="30" width="12.28515625" bestFit="1" customWidth="1"/>
    <col min="31" max="31" width="14.7109375" bestFit="1" customWidth="1"/>
    <col min="32" max="32" width="13.28515625" bestFit="1" customWidth="1"/>
    <col min="33" max="33" width="15.7109375" bestFit="1" customWidth="1"/>
    <col min="34" max="34" width="13.28515625" bestFit="1" customWidth="1"/>
    <col min="35" max="35" width="15.7109375" bestFit="1" customWidth="1"/>
    <col min="36" max="36" width="13.28515625" bestFit="1" customWidth="1"/>
    <col min="37" max="37" width="15.7109375" bestFit="1" customWidth="1"/>
    <col min="38" max="38" width="13.28515625" bestFit="1" customWidth="1"/>
    <col min="39" max="39" width="15.7109375" bestFit="1" customWidth="1"/>
    <col min="40" max="40" width="13.28515625" bestFit="1" customWidth="1"/>
    <col min="41" max="41" width="15.7109375" bestFit="1" customWidth="1"/>
    <col min="42" max="42" width="13.28515625" bestFit="1" customWidth="1"/>
    <col min="43" max="43" width="15.7109375" bestFit="1" customWidth="1"/>
    <col min="44" max="44" width="13.28515625" bestFit="1" customWidth="1"/>
    <col min="45" max="45" width="15.7109375" bestFit="1" customWidth="1"/>
    <col min="46" max="46" width="13.28515625" bestFit="1" customWidth="1"/>
    <col min="47" max="47" width="15.7109375" bestFit="1" customWidth="1"/>
    <col min="48" max="48" width="13.28515625" bestFit="1" customWidth="1"/>
    <col min="49" max="49" width="15.7109375" bestFit="1" customWidth="1"/>
    <col min="50" max="50" width="13.28515625" bestFit="1" customWidth="1"/>
    <col min="51" max="51" width="15.7109375" bestFit="1" customWidth="1"/>
    <col min="52" max="52" width="13.28515625" bestFit="1" customWidth="1"/>
    <col min="53" max="53" width="15.7109375" bestFit="1" customWidth="1"/>
    <col min="54" max="54" width="11.7109375" bestFit="1" customWidth="1"/>
  </cols>
  <sheetData>
    <row r="3" spans="1:5" x14ac:dyDescent="0.25">
      <c r="A3" s="215" t="s">
        <v>94</v>
      </c>
      <c r="B3" t="s">
        <v>87</v>
      </c>
      <c r="C3" t="s">
        <v>88</v>
      </c>
      <c r="D3"/>
      <c r="E3"/>
    </row>
    <row r="4" spans="1:5" x14ac:dyDescent="0.25">
      <c r="A4" s="316">
        <v>13</v>
      </c>
      <c r="B4" s="8">
        <v>0</v>
      </c>
      <c r="C4">
        <v>18292580</v>
      </c>
      <c r="D4"/>
      <c r="E4"/>
    </row>
    <row r="5" spans="1:5" ht="60" x14ac:dyDescent="0.25">
      <c r="A5" s="216" t="s">
        <v>92</v>
      </c>
      <c r="B5" s="8">
        <v>0</v>
      </c>
      <c r="C5">
        <v>18292580</v>
      </c>
      <c r="D5"/>
      <c r="E5"/>
    </row>
    <row r="6" spans="1:5" x14ac:dyDescent="0.25">
      <c r="A6" s="316" t="s">
        <v>95</v>
      </c>
      <c r="B6" s="8">
        <v>0</v>
      </c>
      <c r="C6">
        <v>18292580</v>
      </c>
      <c r="D6"/>
      <c r="E6"/>
    </row>
    <row r="7" spans="1:5" x14ac:dyDescent="0.25">
      <c r="A7"/>
      <c r="B7"/>
      <c r="C7"/>
      <c r="D7"/>
      <c r="E7"/>
    </row>
    <row r="8" spans="1:5" x14ac:dyDescent="0.25">
      <c r="A8"/>
      <c r="B8"/>
      <c r="C8"/>
      <c r="D8"/>
      <c r="E8"/>
    </row>
    <row r="9" spans="1:5" x14ac:dyDescent="0.25">
      <c r="A9"/>
      <c r="B9"/>
      <c r="C9"/>
      <c r="D9"/>
      <c r="E9"/>
    </row>
    <row r="10" spans="1:5" x14ac:dyDescent="0.25">
      <c r="A10"/>
      <c r="B10"/>
      <c r="D10"/>
      <c r="E10"/>
    </row>
    <row r="11" spans="1:5" x14ac:dyDescent="0.25">
      <c r="A11"/>
      <c r="B11"/>
      <c r="D11"/>
      <c r="E11"/>
    </row>
    <row r="12" spans="1:5" x14ac:dyDescent="0.25">
      <c r="A12"/>
      <c r="B12"/>
      <c r="D12"/>
      <c r="E12"/>
    </row>
    <row r="13" spans="1:5" x14ac:dyDescent="0.25">
      <c r="A13"/>
      <c r="B13"/>
      <c r="D13"/>
      <c r="E13"/>
    </row>
    <row r="14" spans="1:5" x14ac:dyDescent="0.25">
      <c r="A14"/>
      <c r="B14"/>
      <c r="D14"/>
      <c r="E14"/>
    </row>
    <row r="15" spans="1:5" x14ac:dyDescent="0.25">
      <c r="A15"/>
      <c r="B15"/>
      <c r="D15"/>
      <c r="E15"/>
    </row>
    <row r="16" spans="1:5" x14ac:dyDescent="0.25">
      <c r="A16"/>
      <c r="B16"/>
      <c r="D16"/>
      <c r="E16"/>
    </row>
    <row r="17" spans="3:3" customFormat="1" x14ac:dyDescent="0.25">
      <c r="C17" s="48"/>
    </row>
    <row r="18" spans="3:3" customFormat="1" x14ac:dyDescent="0.25">
      <c r="C18" s="48"/>
    </row>
    <row r="19" spans="3:3" customFormat="1" x14ac:dyDescent="0.25">
      <c r="C19" s="48"/>
    </row>
    <row r="20" spans="3:3" customFormat="1" x14ac:dyDescent="0.25">
      <c r="C20" s="48"/>
    </row>
    <row r="21" spans="3:3" customFormat="1" x14ac:dyDescent="0.25">
      <c r="C21" s="48"/>
    </row>
    <row r="22" spans="3:3" customFormat="1" x14ac:dyDescent="0.25">
      <c r="C22" s="48"/>
    </row>
    <row r="23" spans="3:3" customFormat="1" x14ac:dyDescent="0.25">
      <c r="C23" s="48"/>
    </row>
    <row r="24" spans="3:3" customFormat="1" x14ac:dyDescent="0.25">
      <c r="C24" s="48"/>
    </row>
    <row r="25" spans="3:3" customFormat="1" x14ac:dyDescent="0.25">
      <c r="C25" s="48"/>
    </row>
    <row r="26" spans="3:3" customFormat="1" x14ac:dyDescent="0.25">
      <c r="C26" s="48"/>
    </row>
    <row r="27" spans="3:3" customFormat="1" x14ac:dyDescent="0.25">
      <c r="C27" s="48"/>
    </row>
    <row r="28" spans="3:3" customFormat="1" x14ac:dyDescent="0.25">
      <c r="C28" s="48"/>
    </row>
    <row r="29" spans="3:3" customFormat="1" x14ac:dyDescent="0.25">
      <c r="C29" s="48"/>
    </row>
    <row r="30" spans="3:3" customFormat="1" x14ac:dyDescent="0.25">
      <c r="C30" s="48"/>
    </row>
    <row r="31" spans="3:3" customFormat="1" x14ac:dyDescent="0.25">
      <c r="C31" s="48"/>
    </row>
    <row r="32" spans="3:3" customFormat="1" x14ac:dyDescent="0.25">
      <c r="C32" s="48"/>
    </row>
    <row r="33" spans="1:5" x14ac:dyDescent="0.25">
      <c r="A33"/>
      <c r="B33"/>
      <c r="D33"/>
      <c r="E33"/>
    </row>
    <row r="34" spans="1:5" x14ac:dyDescent="0.25">
      <c r="A34"/>
      <c r="B34"/>
      <c r="D34"/>
      <c r="E34"/>
    </row>
    <row r="35" spans="1:5" x14ac:dyDescent="0.25">
      <c r="A35"/>
      <c r="B35"/>
      <c r="D35"/>
      <c r="E35"/>
    </row>
    <row r="36" spans="1:5" x14ac:dyDescent="0.25">
      <c r="A36"/>
      <c r="B36"/>
      <c r="D36"/>
      <c r="E36"/>
    </row>
    <row r="37" spans="1:5" x14ac:dyDescent="0.25">
      <c r="A37"/>
      <c r="B37"/>
      <c r="D37"/>
      <c r="E37"/>
    </row>
    <row r="38" spans="1:5" x14ac:dyDescent="0.25">
      <c r="A38"/>
      <c r="B38"/>
      <c r="D38"/>
      <c r="E38"/>
    </row>
    <row r="39" spans="1:5" x14ac:dyDescent="0.25">
      <c r="A39"/>
      <c r="B39"/>
      <c r="D39"/>
      <c r="E39"/>
    </row>
    <row r="40" spans="1:5" x14ac:dyDescent="0.25">
      <c r="A40"/>
      <c r="B40"/>
      <c r="D40"/>
      <c r="E40"/>
    </row>
    <row r="41" spans="1:5" x14ac:dyDescent="0.25">
      <c r="A41"/>
      <c r="B41"/>
      <c r="D41"/>
      <c r="E41"/>
    </row>
    <row r="42" spans="1:5" x14ac:dyDescent="0.25">
      <c r="B42"/>
      <c r="D42"/>
      <c r="E42"/>
    </row>
  </sheetData>
  <pageMargins left="0.7" right="0.7" top="0.75" bottom="0.75" header="0.3" footer="0.3"/>
  <pageSetup paperSize="9" orientation="portrait" r:id="rId2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2"/>
  <sheetViews>
    <sheetView topLeftCell="A6" zoomScale="85" zoomScaleNormal="85" workbookViewId="0">
      <selection activeCell="B9" sqref="B9"/>
    </sheetView>
  </sheetViews>
  <sheetFormatPr baseColWidth="10" defaultColWidth="11.42578125" defaultRowHeight="15" x14ac:dyDescent="0.25"/>
  <cols>
    <col min="1" max="1" width="100.28515625" style="120" customWidth="1"/>
    <col min="2" max="2" width="21.7109375" style="48" bestFit="1" customWidth="1"/>
    <col min="3" max="3" width="24.85546875" style="48" bestFit="1" customWidth="1"/>
    <col min="4" max="7" width="26.7109375" style="48" customWidth="1"/>
    <col min="8" max="8" width="18" style="48" customWidth="1"/>
    <col min="9" max="14" width="9" bestFit="1" customWidth="1"/>
    <col min="15" max="16" width="10" bestFit="1" customWidth="1"/>
    <col min="17" max="17" width="11.28515625" bestFit="1" customWidth="1"/>
    <col min="18" max="18" width="12.7109375" bestFit="1" customWidth="1"/>
    <col min="19" max="19" width="12.28515625" bestFit="1" customWidth="1"/>
    <col min="20" max="20" width="14.7109375" bestFit="1" customWidth="1"/>
    <col min="21" max="21" width="12.28515625" bestFit="1" customWidth="1"/>
    <col min="22" max="22" width="14.7109375" bestFit="1" customWidth="1"/>
    <col min="23" max="23" width="12.28515625" bestFit="1" customWidth="1"/>
    <col min="24" max="24" width="14.7109375" bestFit="1" customWidth="1"/>
    <col min="25" max="25" width="12.28515625" bestFit="1" customWidth="1"/>
    <col min="26" max="26" width="14.7109375" bestFit="1" customWidth="1"/>
    <col min="27" max="27" width="12.28515625" bestFit="1" customWidth="1"/>
    <col min="28" max="28" width="14.7109375" bestFit="1" customWidth="1"/>
    <col min="29" max="29" width="12.28515625" bestFit="1" customWidth="1"/>
    <col min="30" max="30" width="14.7109375" bestFit="1" customWidth="1"/>
    <col min="31" max="31" width="12.28515625" bestFit="1" customWidth="1"/>
    <col min="32" max="32" width="14.7109375" bestFit="1" customWidth="1"/>
    <col min="33" max="33" width="12.28515625" bestFit="1" customWidth="1"/>
    <col min="34" max="34" width="14.7109375" bestFit="1" customWidth="1"/>
    <col min="35" max="35" width="13.28515625" bestFit="1" customWidth="1"/>
    <col min="36" max="36" width="15.7109375" bestFit="1" customWidth="1"/>
    <col min="37" max="37" width="13.28515625" bestFit="1" customWidth="1"/>
    <col min="38" max="38" width="15.7109375" bestFit="1" customWidth="1"/>
    <col min="39" max="39" width="13.28515625" bestFit="1" customWidth="1"/>
    <col min="40" max="40" width="15.7109375" bestFit="1" customWidth="1"/>
    <col min="41" max="41" width="13.28515625" bestFit="1" customWidth="1"/>
    <col min="42" max="42" width="15.7109375" bestFit="1" customWidth="1"/>
    <col min="43" max="43" width="13.28515625" bestFit="1" customWidth="1"/>
    <col min="44" max="44" width="15.7109375" bestFit="1" customWidth="1"/>
    <col min="45" max="45" width="13.28515625" bestFit="1" customWidth="1"/>
    <col min="46" max="46" width="15.7109375" bestFit="1" customWidth="1"/>
    <col min="47" max="47" width="13.28515625" bestFit="1" customWidth="1"/>
    <col min="48" max="48" width="15.7109375" bestFit="1" customWidth="1"/>
    <col min="49" max="49" width="13.28515625" bestFit="1" customWidth="1"/>
    <col min="50" max="50" width="15.7109375" bestFit="1" customWidth="1"/>
    <col min="51" max="51" width="13.28515625" bestFit="1" customWidth="1"/>
    <col min="52" max="52" width="15.7109375" bestFit="1" customWidth="1"/>
    <col min="53" max="53" width="13.28515625" bestFit="1" customWidth="1"/>
    <col min="54" max="54" width="15.7109375" bestFit="1" customWidth="1"/>
    <col min="55" max="55" width="13.28515625" bestFit="1" customWidth="1"/>
    <col min="56" max="56" width="15.7109375" bestFit="1" customWidth="1"/>
    <col min="57" max="57" width="11.7109375" bestFit="1" customWidth="1"/>
  </cols>
  <sheetData>
    <row r="2" spans="1:8" x14ac:dyDescent="0.25">
      <c r="C2" s="48">
        <v>1423500</v>
      </c>
    </row>
    <row r="3" spans="1:8" x14ac:dyDescent="0.25">
      <c r="A3" s="215" t="s">
        <v>94</v>
      </c>
      <c r="B3" s="121" t="s">
        <v>87</v>
      </c>
      <c r="C3" s="121" t="s">
        <v>88</v>
      </c>
      <c r="D3"/>
      <c r="E3"/>
      <c r="F3"/>
      <c r="G3"/>
      <c r="H3"/>
    </row>
    <row r="4" spans="1:8" ht="108" customHeight="1" x14ac:dyDescent="0.25">
      <c r="A4" s="216" t="s">
        <v>90</v>
      </c>
      <c r="B4" s="121">
        <v>68466172</v>
      </c>
      <c r="C4" s="121">
        <v>14949098</v>
      </c>
      <c r="D4" s="8">
        <f t="shared" ref="D4:D10" si="0">+B4+C4</f>
        <v>83415270</v>
      </c>
      <c r="E4" s="8">
        <f t="shared" ref="E4:E10" si="1">+ROUND(D4/$C$2,2)</f>
        <v>58.6</v>
      </c>
      <c r="F4" s="8"/>
      <c r="G4" s="8"/>
      <c r="H4"/>
    </row>
    <row r="5" spans="1:8" ht="88.5" customHeight="1" x14ac:dyDescent="0.25">
      <c r="A5" s="216" t="s">
        <v>91</v>
      </c>
      <c r="B5" s="121">
        <v>492574801</v>
      </c>
      <c r="C5" s="121">
        <v>0</v>
      </c>
      <c r="D5" s="8">
        <f t="shared" si="0"/>
        <v>492574801</v>
      </c>
      <c r="E5" s="8">
        <f t="shared" si="1"/>
        <v>346.03</v>
      </c>
      <c r="F5" s="8"/>
      <c r="G5" s="8"/>
      <c r="H5"/>
    </row>
    <row r="6" spans="1:8" ht="87.75" customHeight="1" x14ac:dyDescent="0.25">
      <c r="A6" s="216" t="s">
        <v>92</v>
      </c>
      <c r="B6" s="121">
        <v>159127575</v>
      </c>
      <c r="C6" s="121">
        <v>278010948</v>
      </c>
      <c r="D6" s="8">
        <f t="shared" si="0"/>
        <v>437138523</v>
      </c>
      <c r="E6" s="8">
        <f t="shared" si="1"/>
        <v>307.08999999999997</v>
      </c>
      <c r="F6" s="8"/>
      <c r="G6" s="8"/>
      <c r="H6"/>
    </row>
    <row r="7" spans="1:8" ht="69" customHeight="1" x14ac:dyDescent="0.25">
      <c r="A7" s="216" t="s">
        <v>93</v>
      </c>
      <c r="B7" s="121">
        <v>399573329</v>
      </c>
      <c r="C7" s="121">
        <v>73211033</v>
      </c>
      <c r="D7" s="8">
        <f t="shared" si="0"/>
        <v>472784362</v>
      </c>
      <c r="E7" s="8">
        <f t="shared" si="1"/>
        <v>332.13</v>
      </c>
      <c r="F7" s="8"/>
      <c r="G7" s="8"/>
      <c r="H7"/>
    </row>
    <row r="8" spans="1:8" ht="87.75" customHeight="1" x14ac:dyDescent="0.25">
      <c r="A8" s="216" t="s">
        <v>129</v>
      </c>
      <c r="B8" s="121">
        <v>133386702</v>
      </c>
      <c r="C8" s="121">
        <v>0</v>
      </c>
      <c r="D8" s="8">
        <f t="shared" si="0"/>
        <v>133386702</v>
      </c>
      <c r="E8" s="8">
        <f t="shared" si="1"/>
        <v>93.7</v>
      </c>
      <c r="F8" s="8"/>
      <c r="G8" s="8"/>
      <c r="H8"/>
    </row>
    <row r="9" spans="1:8" ht="89.25" customHeight="1" x14ac:dyDescent="0.25">
      <c r="A9" s="216" t="s">
        <v>98</v>
      </c>
      <c r="B9" s="121">
        <v>513226905</v>
      </c>
      <c r="C9" s="121">
        <v>253990393</v>
      </c>
      <c r="D9" s="8">
        <f t="shared" si="0"/>
        <v>767217298</v>
      </c>
      <c r="E9" s="8">
        <f t="shared" si="1"/>
        <v>538.97</v>
      </c>
      <c r="F9" s="8"/>
      <c r="G9" s="8"/>
      <c r="H9"/>
    </row>
    <row r="10" spans="1:8" ht="89.25" customHeight="1" x14ac:dyDescent="0.25">
      <c r="A10" s="216" t="s">
        <v>130</v>
      </c>
      <c r="B10" s="121">
        <v>300000000</v>
      </c>
      <c r="C10" s="121">
        <v>0</v>
      </c>
      <c r="D10" s="8">
        <f t="shared" si="0"/>
        <v>300000000</v>
      </c>
      <c r="E10" s="8">
        <f t="shared" si="1"/>
        <v>210.75</v>
      </c>
      <c r="F10" s="8"/>
      <c r="G10" s="8"/>
      <c r="H10"/>
    </row>
    <row r="11" spans="1:8" x14ac:dyDescent="0.25">
      <c r="A11" s="216" t="s">
        <v>95</v>
      </c>
      <c r="B11" s="121">
        <v>2066355484</v>
      </c>
      <c r="C11" s="121">
        <v>620161472</v>
      </c>
      <c r="D11" s="8">
        <f>+SUM(D4:D10)</f>
        <v>2686516956</v>
      </c>
      <c r="E11" s="8"/>
      <c r="F11" s="8"/>
      <c r="G11" s="8"/>
      <c r="H11" t="b">
        <f>+D11='CONS ASIGNACION RUBROS (2)'!K36</f>
        <v>1</v>
      </c>
    </row>
    <row r="12" spans="1:8" x14ac:dyDescent="0.25">
      <c r="B12" s="121"/>
      <c r="C12" s="121">
        <f t="shared" ref="C12:C16" si="2">+B12/$C$2</f>
        <v>0</v>
      </c>
      <c r="D12"/>
      <c r="E12"/>
      <c r="F12"/>
      <c r="G12"/>
      <c r="H12"/>
    </row>
    <row r="13" spans="1:8" x14ac:dyDescent="0.25">
      <c r="B13" s="121"/>
      <c r="C13" s="121">
        <f t="shared" si="2"/>
        <v>0</v>
      </c>
      <c r="D13"/>
      <c r="E13"/>
      <c r="F13"/>
      <c r="G13"/>
      <c r="H13"/>
    </row>
    <row r="14" spans="1:8" x14ac:dyDescent="0.25">
      <c r="B14" s="121"/>
      <c r="C14" s="121">
        <f t="shared" si="2"/>
        <v>0</v>
      </c>
      <c r="D14"/>
      <c r="E14"/>
      <c r="F14"/>
      <c r="G14"/>
      <c r="H14"/>
    </row>
    <row r="15" spans="1:8" x14ac:dyDescent="0.25">
      <c r="B15" s="121"/>
      <c r="C15" s="121">
        <f t="shared" si="2"/>
        <v>0</v>
      </c>
      <c r="D15"/>
      <c r="E15"/>
      <c r="F15"/>
      <c r="G15"/>
      <c r="H15"/>
    </row>
    <row r="16" spans="1:8" x14ac:dyDescent="0.25">
      <c r="B16" s="121"/>
      <c r="C16" s="121">
        <f t="shared" si="2"/>
        <v>0</v>
      </c>
      <c r="D16"/>
      <c r="E16"/>
      <c r="F16"/>
      <c r="G16"/>
      <c r="H16"/>
    </row>
    <row r="17" spans="1:8" x14ac:dyDescent="0.25">
      <c r="B17" s="121"/>
      <c r="C17" s="121"/>
      <c r="D17"/>
      <c r="E17"/>
      <c r="F17"/>
      <c r="G17"/>
      <c r="H17"/>
    </row>
    <row r="18" spans="1:8" x14ac:dyDescent="0.25">
      <c r="B18" s="121"/>
      <c r="C18" s="121"/>
      <c r="D18"/>
      <c r="E18"/>
      <c r="F18"/>
      <c r="G18"/>
      <c r="H18"/>
    </row>
    <row r="19" spans="1:8" x14ac:dyDescent="0.25">
      <c r="A19" s="210" t="s">
        <v>94</v>
      </c>
      <c r="B19" s="121" t="s">
        <v>163</v>
      </c>
      <c r="C19" s="121"/>
      <c r="D19"/>
      <c r="E19"/>
      <c r="F19"/>
      <c r="G19"/>
      <c r="H19"/>
    </row>
    <row r="20" spans="1:8" x14ac:dyDescent="0.25">
      <c r="A20" s="312">
        <v>1</v>
      </c>
      <c r="B20" s="121">
        <v>517506779</v>
      </c>
      <c r="C20" s="48">
        <f t="shared" ref="C20:C32" si="3">+ROUND(B20/$C$2,2)</f>
        <v>363.55</v>
      </c>
      <c r="D20"/>
      <c r="E20"/>
      <c r="F20"/>
      <c r="G20"/>
      <c r="H20"/>
    </row>
    <row r="21" spans="1:8" x14ac:dyDescent="0.25">
      <c r="A21" s="312">
        <v>2</v>
      </c>
      <c r="B21" s="121">
        <v>208217404</v>
      </c>
      <c r="C21" s="48">
        <f t="shared" si="3"/>
        <v>146.27000000000001</v>
      </c>
      <c r="D21"/>
      <c r="E21"/>
      <c r="F21"/>
      <c r="G21"/>
      <c r="H21"/>
    </row>
    <row r="22" spans="1:8" x14ac:dyDescent="0.25">
      <c r="A22" s="312">
        <v>3</v>
      </c>
      <c r="B22" s="121">
        <v>668421095</v>
      </c>
      <c r="C22" s="48">
        <f t="shared" si="3"/>
        <v>469.56</v>
      </c>
      <c r="D22"/>
      <c r="E22"/>
      <c r="F22"/>
      <c r="G22"/>
      <c r="H22"/>
    </row>
    <row r="23" spans="1:8" x14ac:dyDescent="0.25">
      <c r="A23" s="312">
        <v>4</v>
      </c>
      <c r="B23" s="121">
        <v>19572266</v>
      </c>
      <c r="C23" s="48">
        <f t="shared" si="3"/>
        <v>13.75</v>
      </c>
      <c r="D23"/>
      <c r="E23"/>
      <c r="F23"/>
      <c r="G23"/>
      <c r="H23"/>
    </row>
    <row r="24" spans="1:8" x14ac:dyDescent="0.25">
      <c r="A24" s="312">
        <v>5</v>
      </c>
      <c r="B24" s="121">
        <v>539253431</v>
      </c>
      <c r="C24" s="48">
        <f t="shared" si="3"/>
        <v>378.82</v>
      </c>
      <c r="D24"/>
      <c r="E24"/>
      <c r="F24"/>
      <c r="G24"/>
      <c r="H24"/>
    </row>
    <row r="25" spans="1:8" x14ac:dyDescent="0.25">
      <c r="A25" s="312">
        <v>6</v>
      </c>
      <c r="B25" s="121">
        <v>34833145</v>
      </c>
      <c r="C25" s="48">
        <f t="shared" si="3"/>
        <v>24.47</v>
      </c>
      <c r="D25"/>
      <c r="E25"/>
      <c r="F25"/>
      <c r="G25"/>
      <c r="H25"/>
    </row>
    <row r="26" spans="1:8" x14ac:dyDescent="0.25">
      <c r="A26" s="312">
        <v>7</v>
      </c>
      <c r="B26" s="121">
        <v>170023171</v>
      </c>
      <c r="C26" s="48">
        <f t="shared" si="3"/>
        <v>119.44</v>
      </c>
      <c r="D26"/>
      <c r="E26"/>
      <c r="F26"/>
      <c r="G26"/>
      <c r="H26"/>
    </row>
    <row r="27" spans="1:8" x14ac:dyDescent="0.25">
      <c r="A27" s="312">
        <v>8</v>
      </c>
      <c r="B27" s="121">
        <v>92195992</v>
      </c>
      <c r="C27" s="48">
        <f t="shared" si="3"/>
        <v>64.77</v>
      </c>
      <c r="D27"/>
      <c r="E27"/>
      <c r="F27"/>
      <c r="G27"/>
      <c r="H27"/>
    </row>
    <row r="28" spans="1:8" x14ac:dyDescent="0.25">
      <c r="A28" s="312">
        <v>9</v>
      </c>
      <c r="B28" s="121">
        <v>29155000</v>
      </c>
      <c r="C28" s="48">
        <f t="shared" si="3"/>
        <v>20.48</v>
      </c>
      <c r="D28"/>
      <c r="E28"/>
      <c r="F28"/>
      <c r="G28"/>
      <c r="H28"/>
    </row>
    <row r="29" spans="1:8" x14ac:dyDescent="0.25">
      <c r="A29" s="312">
        <v>10</v>
      </c>
      <c r="B29" s="121">
        <v>192791293</v>
      </c>
      <c r="C29" s="48">
        <f t="shared" si="3"/>
        <v>135.43</v>
      </c>
      <c r="D29"/>
      <c r="E29"/>
      <c r="F29"/>
      <c r="G29"/>
      <c r="H29"/>
    </row>
    <row r="30" spans="1:8" x14ac:dyDescent="0.25">
      <c r="A30" s="312">
        <v>11</v>
      </c>
      <c r="B30" s="121">
        <v>136873800</v>
      </c>
      <c r="C30" s="48">
        <f t="shared" si="3"/>
        <v>96.15</v>
      </c>
      <c r="D30"/>
      <c r="E30"/>
      <c r="F30"/>
      <c r="G30"/>
      <c r="H30"/>
    </row>
    <row r="31" spans="1:8" x14ac:dyDescent="0.25">
      <c r="A31" s="312">
        <v>12</v>
      </c>
      <c r="B31" s="121">
        <v>59381000</v>
      </c>
      <c r="C31" s="48">
        <f t="shared" si="3"/>
        <v>41.71</v>
      </c>
      <c r="D31"/>
      <c r="E31"/>
      <c r="F31"/>
      <c r="G31"/>
      <c r="H31"/>
    </row>
    <row r="32" spans="1:8" x14ac:dyDescent="0.25">
      <c r="A32" s="312">
        <v>13</v>
      </c>
      <c r="B32" s="121">
        <v>18292580</v>
      </c>
      <c r="C32" s="48">
        <f t="shared" si="3"/>
        <v>12.85</v>
      </c>
      <c r="D32"/>
      <c r="E32"/>
      <c r="F32"/>
      <c r="G32"/>
      <c r="H32"/>
    </row>
    <row r="33" spans="1:8" x14ac:dyDescent="0.25">
      <c r="A33" s="316" t="s">
        <v>95</v>
      </c>
      <c r="B33" s="121">
        <v>2686516956</v>
      </c>
      <c r="C33" s="121"/>
      <c r="D33"/>
      <c r="E33"/>
      <c r="F33"/>
      <c r="G33"/>
      <c r="H33"/>
    </row>
    <row r="34" spans="1:8" x14ac:dyDescent="0.25">
      <c r="B34" s="121"/>
      <c r="C34" s="121"/>
      <c r="D34"/>
      <c r="E34"/>
      <c r="F34"/>
      <c r="G34"/>
      <c r="H34"/>
    </row>
    <row r="35" spans="1:8" x14ac:dyDescent="0.25">
      <c r="B35" s="121"/>
      <c r="C35" s="121"/>
      <c r="D35"/>
      <c r="E35"/>
      <c r="F35"/>
      <c r="G35"/>
      <c r="H35"/>
    </row>
    <row r="36" spans="1:8" x14ac:dyDescent="0.25">
      <c r="B36" s="121"/>
      <c r="C36" s="121"/>
      <c r="D36"/>
      <c r="E36"/>
      <c r="F36"/>
      <c r="G36"/>
      <c r="H36"/>
    </row>
    <row r="37" spans="1:8" x14ac:dyDescent="0.25">
      <c r="B37" s="121"/>
      <c r="C37" s="121"/>
      <c r="D37"/>
      <c r="E37"/>
      <c r="F37"/>
      <c r="G37"/>
      <c r="H37"/>
    </row>
    <row r="38" spans="1:8" x14ac:dyDescent="0.25">
      <c r="B38" s="121"/>
      <c r="C38" s="121"/>
      <c r="D38"/>
      <c r="E38"/>
      <c r="F38"/>
      <c r="G38"/>
      <c r="H38"/>
    </row>
    <row r="39" spans="1:8" x14ac:dyDescent="0.25">
      <c r="B39" s="121"/>
      <c r="C39" s="121"/>
      <c r="D39"/>
      <c r="E39"/>
      <c r="F39"/>
      <c r="G39"/>
      <c r="H39"/>
    </row>
    <row r="40" spans="1:8" x14ac:dyDescent="0.25">
      <c r="B40" s="121"/>
      <c r="C40" s="121"/>
      <c r="D40"/>
      <c r="E40"/>
      <c r="F40"/>
      <c r="G40"/>
      <c r="H40"/>
    </row>
    <row r="41" spans="1:8" x14ac:dyDescent="0.25">
      <c r="B41" s="121"/>
      <c r="C41" s="121"/>
      <c r="D41"/>
      <c r="E41"/>
      <c r="F41"/>
      <c r="G41"/>
      <c r="H41"/>
    </row>
    <row r="42" spans="1:8" x14ac:dyDescent="0.25">
      <c r="B42" s="121"/>
      <c r="C42" s="121"/>
      <c r="D42"/>
      <c r="E42"/>
      <c r="F42"/>
      <c r="G42"/>
      <c r="H42"/>
    </row>
  </sheetData>
  <pageMargins left="0.7" right="0.7" top="0.75" bottom="0.75" header="0.3" footer="0.3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42"/>
  <sheetViews>
    <sheetView topLeftCell="A2" zoomScale="70" zoomScaleNormal="70" workbookViewId="0">
      <selection activeCell="A32" sqref="A32:A33"/>
    </sheetView>
  </sheetViews>
  <sheetFormatPr baseColWidth="10" defaultColWidth="11.42578125" defaultRowHeight="15" x14ac:dyDescent="0.25"/>
  <cols>
    <col min="1" max="1" width="255.7109375" bestFit="1" customWidth="1"/>
    <col min="2" max="2" width="27.28515625" style="48" bestFit="1" customWidth="1"/>
    <col min="3" max="3" width="31.42578125" style="48" bestFit="1" customWidth="1"/>
    <col min="4" max="9" width="9" bestFit="1" customWidth="1"/>
    <col min="10" max="11" width="10" bestFit="1" customWidth="1"/>
    <col min="12" max="12" width="11.28515625" bestFit="1" customWidth="1"/>
    <col min="13" max="13" width="12.7109375" bestFit="1" customWidth="1"/>
    <col min="14" max="14" width="12.28515625" bestFit="1" customWidth="1"/>
    <col min="15" max="15" width="14.7109375" bestFit="1" customWidth="1"/>
    <col min="16" max="16" width="12.28515625" bestFit="1" customWidth="1"/>
    <col min="17" max="17" width="14.7109375" bestFit="1" customWidth="1"/>
    <col min="18" max="18" width="12.28515625" bestFit="1" customWidth="1"/>
    <col min="19" max="19" width="14.7109375" bestFit="1" customWidth="1"/>
    <col min="20" max="20" width="12.28515625" bestFit="1" customWidth="1"/>
    <col min="21" max="21" width="14.7109375" bestFit="1" customWidth="1"/>
    <col min="22" max="22" width="12.28515625" bestFit="1" customWidth="1"/>
    <col min="23" max="23" width="14.7109375" bestFit="1" customWidth="1"/>
    <col min="24" max="24" width="12.28515625" bestFit="1" customWidth="1"/>
    <col min="25" max="25" width="14.7109375" bestFit="1" customWidth="1"/>
    <col min="26" max="26" width="12.28515625" bestFit="1" customWidth="1"/>
    <col min="27" max="27" width="14.7109375" bestFit="1" customWidth="1"/>
    <col min="28" max="28" width="12.28515625" bestFit="1" customWidth="1"/>
    <col min="29" max="29" width="14.7109375" bestFit="1" customWidth="1"/>
    <col min="30" max="30" width="13.28515625" bestFit="1" customWidth="1"/>
    <col min="31" max="31" width="15.7109375" bestFit="1" customWidth="1"/>
    <col min="32" max="32" width="13.28515625" bestFit="1" customWidth="1"/>
    <col min="33" max="33" width="15.7109375" bestFit="1" customWidth="1"/>
    <col min="34" max="34" width="13.28515625" bestFit="1" customWidth="1"/>
    <col min="35" max="35" width="15.7109375" bestFit="1" customWidth="1"/>
    <col min="36" max="36" width="13.28515625" bestFit="1" customWidth="1"/>
    <col min="37" max="37" width="15.7109375" bestFit="1" customWidth="1"/>
    <col min="38" max="38" width="13.28515625" bestFit="1" customWidth="1"/>
    <col min="39" max="39" width="15.7109375" bestFit="1" customWidth="1"/>
    <col min="40" max="40" width="13.28515625" bestFit="1" customWidth="1"/>
    <col min="41" max="41" width="15.7109375" bestFit="1" customWidth="1"/>
    <col min="42" max="42" width="13.28515625" bestFit="1" customWidth="1"/>
    <col min="43" max="43" width="15.7109375" bestFit="1" customWidth="1"/>
    <col min="44" max="44" width="13.28515625" bestFit="1" customWidth="1"/>
    <col min="45" max="45" width="15.7109375" bestFit="1" customWidth="1"/>
    <col min="46" max="46" width="13.28515625" bestFit="1" customWidth="1"/>
    <col min="47" max="47" width="15.7109375" bestFit="1" customWidth="1"/>
    <col min="48" max="48" width="13.28515625" bestFit="1" customWidth="1"/>
    <col min="49" max="49" width="15.7109375" bestFit="1" customWidth="1"/>
    <col min="50" max="50" width="13.28515625" bestFit="1" customWidth="1"/>
    <col min="51" max="51" width="15.7109375" bestFit="1" customWidth="1"/>
    <col min="52" max="52" width="11.7109375" bestFit="1" customWidth="1"/>
  </cols>
  <sheetData>
    <row r="3" spans="1:3" x14ac:dyDescent="0.25">
      <c r="A3" s="210" t="s">
        <v>94</v>
      </c>
      <c r="B3" t="s">
        <v>87</v>
      </c>
      <c r="C3" t="s">
        <v>88</v>
      </c>
    </row>
    <row r="4" spans="1:3" x14ac:dyDescent="0.25">
      <c r="A4" s="312">
        <v>1</v>
      </c>
      <c r="B4" s="8">
        <v>474415466</v>
      </c>
      <c r="C4">
        <v>43091313</v>
      </c>
    </row>
    <row r="5" spans="1:3" x14ac:dyDescent="0.25">
      <c r="A5" s="313" t="s">
        <v>90</v>
      </c>
      <c r="B5" s="8">
        <v>54100886</v>
      </c>
      <c r="C5">
        <v>0</v>
      </c>
    </row>
    <row r="6" spans="1:3" x14ac:dyDescent="0.25">
      <c r="A6" s="313" t="s">
        <v>91</v>
      </c>
      <c r="B6" s="8">
        <v>60791847</v>
      </c>
      <c r="C6">
        <v>0</v>
      </c>
    </row>
    <row r="7" spans="1:3" x14ac:dyDescent="0.25">
      <c r="A7" s="313" t="s">
        <v>92</v>
      </c>
      <c r="B7" s="8">
        <v>0</v>
      </c>
      <c r="C7">
        <v>43091313</v>
      </c>
    </row>
    <row r="8" spans="1:3" x14ac:dyDescent="0.25">
      <c r="A8" s="313" t="s">
        <v>93</v>
      </c>
      <c r="B8" s="8">
        <v>359522733</v>
      </c>
      <c r="C8">
        <v>0</v>
      </c>
    </row>
    <row r="9" spans="1:3" x14ac:dyDescent="0.25">
      <c r="A9" s="312">
        <v>2</v>
      </c>
      <c r="B9" s="8">
        <v>161915416</v>
      </c>
      <c r="C9">
        <v>46301988</v>
      </c>
    </row>
    <row r="10" spans="1:3" x14ac:dyDescent="0.25">
      <c r="A10" s="313" t="s">
        <v>91</v>
      </c>
      <c r="B10" s="8">
        <v>161915416</v>
      </c>
      <c r="C10">
        <v>0</v>
      </c>
    </row>
    <row r="11" spans="1:3" x14ac:dyDescent="0.25">
      <c r="A11" s="313" t="s">
        <v>98</v>
      </c>
      <c r="B11" s="8">
        <v>0</v>
      </c>
      <c r="C11">
        <v>46301988</v>
      </c>
    </row>
    <row r="12" spans="1:3" x14ac:dyDescent="0.25">
      <c r="A12" s="312">
        <v>3</v>
      </c>
      <c r="B12" s="8">
        <v>668421095</v>
      </c>
      <c r="C12">
        <v>0</v>
      </c>
    </row>
    <row r="13" spans="1:3" x14ac:dyDescent="0.25">
      <c r="A13" s="313" t="s">
        <v>91</v>
      </c>
      <c r="B13" s="8">
        <v>235034393</v>
      </c>
      <c r="C13">
        <v>0</v>
      </c>
    </row>
    <row r="14" spans="1:3" x14ac:dyDescent="0.25">
      <c r="A14" s="313" t="s">
        <v>129</v>
      </c>
      <c r="B14" s="8">
        <v>133386702</v>
      </c>
      <c r="C14">
        <v>0</v>
      </c>
    </row>
    <row r="15" spans="1:3" x14ac:dyDescent="0.25">
      <c r="A15" s="313" t="s">
        <v>130</v>
      </c>
      <c r="B15" s="8">
        <v>300000000</v>
      </c>
      <c r="C15">
        <v>0</v>
      </c>
    </row>
    <row r="16" spans="1:3" x14ac:dyDescent="0.25">
      <c r="A16" s="312">
        <v>4</v>
      </c>
      <c r="B16" s="8">
        <v>14365286</v>
      </c>
      <c r="C16">
        <v>5206980</v>
      </c>
    </row>
    <row r="17" spans="1:3" x14ac:dyDescent="0.25">
      <c r="A17" s="313" t="s">
        <v>90</v>
      </c>
      <c r="B17" s="8">
        <v>14365286</v>
      </c>
      <c r="C17">
        <v>0</v>
      </c>
    </row>
    <row r="18" spans="1:3" x14ac:dyDescent="0.25">
      <c r="A18" s="313" t="s">
        <v>98</v>
      </c>
      <c r="B18" s="8">
        <v>0</v>
      </c>
      <c r="C18">
        <v>5206980</v>
      </c>
    </row>
    <row r="19" spans="1:3" x14ac:dyDescent="0.25">
      <c r="A19" s="312">
        <v>5</v>
      </c>
      <c r="B19" s="8">
        <v>228239620</v>
      </c>
      <c r="C19">
        <v>311013811</v>
      </c>
    </row>
    <row r="20" spans="1:3" x14ac:dyDescent="0.25">
      <c r="A20" s="313" t="s">
        <v>90</v>
      </c>
      <c r="B20" s="8">
        <v>0</v>
      </c>
      <c r="C20">
        <v>14949098</v>
      </c>
    </row>
    <row r="21" spans="1:3" x14ac:dyDescent="0.25">
      <c r="A21" s="313" t="s">
        <v>92</v>
      </c>
      <c r="B21" s="8">
        <v>0</v>
      </c>
      <c r="C21">
        <v>216627055</v>
      </c>
    </row>
    <row r="22" spans="1:3" x14ac:dyDescent="0.25">
      <c r="A22" s="313" t="s">
        <v>93</v>
      </c>
      <c r="B22" s="8">
        <v>0</v>
      </c>
      <c r="C22">
        <v>73211033</v>
      </c>
    </row>
    <row r="23" spans="1:3" x14ac:dyDescent="0.25">
      <c r="A23" s="313" t="s">
        <v>98</v>
      </c>
      <c r="B23" s="8">
        <v>228239620</v>
      </c>
      <c r="C23">
        <v>6226625</v>
      </c>
    </row>
    <row r="24" spans="1:3" x14ac:dyDescent="0.25">
      <c r="A24" s="312">
        <v>6</v>
      </c>
      <c r="B24" s="8">
        <v>34833145</v>
      </c>
      <c r="C24">
        <v>0</v>
      </c>
    </row>
    <row r="25" spans="1:3" x14ac:dyDescent="0.25">
      <c r="A25" s="313" t="s">
        <v>91</v>
      </c>
      <c r="B25" s="8">
        <v>34833145</v>
      </c>
      <c r="C25">
        <v>0</v>
      </c>
    </row>
    <row r="26" spans="1:3" x14ac:dyDescent="0.25">
      <c r="A26" s="312">
        <v>7</v>
      </c>
      <c r="B26" s="8">
        <v>170023171</v>
      </c>
      <c r="C26">
        <v>0</v>
      </c>
    </row>
    <row r="27" spans="1:3" x14ac:dyDescent="0.25">
      <c r="A27" s="313" t="s">
        <v>92</v>
      </c>
      <c r="B27" s="8">
        <v>129972575</v>
      </c>
      <c r="C27">
        <v>0</v>
      </c>
    </row>
    <row r="28" spans="1:3" x14ac:dyDescent="0.25">
      <c r="A28" s="313" t="s">
        <v>93</v>
      </c>
      <c r="B28" s="8">
        <v>40050596</v>
      </c>
      <c r="C28">
        <v>0</v>
      </c>
    </row>
    <row r="29" spans="1:3" x14ac:dyDescent="0.25">
      <c r="A29" s="312">
        <v>8</v>
      </c>
      <c r="B29" s="8">
        <v>92195992</v>
      </c>
      <c r="C29">
        <v>0</v>
      </c>
    </row>
    <row r="30" spans="1:3" x14ac:dyDescent="0.25">
      <c r="A30" s="313" t="s">
        <v>98</v>
      </c>
      <c r="B30" s="8">
        <v>92195992</v>
      </c>
      <c r="C30">
        <v>0</v>
      </c>
    </row>
    <row r="31" spans="1:3" x14ac:dyDescent="0.25">
      <c r="A31" s="312">
        <v>9</v>
      </c>
      <c r="B31" s="8">
        <v>29155000</v>
      </c>
      <c r="C31">
        <v>0</v>
      </c>
    </row>
    <row r="32" spans="1:3" x14ac:dyDescent="0.25">
      <c r="A32" s="313" t="s">
        <v>92</v>
      </c>
      <c r="B32" s="8">
        <v>29155000</v>
      </c>
      <c r="C32">
        <v>0</v>
      </c>
    </row>
    <row r="33" spans="1:3" x14ac:dyDescent="0.25">
      <c r="A33" s="312">
        <v>10</v>
      </c>
      <c r="B33" s="8">
        <v>192791293</v>
      </c>
      <c r="C33">
        <v>0</v>
      </c>
    </row>
    <row r="34" spans="1:3" x14ac:dyDescent="0.25">
      <c r="A34" s="313" t="s">
        <v>98</v>
      </c>
      <c r="B34" s="8">
        <v>192791293</v>
      </c>
      <c r="C34">
        <v>0</v>
      </c>
    </row>
    <row r="35" spans="1:3" x14ac:dyDescent="0.25">
      <c r="A35" s="312">
        <v>11</v>
      </c>
      <c r="B35" s="8">
        <v>0</v>
      </c>
      <c r="C35">
        <v>136873800</v>
      </c>
    </row>
    <row r="36" spans="1:3" x14ac:dyDescent="0.25">
      <c r="A36" s="313" t="s">
        <v>98</v>
      </c>
      <c r="B36" s="8">
        <v>0</v>
      </c>
      <c r="C36">
        <v>136873800</v>
      </c>
    </row>
    <row r="37" spans="1:3" x14ac:dyDescent="0.25">
      <c r="A37" s="312">
        <v>12</v>
      </c>
      <c r="B37" s="8">
        <v>0</v>
      </c>
      <c r="C37">
        <v>59381000</v>
      </c>
    </row>
    <row r="38" spans="1:3" x14ac:dyDescent="0.25">
      <c r="A38" s="313" t="s">
        <v>98</v>
      </c>
      <c r="B38" s="8">
        <v>0</v>
      </c>
      <c r="C38">
        <v>59381000</v>
      </c>
    </row>
    <row r="39" spans="1:3" x14ac:dyDescent="0.25">
      <c r="A39" s="312">
        <v>13</v>
      </c>
      <c r="B39" s="8">
        <v>0</v>
      </c>
      <c r="C39">
        <v>18292580</v>
      </c>
    </row>
    <row r="40" spans="1:3" x14ac:dyDescent="0.25">
      <c r="A40" s="313" t="s">
        <v>92</v>
      </c>
      <c r="B40" s="8">
        <v>0</v>
      </c>
      <c r="C40">
        <v>18292580</v>
      </c>
    </row>
    <row r="41" spans="1:3" x14ac:dyDescent="0.25">
      <c r="A41" s="312" t="s">
        <v>95</v>
      </c>
      <c r="B41" s="8">
        <v>2066355484</v>
      </c>
      <c r="C41">
        <v>620161472</v>
      </c>
    </row>
    <row r="42" spans="1:3" x14ac:dyDescent="0.25">
      <c r="B42"/>
      <c r="C42"/>
    </row>
  </sheetData>
  <pageMargins left="0.7" right="0.7" top="0.75" bottom="0.75" header="0.3" footer="0.3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145"/>
  <sheetViews>
    <sheetView topLeftCell="A27" zoomScale="85" zoomScaleNormal="85" zoomScaleSheetLayoutView="115" workbookViewId="0">
      <pane xSplit="2" topLeftCell="C1" activePane="topRight" state="frozen"/>
      <selection pane="topRight" activeCell="O4" sqref="O4"/>
    </sheetView>
  </sheetViews>
  <sheetFormatPr baseColWidth="10" defaultColWidth="14.42578125" defaultRowHeight="0" customHeight="1" zeroHeight="1" x14ac:dyDescent="0.25"/>
  <cols>
    <col min="1" max="1" width="4.28515625" style="91" bestFit="1" customWidth="1"/>
    <col min="2" max="2" width="5" style="91" bestFit="1" customWidth="1"/>
    <col min="3" max="3" width="26.7109375" style="98" customWidth="1"/>
    <col min="4" max="4" width="16.7109375" style="91" customWidth="1"/>
    <col min="5" max="7" width="11.5703125" style="91" customWidth="1"/>
    <col min="8" max="8" width="14.28515625" style="91" customWidth="1"/>
    <col min="9" max="10" width="13" style="91" customWidth="1"/>
    <col min="11" max="11" width="17" style="91" customWidth="1"/>
    <col min="12" max="12" width="14.7109375" style="91" customWidth="1"/>
    <col min="13" max="13" width="25.28515625" style="91" customWidth="1"/>
    <col min="14" max="14" width="86.42578125" style="98" customWidth="1"/>
    <col min="15" max="22" width="14.7109375" style="91" customWidth="1"/>
    <col min="23" max="24" width="11.42578125" style="91" customWidth="1"/>
    <col min="25" max="26" width="15" style="91" customWidth="1"/>
    <col min="27" max="27" width="13.7109375" style="91" customWidth="1"/>
    <col min="28" max="36" width="11.42578125" style="91" customWidth="1"/>
    <col min="37" max="16384" width="14.42578125" style="91"/>
  </cols>
  <sheetData>
    <row r="1" spans="1:36" s="90" customFormat="1" ht="8.25" customHeight="1" x14ac:dyDescent="0.25">
      <c r="A1" s="203"/>
      <c r="B1" s="203" t="s">
        <v>39</v>
      </c>
      <c r="C1" s="206"/>
      <c r="D1" s="206"/>
      <c r="E1" s="206"/>
      <c r="F1" s="206"/>
      <c r="G1" s="206"/>
      <c r="H1" s="207" t="s">
        <v>40</v>
      </c>
      <c r="I1" s="203" t="s">
        <v>41</v>
      </c>
      <c r="J1" s="203"/>
      <c r="K1" s="206"/>
      <c r="L1" s="118" t="s">
        <v>100</v>
      </c>
      <c r="M1" s="118" t="s">
        <v>101</v>
      </c>
      <c r="N1" s="211"/>
      <c r="O1" s="118"/>
      <c r="P1" s="118"/>
      <c r="Q1" s="118"/>
      <c r="R1" s="118"/>
      <c r="S1" s="118"/>
      <c r="T1" s="118"/>
      <c r="U1" s="118"/>
      <c r="V1" s="118"/>
      <c r="W1" s="73"/>
      <c r="X1" s="74" t="s">
        <v>42</v>
      </c>
      <c r="Y1" s="89"/>
      <c r="Z1" s="89"/>
      <c r="AA1" s="74" t="s">
        <v>43</v>
      </c>
      <c r="AB1" s="74" t="s">
        <v>44</v>
      </c>
      <c r="AC1" s="74"/>
      <c r="AD1" s="74"/>
      <c r="AE1" s="74"/>
      <c r="AF1" s="74"/>
      <c r="AG1" s="74"/>
      <c r="AH1" s="74"/>
      <c r="AI1" s="74"/>
      <c r="AJ1" s="74"/>
    </row>
    <row r="2" spans="1:36" s="90" customFormat="1" ht="7.9" customHeight="1" x14ac:dyDescent="0.25">
      <c r="E2" s="205" t="s">
        <v>49</v>
      </c>
      <c r="F2" s="205"/>
      <c r="H2" s="206"/>
      <c r="I2" s="205" t="s">
        <v>51</v>
      </c>
      <c r="J2" s="205"/>
      <c r="K2" s="205" t="s">
        <v>52</v>
      </c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73"/>
      <c r="X2" s="75" t="s">
        <v>53</v>
      </c>
      <c r="Y2" s="75" t="s">
        <v>54</v>
      </c>
      <c r="Z2" s="75" t="s">
        <v>55</v>
      </c>
      <c r="AA2" s="75" t="s">
        <v>56</v>
      </c>
      <c r="AB2" s="75" t="s">
        <v>44</v>
      </c>
      <c r="AC2" s="74"/>
      <c r="AD2" s="74"/>
      <c r="AE2" s="74"/>
      <c r="AF2" s="74"/>
      <c r="AG2" s="74"/>
      <c r="AH2" s="74"/>
      <c r="AI2" s="74"/>
      <c r="AJ2" s="74"/>
    </row>
    <row r="3" spans="1:36" s="90" customFormat="1" ht="13.9" customHeight="1" x14ac:dyDescent="0.25">
      <c r="A3" s="208"/>
      <c r="B3" s="206"/>
      <c r="C3" s="209"/>
      <c r="D3" s="205"/>
      <c r="E3" s="206"/>
      <c r="F3" s="206"/>
      <c r="G3" s="205"/>
      <c r="H3" s="206"/>
      <c r="I3" s="206"/>
      <c r="J3" s="206"/>
      <c r="K3" s="205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08" t="s">
        <v>10</v>
      </c>
      <c r="X3" s="109" t="str">
        <f>+I4</f>
        <v xml:space="preserve">valor REG bta </v>
      </c>
      <c r="Y3" s="109">
        <f>+SUM(I5:I9)</f>
        <v>474415466</v>
      </c>
      <c r="Z3" s="109">
        <f t="shared" ref="Z3" si="0">+SUM(Y3:Y4)</f>
        <v>517506779</v>
      </c>
      <c r="AA3" s="100"/>
      <c r="AB3" s="92" t="b">
        <f t="shared" ref="AB3:AB13" si="1">+EXACT(Y3,AA3)</f>
        <v>0</v>
      </c>
      <c r="AC3" s="73"/>
      <c r="AD3" s="74"/>
      <c r="AE3" s="74"/>
      <c r="AF3" s="74"/>
      <c r="AG3" s="74"/>
      <c r="AH3" s="74"/>
      <c r="AI3" s="74"/>
      <c r="AJ3" s="74"/>
    </row>
    <row r="4" spans="1:36" s="90" customFormat="1" ht="24.75" x14ac:dyDescent="0.25">
      <c r="A4" s="205" t="s">
        <v>45</v>
      </c>
      <c r="B4" s="205" t="s">
        <v>46</v>
      </c>
      <c r="C4" s="205" t="s">
        <v>47</v>
      </c>
      <c r="D4" s="205" t="s">
        <v>48</v>
      </c>
      <c r="E4" s="204" t="s">
        <v>57</v>
      </c>
      <c r="F4" s="204" t="s">
        <v>18</v>
      </c>
      <c r="G4" s="205" t="s">
        <v>50</v>
      </c>
      <c r="H4" s="206" t="s">
        <v>104</v>
      </c>
      <c r="I4" s="205" t="s">
        <v>105</v>
      </c>
      <c r="J4" s="205" t="s">
        <v>106</v>
      </c>
      <c r="K4" s="205" t="s">
        <v>52</v>
      </c>
      <c r="L4" s="119" t="s">
        <v>107</v>
      </c>
      <c r="M4" s="119" t="s">
        <v>101</v>
      </c>
      <c r="N4" s="119" t="s">
        <v>185</v>
      </c>
      <c r="O4" s="119"/>
      <c r="P4" s="119"/>
      <c r="Q4" s="119"/>
      <c r="R4" s="119"/>
      <c r="S4" s="119"/>
      <c r="T4" s="119"/>
      <c r="U4" s="119"/>
      <c r="V4" s="119"/>
      <c r="W4" s="108" t="s">
        <v>10</v>
      </c>
      <c r="X4" s="109" t="str">
        <f>+J4</f>
        <v xml:space="preserve">valor REG oriente </v>
      </c>
      <c r="Y4" s="109">
        <f>SUM(J5:J9)</f>
        <v>43091313</v>
      </c>
      <c r="Z4" s="109"/>
      <c r="AA4" s="100"/>
      <c r="AB4" s="92" t="b">
        <f t="shared" si="1"/>
        <v>0</v>
      </c>
      <c r="AC4" s="73"/>
      <c r="AD4" s="74"/>
      <c r="AE4" s="74"/>
      <c r="AF4" s="74"/>
      <c r="AG4" s="74"/>
      <c r="AH4" s="74"/>
      <c r="AI4" s="74"/>
      <c r="AJ4" s="74"/>
    </row>
    <row r="5" spans="1:36" ht="51.6" customHeight="1" x14ac:dyDescent="0.25">
      <c r="A5" s="95">
        <f>+'DATOS REGIONALIZADO LOTE 1'!A5</f>
        <v>1</v>
      </c>
      <c r="B5" s="95">
        <f>+'DATOS REGIONALIZADO LOTE 1'!B5</f>
        <v>1</v>
      </c>
      <c r="C5" s="111" t="str">
        <f>+'DATOS REGIONALIZADO LOTE 1'!C5</f>
        <v xml:space="preserve">CABINAS EXTRACTORAS PARA LABORATORIO DE ESTUPEFACIENTES DE LA REGIONAL BOGOTA (2) CABINA Y (1) CABINA PARA - PATOLOGIA - LABORATORIO DE HISTOTECNOLOGÍA </v>
      </c>
      <c r="D5" s="95" t="str">
        <f>+'DATOS REGIONALIZADO LOTE 1'!D5</f>
        <v>UNIDAD</v>
      </c>
      <c r="E5" s="95">
        <f>+'DATOS REGIONALIZADO LOTE 1'!E5</f>
        <v>3</v>
      </c>
      <c r="F5" s="95">
        <f>+'DATOS REGIONALIZADO LOTE 1'!F5</f>
        <v>0</v>
      </c>
      <c r="G5" s="95">
        <f>+'DATOS REGIONALIZADO LOTE 1'!N5</f>
        <v>3</v>
      </c>
      <c r="H5" s="95">
        <f>+'DATOS REGIONALIZADO LOTE 1'!O5</f>
        <v>64542518</v>
      </c>
      <c r="I5" s="95">
        <f>+'DATOS REGIONALIZADO LOTE 1'!P5</f>
        <v>193627554</v>
      </c>
      <c r="J5" s="95">
        <f>+'DATOS REGIONALIZADO LOTE 1'!Q5</f>
        <v>0</v>
      </c>
      <c r="K5" s="95">
        <f>+'DATOS REGIONALIZADO LOTE 1'!Y5</f>
        <v>193627554</v>
      </c>
      <c r="L5" s="87" t="s">
        <v>112</v>
      </c>
      <c r="M5" s="87" t="s">
        <v>113</v>
      </c>
      <c r="N5" s="212" t="str">
        <f>+VLOOKUP(M5,Hoja3!$B$2:$D$8,3,FALSE)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O5" s="87"/>
      <c r="P5" s="87"/>
      <c r="Q5" s="87"/>
      <c r="R5" s="87"/>
      <c r="S5" s="87"/>
      <c r="T5" s="87"/>
      <c r="U5" s="87"/>
      <c r="V5" s="87"/>
      <c r="W5" s="99" t="s">
        <v>65</v>
      </c>
      <c r="X5" s="100" t="s">
        <v>57</v>
      </c>
      <c r="Y5" s="100">
        <f>+'DATOS REGIONALIZADO LOTE 2'!P7</f>
        <v>161915416</v>
      </c>
      <c r="Z5" s="100">
        <f>+Tabla37910[[#This Row],[VALOR TOTAL]]+Y6</f>
        <v>208217404</v>
      </c>
      <c r="AA5" s="100"/>
      <c r="AB5" s="92" t="b">
        <f>+EXACT(Y5,AA5)</f>
        <v>0</v>
      </c>
      <c r="AC5" s="82"/>
      <c r="AD5" s="83"/>
      <c r="AE5" s="83"/>
      <c r="AF5" s="83"/>
      <c r="AG5" s="83"/>
      <c r="AH5" s="83"/>
      <c r="AI5" s="83"/>
      <c r="AJ5" s="83"/>
    </row>
    <row r="6" spans="1:36" s="195" customFormat="1" ht="45" x14ac:dyDescent="0.25">
      <c r="A6" s="189">
        <f>+'DATOS REGIONALIZADO LOTE 1'!A6</f>
        <v>1</v>
      </c>
      <c r="B6" s="189">
        <f>+'DATOS REGIONALIZADO LOTE 1'!B6</f>
        <v>2</v>
      </c>
      <c r="C6" s="190" t="str">
        <f>+'DATOS REGIONALIZADO LOTE 1'!C6</f>
        <v>CABINA EXTRACTORA PARA EL GRUPO DE PATOLOGIA FORENSE  DE LA REGIONAL BOGOTA</v>
      </c>
      <c r="D6" s="189" t="str">
        <f>+'DATOS REGIONALIZADO LOTE 1'!D6</f>
        <v>UNIDAD</v>
      </c>
      <c r="E6" s="189">
        <f>+'DATOS REGIONALIZADO LOTE 1'!E6</f>
        <v>1</v>
      </c>
      <c r="F6" s="189">
        <f>+'DATOS REGIONALIZADO LOTE 1'!F6</f>
        <v>0</v>
      </c>
      <c r="G6" s="189">
        <f>+'DATOS REGIONALIZADO LOTE 1'!N6</f>
        <v>1</v>
      </c>
      <c r="H6" s="189">
        <f>+'DATOS REGIONALIZADO LOTE 1'!O6</f>
        <v>60791847</v>
      </c>
      <c r="I6" s="189">
        <f>+'DATOS REGIONALIZADO LOTE 1'!P6</f>
        <v>60791847</v>
      </c>
      <c r="J6" s="189">
        <f>+'DATOS REGIONALIZADO LOTE 1'!Q6</f>
        <v>0</v>
      </c>
      <c r="K6" s="189">
        <f>+'DATOS REGIONALIZADO LOTE 1'!Y6</f>
        <v>60791847</v>
      </c>
      <c r="L6" s="191" t="s">
        <v>114</v>
      </c>
      <c r="M6" s="191" t="s">
        <v>115</v>
      </c>
      <c r="N6" s="212" t="str">
        <f>+VLOOKUP(M6,Hoja3!$B$2:$D$8,3,FALSE)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O6" s="191"/>
      <c r="P6" s="191"/>
      <c r="Q6" s="191"/>
      <c r="R6" s="191"/>
      <c r="S6" s="191"/>
      <c r="T6" s="191"/>
      <c r="U6" s="191"/>
      <c r="V6" s="191"/>
      <c r="W6" s="192" t="s">
        <v>65</v>
      </c>
      <c r="X6" s="197" t="s">
        <v>18</v>
      </c>
      <c r="Y6" s="197">
        <f>+'DATOS REGIONALIZADO LOTE 2'!Q7</f>
        <v>46301988</v>
      </c>
      <c r="Z6" s="197"/>
      <c r="AA6" s="197"/>
      <c r="AB6" s="198" t="b">
        <f>+EXACT(Y6,AA6)</f>
        <v>0</v>
      </c>
      <c r="AC6" s="193"/>
      <c r="AD6" s="194"/>
      <c r="AE6" s="194"/>
      <c r="AF6" s="194"/>
      <c r="AG6" s="194"/>
      <c r="AH6" s="194"/>
      <c r="AI6" s="194"/>
      <c r="AJ6" s="194"/>
    </row>
    <row r="7" spans="1:36" ht="50.65" customHeight="1" x14ac:dyDescent="0.25">
      <c r="A7" s="95">
        <f>+'DATOS REGIONALIZADO LOTE 1'!A7</f>
        <v>1</v>
      </c>
      <c r="B7" s="95">
        <f>+'DATOS REGIONALIZADO LOTE 1'!B7</f>
        <v>3</v>
      </c>
      <c r="C7" s="111" t="str">
        <f>+'DATOS REGIONALIZADO LOTE 1'!C7</f>
        <v>CABINAS EXTRACTORAS PARA EL LABORATORIO DE EVIDENCIA TRAZA  DE LA REGIONAL BOGOTA</v>
      </c>
      <c r="D7" s="95" t="str">
        <f>+'DATOS REGIONALIZADO LOTE 1'!D7</f>
        <v>UNIDAD</v>
      </c>
      <c r="E7" s="95">
        <f>+'DATOS REGIONALIZADO LOTE 1'!E7</f>
        <v>3</v>
      </c>
      <c r="F7" s="95">
        <f>+'DATOS REGIONALIZADO LOTE 1'!F7</f>
        <v>0</v>
      </c>
      <c r="G7" s="95">
        <f>+'DATOS REGIONALIZADO LOTE 1'!N7</f>
        <v>3</v>
      </c>
      <c r="H7" s="95">
        <f>+'DATOS REGIONALIZADO LOTE 1'!O7</f>
        <v>55298393</v>
      </c>
      <c r="I7" s="95">
        <f>+'DATOS REGIONALIZADO LOTE 1'!P7</f>
        <v>165895179</v>
      </c>
      <c r="J7" s="95">
        <f>+'DATOS REGIONALIZADO LOTE 1'!Q7</f>
        <v>0</v>
      </c>
      <c r="K7" s="95">
        <f>+'DATOS REGIONALIZADO LOTE 1'!Y7</f>
        <v>165895179</v>
      </c>
      <c r="L7" s="87" t="s">
        <v>112</v>
      </c>
      <c r="M7" s="87" t="s">
        <v>113</v>
      </c>
      <c r="N7" s="212" t="str">
        <f>+VLOOKUP(M7,Hoja3!$B$2:$D$8,3,FALSE)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O7" s="87"/>
      <c r="P7" s="87"/>
      <c r="Q7" s="87"/>
      <c r="R7" s="87"/>
      <c r="S7" s="87"/>
      <c r="T7" s="87"/>
      <c r="U7" s="87"/>
      <c r="V7" s="87"/>
      <c r="W7" s="108" t="s">
        <v>66</v>
      </c>
      <c r="X7" s="109" t="s">
        <v>57</v>
      </c>
      <c r="Y7" s="109">
        <f>+Tabla34[[#This Row],[VALOR TOTAL]]</f>
        <v>668421095</v>
      </c>
      <c r="Z7" s="109">
        <f>+Tabla37910[[#This Row],[VALOR TOTAL]]+Y8</f>
        <v>668421095</v>
      </c>
      <c r="AA7" s="100"/>
      <c r="AB7" s="92" t="b">
        <f>+EXACT(Y7,AA7)</f>
        <v>0</v>
      </c>
      <c r="AC7" s="82"/>
      <c r="AD7" s="83"/>
      <c r="AE7" s="83"/>
      <c r="AF7" s="83"/>
      <c r="AG7" s="83"/>
      <c r="AH7" s="83"/>
      <c r="AI7" s="83"/>
      <c r="AJ7" s="83"/>
    </row>
    <row r="8" spans="1:36" ht="63" customHeight="1" x14ac:dyDescent="0.25">
      <c r="A8" s="95">
        <f>+'DATOS REGIONALIZADO LOTE 1'!A8</f>
        <v>1</v>
      </c>
      <c r="B8" s="95">
        <f>+'DATOS REGIONALIZADO LOTE 1'!B8</f>
        <v>4</v>
      </c>
      <c r="C8" s="112" t="str">
        <f>+'DATOS REGIONALIZADO LOTE 1'!C8</f>
        <v>CABINA EXTRACTORA PARA EL LABORATORIO DE GENÉTICA DE LA REGIONAL BOGOTA</v>
      </c>
      <c r="D8" s="95" t="str">
        <f>+'DATOS REGIONALIZADO LOTE 1'!D8</f>
        <v>UNIDAD</v>
      </c>
      <c r="E8" s="95">
        <f>+'DATOS REGIONALIZADO LOTE 1'!E8</f>
        <v>1</v>
      </c>
      <c r="F8" s="95">
        <f>+'DATOS REGIONALIZADO LOTE 1'!F8</f>
        <v>0</v>
      </c>
      <c r="G8" s="95">
        <f>+'DATOS REGIONALIZADO LOTE 1'!N8</f>
        <v>1</v>
      </c>
      <c r="H8" s="95">
        <f>+'DATOS REGIONALIZADO LOTE 1'!O8</f>
        <v>54100886</v>
      </c>
      <c r="I8" s="95">
        <f>+'DATOS REGIONALIZADO LOTE 1'!P8</f>
        <v>54100886</v>
      </c>
      <c r="J8" s="95">
        <f>+'DATOS REGIONALIZADO LOTE 1'!Q8</f>
        <v>0</v>
      </c>
      <c r="K8" s="95">
        <f>+'DATOS REGIONALIZADO LOTE 1'!Y8</f>
        <v>54100886</v>
      </c>
      <c r="L8" s="87" t="s">
        <v>74</v>
      </c>
      <c r="M8" s="87" t="s">
        <v>116</v>
      </c>
      <c r="N8" s="212" t="str">
        <f>+VLOOKUP(M8,Hoja3!$B$2:$D$8,3,FALSE)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O8" s="87"/>
      <c r="P8" s="87"/>
      <c r="Q8" s="87"/>
      <c r="R8" s="87"/>
      <c r="S8" s="87"/>
      <c r="T8" s="87"/>
      <c r="U8" s="87"/>
      <c r="V8" s="87"/>
      <c r="W8" s="108" t="s">
        <v>67</v>
      </c>
      <c r="X8" s="109" t="s">
        <v>18</v>
      </c>
      <c r="Y8" s="109">
        <f>+Tabla34[[#This Row],[VALOR TOTAL]]</f>
        <v>0</v>
      </c>
      <c r="Z8" s="109"/>
      <c r="AA8" s="100"/>
      <c r="AB8" s="92" t="b">
        <f>+EXACT(Y8,AA8)</f>
        <v>0</v>
      </c>
      <c r="AC8" s="82"/>
      <c r="AD8" s="83"/>
      <c r="AE8" s="83"/>
      <c r="AF8" s="83"/>
      <c r="AG8" s="83"/>
      <c r="AH8" s="83"/>
      <c r="AI8" s="83"/>
      <c r="AJ8" s="83"/>
    </row>
    <row r="9" spans="1:36" ht="56.25" customHeight="1" x14ac:dyDescent="0.25">
      <c r="A9" s="95">
        <f>+'DATOS REGIONALIZADO LOTE 1'!A9</f>
        <v>1</v>
      </c>
      <c r="B9" s="95">
        <f>+'DATOS REGIONALIZADO LOTE 1'!B9</f>
        <v>5</v>
      </c>
      <c r="C9" s="112" t="str">
        <f>+'DATOS REGIONALIZADO LOTE 1'!C9</f>
        <v>CABINA DE SEGURIDAD BIOLÓGICA CLASE II TIPO II PARA EL LABORATORIO DE GENÉTICA VILLAVICENCIO</v>
      </c>
      <c r="D9" s="95" t="str">
        <f>+'DATOS REGIONALIZADO LOTE 1'!D9</f>
        <v>UNIDAD</v>
      </c>
      <c r="E9" s="95">
        <f>+'DATOS REGIONALIZADO LOTE 1'!E9</f>
        <v>0</v>
      </c>
      <c r="F9" s="95">
        <f>+'DATOS REGIONALIZADO LOTE 1'!F9</f>
        <v>1</v>
      </c>
      <c r="G9" s="95">
        <f>+'DATOS REGIONALIZADO LOTE 1'!N9</f>
        <v>1</v>
      </c>
      <c r="H9" s="95">
        <f>+'DATOS REGIONALIZADO LOTE 1'!O9</f>
        <v>43091313</v>
      </c>
      <c r="I9" s="95">
        <f>+'DATOS REGIONALIZADO LOTE 1'!P9</f>
        <v>0</v>
      </c>
      <c r="J9" s="95">
        <f>+'DATOS REGIONALIZADO LOTE 1'!Q9</f>
        <v>43091313</v>
      </c>
      <c r="K9" s="189">
        <f>+'DATOS REGIONALIZADO LOTE 1'!Y9</f>
        <v>43091313</v>
      </c>
      <c r="L9" s="87" t="s">
        <v>74</v>
      </c>
      <c r="M9" s="87" t="s">
        <v>117</v>
      </c>
      <c r="N9" s="212" t="str">
        <f>+VLOOKUP(M9,Hoja3!$B$2:$D$8,3,FALSE)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O9" s="87"/>
      <c r="P9" s="87"/>
      <c r="Q9" s="87"/>
      <c r="R9" s="87"/>
      <c r="S9" s="87"/>
      <c r="T9" s="87"/>
      <c r="U9" s="87"/>
      <c r="V9" s="87"/>
      <c r="W9" s="99" t="s">
        <v>68</v>
      </c>
      <c r="X9" s="100" t="s">
        <v>57</v>
      </c>
      <c r="Y9" s="100">
        <f>+'DATOS REGIONALIZADO LOTE 4 tota'!AB7</f>
        <v>328507571</v>
      </c>
      <c r="Z9" s="100">
        <f>+Tabla37910[[#This Row],[VALOR TOTAL]]+Y10</f>
        <v>548261931</v>
      </c>
      <c r="AA9" s="100"/>
      <c r="AB9" s="92" t="b">
        <f t="shared" ref="AB9:AB10" si="2">+EXACT(Y9,AA9)</f>
        <v>0</v>
      </c>
      <c r="AC9" s="82"/>
      <c r="AD9" s="83"/>
      <c r="AE9" s="83"/>
      <c r="AF9" s="83"/>
      <c r="AG9" s="83"/>
      <c r="AH9" s="83"/>
      <c r="AI9" s="83"/>
      <c r="AJ9" s="83"/>
    </row>
    <row r="10" spans="1:36" ht="54.75" customHeight="1" x14ac:dyDescent="0.25">
      <c r="A10" s="95">
        <f>+'DATOS REGIONALIZADO LOTE 2'!A5</f>
        <v>2</v>
      </c>
      <c r="B10" s="95">
        <f>+'DATOS REGIONALIZADO LOTE 2'!B5</f>
        <v>6</v>
      </c>
      <c r="C10" s="111" t="str">
        <f>+'DATOS REGIONALIZADO LOTE 2'!C5</f>
        <v>MICROSCOPIO ÓPTICO TRINOCULAR</v>
      </c>
      <c r="D10" s="95" t="str">
        <f>+'DATOS REGIONALIZADO LOTE 2'!D5</f>
        <v>UNIDAD</v>
      </c>
      <c r="E10" s="95">
        <f>+'DATOS REGIONALIZADO LOTE 2'!E5</f>
        <v>0</v>
      </c>
      <c r="F10" s="95">
        <f>+'DATOS REGIONALIZADO LOTE 2'!F5</f>
        <v>1</v>
      </c>
      <c r="G10" s="95">
        <f>+'DATOS REGIONALIZADO LOTE 2'!N5</f>
        <v>1</v>
      </c>
      <c r="H10" s="95">
        <f>+'DATOS REGIONALIZADO LOTE 2'!O5</f>
        <v>46301988</v>
      </c>
      <c r="I10" s="95">
        <f>+'DATOS REGIONALIZADO LOTE 2'!P5</f>
        <v>0</v>
      </c>
      <c r="J10" s="95">
        <f>+'DATOS REGIONALIZADO LOTE 2'!Q5</f>
        <v>46301988</v>
      </c>
      <c r="K10" s="95">
        <f>+'DATOS REGIONALIZADO LOTE 2'!Y5</f>
        <v>46301988</v>
      </c>
      <c r="L10" s="87" t="s">
        <v>112</v>
      </c>
      <c r="M10" s="87" t="s">
        <v>118</v>
      </c>
      <c r="N10" s="212" t="str">
        <f>+VLOOKUP(M10,Hoja3!$B$2:$D$8,3,FALSE)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O10" s="87"/>
      <c r="P10" s="87"/>
      <c r="Q10" s="87"/>
      <c r="R10" s="87"/>
      <c r="S10" s="87"/>
      <c r="T10" s="87"/>
      <c r="U10" s="87"/>
      <c r="V10" s="87"/>
      <c r="W10" s="99" t="s">
        <v>69</v>
      </c>
      <c r="X10" s="100" t="s">
        <v>18</v>
      </c>
      <c r="Y10" s="100">
        <f>+'DATOS REGIONALIZADO LOTE 4 tota'!AB8</f>
        <v>219754360</v>
      </c>
      <c r="Z10" s="100"/>
      <c r="AA10" s="100"/>
      <c r="AB10" s="92" t="b">
        <f t="shared" si="2"/>
        <v>0</v>
      </c>
      <c r="AC10" s="82"/>
      <c r="AD10" s="83"/>
      <c r="AE10" s="83"/>
      <c r="AF10" s="83"/>
      <c r="AG10" s="83"/>
      <c r="AH10" s="83"/>
      <c r="AI10" s="83"/>
      <c r="AJ10" s="83"/>
    </row>
    <row r="11" spans="1:36" s="195" customFormat="1" ht="45" x14ac:dyDescent="0.25">
      <c r="A11" s="189">
        <f>+'DATOS REGIONALIZADO LOTE 2'!A6</f>
        <v>2</v>
      </c>
      <c r="B11" s="189">
        <f>+'DATOS REGIONALIZADO LOTE 2'!B6</f>
        <v>7</v>
      </c>
      <c r="C11" s="190" t="str">
        <f>+'DATOS REGIONALIZADO LOTE 2'!C6</f>
        <v xml:space="preserve">Estereomicroscopio  con camara </v>
      </c>
      <c r="D11" s="189" t="str">
        <f>+'DATOS REGIONALIZADO LOTE 2'!D6</f>
        <v>UNIDAD</v>
      </c>
      <c r="E11" s="189">
        <f>+'DATOS REGIONALIZADO LOTE 2'!E6</f>
        <v>1</v>
      </c>
      <c r="F11" s="189">
        <f>+'DATOS REGIONALIZADO LOTE 2'!F6</f>
        <v>0</v>
      </c>
      <c r="G11" s="189">
        <f>+'DATOS REGIONALIZADO LOTE 2'!N6</f>
        <v>1</v>
      </c>
      <c r="H11" s="189">
        <f>+'DATOS REGIONALIZADO LOTE 2'!O6</f>
        <v>161915416</v>
      </c>
      <c r="I11" s="189">
        <f>+'DATOS REGIONALIZADO LOTE 2'!P6</f>
        <v>161915416</v>
      </c>
      <c r="J11" s="189">
        <f>+'DATOS REGIONALIZADO LOTE 2'!Q6</f>
        <v>0</v>
      </c>
      <c r="K11" s="189">
        <f>+'DATOS REGIONALIZADO LOTE 2'!Y6</f>
        <v>161915416</v>
      </c>
      <c r="L11" s="191" t="s">
        <v>114</v>
      </c>
      <c r="M11" s="191" t="s">
        <v>115</v>
      </c>
      <c r="N11" s="212" t="str">
        <f>+VLOOKUP(M11,Hoja3!$B$2:$D$8,3,FALSE)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O11" s="191"/>
      <c r="P11" s="191"/>
      <c r="Q11" s="191"/>
      <c r="R11" s="191"/>
      <c r="S11" s="191"/>
      <c r="T11" s="191"/>
      <c r="U11" s="191"/>
      <c r="V11" s="191"/>
      <c r="W11" s="192" t="s">
        <v>70</v>
      </c>
      <c r="X11" s="197" t="s">
        <v>57</v>
      </c>
      <c r="Y11" s="197" t="e">
        <f>+Tabla36[[#This Row],[VALOR TOTAL]]</f>
        <v>#VALUE!</v>
      </c>
      <c r="Z11" s="197" t="e">
        <f>+Tabla37910[[#This Row],[VALOR TOTAL]]+Y12</f>
        <v>#VALUE!</v>
      </c>
      <c r="AA11" s="197"/>
      <c r="AB11" s="198" t="e">
        <f>+EXACT(Y11,AA11)</f>
        <v>#VALUE!</v>
      </c>
      <c r="AC11" s="193"/>
      <c r="AD11" s="194"/>
      <c r="AE11" s="194"/>
      <c r="AF11" s="194"/>
      <c r="AG11" s="194"/>
      <c r="AH11" s="194"/>
      <c r="AI11" s="194"/>
      <c r="AJ11" s="194"/>
    </row>
    <row r="12" spans="1:36" s="195" customFormat="1" ht="45" x14ac:dyDescent="0.25">
      <c r="A12" s="189">
        <f>+'DATOS REGIONALIZADO LOTE 3'!A5</f>
        <v>3</v>
      </c>
      <c r="B12" s="189">
        <f>+'DATOS REGIONALIZADO LOTE 3'!B5</f>
        <v>8</v>
      </c>
      <c r="C12" s="190" t="str">
        <f>+'DATOS REGIONALIZADO LOTE 3'!C5</f>
        <v xml:space="preserve">Baño De Flotación  </v>
      </c>
      <c r="D12" s="189" t="str">
        <f>+'DATOS REGIONALIZADO LOTE 3'!D5</f>
        <v>UNIDAD</v>
      </c>
      <c r="E12" s="189">
        <f>+'DATOS REGIONALIZADO LOTE 3'!E5</f>
        <v>1</v>
      </c>
      <c r="F12" s="189">
        <f>+'DATOS REGIONALIZADO LOTE 3'!F5</f>
        <v>0</v>
      </c>
      <c r="G12" s="189">
        <f>+'DATOS REGIONALIZADO LOTE 3'!N5</f>
        <v>1</v>
      </c>
      <c r="H12" s="189">
        <f>+'DATOS REGIONALIZADO LOTE 3'!O5</f>
        <v>7329714</v>
      </c>
      <c r="I12" s="189">
        <f>+'DATOS REGIONALIZADO LOTE 3'!P5</f>
        <v>7329714</v>
      </c>
      <c r="J12" s="189">
        <f>+'DATOS REGIONALIZADO LOTE 3'!Q5</f>
        <v>0</v>
      </c>
      <c r="K12" s="189">
        <f>+'DATOS REGIONALIZADO LOTE 3'!Y5</f>
        <v>7329714</v>
      </c>
      <c r="L12" s="191" t="s">
        <v>114</v>
      </c>
      <c r="M12" s="191" t="s">
        <v>150</v>
      </c>
      <c r="N12" s="221" t="str">
        <f>+VLOOKUP(M12,Hoja3!$B$2:$D$8,3,FALSE)</f>
        <v xml:space="preserve">código Rubro = C-2901-0800-14-20111D-2901010-02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v>
      </c>
      <c r="O12" s="191"/>
      <c r="P12" s="191"/>
      <c r="Q12" s="191"/>
      <c r="R12" s="191"/>
      <c r="S12" s="191"/>
      <c r="T12" s="191"/>
      <c r="U12" s="191"/>
      <c r="V12" s="191"/>
      <c r="W12" s="192" t="s">
        <v>70</v>
      </c>
      <c r="X12" s="197" t="s">
        <v>18</v>
      </c>
      <c r="Y12" s="197" t="e">
        <f>+Tabla36[[#This Row],[VALOR TOTAL]]</f>
        <v>#VALUE!</v>
      </c>
      <c r="Z12" s="197"/>
      <c r="AA12" s="197"/>
      <c r="AB12" s="198" t="e">
        <f>+EXACT(Y12,AA12)</f>
        <v>#VALUE!</v>
      </c>
      <c r="AC12" s="193"/>
      <c r="AD12" s="194"/>
      <c r="AE12" s="194"/>
      <c r="AF12" s="194"/>
      <c r="AG12" s="194"/>
      <c r="AH12" s="194"/>
      <c r="AI12" s="194"/>
      <c r="AJ12" s="194"/>
    </row>
    <row r="13" spans="1:36" s="195" customFormat="1" ht="45" x14ac:dyDescent="0.25">
      <c r="A13" s="189">
        <f>+'DATOS REGIONALIZADO LOTE 3'!A6</f>
        <v>3</v>
      </c>
      <c r="B13" s="189">
        <f>+'DATOS REGIONALIZADO LOTE 3'!B6</f>
        <v>9</v>
      </c>
      <c r="C13" s="190" t="str">
        <f>+'DATOS REGIONALIZADO LOTE 3'!C6</f>
        <v xml:space="preserve">Central De Inclusión </v>
      </c>
      <c r="D13" s="189" t="str">
        <f>+'DATOS REGIONALIZADO LOTE 3'!D6</f>
        <v>UNIDAD</v>
      </c>
      <c r="E13" s="189">
        <f>+'DATOS REGIONALIZADO LOTE 3'!E6</f>
        <v>1</v>
      </c>
      <c r="F13" s="189">
        <f>+'DATOS REGIONALIZADO LOTE 3'!F6</f>
        <v>0</v>
      </c>
      <c r="G13" s="189">
        <f>+'DATOS REGIONALIZADO LOTE 3'!N6</f>
        <v>1</v>
      </c>
      <c r="H13" s="189">
        <f>+'DATOS REGIONALIZADO LOTE 3'!O6</f>
        <v>101320276</v>
      </c>
      <c r="I13" s="189">
        <f>+'DATOS REGIONALIZADO LOTE 3'!P6</f>
        <v>101320276</v>
      </c>
      <c r="J13" s="189">
        <f>+'DATOS REGIONALIZADO LOTE 3'!Q6</f>
        <v>0</v>
      </c>
      <c r="K13" s="189">
        <f>+'DATOS REGIONALIZADO LOTE 3'!Y6</f>
        <v>101320276</v>
      </c>
      <c r="L13" s="191" t="s">
        <v>114</v>
      </c>
      <c r="M13" s="191" t="s">
        <v>115</v>
      </c>
      <c r="N13" s="212" t="str">
        <f>+VLOOKUP(M13,Hoja3!$B$2:$D$8,3,FALSE)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O13" s="191"/>
      <c r="P13" s="191"/>
      <c r="Q13" s="191"/>
      <c r="R13" s="191"/>
      <c r="S13" s="191"/>
      <c r="T13" s="191"/>
      <c r="U13" s="191"/>
      <c r="V13" s="191"/>
      <c r="W13" s="192"/>
      <c r="X13" s="196" t="s">
        <v>71</v>
      </c>
      <c r="Y13" s="196" t="e">
        <f>+SUM(Y3:Y12)</f>
        <v>#VALUE!</v>
      </c>
      <c r="Z13" s="196" t="e">
        <f>+SUM(Z3:Z12)</f>
        <v>#VALUE!</v>
      </c>
      <c r="AA13" s="197">
        <f>+K36</f>
        <v>2686516956</v>
      </c>
      <c r="AB13" s="198" t="e">
        <f t="shared" si="1"/>
        <v>#VALUE!</v>
      </c>
      <c r="AC13" s="193"/>
      <c r="AD13" s="194"/>
      <c r="AE13" s="194"/>
      <c r="AF13" s="194"/>
      <c r="AG13" s="194"/>
      <c r="AH13" s="194"/>
      <c r="AI13" s="194"/>
      <c r="AJ13" s="194"/>
    </row>
    <row r="14" spans="1:36" s="195" customFormat="1" ht="45" x14ac:dyDescent="0.25">
      <c r="A14" s="189">
        <f>+'DATOS REGIONALIZADO LOTE 3'!A7</f>
        <v>3</v>
      </c>
      <c r="B14" s="189">
        <f>+'DATOS REGIONALIZADO LOTE 3'!B7</f>
        <v>10</v>
      </c>
      <c r="C14" s="190" t="str">
        <f>+'DATOS REGIONALIZADO LOTE 3'!C7</f>
        <v>Criostato</v>
      </c>
      <c r="D14" s="189" t="str">
        <f>+'DATOS REGIONALIZADO LOTE 3'!D7</f>
        <v>UNIDAD</v>
      </c>
      <c r="E14" s="189">
        <f>+'DATOS REGIONALIZADO LOTE 3'!E7</f>
        <v>1</v>
      </c>
      <c r="F14" s="189">
        <f>+'DATOS REGIONALIZADO LOTE 3'!F7</f>
        <v>0</v>
      </c>
      <c r="G14" s="189">
        <f>+'DATOS REGIONALIZADO LOTE 3'!N7</f>
        <v>1</v>
      </c>
      <c r="H14" s="189">
        <f>+'DATOS REGIONALIZADO LOTE 3'!O7</f>
        <v>179604981</v>
      </c>
      <c r="I14" s="189">
        <f>+'DATOS REGIONALIZADO LOTE 3'!P7</f>
        <v>179604981</v>
      </c>
      <c r="J14" s="189">
        <f>+'DATOS REGIONALIZADO LOTE 3'!Q7</f>
        <v>0</v>
      </c>
      <c r="K14" s="189">
        <f>+'DATOS REGIONALIZADO LOTE 3'!Y7</f>
        <v>179604981</v>
      </c>
      <c r="L14" s="191" t="s">
        <v>114</v>
      </c>
      <c r="M14" s="191" t="s">
        <v>150</v>
      </c>
      <c r="N14" s="212" t="str">
        <f>+VLOOKUP(M14,Hoja3!$B$2:$D$8,3,FALSE)</f>
        <v xml:space="preserve">código Rubro = C-2901-0800-14-20111D-2901010-02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v>
      </c>
      <c r="O14" s="191"/>
      <c r="P14" s="191"/>
      <c r="Q14" s="191"/>
      <c r="R14" s="191"/>
      <c r="S14" s="191"/>
      <c r="T14" s="191"/>
      <c r="U14" s="191"/>
      <c r="V14" s="191"/>
      <c r="W14" s="193"/>
      <c r="X14" s="199"/>
      <c r="Y14" s="199"/>
      <c r="Z14" s="199"/>
      <c r="AA14" s="199"/>
      <c r="AB14" s="199"/>
      <c r="AC14" s="194"/>
      <c r="AD14" s="194"/>
      <c r="AE14" s="194"/>
      <c r="AF14" s="194"/>
      <c r="AG14" s="194"/>
      <c r="AH14" s="194"/>
      <c r="AI14" s="194"/>
      <c r="AJ14" s="194"/>
    </row>
    <row r="15" spans="1:36" s="195" customFormat="1" ht="99.75" customHeight="1" x14ac:dyDescent="0.25">
      <c r="A15" s="189">
        <f>+'DATOS REGIONALIZADO LOTE 3'!A8</f>
        <v>3</v>
      </c>
      <c r="B15" s="189">
        <f>+'DATOS REGIONALIZADO LOTE 3'!B8</f>
        <v>11</v>
      </c>
      <c r="C15" s="190" t="str">
        <f>+'DATOS REGIONALIZADO LOTE 3'!C8</f>
        <v xml:space="preserve">Micrótomo Motorizado </v>
      </c>
      <c r="D15" s="189" t="str">
        <f>+'DATOS REGIONALIZADO LOTE 3'!D8</f>
        <v>UNIDAD</v>
      </c>
      <c r="E15" s="189">
        <f>+'DATOS REGIONALIZADO LOTE 3'!E8</f>
        <v>1</v>
      </c>
      <c r="F15" s="189">
        <f>+'DATOS REGIONALIZADO LOTE 3'!F8</f>
        <v>0</v>
      </c>
      <c r="G15" s="189">
        <f>+'DATOS REGIONALIZADO LOTE 3'!N8</f>
        <v>1</v>
      </c>
      <c r="H15" s="189">
        <f>+'DATOS REGIONALIZADO LOTE 3'!O8</f>
        <v>133386702</v>
      </c>
      <c r="I15" s="189">
        <f>+'DATOS REGIONALIZADO LOTE 3'!P8</f>
        <v>133386702</v>
      </c>
      <c r="J15" s="189">
        <f>+'DATOS REGIONALIZADO LOTE 3'!Q8</f>
        <v>0</v>
      </c>
      <c r="K15" s="189">
        <f>+'DATOS REGIONALIZADO LOTE 3'!Y8</f>
        <v>133386702</v>
      </c>
      <c r="L15" s="191" t="s">
        <v>114</v>
      </c>
      <c r="M15" s="191" t="s">
        <v>120</v>
      </c>
      <c r="N15" s="212" t="str">
        <f>+VLOOKUP(M15,Hoja3!$B$2:$D$8,3,FALSE)</f>
        <v xml:space="preserve">código Rubro = B-2901-0800-14-20111D-2901006-02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</v>
      </c>
      <c r="O15" s="191"/>
      <c r="P15" s="191"/>
      <c r="Q15" s="191"/>
      <c r="R15" s="191"/>
      <c r="S15" s="191"/>
      <c r="T15" s="191"/>
      <c r="U15" s="191"/>
      <c r="V15" s="191"/>
      <c r="W15" s="193"/>
      <c r="X15" s="194"/>
      <c r="Y15" s="194"/>
      <c r="Z15" s="194"/>
      <c r="AA15" s="194"/>
      <c r="AB15" s="194"/>
      <c r="AC15" s="194"/>
      <c r="AD15" s="194"/>
      <c r="AE15" s="194"/>
      <c r="AF15" s="194"/>
      <c r="AG15" s="194"/>
      <c r="AH15" s="194"/>
      <c r="AI15" s="194"/>
      <c r="AJ15" s="194"/>
    </row>
    <row r="16" spans="1:36" s="195" customFormat="1" ht="45" x14ac:dyDescent="0.25">
      <c r="A16" s="189">
        <f>+'DATOS REGIONALIZADO LOTE 3'!A9</f>
        <v>3</v>
      </c>
      <c r="B16" s="189">
        <f>+'DATOS REGIONALIZADO LOTE 3'!B9</f>
        <v>12</v>
      </c>
      <c r="C16" s="190" t="str">
        <f>+'DATOS REGIONALIZADO LOTE 3'!C9</f>
        <v xml:space="preserve">Procesador de Tejidos automatico cerrado </v>
      </c>
      <c r="D16" s="189" t="str">
        <f>+'DATOS REGIONALIZADO LOTE 3'!D9</f>
        <v>UNIDAD</v>
      </c>
      <c r="E16" s="189">
        <f>+'DATOS REGIONALIZADO LOTE 3'!E9</f>
        <v>1</v>
      </c>
      <c r="F16" s="189">
        <f>+'DATOS REGIONALIZADO LOTE 3'!F9</f>
        <v>0</v>
      </c>
      <c r="G16" s="189">
        <f>+'DATOS REGIONALIZADO LOTE 3'!N9</f>
        <v>1</v>
      </c>
      <c r="H16" s="189">
        <v>113065305</v>
      </c>
      <c r="I16" s="189">
        <f>+H16</f>
        <v>113065305</v>
      </c>
      <c r="J16" s="189">
        <f>+'DATOS REGIONALIZADO LOTE 3'!Q9</f>
        <v>0</v>
      </c>
      <c r="K16" s="189">
        <f>+I16</f>
        <v>113065305</v>
      </c>
      <c r="L16" s="191" t="s">
        <v>114</v>
      </c>
      <c r="M16" s="191" t="s">
        <v>150</v>
      </c>
      <c r="N16" s="212" t="str">
        <f>+VLOOKUP(M16,Hoja3!$B$2:$D$8,3,FALSE)</f>
        <v xml:space="preserve">código Rubro = C-2901-0800-14-20111D-2901010-02 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v>
      </c>
      <c r="O16" s="191"/>
      <c r="P16" s="191"/>
      <c r="Q16" s="191"/>
      <c r="R16" s="191"/>
      <c r="S16" s="191"/>
      <c r="T16" s="191"/>
      <c r="U16" s="191"/>
      <c r="V16" s="191"/>
      <c r="W16" s="193"/>
      <c r="X16" s="194"/>
      <c r="Y16" s="194"/>
      <c r="Z16" s="194"/>
      <c r="AA16" s="194"/>
      <c r="AB16" s="194"/>
      <c r="AC16" s="194"/>
      <c r="AD16" s="194"/>
      <c r="AE16" s="194"/>
      <c r="AF16" s="194"/>
      <c r="AG16" s="194"/>
      <c r="AH16" s="194"/>
      <c r="AI16" s="194"/>
      <c r="AJ16" s="194"/>
    </row>
    <row r="17" spans="1:36" s="195" customFormat="1" ht="45" x14ac:dyDescent="0.25">
      <c r="A17" s="189">
        <v>3</v>
      </c>
      <c r="B17" s="189">
        <v>12</v>
      </c>
      <c r="C17" s="190" t="s">
        <v>121</v>
      </c>
      <c r="D17" s="189" t="s">
        <v>122</v>
      </c>
      <c r="E17" s="189">
        <v>1</v>
      </c>
      <c r="F17" s="189">
        <v>0</v>
      </c>
      <c r="G17" s="189">
        <v>1</v>
      </c>
      <c r="H17" s="189">
        <v>133714117</v>
      </c>
      <c r="I17" s="189">
        <f>+H17*E17</f>
        <v>133714117</v>
      </c>
      <c r="J17" s="189"/>
      <c r="K17" s="189">
        <f>+I17</f>
        <v>133714117</v>
      </c>
      <c r="L17" s="191" t="s">
        <v>114</v>
      </c>
      <c r="M17" s="191" t="s">
        <v>115</v>
      </c>
      <c r="N17" s="212" t="str">
        <f>+VLOOKUP(M17,Hoja3!$B$2:$D$8,3,FALSE)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O17" s="191" t="e">
        <f>+#REF!-#REF!</f>
        <v>#REF!</v>
      </c>
      <c r="P17" s="191"/>
      <c r="Q17" s="191"/>
      <c r="R17" s="191"/>
      <c r="S17" s="191"/>
      <c r="T17" s="191"/>
      <c r="U17" s="191"/>
      <c r="V17" s="191"/>
      <c r="W17" s="193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194"/>
      <c r="AJ17" s="194"/>
    </row>
    <row r="18" spans="1:36" ht="45" x14ac:dyDescent="0.25">
      <c r="A18" s="95">
        <f>+'DATOS REGIONALIZADO LOTE 4 tota'!A5</f>
        <v>4</v>
      </c>
      <c r="B18" s="95">
        <f>+'DATOS REGIONALIZADO LOTE 4 tota'!B5</f>
        <v>13</v>
      </c>
      <c r="C18" s="114" t="str">
        <f>+'DATOS REGIONALIZADO LOTE 4 tota'!C5</f>
        <v>Baño ultrasónico para uso en laboratorio</v>
      </c>
      <c r="D18" s="95" t="str">
        <f>+'DATOS REGIONALIZADO LOTE 4 tota'!D5</f>
        <v>UNIDAD</v>
      </c>
      <c r="E18" s="95">
        <f>+'DATOS REGIONALIZADO LOTE 4 tota'!E5</f>
        <v>2</v>
      </c>
      <c r="F18" s="95">
        <f>+'DATOS REGIONALIZADO LOTE 4 tota'!F5</f>
        <v>0</v>
      </c>
      <c r="G18" s="95">
        <f>+'DATOS REGIONALIZADO LOTE 4 tota'!N5</f>
        <v>2</v>
      </c>
      <c r="H18" s="95">
        <f>+'DATOS REGIONALIZADO LOTE 4 tota'!O5</f>
        <v>7182643</v>
      </c>
      <c r="I18" s="95">
        <f>+'DATOS REGIONALIZADO LOTE 4 tota'!P5</f>
        <v>14365286</v>
      </c>
      <c r="J18" s="95">
        <f>+'DATOS REGIONALIZADO LOTE 4 tota'!Q5</f>
        <v>0</v>
      </c>
      <c r="K18" s="95">
        <f>+'DATOS REGIONALIZADO LOTE 4 tota'!Y5</f>
        <v>14365286</v>
      </c>
      <c r="L18" s="87" t="s">
        <v>112</v>
      </c>
      <c r="M18" s="87" t="s">
        <v>116</v>
      </c>
      <c r="N18" s="212" t="str">
        <f>+VLOOKUP(M18,Hoja3!$B$2:$D$8,3,FALSE)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O18" s="87"/>
      <c r="P18" s="87"/>
      <c r="Q18" s="87"/>
      <c r="R18" s="87"/>
      <c r="S18" s="87"/>
      <c r="T18" s="87"/>
      <c r="U18" s="87"/>
      <c r="V18" s="87"/>
      <c r="W18" s="82"/>
      <c r="X18" s="115" t="s">
        <v>72</v>
      </c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</row>
    <row r="19" spans="1:36" ht="45" x14ac:dyDescent="0.25">
      <c r="A19" s="95">
        <f>+'DATOS REGIONALIZADO LOTE 4 tota'!A6</f>
        <v>4</v>
      </c>
      <c r="B19" s="95">
        <f>+'DATOS REGIONALIZADO LOTE 4 tota'!B6</f>
        <v>14</v>
      </c>
      <c r="C19" s="114" t="str">
        <f>+'DATOS REGIONALIZADO LOTE 4 tota'!C6</f>
        <v>Agitador tipo vórtex para tubos</v>
      </c>
      <c r="D19" s="95" t="str">
        <f>+'DATOS REGIONALIZADO LOTE 4 tota'!D6</f>
        <v>UNIDAD</v>
      </c>
      <c r="E19" s="95">
        <f>+'DATOS REGIONALIZADO LOTE 4 tota'!E6</f>
        <v>0</v>
      </c>
      <c r="F19" s="95">
        <f>+'DATOS REGIONALIZADO LOTE 4 tota'!F6</f>
        <v>2</v>
      </c>
      <c r="G19" s="95">
        <f>+'DATOS REGIONALIZADO LOTE 4 tota'!N6</f>
        <v>2</v>
      </c>
      <c r="H19" s="95">
        <f>+'DATOS REGIONALIZADO LOTE 4 tota'!O6</f>
        <v>2603490</v>
      </c>
      <c r="I19" s="95">
        <f>+'DATOS REGIONALIZADO LOTE 4 tota'!P6</f>
        <v>0</v>
      </c>
      <c r="J19" s="95">
        <f>+'DATOS REGIONALIZADO LOTE 4 tota'!Q6</f>
        <v>5206980</v>
      </c>
      <c r="K19" s="95">
        <f>+'DATOS REGIONALIZADO LOTE 4 tota'!Y6</f>
        <v>5206980</v>
      </c>
      <c r="L19" s="87" t="s">
        <v>112</v>
      </c>
      <c r="M19" s="87" t="s">
        <v>118</v>
      </c>
      <c r="N19" s="212" t="str">
        <f>+VLOOKUP(M19,Hoja3!$B$2:$D$8,3,FALSE)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O19" s="87"/>
      <c r="P19" s="87"/>
      <c r="Q19" s="87"/>
      <c r="R19" s="87"/>
      <c r="S19" s="87"/>
      <c r="T19" s="87"/>
      <c r="U19" s="87"/>
      <c r="V19" s="87"/>
      <c r="W19" s="82"/>
      <c r="X19" s="116" t="s">
        <v>73</v>
      </c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</row>
    <row r="20" spans="1:36" ht="45" x14ac:dyDescent="0.25">
      <c r="A20" s="95">
        <f>+'DATOS REGIONALIZADO LOTE 5'!A5</f>
        <v>5</v>
      </c>
      <c r="B20" s="95">
        <f>+'DATOS REGIONALIZADO LOTE 5'!B5</f>
        <v>15</v>
      </c>
      <c r="C20" s="114" t="str">
        <f>+'DATOS REGIONALIZADO LOTE 5'!C5</f>
        <v>Centrifuga de mesa de altas revoluciones con refrigeración:</v>
      </c>
      <c r="D20" s="95" t="str">
        <f>+'DATOS REGIONALIZADO LOTE 5'!D5</f>
        <v>UNIDAD</v>
      </c>
      <c r="E20" s="95">
        <f>+'DATOS REGIONALIZADO LOTE 5'!E5</f>
        <v>2</v>
      </c>
      <c r="F20" s="95">
        <f>+'DATOS REGIONALIZADO LOTE 5'!F5</f>
        <v>0</v>
      </c>
      <c r="G20" s="95">
        <f>+'DATOS REGIONALIZADO LOTE 5'!N5</f>
        <v>2</v>
      </c>
      <c r="H20" s="95">
        <f>+'DATOS REGIONALIZADO LOTE 5'!O5</f>
        <v>114119810</v>
      </c>
      <c r="I20" s="95">
        <f>+'DATOS REGIONALIZADO LOTE 5'!P5</f>
        <v>228239620</v>
      </c>
      <c r="J20" s="95">
        <f>+'DATOS REGIONALIZADO LOTE 5'!Q5</f>
        <v>0</v>
      </c>
      <c r="K20" s="95">
        <f>+'DATOS REGIONALIZADO LOTE 5'!Y5</f>
        <v>228239620</v>
      </c>
      <c r="L20" s="87" t="s">
        <v>112</v>
      </c>
      <c r="M20" s="87" t="s">
        <v>118</v>
      </c>
      <c r="N20" s="212" t="str">
        <f>+VLOOKUP(M20,Hoja3!$B$2:$D$8,3,FALSE)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O20" s="87"/>
      <c r="P20" s="87"/>
      <c r="Q20" s="87"/>
      <c r="R20" s="87"/>
      <c r="S20" s="87"/>
      <c r="T20" s="87"/>
      <c r="U20" s="87"/>
      <c r="V20" s="87"/>
      <c r="W20" s="82"/>
      <c r="X20" s="117" t="s">
        <v>74</v>
      </c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</row>
    <row r="21" spans="1:36" ht="45" x14ac:dyDescent="0.25">
      <c r="A21" s="95">
        <f>+'DATOS REGIONALIZADO LOTE 5'!A6</f>
        <v>5</v>
      </c>
      <c r="B21" s="95">
        <f>+'DATOS REGIONALIZADO LOTE 5'!B6</f>
        <v>16</v>
      </c>
      <c r="C21" s="114" t="str">
        <f>+'DATOS REGIONALIZADO LOTE 5'!C6</f>
        <v>Centrifuga de mesa no refrigerada</v>
      </c>
      <c r="D21" s="95" t="str">
        <f>+'DATOS REGIONALIZADO LOTE 5'!D6</f>
        <v>UNIDAD</v>
      </c>
      <c r="E21" s="95">
        <f>+'DATOS REGIONALIZADO LOTE 5'!E6</f>
        <v>0</v>
      </c>
      <c r="F21" s="95">
        <f>+'DATOS REGIONALIZADO LOTE 5'!F6</f>
        <v>1</v>
      </c>
      <c r="G21" s="95">
        <f>+'DATOS REGIONALIZADO LOTE 5'!N6</f>
        <v>1</v>
      </c>
      <c r="H21" s="95">
        <f>+'DATOS REGIONALIZADO LOTE 5'!O6</f>
        <v>73211033</v>
      </c>
      <c r="I21" s="95">
        <f>+'DATOS REGIONALIZADO LOTE 5'!P6</f>
        <v>0</v>
      </c>
      <c r="J21" s="95">
        <f>+'DATOS REGIONALIZADO LOTE 5'!Q6</f>
        <v>73211033</v>
      </c>
      <c r="K21" s="95">
        <f>+'DATOS REGIONALIZADO LOTE 5'!Y6</f>
        <v>73211033</v>
      </c>
      <c r="L21" s="87" t="s">
        <v>112</v>
      </c>
      <c r="M21" s="87" t="s">
        <v>113</v>
      </c>
      <c r="N21" s="212" t="str">
        <f>+VLOOKUP(M21,Hoja3!$B$2:$D$8,3,FALSE)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O21" s="87"/>
      <c r="P21" s="87"/>
      <c r="Q21" s="87"/>
      <c r="R21" s="87"/>
      <c r="S21" s="87"/>
      <c r="T21" s="87"/>
      <c r="U21" s="87"/>
      <c r="V21" s="87"/>
      <c r="W21" s="82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</row>
    <row r="22" spans="1:36" ht="45" x14ac:dyDescent="0.25">
      <c r="A22" s="95">
        <f>+'DATOS REGIONALIZADO LOTE 5'!A7</f>
        <v>5</v>
      </c>
      <c r="B22" s="95">
        <f>+'DATOS REGIONALIZADO LOTE 5'!B7</f>
        <v>17</v>
      </c>
      <c r="C22" s="112" t="str">
        <f>+'DATOS REGIONALIZADO LOTE 5'!C7</f>
        <v>Centrífuga de Piso refrigerada.</v>
      </c>
      <c r="D22" s="95" t="str">
        <f>+'DATOS REGIONALIZADO LOTE 5'!D7</f>
        <v>UNIDAD</v>
      </c>
      <c r="E22" s="95">
        <f>+'DATOS REGIONALIZADO LOTE 5'!E7</f>
        <v>0</v>
      </c>
      <c r="F22" s="95">
        <f>+'DATOS REGIONALIZADO LOTE 5'!F7</f>
        <v>2</v>
      </c>
      <c r="G22" s="95">
        <f>+'DATOS REGIONALIZADO LOTE 5'!N7</f>
        <v>2</v>
      </c>
      <c r="H22" s="95">
        <f>+'DATOS REGIONALIZADO LOTE 5'!O7</f>
        <v>111426840</v>
      </c>
      <c r="I22" s="95">
        <f>+'DATOS REGIONALIZADO LOTE 5'!P7</f>
        <v>0</v>
      </c>
      <c r="J22" s="95">
        <v>216627055</v>
      </c>
      <c r="K22" s="95">
        <f>+J22</f>
        <v>216627055</v>
      </c>
      <c r="L22" s="87" t="s">
        <v>74</v>
      </c>
      <c r="M22" s="87" t="s">
        <v>117</v>
      </c>
      <c r="N22" s="212" t="str">
        <f>+VLOOKUP(M22,Hoja3!$B$2:$D$8,3,FALSE)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O22" s="87"/>
      <c r="P22" s="87"/>
      <c r="Q22" s="87"/>
      <c r="R22" s="87"/>
      <c r="S22" s="87"/>
      <c r="T22" s="87"/>
      <c r="U22" s="87"/>
      <c r="V22" s="87"/>
      <c r="W22" s="82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</row>
    <row r="23" spans="1:36" ht="27.75" customHeight="1" x14ac:dyDescent="0.25">
      <c r="A23" s="95">
        <f>+'DATOS REGIONALIZADO LOTE 5'!A8</f>
        <v>5</v>
      </c>
      <c r="B23" s="95">
        <v>17</v>
      </c>
      <c r="C23" s="112" t="s">
        <v>142</v>
      </c>
      <c r="D23" s="95" t="str">
        <f>+'DATOS REGIONALIZADO LOTE 5'!D8</f>
        <v>UNIDAD</v>
      </c>
      <c r="E23" s="95">
        <f>+'DATOS REGIONALIZADO LOTE 5'!E8</f>
        <v>0</v>
      </c>
      <c r="F23" s="95">
        <f>+'DATOS REGIONALIZADO LOTE 5'!F8</f>
        <v>2</v>
      </c>
      <c r="G23" s="95">
        <f>+'DATOS REGIONALIZADO LOTE 5'!N8</f>
        <v>2</v>
      </c>
      <c r="H23" s="95">
        <v>111426840</v>
      </c>
      <c r="I23" s="95">
        <v>0</v>
      </c>
      <c r="J23" s="95">
        <v>6226625</v>
      </c>
      <c r="K23" s="95">
        <f>+J23</f>
        <v>6226625</v>
      </c>
      <c r="L23" s="87" t="s">
        <v>74</v>
      </c>
      <c r="M23" s="87" t="s">
        <v>118</v>
      </c>
      <c r="N23" s="212" t="str">
        <f>+VLOOKUP(M23,Hoja3!$B$2:$D$8,3,FALSE)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O23" s="87"/>
      <c r="P23" s="87"/>
      <c r="Q23" s="87"/>
      <c r="R23" s="87"/>
      <c r="S23" s="87"/>
      <c r="T23" s="87"/>
      <c r="U23" s="87"/>
      <c r="V23" s="87"/>
      <c r="W23" s="82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</row>
    <row r="24" spans="1:36" ht="45" x14ac:dyDescent="0.25">
      <c r="A24" s="95">
        <f>+'DATOS REGIONALIZADO LOTE 5'!A8</f>
        <v>5</v>
      </c>
      <c r="B24" s="95">
        <f>+'DATOS REGIONALIZADO LOTE 5'!B8</f>
        <v>18</v>
      </c>
      <c r="C24" s="112" t="str">
        <f>+'DATOS REGIONALIZADO LOTE 5'!C8</f>
        <v>Microcentrífuga de alta velocidad tipo MiniSpli</v>
      </c>
      <c r="D24" s="95" t="str">
        <f>+'DATOS REGIONALIZADO LOTE 5'!D8</f>
        <v>UNIDAD</v>
      </c>
      <c r="E24" s="95">
        <f>+'DATOS REGIONALIZADO LOTE 5'!E8</f>
        <v>0</v>
      </c>
      <c r="F24" s="95">
        <f>+'DATOS REGIONALIZADO LOTE 5'!F8</f>
        <v>2</v>
      </c>
      <c r="G24" s="95">
        <f>+'DATOS REGIONALIZADO LOTE 5'!N8</f>
        <v>2</v>
      </c>
      <c r="H24" s="95">
        <f>+'DATOS REGIONALIZADO LOTE 5'!O8</f>
        <v>7474549</v>
      </c>
      <c r="I24" s="95">
        <f>+'DATOS REGIONALIZADO LOTE 5'!P8</f>
        <v>0</v>
      </c>
      <c r="J24" s="95">
        <f>+'DATOS REGIONALIZADO LOTE 5'!Q8</f>
        <v>14949098</v>
      </c>
      <c r="K24" s="189">
        <f>+'DATOS REGIONALIZADO LOTE 5'!Y8</f>
        <v>14949098</v>
      </c>
      <c r="L24" s="87" t="s">
        <v>74</v>
      </c>
      <c r="M24" s="87" t="s">
        <v>116</v>
      </c>
      <c r="N24" s="212" t="str">
        <f>+VLOOKUP(M24,Hoja3!$B$2:$D$8,3,FALSE)</f>
        <v xml:space="preserve">código Rubro = A- 2901-0800-14-20111D-2901006-02 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O24" s="87"/>
      <c r="P24" s="87"/>
      <c r="Q24" s="87"/>
      <c r="R24" s="87"/>
      <c r="S24" s="87"/>
      <c r="T24" s="87"/>
      <c r="U24" s="87"/>
      <c r="V24" s="87"/>
      <c r="W24" s="82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</row>
    <row r="25" spans="1:36" ht="45" x14ac:dyDescent="0.25">
      <c r="A25" s="189">
        <f>+'DATOS REGIONALIZADO LOTE 6'!A5</f>
        <v>6</v>
      </c>
      <c r="B25" s="189">
        <f>+'DATOS REGIONALIZADO LOTE 6'!B5</f>
        <v>19</v>
      </c>
      <c r="C25" s="190" t="str">
        <f>+'DATOS REGIONALIZADO LOTE 6'!C5</f>
        <v xml:space="preserve">scaner  3D  portatil e inalambrico  CR de  alta precisión  </v>
      </c>
      <c r="D25" s="189" t="str">
        <f>+'DATOS REGIONALIZADO LOTE 6'!D5</f>
        <v>UNIDAD</v>
      </c>
      <c r="E25" s="189">
        <f>+'DATOS REGIONALIZADO LOTE 6'!E5</f>
        <v>1</v>
      </c>
      <c r="F25" s="189">
        <f>+'DATOS REGIONALIZADO LOTE 6'!F5</f>
        <v>0</v>
      </c>
      <c r="G25" s="189">
        <f>+'DATOS REGIONALIZADO LOTE 6'!N5</f>
        <v>1</v>
      </c>
      <c r="H25" s="189">
        <f>+'DATOS REGIONALIZADO LOTE 6'!O5</f>
        <v>19359943</v>
      </c>
      <c r="I25" s="189">
        <f>+'DATOS REGIONALIZADO LOTE 6'!P5</f>
        <v>19359943</v>
      </c>
      <c r="J25" s="189">
        <f>+'DATOS REGIONALIZADO LOTE 6'!Q5</f>
        <v>0</v>
      </c>
      <c r="K25" s="189">
        <f>+'DATOS REGIONALIZADO LOTE 6'!Y5</f>
        <v>19359943</v>
      </c>
      <c r="L25" s="191" t="s">
        <v>114</v>
      </c>
      <c r="M25" s="191" t="s">
        <v>115</v>
      </c>
      <c r="N25" s="212" t="str">
        <f>+VLOOKUP(M25,Hoja3!$B$2:$D$8,3,FALSE)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O25" s="87"/>
      <c r="P25" s="87"/>
      <c r="Q25" s="87"/>
      <c r="R25" s="87"/>
      <c r="S25" s="87"/>
      <c r="T25" s="87"/>
      <c r="U25" s="87"/>
      <c r="V25" s="87"/>
      <c r="W25" s="82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</row>
    <row r="26" spans="1:36" ht="45" x14ac:dyDescent="0.25">
      <c r="A26" s="189">
        <f>+'DATOS REGIONALIZADO LOTE 6'!A6</f>
        <v>6</v>
      </c>
      <c r="B26" s="189">
        <f>+'DATOS REGIONALIZADO LOTE 6'!B6</f>
        <v>20</v>
      </c>
      <c r="C26" s="190" t="str">
        <f>+'DATOS REGIONALIZADO LOTE 6'!C6</f>
        <v>impresora  3D</v>
      </c>
      <c r="D26" s="189" t="str">
        <f>+'DATOS REGIONALIZADO LOTE 6'!D6</f>
        <v>UNIDAD</v>
      </c>
      <c r="E26" s="189">
        <f>+'DATOS REGIONALIZADO LOTE 6'!E6</f>
        <v>1</v>
      </c>
      <c r="F26" s="189">
        <f>+'DATOS REGIONALIZADO LOTE 6'!F6</f>
        <v>0</v>
      </c>
      <c r="G26" s="189">
        <f>+'DATOS REGIONALIZADO LOTE 6'!N6</f>
        <v>1</v>
      </c>
      <c r="H26" s="189">
        <f>+'DATOS REGIONALIZADO LOTE 6'!O6</f>
        <v>15473202</v>
      </c>
      <c r="I26" s="189">
        <f>+'DATOS REGIONALIZADO LOTE 6'!P6</f>
        <v>15473202</v>
      </c>
      <c r="J26" s="189">
        <f>+'DATOS REGIONALIZADO LOTE 6'!Q6</f>
        <v>0</v>
      </c>
      <c r="K26" s="189">
        <f>+'DATOS REGIONALIZADO LOTE 6'!Y6</f>
        <v>15473202</v>
      </c>
      <c r="L26" s="191" t="s">
        <v>114</v>
      </c>
      <c r="M26" s="191" t="s">
        <v>115</v>
      </c>
      <c r="N26" s="212" t="str">
        <f>+VLOOKUP(M26,Hoja3!$B$2:$D$8,3,FALSE)</f>
        <v xml:space="preserve">código Rubro = A-2901-0800-16-20113A-2901002-02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O26" s="87"/>
      <c r="P26" s="87"/>
      <c r="Q26" s="87"/>
      <c r="R26" s="87"/>
      <c r="S26" s="87"/>
      <c r="T26" s="87"/>
      <c r="U26" s="87"/>
      <c r="V26" s="87"/>
      <c r="W26" s="82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</row>
    <row r="27" spans="1:36" ht="45" x14ac:dyDescent="0.25">
      <c r="A27" s="189">
        <v>7</v>
      </c>
      <c r="B27" s="189">
        <f>+'DATOS REGIONALIZADO lote 7'!B5</f>
        <v>21</v>
      </c>
      <c r="C27" s="190" t="str">
        <f>+'DATOS REGIONALIZADO lote 7'!C5</f>
        <v>Semi-microbalanza</v>
      </c>
      <c r="D27" s="190" t="str">
        <f>+'DATOS REGIONALIZADO lote 7'!D5</f>
        <v>UNIDAD</v>
      </c>
      <c r="E27" s="190">
        <f>+'DATOS REGIONALIZADO lote 7'!E5</f>
        <v>1</v>
      </c>
      <c r="F27" s="190">
        <f>+'DATOS REGIONALIZADO lote 7'!F5</f>
        <v>0</v>
      </c>
      <c r="G27" s="190">
        <f>+'DATOS REGIONALIZADO lote 7'!N5</f>
        <v>1</v>
      </c>
      <c r="H27" s="190">
        <f>+'DATOS REGIONALIZADO lote 7'!O5</f>
        <v>129972575</v>
      </c>
      <c r="I27" s="190">
        <f>+'DATOS REGIONALIZADO lote 7'!P5</f>
        <v>129972575</v>
      </c>
      <c r="J27" s="190">
        <f>+'DATOS REGIONALIZADO lote 7'!Q5</f>
        <v>0</v>
      </c>
      <c r="K27" s="190">
        <f>J27+I27</f>
        <v>129972575</v>
      </c>
      <c r="L27" s="191" t="s">
        <v>123</v>
      </c>
      <c r="M27" s="191" t="s">
        <v>117</v>
      </c>
      <c r="N27" s="212" t="str">
        <f>+VLOOKUP(M27,Hoja3!$B$2:$D$8,3,FALSE)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O27" s="87"/>
      <c r="P27" s="87"/>
      <c r="Q27" s="87"/>
      <c r="R27" s="87"/>
      <c r="S27" s="87"/>
      <c r="T27" s="87"/>
      <c r="U27" s="87"/>
      <c r="V27" s="87"/>
      <c r="W27" s="82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</row>
    <row r="28" spans="1:36" ht="61.9" customHeight="1" x14ac:dyDescent="0.25">
      <c r="A28" s="189">
        <v>7</v>
      </c>
      <c r="B28" s="189">
        <f>+'DATOS REGIONALIZADO lote 7'!B6</f>
        <v>22</v>
      </c>
      <c r="C28" s="190" t="str">
        <f>+'DATOS REGIONALIZADO lote 7'!C6</f>
        <v xml:space="preserve">balanza analítica </v>
      </c>
      <c r="D28" s="190" t="str">
        <f>+'DATOS REGIONALIZADO lote 7'!D6</f>
        <v>UNIDAD</v>
      </c>
      <c r="E28" s="190">
        <f>+'DATOS REGIONALIZADO lote 7'!E6</f>
        <v>1</v>
      </c>
      <c r="F28" s="190">
        <f>+'DATOS REGIONALIZADO lote 7'!F6</f>
        <v>0</v>
      </c>
      <c r="G28" s="190">
        <f>+'DATOS REGIONALIZADO lote 7'!N6</f>
        <v>1</v>
      </c>
      <c r="H28" s="190">
        <f>+'DATOS REGIONALIZADO lote 7'!O6</f>
        <v>40050596</v>
      </c>
      <c r="I28" s="190">
        <f>+'DATOS REGIONALIZADO lote 7'!P6</f>
        <v>40050596</v>
      </c>
      <c r="J28" s="190">
        <f>+'DATOS REGIONALIZADO lote 7'!Q6</f>
        <v>0</v>
      </c>
      <c r="K28" s="190">
        <f>J28+I28</f>
        <v>40050596</v>
      </c>
      <c r="L28" s="191" t="s">
        <v>186</v>
      </c>
      <c r="M28" s="191" t="s">
        <v>113</v>
      </c>
      <c r="N28" s="212" t="str">
        <f>+VLOOKUP(M28,Hoja3!$B$2:$D$8,3,FALSE)</f>
        <v xml:space="preserve">código Rubro = A-2901-0800-9-20111D-2901002-02 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O28" s="87"/>
      <c r="P28" s="87"/>
      <c r="Q28" s="87"/>
      <c r="R28" s="87"/>
      <c r="S28" s="87"/>
      <c r="T28" s="87"/>
      <c r="U28" s="87"/>
      <c r="V28" s="87"/>
      <c r="W28" s="82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</row>
    <row r="29" spans="1:36" ht="45" x14ac:dyDescent="0.25">
      <c r="A29" s="95">
        <f>+'DATOS REGIONALIZADO LOTE 4 tota'!A7</f>
        <v>8</v>
      </c>
      <c r="B29" s="95">
        <f>+'DATOS REGIONALIZADO LOTE 4 tota'!B7</f>
        <v>23</v>
      </c>
      <c r="C29" s="112" t="str">
        <f>+'DATOS REGIONALIZADO LOTE 4 tota'!C7</f>
        <v>Homogenizador de tejidos, vertical con vástago:</v>
      </c>
      <c r="D29" s="95" t="str">
        <f>+'DATOS REGIONALIZADO LOTE 4 tota'!D7</f>
        <v>UNIDAD</v>
      </c>
      <c r="E29" s="95">
        <f>+'DATOS REGIONALIZADO LOTE 4 tota'!E7</f>
        <v>1</v>
      </c>
      <c r="F29" s="95">
        <f>+'DATOS REGIONALIZADO LOTE 4 tota'!F7</f>
        <v>0</v>
      </c>
      <c r="G29" s="95">
        <f>+'DATOS REGIONALIZADO LOTE 4 tota'!N7</f>
        <v>1</v>
      </c>
      <c r="H29" s="95">
        <f>+'DATOS REGIONALIZADO LOTE 4 tota'!O7</f>
        <v>19454635</v>
      </c>
      <c r="I29" s="95">
        <f>+'DATOS REGIONALIZADO LOTE 4 tota'!P7</f>
        <v>19454635</v>
      </c>
      <c r="J29" s="95">
        <f>+'DATOS REGIONALIZADO LOTE 4 tota'!Q7</f>
        <v>0</v>
      </c>
      <c r="K29" s="189">
        <f>+'DATOS REGIONALIZADO LOTE 4 tota'!Y7</f>
        <v>19454635</v>
      </c>
      <c r="L29" s="87" t="s">
        <v>74</v>
      </c>
      <c r="M29" s="91" t="s">
        <v>118</v>
      </c>
      <c r="N29" s="212" t="str">
        <f>+VLOOKUP(M29,Hoja3!$B$2:$D$8,3,FALSE)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O29" s="87"/>
      <c r="P29" s="87"/>
      <c r="Q29" s="87"/>
      <c r="R29" s="87"/>
      <c r="S29" s="87"/>
      <c r="T29" s="87"/>
      <c r="U29" s="87"/>
      <c r="V29" s="87"/>
      <c r="W29" s="82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6" ht="45" x14ac:dyDescent="0.25">
      <c r="A30" s="95">
        <f>+'DATOS REGIONALIZADO LOTE 4 tota'!A8</f>
        <v>8</v>
      </c>
      <c r="B30" s="95">
        <f>+'DATOS REGIONALIZADO LOTE 4 tota'!B8</f>
        <v>24</v>
      </c>
      <c r="C30" s="114" t="str">
        <f>+'DATOS REGIONALIZADO LOTE 4 tota'!C8</f>
        <v xml:space="preserve">Vórtex multiprobeta / multitubo: </v>
      </c>
      <c r="D30" s="95" t="str">
        <f>+'DATOS REGIONALIZADO LOTE 4 tota'!D8</f>
        <v>UNIDAD</v>
      </c>
      <c r="E30" s="95">
        <f>+'DATOS REGIONALIZADO LOTE 4 tota'!E8</f>
        <v>3</v>
      </c>
      <c r="F30" s="95">
        <f>+'DATOS REGIONALIZADO LOTE 4 tota'!F8</f>
        <v>0</v>
      </c>
      <c r="G30" s="95">
        <f>+'DATOS REGIONALIZADO LOTE 4 tota'!N8</f>
        <v>3</v>
      </c>
      <c r="H30" s="95">
        <f>+'DATOS REGIONALIZADO LOTE 4 tota'!O8</f>
        <v>24247119</v>
      </c>
      <c r="I30" s="95">
        <f>+'DATOS REGIONALIZADO LOTE 4 tota'!P8</f>
        <v>72741357</v>
      </c>
      <c r="J30" s="95">
        <f>+'DATOS REGIONALIZADO LOTE 4 tota'!Q8</f>
        <v>0</v>
      </c>
      <c r="K30" s="95">
        <f>+'DATOS REGIONALIZADO LOTE 4 tota'!Y8</f>
        <v>72741357</v>
      </c>
      <c r="L30" s="87" t="s">
        <v>112</v>
      </c>
      <c r="M30" s="87" t="s">
        <v>118</v>
      </c>
      <c r="N30" s="212" t="str">
        <f>+VLOOKUP(M30,Hoja3!$B$2:$D$8,3,FALSE)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O30" s="87"/>
      <c r="P30" s="87"/>
      <c r="Q30" s="87"/>
      <c r="R30" s="87"/>
      <c r="S30" s="87"/>
      <c r="T30" s="87"/>
      <c r="U30" s="87"/>
      <c r="V30" s="87"/>
      <c r="W30" s="82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</row>
    <row r="31" spans="1:36" ht="45" x14ac:dyDescent="0.25">
      <c r="A31" s="95">
        <f>+'DATOS REGIONALIZADO LOTE 4 tota'!A9</f>
        <v>9</v>
      </c>
      <c r="B31" s="95">
        <f>+'DATOS REGIONALIZADO LOTE 4 tota'!B9</f>
        <v>25</v>
      </c>
      <c r="C31" s="114" t="str">
        <f>+'DATOS REGIONALIZADO LOTE 4 tota'!C9</f>
        <v>Esterilizador o autocleve horizontal y/o sobremesa:</v>
      </c>
      <c r="D31" s="95" t="str">
        <f>+'DATOS REGIONALIZADO LOTE 4 tota'!D9</f>
        <v>UNIDAD</v>
      </c>
      <c r="E31" s="95">
        <f>+'DATOS REGIONALIZADO LOTE 4 tota'!E9</f>
        <v>1</v>
      </c>
      <c r="F31" s="95">
        <f>+'DATOS REGIONALIZADO LOTE 4 tota'!F9</f>
        <v>0</v>
      </c>
      <c r="G31" s="95">
        <f>+'DATOS REGIONALIZADO LOTE 4 tota'!N9</f>
        <v>1</v>
      </c>
      <c r="H31" s="95">
        <f>+'DATOS REGIONALIZADO LOTE 4 tota'!O9</f>
        <v>29155000</v>
      </c>
      <c r="I31" s="95">
        <f>+'DATOS REGIONALIZADO LOTE 4 tota'!P9</f>
        <v>29155000</v>
      </c>
      <c r="J31" s="95">
        <f>+'DATOS REGIONALIZADO LOTE 4 tota'!Q9</f>
        <v>0</v>
      </c>
      <c r="K31" s="95">
        <f>+'DATOS REGIONALIZADO LOTE 4 tota'!Y9</f>
        <v>29155000</v>
      </c>
      <c r="L31" s="87" t="s">
        <v>112</v>
      </c>
      <c r="M31" s="91" t="s">
        <v>117</v>
      </c>
      <c r="N31" s="212" t="str">
        <f>+VLOOKUP(M31,Hoja3!$B$2:$D$8,3,FALSE)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O31" s="87"/>
      <c r="P31" s="87"/>
      <c r="Q31" s="87"/>
      <c r="R31" s="87"/>
      <c r="S31" s="87"/>
      <c r="T31" s="87"/>
      <c r="U31" s="87"/>
      <c r="V31" s="87"/>
      <c r="W31" s="82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</row>
    <row r="32" spans="1:36" ht="45" x14ac:dyDescent="0.25">
      <c r="A32" s="95">
        <f>+'DATOS REGIONALIZADO LOTE 4 tota'!A10</f>
        <v>10</v>
      </c>
      <c r="B32" s="95">
        <f>+'DATOS REGIONALIZADO LOTE 4 tota'!B10</f>
        <v>26</v>
      </c>
      <c r="C32" s="114" t="str">
        <f>+'DATOS REGIONALIZADO LOTE 4 tota'!C10</f>
        <v>Evaporador concentrador de muestras con centrifuga (rapidvap)</v>
      </c>
      <c r="D32" s="95" t="str">
        <f>+'DATOS REGIONALIZADO LOTE 4 tota'!D10</f>
        <v>UNIDAD</v>
      </c>
      <c r="E32" s="95">
        <f>+'DATOS REGIONALIZADO LOTE 4 tota'!E10</f>
        <v>1</v>
      </c>
      <c r="F32" s="95">
        <f>+'DATOS REGIONALIZADO LOTE 4 tota'!F10</f>
        <v>0</v>
      </c>
      <c r="G32" s="95">
        <f>+'DATOS REGIONALIZADO LOTE 4 tota'!N10</f>
        <v>1</v>
      </c>
      <c r="H32" s="95">
        <f>+'DATOS REGIONALIZADO LOTE 4 tota'!O10</f>
        <v>192791293</v>
      </c>
      <c r="I32" s="95">
        <f>+'DATOS REGIONALIZADO LOTE 4 tota'!P10</f>
        <v>192791293</v>
      </c>
      <c r="J32" s="95">
        <f>+'DATOS REGIONALIZADO LOTE 4 tota'!Q10</f>
        <v>0</v>
      </c>
      <c r="K32" s="95">
        <f>+'DATOS REGIONALIZADO LOTE 4 tota'!Y10</f>
        <v>192791293</v>
      </c>
      <c r="L32" s="87" t="s">
        <v>112</v>
      </c>
      <c r="M32" s="87" t="s">
        <v>118</v>
      </c>
      <c r="N32" s="212" t="str">
        <f>+VLOOKUP(M32,Hoja3!$B$2:$D$8,3,FALSE)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O32" s="87"/>
      <c r="P32" s="87"/>
      <c r="Q32" s="87"/>
      <c r="R32" s="87"/>
      <c r="S32" s="87"/>
      <c r="T32" s="87"/>
      <c r="U32" s="87"/>
      <c r="V32" s="87"/>
      <c r="W32" s="82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</row>
    <row r="33" spans="1:36" s="195" customFormat="1" ht="45" x14ac:dyDescent="0.25">
      <c r="A33" s="95">
        <f>+'DATOS REGIONALIZADO LOTE 4 tota'!A11</f>
        <v>11</v>
      </c>
      <c r="B33" s="95">
        <f>+'DATOS REGIONALIZADO LOTE 4 tota'!B11</f>
        <v>27</v>
      </c>
      <c r="C33" s="114" t="str">
        <f>+'DATOS REGIONALIZADO LOTE 4 tota'!C11</f>
        <v>Evaporador concentrador de muestras (rapidvap)</v>
      </c>
      <c r="D33" s="95" t="str">
        <f>+'DATOS REGIONALIZADO LOTE 4 tota'!D11</f>
        <v>UNIDAD</v>
      </c>
      <c r="E33" s="95">
        <f>+'DATOS REGIONALIZADO LOTE 4 tota'!E11</f>
        <v>0</v>
      </c>
      <c r="F33" s="95">
        <f>+'DATOS REGIONALIZADO LOTE 4 tota'!F11</f>
        <v>1</v>
      </c>
      <c r="G33" s="95">
        <f>+'DATOS REGIONALIZADO LOTE 4 tota'!N11</f>
        <v>1</v>
      </c>
      <c r="H33" s="95">
        <f>+'DATOS REGIONALIZADO LOTE 4 tota'!O11</f>
        <v>136873800</v>
      </c>
      <c r="I33" s="95">
        <f>+'DATOS REGIONALIZADO LOTE 4 tota'!P11</f>
        <v>0</v>
      </c>
      <c r="J33" s="95">
        <f>+'DATOS REGIONALIZADO LOTE 4 tota'!Q11</f>
        <v>136873800</v>
      </c>
      <c r="K33" s="95">
        <f>+'DATOS REGIONALIZADO LOTE 4 tota'!Y11</f>
        <v>136873800</v>
      </c>
      <c r="L33" s="87" t="s">
        <v>112</v>
      </c>
      <c r="M33" s="87" t="s">
        <v>118</v>
      </c>
      <c r="N33" s="212" t="str">
        <f>+VLOOKUP(M33,Hoja3!$B$2:$D$8,3,FALSE)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O33" s="191"/>
      <c r="P33" s="191"/>
      <c r="Q33" s="191"/>
      <c r="R33" s="191"/>
      <c r="S33" s="191"/>
      <c r="T33" s="191"/>
      <c r="U33" s="191"/>
      <c r="V33" s="191"/>
      <c r="W33" s="193"/>
      <c r="X33" s="194"/>
      <c r="Y33" s="194"/>
      <c r="Z33" s="194"/>
      <c r="AA33" s="194"/>
      <c r="AB33" s="194"/>
      <c r="AC33" s="194"/>
      <c r="AD33" s="194"/>
      <c r="AE33" s="194"/>
      <c r="AF33" s="194"/>
      <c r="AG33" s="194"/>
      <c r="AH33" s="194"/>
      <c r="AI33" s="194"/>
      <c r="AJ33" s="194"/>
    </row>
    <row r="34" spans="1:36" s="195" customFormat="1" ht="45" x14ac:dyDescent="0.25">
      <c r="A34" s="95">
        <f>+'DATOS REGIONALIZADO LOTE 4 tota'!A12</f>
        <v>12</v>
      </c>
      <c r="B34" s="95">
        <f>+'DATOS REGIONALIZADO LOTE 4 tota'!B12</f>
        <v>28</v>
      </c>
      <c r="C34" s="114" t="str">
        <f>+'DATOS REGIONALIZADO LOTE 4 tota'!C12</f>
        <v>Sistema dilutor dispensador de Líquidos</v>
      </c>
      <c r="D34" s="95" t="str">
        <f>+'DATOS REGIONALIZADO LOTE 4 tota'!D12</f>
        <v>UNIDAD</v>
      </c>
      <c r="E34" s="95">
        <f>+'DATOS REGIONALIZADO LOTE 4 tota'!E12</f>
        <v>0</v>
      </c>
      <c r="F34" s="95">
        <f>+'DATOS REGIONALIZADO LOTE 4 tota'!F12</f>
        <v>1</v>
      </c>
      <c r="G34" s="95">
        <f>+'DATOS REGIONALIZADO LOTE 4 tota'!N12</f>
        <v>1</v>
      </c>
      <c r="H34" s="95">
        <f>+'DATOS REGIONALIZADO LOTE 4 tota'!O12</f>
        <v>59381000</v>
      </c>
      <c r="I34" s="95">
        <f>+'DATOS REGIONALIZADO LOTE 4 tota'!P12</f>
        <v>0</v>
      </c>
      <c r="J34" s="95">
        <f>+'DATOS REGIONALIZADO LOTE 4 tota'!Q12</f>
        <v>59381000</v>
      </c>
      <c r="K34" s="95">
        <f>+'DATOS REGIONALIZADO LOTE 4 tota'!Y12</f>
        <v>59381000</v>
      </c>
      <c r="L34" s="87" t="s">
        <v>112</v>
      </c>
      <c r="M34" s="87" t="s">
        <v>118</v>
      </c>
      <c r="N34" s="212" t="str">
        <f>+VLOOKUP(M34,Hoja3!$B$2:$D$8,3,FALSE)</f>
        <v xml:space="preserve">código Rubro = B-2901-0800-16-20113A-2901002-02 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O34" s="191"/>
      <c r="P34" s="191"/>
      <c r="Q34" s="191"/>
      <c r="R34" s="191"/>
      <c r="S34" s="191"/>
      <c r="T34" s="191"/>
      <c r="U34" s="191"/>
      <c r="V34" s="191"/>
      <c r="W34" s="193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194"/>
      <c r="AJ34" s="194"/>
    </row>
    <row r="35" spans="1:36" s="195" customFormat="1" ht="45" x14ac:dyDescent="0.25">
      <c r="A35" s="95">
        <f>+'DATOS REGIONALIZADO LOTE 4 tota'!A13</f>
        <v>13</v>
      </c>
      <c r="B35" s="95">
        <f>+'DATOS REGIONALIZADO LOTE 4 tota'!B13</f>
        <v>29</v>
      </c>
      <c r="C35" s="112" t="str">
        <f>+'DATOS REGIONALIZADO LOTE 4 tota'!C13</f>
        <v>Sistema de esterilización con luz UV-C (254nm) (Crosslinker)</v>
      </c>
      <c r="D35" s="95" t="str">
        <f>+'DATOS REGIONALIZADO LOTE 4 tota'!D13</f>
        <v>UNIDAD</v>
      </c>
      <c r="E35" s="95">
        <f>+'DATOS REGIONALIZADO LOTE 4 tota'!E13</f>
        <v>0</v>
      </c>
      <c r="F35" s="95">
        <f>+'DATOS REGIONALIZADO LOTE 4 tota'!F13</f>
        <v>1</v>
      </c>
      <c r="G35" s="95">
        <f>+'DATOS REGIONALIZADO LOTE 4 tota'!N13</f>
        <v>1</v>
      </c>
      <c r="H35" s="95">
        <f>+'DATOS REGIONALIZADO LOTE 4 tota'!O13</f>
        <v>18292580</v>
      </c>
      <c r="I35" s="95">
        <f>+'DATOS REGIONALIZADO LOTE 4 tota'!P13</f>
        <v>0</v>
      </c>
      <c r="J35" s="95">
        <f>+'DATOS REGIONALIZADO LOTE 4 tota'!Q13</f>
        <v>18292580</v>
      </c>
      <c r="K35" s="189">
        <f>+'DATOS REGIONALIZADO LOTE 4 tota'!Y13</f>
        <v>18292580</v>
      </c>
      <c r="L35" s="87" t="s">
        <v>74</v>
      </c>
      <c r="M35" s="87" t="s">
        <v>117</v>
      </c>
      <c r="N35" s="212" t="str">
        <f>+VLOOKUP(M35,Hoja3!$B$2:$D$8,3,FALSE)</f>
        <v xml:space="preserve">código Rubro = A-2901-0800-16-20113A-2901007-02 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O35" s="191"/>
      <c r="P35" s="191"/>
      <c r="Q35" s="191"/>
      <c r="R35" s="191"/>
      <c r="S35" s="191"/>
      <c r="T35" s="191"/>
      <c r="U35" s="191"/>
      <c r="V35" s="191"/>
      <c r="W35" s="193"/>
      <c r="X35" s="194"/>
      <c r="Y35" s="194"/>
      <c r="Z35" s="194"/>
      <c r="AA35" s="194"/>
      <c r="AB35" s="194"/>
      <c r="AC35" s="194"/>
      <c r="AD35" s="194"/>
      <c r="AE35" s="194"/>
      <c r="AF35" s="194"/>
      <c r="AG35" s="194"/>
      <c r="AH35" s="194"/>
      <c r="AI35" s="194"/>
      <c r="AJ35" s="194"/>
    </row>
    <row r="36" spans="1:36" ht="11.25" x14ac:dyDescent="0.25">
      <c r="A36" s="95"/>
      <c r="B36" s="354" t="s">
        <v>75</v>
      </c>
      <c r="C36" s="355"/>
      <c r="D36" s="355"/>
      <c r="E36" s="355"/>
      <c r="F36" s="355"/>
      <c r="G36" s="355"/>
      <c r="H36" s="355"/>
      <c r="I36" s="95">
        <f t="shared" ref="I36:J36" si="3">+SUM(I5:I34)</f>
        <v>2066355484</v>
      </c>
      <c r="J36" s="95">
        <f t="shared" si="3"/>
        <v>601868892</v>
      </c>
      <c r="K36" s="95">
        <f>+SUM(K5:K35)</f>
        <v>2686516956</v>
      </c>
      <c r="L36" s="96" t="e">
        <f>+GETPIVOTDATA("VALOR TOTAL ",'Hoja15 (2)'!$A$3)</f>
        <v>#REF!</v>
      </c>
      <c r="M36" s="87" t="e">
        <f>+K36=L36</f>
        <v>#REF!</v>
      </c>
      <c r="N36" s="212"/>
      <c r="O36" s="87"/>
      <c r="P36" s="87"/>
      <c r="Q36" s="87"/>
      <c r="R36" s="87"/>
      <c r="S36" s="87"/>
      <c r="T36" s="87"/>
      <c r="U36" s="87"/>
      <c r="V36" s="87"/>
      <c r="W36" s="82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</row>
    <row r="37" spans="1:36" ht="11.25" x14ac:dyDescent="0.25">
      <c r="A37" s="96"/>
      <c r="B37" s="96"/>
      <c r="C37" s="97"/>
      <c r="D37" s="96"/>
      <c r="E37" s="96"/>
      <c r="F37" s="96"/>
      <c r="G37" s="104"/>
      <c r="H37" s="104"/>
      <c r="I37" s="104" t="s">
        <v>57</v>
      </c>
      <c r="J37" s="104" t="s">
        <v>18</v>
      </c>
      <c r="K37" s="96"/>
      <c r="N37" s="97" t="e">
        <f>+#REF!+#REF!</f>
        <v>#REF!</v>
      </c>
      <c r="O37" s="96" t="e">
        <f>-#REF!+#REF!</f>
        <v>#REF!</v>
      </c>
      <c r="P37" s="96"/>
      <c r="Q37" s="96"/>
      <c r="R37" s="96"/>
      <c r="S37" s="96"/>
      <c r="T37" s="96"/>
      <c r="U37" s="96"/>
      <c r="V37" s="96"/>
      <c r="X37" s="83"/>
      <c r="Y37" s="83"/>
      <c r="Z37" s="83"/>
      <c r="AA37" s="83"/>
      <c r="AB37" s="83"/>
    </row>
    <row r="38" spans="1:36" ht="11.25" x14ac:dyDescent="0.25">
      <c r="G38" s="349" t="s">
        <v>76</v>
      </c>
      <c r="H38" s="349"/>
      <c r="I38" s="105">
        <f>+I36/K36</f>
        <v>0.76915780463810335</v>
      </c>
      <c r="J38" s="105">
        <f>1-I38</f>
        <v>0.23084219536189665</v>
      </c>
      <c r="M38" s="96"/>
      <c r="X38" s="83"/>
      <c r="Y38" s="83"/>
      <c r="Z38" s="83"/>
      <c r="AA38" s="83"/>
      <c r="AB38" s="83"/>
    </row>
    <row r="39" spans="1:36" ht="11.25" x14ac:dyDescent="0.25">
      <c r="D39" s="107"/>
      <c r="E39" s="107"/>
      <c r="F39" s="107"/>
      <c r="G39" s="104"/>
      <c r="H39" s="104"/>
      <c r="I39" s="104"/>
      <c r="J39" s="104"/>
      <c r="K39" s="107"/>
      <c r="L39" s="107"/>
      <c r="M39" s="107"/>
      <c r="N39" s="213"/>
      <c r="O39" s="107" t="e">
        <f>+#REF!-#REF!</f>
        <v>#REF!</v>
      </c>
      <c r="P39" s="107" t="e">
        <f>+I36-O39</f>
        <v>#REF!</v>
      </c>
      <c r="Q39" s="107"/>
      <c r="R39" s="107"/>
      <c r="S39" s="107"/>
      <c r="T39" s="107"/>
      <c r="U39" s="107"/>
      <c r="V39" s="107"/>
      <c r="X39" s="83"/>
      <c r="Y39" s="83"/>
      <c r="Z39" s="83"/>
      <c r="AA39" s="83"/>
      <c r="AB39" s="83"/>
    </row>
    <row r="40" spans="1:36" ht="11.25" x14ac:dyDescent="0.25">
      <c r="C40" s="106"/>
      <c r="D40" s="353" t="s">
        <v>77</v>
      </c>
      <c r="E40" s="353"/>
      <c r="F40" s="353"/>
      <c r="G40" s="353"/>
      <c r="H40" s="353"/>
      <c r="I40" s="353">
        <v>1850000000</v>
      </c>
      <c r="J40" s="353"/>
      <c r="K40" s="353"/>
      <c r="L40" s="85"/>
      <c r="M40" s="85"/>
      <c r="N40" s="214"/>
      <c r="O40" s="85" t="e">
        <f>-#REF!+#REF!</f>
        <v>#REF!</v>
      </c>
      <c r="P40" s="85"/>
      <c r="Q40" s="85"/>
      <c r="R40" s="85"/>
      <c r="S40" s="85"/>
      <c r="T40" s="85"/>
      <c r="U40" s="85"/>
      <c r="V40" s="85"/>
      <c r="W40" s="103"/>
      <c r="X40" s="83"/>
      <c r="Y40" s="83"/>
      <c r="Z40" s="83"/>
      <c r="AA40" s="83"/>
      <c r="AB40" s="83"/>
    </row>
    <row r="41" spans="1:36" ht="11.25" x14ac:dyDescent="0.25">
      <c r="C41" s="106"/>
      <c r="D41" s="353"/>
      <c r="E41" s="353"/>
      <c r="F41" s="353"/>
      <c r="G41" s="353"/>
      <c r="H41" s="353"/>
      <c r="I41" s="353"/>
      <c r="J41" s="353"/>
      <c r="K41" s="353"/>
      <c r="L41" s="85"/>
      <c r="M41" s="85"/>
      <c r="N41" s="214"/>
      <c r="O41" s="85"/>
      <c r="P41" s="85"/>
      <c r="Q41" s="85"/>
      <c r="R41" s="85"/>
      <c r="S41" s="85"/>
      <c r="T41" s="85"/>
      <c r="U41" s="85"/>
      <c r="V41" s="85"/>
      <c r="W41" s="103"/>
      <c r="X41" s="83"/>
      <c r="Y41" s="83"/>
      <c r="Z41" s="83"/>
      <c r="AA41" s="83"/>
      <c r="AB41" s="83"/>
    </row>
    <row r="42" spans="1:36" ht="11.25" x14ac:dyDescent="0.25">
      <c r="C42" s="106"/>
      <c r="D42" s="353" t="s">
        <v>78</v>
      </c>
      <c r="E42" s="353"/>
      <c r="F42" s="353"/>
      <c r="G42" s="353"/>
      <c r="H42" s="353"/>
      <c r="I42" s="353">
        <f>+K36-I40</f>
        <v>836516956</v>
      </c>
      <c r="J42" s="353"/>
      <c r="K42" s="353"/>
      <c r="L42" s="85"/>
      <c r="M42" s="85"/>
      <c r="N42" s="214"/>
      <c r="O42" s="85"/>
      <c r="P42" s="85"/>
      <c r="Q42" s="85"/>
      <c r="R42" s="85"/>
      <c r="S42" s="85"/>
      <c r="T42" s="85"/>
      <c r="U42" s="85"/>
      <c r="V42" s="85"/>
      <c r="W42" s="103"/>
      <c r="X42" s="83"/>
      <c r="Y42" s="83"/>
      <c r="Z42" s="83"/>
      <c r="AA42" s="83"/>
      <c r="AB42" s="83"/>
    </row>
    <row r="43" spans="1:36" ht="11.25" x14ac:dyDescent="0.25">
      <c r="C43" s="106"/>
      <c r="D43" s="353"/>
      <c r="E43" s="353"/>
      <c r="F43" s="353"/>
      <c r="G43" s="353"/>
      <c r="H43" s="353"/>
      <c r="I43" s="353"/>
      <c r="J43" s="353"/>
      <c r="K43" s="353"/>
      <c r="L43" s="85"/>
      <c r="M43" s="85"/>
      <c r="N43" s="214"/>
      <c r="O43" s="85"/>
      <c r="P43" s="85"/>
      <c r="Q43" s="85"/>
      <c r="R43" s="85"/>
      <c r="S43" s="85"/>
      <c r="T43" s="85"/>
      <c r="U43" s="85"/>
      <c r="V43" s="85"/>
      <c r="W43" s="103"/>
      <c r="X43" s="83"/>
      <c r="Y43" s="83"/>
      <c r="Z43" s="83"/>
      <c r="AA43" s="83"/>
      <c r="AB43" s="83"/>
    </row>
    <row r="44" spans="1:36" ht="15" customHeight="1" x14ac:dyDescent="0.25"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7"/>
      <c r="O44" s="96"/>
      <c r="P44" s="96"/>
      <c r="Q44" s="96"/>
      <c r="R44" s="96"/>
      <c r="S44" s="96"/>
      <c r="T44" s="96"/>
      <c r="U44" s="96"/>
      <c r="V44" s="96"/>
    </row>
    <row r="45" spans="1:36" ht="15" customHeight="1" x14ac:dyDescent="0.25">
      <c r="I45" s="91">
        <v>175737054</v>
      </c>
    </row>
    <row r="46" spans="1:36" ht="15" customHeight="1" x14ac:dyDescent="0.25">
      <c r="K46" s="91">
        <f>+K36+I45</f>
        <v>2862254010</v>
      </c>
    </row>
    <row r="47" spans="1:36" ht="15" customHeight="1" x14ac:dyDescent="0.25">
      <c r="M47" s="91" t="s">
        <v>117</v>
      </c>
    </row>
    <row r="48" spans="1:36" ht="15" customHeight="1" x14ac:dyDescent="0.25">
      <c r="I48" s="8">
        <v>2126641440</v>
      </c>
      <c r="J48">
        <v>631019456</v>
      </c>
      <c r="K48" s="48">
        <f>+I48+J48</f>
        <v>2757660896</v>
      </c>
      <c r="M48" s="91" t="s">
        <v>118</v>
      </c>
    </row>
    <row r="49" spans="9:14" ht="15" customHeight="1" x14ac:dyDescent="0.25">
      <c r="I49" s="91">
        <f>+I36-I48</f>
        <v>-60285956</v>
      </c>
      <c r="J49" s="91">
        <f>+J36-J48</f>
        <v>-29150564</v>
      </c>
      <c r="N49" s="98">
        <v>246779422</v>
      </c>
    </row>
    <row r="50" spans="9:14" ht="15" customHeight="1" x14ac:dyDescent="0.25">
      <c r="N50" s="98">
        <f>+K16+K17</f>
        <v>246779422</v>
      </c>
    </row>
    <row r="51" spans="9:14" ht="15" customHeight="1" x14ac:dyDescent="0.25"/>
    <row r="52" spans="9:14" ht="15" customHeight="1" x14ac:dyDescent="0.25"/>
    <row r="53" spans="9:14" ht="15" customHeight="1" x14ac:dyDescent="0.25"/>
    <row r="54" spans="9:14" ht="15" customHeight="1" x14ac:dyDescent="0.25"/>
    <row r="55" spans="9:14" ht="15" customHeight="1" x14ac:dyDescent="0.25"/>
    <row r="56" spans="9:14" ht="15" customHeight="1" x14ac:dyDescent="0.25"/>
    <row r="57" spans="9:14" ht="15" customHeight="1" x14ac:dyDescent="0.25"/>
    <row r="58" spans="9:14" ht="15" customHeight="1" x14ac:dyDescent="0.25"/>
    <row r="59" spans="9:14" ht="15" customHeight="1" x14ac:dyDescent="0.25"/>
    <row r="60" spans="9:14" ht="15" customHeight="1" x14ac:dyDescent="0.25"/>
    <row r="61" spans="9:14" ht="15" customHeight="1" x14ac:dyDescent="0.25"/>
    <row r="62" spans="9:14" ht="15" customHeight="1" x14ac:dyDescent="0.25"/>
    <row r="63" spans="9:14" ht="15" customHeight="1" x14ac:dyDescent="0.25"/>
    <row r="64" spans="9:1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</sheetData>
  <autoFilter ref="A4:N43"/>
  <sortState ref="A5:N35">
    <sortCondition ref="A5:A35"/>
    <sortCondition ref="B5:B35"/>
  </sortState>
  <mergeCells count="6">
    <mergeCell ref="B36:H36"/>
    <mergeCell ref="G38:H38"/>
    <mergeCell ref="D40:H41"/>
    <mergeCell ref="I40:K41"/>
    <mergeCell ref="D42:H43"/>
    <mergeCell ref="I42:K43"/>
  </mergeCells>
  <pageMargins left="0.70866141732283472" right="0.70866141732283472" top="0.74803149606299213" bottom="0.74803149606299213" header="0" footer="0"/>
  <pageSetup scale="16" fitToHeight="0" orientation="portrait" r:id="rId1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  <rowBreaks count="1" manualBreakCount="1">
    <brk id="44" max="26" man="1"/>
  </row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Hoja3!$B$2:$B$8</xm:f>
          </x14:formula1>
          <xm:sqref>M32:M35 M30 M5:M28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zoomScale="55" zoomScaleNormal="55" workbookViewId="0">
      <selection activeCell="D6" sqref="D6:E6"/>
    </sheetView>
  </sheetViews>
  <sheetFormatPr baseColWidth="10" defaultColWidth="8.7109375" defaultRowHeight="15" x14ac:dyDescent="0.25"/>
  <cols>
    <col min="1" max="1" width="65.5703125" style="120" customWidth="1"/>
    <col min="2" max="2" width="20.5703125" bestFit="1" customWidth="1"/>
    <col min="3" max="3" width="23.7109375" bestFit="1" customWidth="1"/>
    <col min="4" max="4" width="255.7109375" bestFit="1" customWidth="1"/>
    <col min="5" max="5" width="26" hidden="1" customWidth="1"/>
    <col min="6" max="6" width="26" customWidth="1"/>
    <col min="7" max="7" width="14.5703125" customWidth="1"/>
  </cols>
  <sheetData>
    <row r="2" spans="1:6" x14ac:dyDescent="0.25">
      <c r="A2" s="215" t="s">
        <v>86</v>
      </c>
      <c r="B2" t="s">
        <v>87</v>
      </c>
      <c r="D2" s="215" t="s">
        <v>86</v>
      </c>
      <c r="E2" t="s">
        <v>88</v>
      </c>
    </row>
    <row r="3" spans="1:6" ht="120" x14ac:dyDescent="0.25">
      <c r="A3" s="120" t="s">
        <v>90</v>
      </c>
      <c r="B3" s="8">
        <v>91345950</v>
      </c>
      <c r="C3" t="s">
        <v>187</v>
      </c>
      <c r="D3" s="120" t="s">
        <v>90</v>
      </c>
      <c r="E3" s="8">
        <v>14949098</v>
      </c>
      <c r="F3" s="8"/>
    </row>
    <row r="4" spans="1:6" ht="120" x14ac:dyDescent="0.25">
      <c r="A4" s="120" t="s">
        <v>91</v>
      </c>
      <c r="B4" s="8">
        <v>514868449</v>
      </c>
      <c r="C4" t="s">
        <v>187</v>
      </c>
      <c r="D4" s="120" t="s">
        <v>91</v>
      </c>
      <c r="E4" s="8">
        <v>0</v>
      </c>
      <c r="F4" s="8"/>
    </row>
    <row r="5" spans="1:6" ht="120" x14ac:dyDescent="0.25">
      <c r="A5" s="120" t="s">
        <v>92</v>
      </c>
      <c r="B5" s="8">
        <v>29155000</v>
      </c>
      <c r="C5" t="s">
        <v>187</v>
      </c>
      <c r="D5" s="120" t="s">
        <v>92</v>
      </c>
      <c r="E5" s="8">
        <v>282009957</v>
      </c>
      <c r="F5" s="8"/>
    </row>
    <row r="6" spans="1:6" ht="105" x14ac:dyDescent="0.25">
      <c r="A6" s="120" t="s">
        <v>93</v>
      </c>
      <c r="B6" s="8">
        <v>414685859</v>
      </c>
      <c r="C6" t="s">
        <v>187</v>
      </c>
      <c r="D6" s="120" t="s">
        <v>93</v>
      </c>
      <c r="E6" s="8">
        <v>73211033</v>
      </c>
      <c r="F6" s="8"/>
    </row>
    <row r="7" spans="1:6" ht="120" x14ac:dyDescent="0.25">
      <c r="A7" s="120" t="s">
        <v>98</v>
      </c>
      <c r="B7" s="8">
        <v>513226905</v>
      </c>
      <c r="C7" t="s">
        <v>188</v>
      </c>
      <c r="D7" s="120" t="s">
        <v>98</v>
      </c>
      <c r="E7" s="8">
        <v>260849368</v>
      </c>
      <c r="F7" s="8"/>
    </row>
    <row r="8" spans="1:6" ht="120" x14ac:dyDescent="0.25">
      <c r="A8" s="120" t="s">
        <v>156</v>
      </c>
      <c r="B8" s="8">
        <v>300000000</v>
      </c>
      <c r="C8" t="s">
        <v>187</v>
      </c>
      <c r="D8" s="120" t="s">
        <v>156</v>
      </c>
      <c r="E8" s="8">
        <v>0</v>
      </c>
      <c r="F8" s="8"/>
    </row>
    <row r="9" spans="1:6" ht="120" x14ac:dyDescent="0.25">
      <c r="A9" s="120" t="s">
        <v>129</v>
      </c>
      <c r="B9" s="8">
        <v>133386702</v>
      </c>
      <c r="C9" t="s">
        <v>187</v>
      </c>
      <c r="D9" s="120" t="s">
        <v>129</v>
      </c>
      <c r="E9" s="8">
        <v>0</v>
      </c>
      <c r="F9" s="8"/>
    </row>
    <row r="10" spans="1:6" x14ac:dyDescent="0.25">
      <c r="A10" s="120" t="s">
        <v>95</v>
      </c>
      <c r="B10" s="8">
        <v>1996668865</v>
      </c>
      <c r="D10" s="120" t="s">
        <v>95</v>
      </c>
      <c r="E10" s="8">
        <v>631019456</v>
      </c>
      <c r="F10" s="8"/>
    </row>
    <row r="11" spans="1:6" x14ac:dyDescent="0.25">
      <c r="E11" s="8">
        <f>+E10+B10</f>
        <v>2627688321</v>
      </c>
      <c r="F11" s="8"/>
    </row>
  </sheetData>
  <pageMargins left="0.7" right="0.7" top="0.75" bottom="0.75" header="0.3" footer="0.3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1"/>
  <sheetViews>
    <sheetView view="pageBreakPreview" topLeftCell="B6" zoomScaleNormal="100" zoomScaleSheetLayoutView="100" zoomScalePageLayoutView="145" workbookViewId="0">
      <selection activeCell="L37" sqref="L37"/>
    </sheetView>
  </sheetViews>
  <sheetFormatPr baseColWidth="10" defaultColWidth="11.42578125" defaultRowHeight="15" x14ac:dyDescent="0.25"/>
  <cols>
    <col min="1" max="5" width="13.28515625" style="123" customWidth="1"/>
    <col min="6" max="6" width="8" style="125" customWidth="1"/>
    <col min="7" max="7" width="17" style="123" customWidth="1"/>
    <col min="8" max="8" width="12.7109375" style="125" customWidth="1"/>
    <col min="9" max="9" width="4.28515625" style="125" customWidth="1"/>
    <col min="10" max="10" width="56" style="125" customWidth="1"/>
    <col min="11" max="11" width="16.5703125" style="125" bestFit="1" customWidth="1"/>
    <col min="12" max="12" width="19.28515625" style="124" customWidth="1"/>
    <col min="13" max="13" width="14.7109375" style="125" bestFit="1" customWidth="1"/>
    <col min="14" max="16384" width="11.42578125" style="125"/>
  </cols>
  <sheetData>
    <row r="1" spans="1:21" ht="18" x14ac:dyDescent="0.25">
      <c r="B1" s="484" t="s">
        <v>0</v>
      </c>
      <c r="C1" s="485"/>
      <c r="D1" s="485"/>
      <c r="E1" s="485"/>
      <c r="F1" s="485"/>
      <c r="G1" s="485"/>
      <c r="H1" s="485"/>
      <c r="I1" s="485"/>
      <c r="J1" s="485"/>
      <c r="K1" s="486"/>
    </row>
    <row r="2" spans="1:21" x14ac:dyDescent="0.25">
      <c r="B2" s="126"/>
      <c r="C2" s="127"/>
      <c r="D2" s="127"/>
      <c r="E2" s="127"/>
      <c r="F2" s="127"/>
      <c r="G2" s="127"/>
      <c r="H2" s="127"/>
      <c r="I2" s="127"/>
      <c r="J2" s="127" t="s">
        <v>8</v>
      </c>
      <c r="K2" s="128" t="s">
        <v>9</v>
      </c>
      <c r="M2" s="125" t="s">
        <v>10</v>
      </c>
      <c r="O2" s="125" t="s">
        <v>11</v>
      </c>
      <c r="Q2" s="125" t="s">
        <v>12</v>
      </c>
      <c r="S2" s="125" t="s">
        <v>13</v>
      </c>
      <c r="U2" s="125" t="s">
        <v>14</v>
      </c>
    </row>
    <row r="3" spans="1:21" x14ac:dyDescent="0.25">
      <c r="B3" s="129"/>
      <c r="C3" s="130"/>
      <c r="D3" s="130"/>
      <c r="E3" s="130"/>
      <c r="F3" s="130"/>
      <c r="G3" s="130"/>
      <c r="H3" s="130"/>
      <c r="I3" s="130"/>
      <c r="J3" s="131" t="s">
        <v>15</v>
      </c>
      <c r="K3" s="132">
        <v>114155647000</v>
      </c>
      <c r="L3" s="124" t="s">
        <v>16</v>
      </c>
      <c r="M3" s="125" t="s">
        <v>17</v>
      </c>
      <c r="N3" s="125" t="s">
        <v>18</v>
      </c>
      <c r="O3" s="125" t="s">
        <v>17</v>
      </c>
      <c r="P3" s="125" t="s">
        <v>19</v>
      </c>
      <c r="Q3" s="125" t="s">
        <v>17</v>
      </c>
      <c r="R3" s="125" t="s">
        <v>19</v>
      </c>
      <c r="S3" s="125" t="s">
        <v>20</v>
      </c>
      <c r="T3" s="125" t="s">
        <v>18</v>
      </c>
      <c r="U3" s="125" t="s">
        <v>17</v>
      </c>
    </row>
    <row r="4" spans="1:21" x14ac:dyDescent="0.25">
      <c r="B4" s="129"/>
      <c r="C4" s="130"/>
      <c r="D4" s="130"/>
      <c r="E4" s="130"/>
      <c r="F4" s="130"/>
      <c r="G4" s="133"/>
      <c r="H4" s="133"/>
      <c r="I4" s="130"/>
      <c r="J4" s="131" t="s">
        <v>146</v>
      </c>
      <c r="K4" s="132"/>
    </row>
    <row r="5" spans="1:21" s="142" customFormat="1" ht="31.5" x14ac:dyDescent="0.25">
      <c r="A5" s="134"/>
      <c r="B5" s="135"/>
      <c r="C5" s="136"/>
      <c r="D5" s="136"/>
      <c r="E5" s="136"/>
      <c r="F5" s="136"/>
      <c r="G5" s="137"/>
      <c r="H5" s="138"/>
      <c r="I5" s="136"/>
      <c r="J5" s="139" t="s">
        <v>22</v>
      </c>
      <c r="K5" s="140">
        <v>11474400000</v>
      </c>
      <c r="L5" s="141"/>
    </row>
    <row r="6" spans="1:21" s="142" customFormat="1" ht="294" x14ac:dyDescent="0.25">
      <c r="A6" s="134" t="str">
        <f>+CONCATENATE("A-",B6)</f>
        <v>A-2901-0800-9-20111D-2901002-02</v>
      </c>
      <c r="B6" s="131" t="s">
        <v>146</v>
      </c>
      <c r="C6" s="139" t="s">
        <v>22</v>
      </c>
      <c r="D6" s="143" t="s">
        <v>24</v>
      </c>
      <c r="E6" s="143" t="s">
        <v>26</v>
      </c>
      <c r="F6" s="144" t="s">
        <v>27</v>
      </c>
      <c r="G6" s="218" t="str">
        <f>+CONCATENATE("Nombre del proyecto = ",C6," Nombre del Poducto =  ",D6,"  Nombre del Objeto del Gasto = ",E6," Actividad Asociada =  ",F6)</f>
        <v xml:space="preserve">Nombre del proyecto = FORTALECIMIENTO DE LA CAPACIDAD Y CALIDAD CIENTÍFICA DE LOS ENSAYOS REALIZADOS EN LOS LABORATORIOS FORENSES  NACIONAL Nombre del Poducto =  SERVICIOS DE LABORATORIO FORENSE  Nombre del Objeto del Gasto = ADQUISICIÓN DE BIENES Y SERVICIOS Actividad Asociada =  disponer de insumos, reactivos y equipos según necesidades de los laboratorios forenses </v>
      </c>
      <c r="H6" s="122">
        <f>+'VERIFICACION '!I12</f>
        <v>570771360</v>
      </c>
      <c r="I6" s="122"/>
      <c r="J6" s="143" t="s">
        <v>24</v>
      </c>
      <c r="K6" s="145">
        <f>+SUM(L7:L11)</f>
        <v>570771360</v>
      </c>
      <c r="L6" s="141"/>
    </row>
    <row r="7" spans="1:21" s="142" customFormat="1" x14ac:dyDescent="0.25">
      <c r="A7" s="134"/>
      <c r="B7" s="146"/>
      <c r="C7" s="122" t="b">
        <f>+C6=J5</f>
        <v>1</v>
      </c>
      <c r="D7" s="122"/>
      <c r="E7" s="122"/>
      <c r="F7" s="122"/>
      <c r="G7" s="143"/>
      <c r="H7" s="147"/>
      <c r="I7" s="122"/>
      <c r="J7" s="143" t="s">
        <v>26</v>
      </c>
      <c r="K7" s="145">
        <v>11474400000</v>
      </c>
      <c r="L7" s="219">
        <v>115218379</v>
      </c>
    </row>
    <row r="8" spans="1:21" s="142" customFormat="1" ht="21" x14ac:dyDescent="0.25">
      <c r="A8" s="134"/>
      <c r="B8" s="146"/>
      <c r="C8" s="122"/>
      <c r="D8" s="122"/>
      <c r="E8" s="122"/>
      <c r="F8" s="122"/>
      <c r="G8" s="143"/>
      <c r="H8" s="147"/>
      <c r="I8" s="122"/>
      <c r="J8" s="143" t="s">
        <v>27</v>
      </c>
      <c r="K8" s="145"/>
      <c r="L8" s="50">
        <v>100000000</v>
      </c>
      <c r="M8" s="50">
        <f>+L8+L9+L10+L11</f>
        <v>455552981</v>
      </c>
    </row>
    <row r="9" spans="1:21" s="142" customFormat="1" ht="21" x14ac:dyDescent="0.25">
      <c r="A9" s="134"/>
      <c r="B9" s="146"/>
      <c r="C9" s="122"/>
      <c r="D9" s="122"/>
      <c r="E9" s="122"/>
      <c r="F9" s="122"/>
      <c r="G9" s="143"/>
      <c r="H9" s="147"/>
      <c r="I9" s="122"/>
      <c r="J9" s="143" t="s">
        <v>27</v>
      </c>
      <c r="K9" s="145"/>
      <c r="L9" s="50">
        <v>295552981</v>
      </c>
    </row>
    <row r="10" spans="1:21" s="142" customFormat="1" ht="21" x14ac:dyDescent="0.25">
      <c r="A10" s="134"/>
      <c r="B10" s="146"/>
      <c r="C10" s="122"/>
      <c r="D10" s="122"/>
      <c r="E10" s="122"/>
      <c r="F10" s="122"/>
      <c r="G10" s="143"/>
      <c r="H10" s="147"/>
      <c r="I10" s="122"/>
      <c r="J10" s="143" t="s">
        <v>27</v>
      </c>
      <c r="K10" s="145"/>
      <c r="L10" s="50">
        <v>30000000</v>
      </c>
    </row>
    <row r="11" spans="1:21" s="142" customFormat="1" ht="21" x14ac:dyDescent="0.25">
      <c r="A11" s="134"/>
      <c r="B11" s="146"/>
      <c r="C11" s="122"/>
      <c r="D11" s="122"/>
      <c r="E11" s="122"/>
      <c r="F11" s="122"/>
      <c r="G11" s="143"/>
      <c r="H11" s="147"/>
      <c r="I11" s="122"/>
      <c r="J11" s="143" t="s">
        <v>27</v>
      </c>
      <c r="K11" s="145"/>
      <c r="L11" s="50">
        <v>30000000</v>
      </c>
    </row>
    <row r="12" spans="1:21" s="142" customFormat="1" x14ac:dyDescent="0.25">
      <c r="A12" s="134"/>
      <c r="B12" s="146"/>
      <c r="C12" s="122"/>
      <c r="D12" s="122"/>
      <c r="E12" s="122"/>
      <c r="F12" s="122"/>
      <c r="G12" s="143"/>
      <c r="H12" s="147"/>
      <c r="I12" s="122"/>
      <c r="J12" s="143"/>
      <c r="K12" s="145">
        <f>+SUM(L7:L11)</f>
        <v>570771360</v>
      </c>
      <c r="L12" s="141"/>
    </row>
    <row r="13" spans="1:21" s="142" customFormat="1" x14ac:dyDescent="0.25">
      <c r="A13" s="134"/>
      <c r="B13" s="146"/>
      <c r="C13" s="122"/>
      <c r="D13" s="122"/>
      <c r="E13" s="122"/>
      <c r="F13" s="122"/>
      <c r="G13" s="143"/>
      <c r="H13" s="147"/>
      <c r="I13" s="122"/>
      <c r="J13" s="131" t="s">
        <v>147</v>
      </c>
      <c r="K13" s="145"/>
      <c r="L13" s="141"/>
    </row>
    <row r="14" spans="1:21" s="155" customFormat="1" ht="31.5" x14ac:dyDescent="0.25">
      <c r="A14" s="148"/>
      <c r="B14" s="149"/>
      <c r="C14" s="150"/>
      <c r="D14" s="150"/>
      <c r="E14" s="150"/>
      <c r="F14" s="150"/>
      <c r="G14" s="143"/>
      <c r="H14" s="151"/>
      <c r="I14" s="150"/>
      <c r="J14" s="152" t="s">
        <v>28</v>
      </c>
      <c r="K14" s="153">
        <v>1191767000</v>
      </c>
      <c r="L14" s="154"/>
    </row>
    <row r="15" spans="1:21" s="155" customFormat="1" ht="21" x14ac:dyDescent="0.25">
      <c r="A15" s="148"/>
      <c r="B15" s="156"/>
      <c r="C15" s="157"/>
      <c r="D15" s="157"/>
      <c r="E15" s="157"/>
      <c r="F15" s="157"/>
      <c r="G15" s="143"/>
      <c r="H15" s="158"/>
      <c r="I15" s="157"/>
      <c r="J15" s="159" t="s">
        <v>29</v>
      </c>
      <c r="K15" s="160"/>
      <c r="L15" s="154"/>
    </row>
    <row r="16" spans="1:21" s="155" customFormat="1" x14ac:dyDescent="0.25">
      <c r="A16" s="148"/>
      <c r="B16" s="156"/>
      <c r="C16" s="157"/>
      <c r="D16" s="157"/>
      <c r="E16" s="157"/>
      <c r="F16" s="157"/>
      <c r="G16" s="143"/>
      <c r="H16" s="158"/>
      <c r="I16" s="157"/>
      <c r="J16" s="159" t="s">
        <v>26</v>
      </c>
      <c r="K16" s="160">
        <v>4332952000</v>
      </c>
      <c r="L16" s="154"/>
    </row>
    <row r="17" spans="1:12" s="155" customFormat="1" ht="59.65" customHeight="1" x14ac:dyDescent="0.25">
      <c r="A17" s="148" t="str">
        <f>+CONCATENATE("A- ",J13)</f>
        <v>A- 2901-0800-14-20111D-2901006-02</v>
      </c>
      <c r="B17" s="156"/>
      <c r="C17" s="159" t="s">
        <v>28</v>
      </c>
      <c r="D17" s="157" t="s">
        <v>29</v>
      </c>
      <c r="E17" s="157" t="s">
        <v>26</v>
      </c>
      <c r="F17" s="157" t="s">
        <v>30</v>
      </c>
      <c r="G17" s="143" t="str">
        <f>+CONCATENATE("Nombre del proyecto = ",C17," Nombre del Poducto =  ",D17,"  Nombre del Objeto del Gasto = ",E17," Actividad Asociada =  ",F17)</f>
        <v xml:space="preserve">Nombre del proyecto = MEJORAMIENTO DE LOS PROCEDIMIENTOS Y DE LA CAPACIDAD DE RESPUESTA EN LOS SERVICIOS DE PATOLOGÍA FORENSE A NIVEL  NACIONAL Nombre del Poducto =  SERVICIO DE INVESTIGACION PENAL, CRIMINALISTICA Y MEDICINA LEGAL  Nombre del Objeto del Gasto = ADQUISICIÓN DE BIENES Y SERVICIOS Actividad Asociada =  disponer de equipos, insumos y reactivos a los laboratorios en casos de accidentes de transito </v>
      </c>
      <c r="H17" s="158"/>
      <c r="I17" s="157"/>
      <c r="J17" s="159" t="s">
        <v>30</v>
      </c>
      <c r="K17" s="160">
        <f>+L17</f>
        <v>100920000</v>
      </c>
      <c r="L17" s="154">
        <v>100920000</v>
      </c>
    </row>
    <row r="18" spans="1:12" s="155" customFormat="1" ht="252" x14ac:dyDescent="0.25">
      <c r="A18" s="148" t="str">
        <f>+CONCATENATE("B-",J13)</f>
        <v>B-2901-0800-14-20111D-2901006-02</v>
      </c>
      <c r="B18" s="156"/>
      <c r="C18" s="122" t="b">
        <f>+C17=J14</f>
        <v>1</v>
      </c>
      <c r="D18" s="157" t="s">
        <v>29</v>
      </c>
      <c r="E18" s="157" t="s">
        <v>26</v>
      </c>
      <c r="F18" s="157" t="s">
        <v>31</v>
      </c>
      <c r="G18" s="143" t="str">
        <f>+CONCATENATE("Nombre del proyecto = ",C18," Nombre del Poducto =  ",D18,"  Nombre del Objeto del Gasto = ",E18," Actividad Asociada =  ",F18)</f>
        <v xml:space="preserve">Nombre del proyecto = VERDADERO Nombre del Poducto =  SERVICIO DE INVESTIGACION PENAL, CRIMINALISTICA Y MEDICINA LEGAL  Nombre del Objeto del Gasto = ADQUISICIÓN DE BIENES Y SERVICIOS Actividad Asociada =  disponer con bienes y servicios según los requisitos de la NTC ISO/IEC 17025 en casos de accidentes de transito </v>
      </c>
      <c r="H18" s="158"/>
      <c r="I18" s="157"/>
      <c r="J18" s="159" t="s">
        <v>31</v>
      </c>
      <c r="K18" s="160">
        <f>+L18</f>
        <v>130000000</v>
      </c>
      <c r="L18" s="154">
        <v>130000000</v>
      </c>
    </row>
    <row r="19" spans="1:12" s="155" customFormat="1" x14ac:dyDescent="0.25">
      <c r="A19" s="148"/>
      <c r="B19" s="156"/>
      <c r="C19" s="157"/>
      <c r="D19" s="157"/>
      <c r="E19" s="157"/>
      <c r="F19" s="157"/>
      <c r="G19" s="143"/>
      <c r="H19" s="158"/>
      <c r="I19" s="157"/>
      <c r="J19" s="159" t="s">
        <v>26</v>
      </c>
      <c r="K19" s="160">
        <v>1191767000</v>
      </c>
      <c r="L19" s="154"/>
    </row>
    <row r="20" spans="1:12" s="155" customFormat="1" x14ac:dyDescent="0.25">
      <c r="A20" s="148"/>
      <c r="B20" s="156"/>
      <c r="C20" s="157"/>
      <c r="D20" s="157"/>
      <c r="E20" s="157"/>
      <c r="F20" s="157"/>
      <c r="G20" s="143"/>
      <c r="H20" s="158"/>
      <c r="I20" s="157"/>
      <c r="J20" s="159" t="s">
        <v>32</v>
      </c>
      <c r="K20" s="160"/>
      <c r="L20" s="154"/>
    </row>
    <row r="21" spans="1:12" s="155" customFormat="1" ht="325.5" x14ac:dyDescent="0.25">
      <c r="A21" s="148" t="str">
        <f>+CONCATENATE("C-",J13)</f>
        <v>C-2901-0800-14-20111D-2901006-02</v>
      </c>
      <c r="B21" s="156"/>
      <c r="C21" s="159" t="s">
        <v>28</v>
      </c>
      <c r="D21" s="157" t="str">
        <f>+J20</f>
        <v>SALAS DE NECROPSIAS DOTADAS</v>
      </c>
      <c r="E21" s="157" t="str">
        <f>+J19</f>
        <v>ADQUISICIÓN DE BIENES Y SERVICIOS</v>
      </c>
      <c r="F21" s="157" t="s">
        <v>33</v>
      </c>
      <c r="G21" s="143" t="str">
        <f>+CONCATENATE("Nombre del proyecto = ",C21," Nombre del Poducto =  ",D21,"  Nombre del Objeto del Gasto = ",E21," Actividad Asociada =  ",F21)</f>
        <v xml:space="preserve">Nombre del proyecto = MEJORAMIENTO DE LOS PROCEDIMIENTOS Y DE LA CAPACIDAD DE RESPUESTA EN LOS SERVICIOS DE PATOLOGÍA FORENSE A NIVEL  NACIONAL Nombre del Poducto =  SALAS DE NECROPSIAS DOTADAS  Nombre del Objeto del Gasto = ADQUISICIÓN DE BIENES Y SERVICIOS Actividad Asociada =  disponer de equipos, instrumental, insumos y aplicativos en casos de rutina, de muertes colectivas y desastres a nivel nacional </v>
      </c>
      <c r="H21" s="158"/>
      <c r="I21" s="157"/>
      <c r="J21" s="159" t="s">
        <v>33</v>
      </c>
      <c r="K21" s="160">
        <f>+L21</f>
        <v>300000000</v>
      </c>
      <c r="L21" s="154">
        <v>300000000</v>
      </c>
    </row>
    <row r="22" spans="1:12" x14ac:dyDescent="0.25">
      <c r="B22" s="161"/>
      <c r="C22" s="162" t="b">
        <f>+J14=C21</f>
        <v>1</v>
      </c>
      <c r="D22" s="162"/>
      <c r="E22" s="162"/>
      <c r="F22" s="162"/>
      <c r="G22" s="143"/>
      <c r="H22" s="163"/>
      <c r="I22" s="162"/>
      <c r="J22" s="131" t="s">
        <v>151</v>
      </c>
      <c r="K22" s="164"/>
    </row>
    <row r="23" spans="1:12" s="172" customFormat="1" ht="31.5" x14ac:dyDescent="0.25">
      <c r="A23" s="165"/>
      <c r="B23" s="166"/>
      <c r="C23" s="167"/>
      <c r="D23" s="167"/>
      <c r="E23" s="167"/>
      <c r="F23" s="167"/>
      <c r="G23" s="143"/>
      <c r="H23" s="168"/>
      <c r="I23" s="167"/>
      <c r="J23" s="169" t="s">
        <v>34</v>
      </c>
      <c r="K23" s="170">
        <v>21856000000</v>
      </c>
      <c r="L23" s="171"/>
    </row>
    <row r="24" spans="1:12" s="172" customFormat="1" x14ac:dyDescent="0.25">
      <c r="A24" s="165"/>
      <c r="B24" s="173"/>
      <c r="C24" s="174"/>
      <c r="D24" s="174"/>
      <c r="E24" s="174"/>
      <c r="F24" s="174"/>
      <c r="G24" s="143"/>
      <c r="H24" s="175"/>
      <c r="I24" s="174"/>
      <c r="J24" s="176" t="s">
        <v>24</v>
      </c>
      <c r="K24" s="177"/>
      <c r="L24" s="171"/>
    </row>
    <row r="25" spans="1:12" s="172" customFormat="1" x14ac:dyDescent="0.25">
      <c r="A25" s="165"/>
      <c r="B25" s="173"/>
      <c r="C25" s="174"/>
      <c r="D25" s="174"/>
      <c r="E25" s="174"/>
      <c r="F25" s="174"/>
      <c r="G25" s="143"/>
      <c r="H25" s="175"/>
      <c r="I25" s="174"/>
      <c r="J25" s="176" t="s">
        <v>26</v>
      </c>
      <c r="K25" s="177">
        <v>14263763540</v>
      </c>
      <c r="L25" s="171"/>
    </row>
    <row r="26" spans="1:12" s="172" customFormat="1" ht="325.5" x14ac:dyDescent="0.25">
      <c r="A26" s="148" t="str">
        <f>+CONCATENATE("A-",J22)</f>
        <v>A-2901-0800-16-20113A-2901002-02</v>
      </c>
      <c r="B26" s="173"/>
      <c r="C26" s="176" t="s">
        <v>34</v>
      </c>
      <c r="D26" s="174" t="s">
        <v>24</v>
      </c>
      <c r="E26" s="174" t="s">
        <v>26</v>
      </c>
      <c r="F26" s="178" t="s">
        <v>36</v>
      </c>
      <c r="G26" s="143" t="str">
        <f>+CONCATENATE("Nombre del proyecto = ",C26," Nombre del Poducto =  ",D26,"  Nombre del Objeto del Gasto = ",E26," Actividad Asociada =  ",F26)</f>
        <v xml:space="preserve">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contar con enseres, equipos de oficina y equipos para la dotación de los laboratorios forense de antropología </v>
      </c>
      <c r="H26" s="179"/>
      <c r="I26" s="178"/>
      <c r="J26" s="180" t="s">
        <v>36</v>
      </c>
      <c r="K26" s="181">
        <f>+L26</f>
        <v>350000000</v>
      </c>
      <c r="L26" s="182">
        <v>350000000</v>
      </c>
    </row>
    <row r="27" spans="1:12" s="172" customFormat="1" ht="304.5" x14ac:dyDescent="0.25">
      <c r="A27" s="148" t="str">
        <f>+CONCATENATE("B-",J22)</f>
        <v>B-2901-0800-16-20113A-2901002-02</v>
      </c>
      <c r="B27" s="173"/>
      <c r="C27" s="176" t="s">
        <v>34</v>
      </c>
      <c r="D27" s="174" t="s">
        <v>24</v>
      </c>
      <c r="E27" s="174" t="s">
        <v>26</v>
      </c>
      <c r="F27" s="178" t="s">
        <v>27</v>
      </c>
      <c r="G27" s="143" t="str">
        <f>+CONCATENATE("Nombre del proyecto = ",C27," Nombre del Poducto =  ",D27,"  Nombre del Objeto del Gasto = ",E27," Actividad Asociada =  ",F27)</f>
        <v xml:space="preserve">Nombre del proyecto = FORTALECIMIENTO DEL INSTITUTO NACIONAL DE MEDICINA LEGAL Y CIENCIAS FORENSES EN ATENCIÓN A LOS RETOS DEL POSCONFLICTO A NIVEL  NACIONAL Nombre del Poducto =  SERVICIOS DE LABORATORIO FORENSE  Nombre del Objeto del Gasto = ADQUISICIÓN DE BIENES Y SERVICIOS Actividad Asociada =  disponer de insumos, reactivos y equipos según necesidades de los laboratorios forenses </v>
      </c>
      <c r="H27" s="179"/>
      <c r="I27" s="178"/>
      <c r="J27" s="180" t="s">
        <v>27</v>
      </c>
      <c r="K27" s="181">
        <f>+L27</f>
        <v>98308640</v>
      </c>
      <c r="L27" s="182">
        <v>98308640</v>
      </c>
    </row>
    <row r="28" spans="1:12" s="172" customFormat="1" x14ac:dyDescent="0.25">
      <c r="A28" s="165"/>
      <c r="B28" s="173"/>
      <c r="C28" s="174"/>
      <c r="D28" s="174"/>
      <c r="E28" s="174"/>
      <c r="F28" s="174"/>
      <c r="G28" s="143"/>
      <c r="H28" s="175"/>
      <c r="I28" s="174"/>
      <c r="J28" s="176"/>
      <c r="K28" s="177"/>
      <c r="L28" s="171"/>
    </row>
    <row r="29" spans="1:12" x14ac:dyDescent="0.25">
      <c r="B29" s="161"/>
      <c r="C29" s="162"/>
      <c r="D29" s="162"/>
      <c r="E29" s="162"/>
      <c r="F29" s="162"/>
      <c r="H29" s="163"/>
      <c r="I29" s="162"/>
      <c r="J29" s="131" t="s">
        <v>152</v>
      </c>
      <c r="K29" s="164"/>
    </row>
    <row r="30" spans="1:12" x14ac:dyDescent="0.25">
      <c r="B30" s="161"/>
      <c r="C30" s="162"/>
      <c r="D30" s="162"/>
      <c r="E30" s="162"/>
      <c r="F30" s="162"/>
      <c r="G30" s="143"/>
      <c r="H30" s="163"/>
      <c r="I30" s="162"/>
      <c r="J30" s="183"/>
      <c r="K30" s="164"/>
    </row>
    <row r="31" spans="1:12" x14ac:dyDescent="0.25">
      <c r="B31" s="161"/>
      <c r="C31" s="162"/>
      <c r="D31" s="162"/>
      <c r="E31" s="162"/>
      <c r="F31" s="162"/>
      <c r="H31" s="163"/>
      <c r="I31" s="162"/>
      <c r="J31" s="183" t="s">
        <v>37</v>
      </c>
      <c r="K31" s="164"/>
    </row>
    <row r="32" spans="1:12" x14ac:dyDescent="0.25">
      <c r="B32" s="161"/>
      <c r="C32" s="162"/>
      <c r="D32" s="184"/>
      <c r="E32" s="184"/>
      <c r="F32" s="184"/>
      <c r="G32" s="143"/>
      <c r="H32" s="185"/>
      <c r="I32" s="184"/>
      <c r="J32" s="186" t="s">
        <v>26</v>
      </c>
      <c r="K32" s="187">
        <v>5531215836</v>
      </c>
    </row>
    <row r="33" spans="1:12" ht="315" x14ac:dyDescent="0.25">
      <c r="A33" s="148" t="str">
        <f>+CONCATENATE("A-",J29)</f>
        <v>A-2901-0800-16-20113A-2901007-02</v>
      </c>
      <c r="B33" s="161"/>
      <c r="C33" s="183" t="s">
        <v>34</v>
      </c>
      <c r="D33" s="184" t="s">
        <v>37</v>
      </c>
      <c r="E33" s="184" t="s">
        <v>26</v>
      </c>
      <c r="F33" s="184" t="s">
        <v>38</v>
      </c>
      <c r="G33" s="143" t="str">
        <f>+CONCATENATE("Nombre del proyecto = ",C33," Nombre del Poducto =  ",D33,"  Nombre del Objeto del Gasto = ",E33," Actividad Asociada =  ",F33)</f>
        <v xml:space="preserve">Nombre del proyecto = FORTALECIMIENTO DEL INSTITUTO NACIONAL DE MEDICINA LEGAL Y CIENCIAS FORENSES EN ATENCIÓN A LOS RETOS DEL POSCONFLICTO A NIVEL  NACIONAL Nombre del Poducto =  SERVICIOS DE GENETICA FORENSE  Nombre del Objeto del Gasto = ADQUISICIÓN DE BIENES Y SERVICIOS Actividad Asociada =  Disponer de reactivos, insumos, equipos y herramientas informaticas para los laboratorios de genética </v>
      </c>
      <c r="H33" s="185"/>
      <c r="I33" s="184"/>
      <c r="J33" s="186" t="s">
        <v>38</v>
      </c>
      <c r="K33" s="187">
        <f>+L33+L34</f>
        <v>430000000</v>
      </c>
      <c r="L33" s="124">
        <f>100000000+130000000</f>
        <v>230000000</v>
      </c>
    </row>
    <row r="34" spans="1:12" ht="21" x14ac:dyDescent="0.25">
      <c r="A34" s="148"/>
      <c r="B34" s="161"/>
      <c r="C34" s="183"/>
      <c r="D34" s="184"/>
      <c r="E34" s="184"/>
      <c r="F34" s="184"/>
      <c r="G34" s="184"/>
      <c r="H34" s="185"/>
      <c r="I34" s="184"/>
      <c r="J34" s="186" t="s">
        <v>38</v>
      </c>
      <c r="K34" s="187"/>
      <c r="L34" s="124">
        <v>200000000</v>
      </c>
    </row>
    <row r="35" spans="1:12" x14ac:dyDescent="0.25">
      <c r="B35" s="161"/>
      <c r="C35" s="162"/>
      <c r="D35" s="162"/>
      <c r="E35" s="162"/>
      <c r="F35" s="162"/>
      <c r="G35" s="162"/>
      <c r="H35" s="163"/>
      <c r="I35" s="162"/>
      <c r="J35" s="183"/>
      <c r="K35" s="164">
        <f>+SUM(L33:L34)</f>
        <v>430000000</v>
      </c>
    </row>
    <row r="37" spans="1:12" x14ac:dyDescent="0.25">
      <c r="B37" s="188"/>
      <c r="L37" s="124">
        <f>SUM(L5:L35)</f>
        <v>1980000000</v>
      </c>
    </row>
    <row r="38" spans="1:12" x14ac:dyDescent="0.25">
      <c r="B38" s="188"/>
      <c r="L38" s="124">
        <v>1850000000</v>
      </c>
    </row>
    <row r="39" spans="1:12" x14ac:dyDescent="0.25">
      <c r="B39" s="188"/>
      <c r="L39" s="124">
        <f>+L38-L37</f>
        <v>-130000000</v>
      </c>
    </row>
    <row r="40" spans="1:12" x14ac:dyDescent="0.25">
      <c r="B40" s="188"/>
    </row>
    <row r="41" spans="1:12" x14ac:dyDescent="0.25">
      <c r="B41" s="188"/>
    </row>
  </sheetData>
  <mergeCells count="1">
    <mergeCell ref="B1:K1"/>
  </mergeCells>
  <pageMargins left="0.7" right="0.7" top="0.75" bottom="0.75" header="0.3" footer="0.3"/>
  <pageSetup scale="29" fitToHeight="0" orientation="portrait" horizontalDpi="4294967293" r:id="rId1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35" workbookViewId="0">
      <selection activeCell="A16" sqref="A16:E40"/>
    </sheetView>
  </sheetViews>
  <sheetFormatPr baseColWidth="10" defaultColWidth="8.7109375" defaultRowHeight="15" x14ac:dyDescent="0.25"/>
  <cols>
    <col min="1" max="1" width="24" style="120" customWidth="1"/>
    <col min="2" max="2" width="27.42578125" customWidth="1"/>
    <col min="3" max="3" width="23.7109375" bestFit="1" customWidth="1"/>
    <col min="4" max="4" width="23.7109375" style="121" bestFit="1" customWidth="1"/>
    <col min="5" max="5" width="26" bestFit="1" customWidth="1"/>
    <col min="6" max="6" width="23.28515625" customWidth="1"/>
    <col min="7" max="8" width="9.7109375" bestFit="1" customWidth="1"/>
    <col min="9" max="10" width="10.7109375" bestFit="1" customWidth="1"/>
    <col min="11" max="11" width="12.7109375" bestFit="1" customWidth="1"/>
  </cols>
  <sheetData>
    <row r="1" spans="1:5" x14ac:dyDescent="0.25">
      <c r="A1"/>
    </row>
    <row r="2" spans="1:5" x14ac:dyDescent="0.25">
      <c r="A2"/>
    </row>
    <row r="3" spans="1:5" x14ac:dyDescent="0.25">
      <c r="A3"/>
      <c r="D3"/>
    </row>
    <row r="4" spans="1:5" hidden="1" x14ac:dyDescent="0.25">
      <c r="A4" s="215" t="s">
        <v>86</v>
      </c>
      <c r="B4" t="s">
        <v>87</v>
      </c>
      <c r="C4" t="s">
        <v>88</v>
      </c>
      <c r="D4" s="236" t="s">
        <v>189</v>
      </c>
    </row>
    <row r="5" spans="1:5" ht="330" hidden="1" x14ac:dyDescent="0.25">
      <c r="A5" s="120" t="s">
        <v>90</v>
      </c>
      <c r="B5" s="121">
        <v>91345950</v>
      </c>
      <c r="C5" s="121">
        <v>14949098</v>
      </c>
      <c r="D5" s="121">
        <f t="shared" ref="D5:D12" si="0">+B5+C5</f>
        <v>106295048</v>
      </c>
    </row>
    <row r="6" spans="1:5" ht="330" hidden="1" x14ac:dyDescent="0.25">
      <c r="A6" s="120" t="s">
        <v>91</v>
      </c>
      <c r="B6" s="121">
        <v>514868449</v>
      </c>
      <c r="C6" s="121">
        <v>0</v>
      </c>
      <c r="D6" s="121">
        <f t="shared" si="0"/>
        <v>514868449</v>
      </c>
    </row>
    <row r="7" spans="1:5" ht="315" hidden="1" x14ac:dyDescent="0.25">
      <c r="A7" s="120" t="s">
        <v>92</v>
      </c>
      <c r="B7" s="121">
        <v>29155000</v>
      </c>
      <c r="C7" s="121">
        <v>282009957</v>
      </c>
      <c r="D7" s="121">
        <f t="shared" si="0"/>
        <v>311164957</v>
      </c>
    </row>
    <row r="8" spans="1:5" ht="300" hidden="1" x14ac:dyDescent="0.25">
      <c r="A8" s="120" t="s">
        <v>93</v>
      </c>
      <c r="B8" s="121">
        <v>414685859</v>
      </c>
      <c r="C8" s="121">
        <v>73211033</v>
      </c>
      <c r="D8" s="121">
        <f t="shared" si="0"/>
        <v>487896892</v>
      </c>
    </row>
    <row r="9" spans="1:5" ht="345" hidden="1" x14ac:dyDescent="0.25">
      <c r="A9" s="120" t="s">
        <v>129</v>
      </c>
      <c r="B9" s="121">
        <v>133386702</v>
      </c>
      <c r="C9" s="121">
        <v>0</v>
      </c>
      <c r="D9" s="121">
        <f t="shared" si="0"/>
        <v>133386702</v>
      </c>
    </row>
    <row r="10" spans="1:5" ht="315" hidden="1" x14ac:dyDescent="0.25">
      <c r="A10" s="120" t="s">
        <v>98</v>
      </c>
      <c r="B10" s="121">
        <v>513226905</v>
      </c>
      <c r="C10" s="121">
        <v>260849368</v>
      </c>
      <c r="D10" s="121">
        <f t="shared" si="0"/>
        <v>774076273</v>
      </c>
    </row>
    <row r="11" spans="1:5" ht="330" hidden="1" x14ac:dyDescent="0.25">
      <c r="A11" s="120" t="s">
        <v>156</v>
      </c>
      <c r="B11" s="121">
        <v>300000000</v>
      </c>
      <c r="C11" s="121">
        <v>0</v>
      </c>
      <c r="D11" s="121">
        <f t="shared" si="0"/>
        <v>300000000</v>
      </c>
    </row>
    <row r="12" spans="1:5" hidden="1" x14ac:dyDescent="0.25">
      <c r="A12" s="120" t="s">
        <v>95</v>
      </c>
      <c r="B12" s="121">
        <v>1996668865</v>
      </c>
      <c r="C12" s="121">
        <v>631019456</v>
      </c>
      <c r="D12" s="237">
        <f t="shared" si="0"/>
        <v>2627688321</v>
      </c>
      <c r="E12" s="121">
        <f>+SUM(D5:D11)</f>
        <v>2627688321</v>
      </c>
    </row>
    <row r="13" spans="1:5" x14ac:dyDescent="0.25">
      <c r="A13"/>
      <c r="D13"/>
    </row>
    <row r="14" spans="1:5" x14ac:dyDescent="0.25">
      <c r="A14"/>
      <c r="D14"/>
    </row>
    <row r="15" spans="1:5" x14ac:dyDescent="0.25">
      <c r="A15"/>
      <c r="D15"/>
    </row>
    <row r="16" spans="1:5" x14ac:dyDescent="0.25">
      <c r="A16" s="210" t="s">
        <v>45</v>
      </c>
      <c r="B16" s="215" t="s">
        <v>86</v>
      </c>
      <c r="C16" t="s">
        <v>87</v>
      </c>
      <c r="D16" t="s">
        <v>88</v>
      </c>
      <c r="E16" s="236" t="s">
        <v>89</v>
      </c>
    </row>
    <row r="17" spans="1:6" ht="108" customHeight="1" x14ac:dyDescent="0.25">
      <c r="A17" s="8">
        <v>1</v>
      </c>
      <c r="B17" s="120" t="s">
        <v>90</v>
      </c>
      <c r="C17" s="121">
        <v>76980664</v>
      </c>
      <c r="D17" s="121">
        <v>0</v>
      </c>
      <c r="E17" s="121">
        <f>+C17+D17</f>
        <v>76980664</v>
      </c>
    </row>
    <row r="18" spans="1:6" ht="108" customHeight="1" x14ac:dyDescent="0.25">
      <c r="A18"/>
      <c r="B18" s="120" t="s">
        <v>91</v>
      </c>
      <c r="C18" s="121">
        <v>83085495</v>
      </c>
      <c r="D18" s="121">
        <v>0</v>
      </c>
      <c r="E18" s="121">
        <f>+C18+D18</f>
        <v>83085495</v>
      </c>
    </row>
    <row r="19" spans="1:6" ht="105.75" customHeight="1" x14ac:dyDescent="0.25">
      <c r="A19"/>
      <c r="B19" s="120" t="s">
        <v>92</v>
      </c>
      <c r="C19" s="121">
        <v>0</v>
      </c>
      <c r="D19" s="121">
        <v>53949297</v>
      </c>
      <c r="E19" s="121">
        <f>+C19+D19</f>
        <v>53949297</v>
      </c>
    </row>
    <row r="20" spans="1:6" ht="105.75" customHeight="1" x14ac:dyDescent="0.25">
      <c r="A20"/>
      <c r="B20" s="120" t="s">
        <v>93</v>
      </c>
      <c r="C20" s="121">
        <v>414685859</v>
      </c>
      <c r="D20" s="121">
        <v>0</v>
      </c>
      <c r="E20" s="121">
        <f>+C20+D20</f>
        <v>414685859</v>
      </c>
    </row>
    <row r="21" spans="1:6" x14ac:dyDescent="0.25">
      <c r="A21" s="8" t="s">
        <v>170</v>
      </c>
      <c r="C21" s="121">
        <v>574752018</v>
      </c>
      <c r="D21" s="121">
        <v>53949297</v>
      </c>
      <c r="E21" s="121">
        <f>+SUM(E17:E20)</f>
        <v>628701315</v>
      </c>
      <c r="F21" s="121">
        <f>+C21+D21</f>
        <v>628701315</v>
      </c>
    </row>
    <row r="22" spans="1:6" ht="83.25" customHeight="1" x14ac:dyDescent="0.25">
      <c r="A22" s="8">
        <v>2</v>
      </c>
      <c r="B22" s="120" t="s">
        <v>91</v>
      </c>
      <c r="C22" s="121">
        <v>161915416</v>
      </c>
      <c r="D22" s="121">
        <v>0</v>
      </c>
      <c r="E22" s="121">
        <f>+C22+D22</f>
        <v>161915416</v>
      </c>
    </row>
    <row r="23" spans="1:6" ht="83.25" customHeight="1" x14ac:dyDescent="0.25">
      <c r="A23"/>
      <c r="B23" s="120" t="s">
        <v>98</v>
      </c>
      <c r="C23" s="121">
        <v>0</v>
      </c>
      <c r="D23" s="121">
        <v>46301988</v>
      </c>
      <c r="E23" s="121">
        <f>+C23+D23</f>
        <v>46301988</v>
      </c>
    </row>
    <row r="24" spans="1:6" x14ac:dyDescent="0.25">
      <c r="A24" s="8" t="s">
        <v>171</v>
      </c>
      <c r="C24" s="121">
        <v>161915416</v>
      </c>
      <c r="D24" s="121">
        <v>46301988</v>
      </c>
      <c r="E24" s="121">
        <f>+E23+E22</f>
        <v>208217404</v>
      </c>
    </row>
    <row r="25" spans="1:6" ht="126.75" customHeight="1" x14ac:dyDescent="0.25">
      <c r="A25" s="8">
        <v>3</v>
      </c>
      <c r="B25" s="120" t="s">
        <v>91</v>
      </c>
      <c r="C25" s="121">
        <v>235034393</v>
      </c>
      <c r="D25" s="121">
        <v>0</v>
      </c>
      <c r="E25" s="121">
        <f>+C25+D25</f>
        <v>235034393</v>
      </c>
    </row>
    <row r="26" spans="1:6" ht="126.75" customHeight="1" x14ac:dyDescent="0.25">
      <c r="A26"/>
      <c r="B26" s="120" t="s">
        <v>129</v>
      </c>
      <c r="C26" s="121">
        <v>133386702</v>
      </c>
      <c r="D26" s="121">
        <v>0</v>
      </c>
      <c r="E26" s="121">
        <f>+C26+D26</f>
        <v>133386702</v>
      </c>
    </row>
    <row r="27" spans="1:6" ht="126.75" customHeight="1" x14ac:dyDescent="0.25">
      <c r="A27"/>
      <c r="B27" s="120" t="s">
        <v>156</v>
      </c>
      <c r="C27" s="121">
        <v>300000000</v>
      </c>
      <c r="D27" s="121">
        <v>0</v>
      </c>
      <c r="E27" s="121">
        <f>+C27+D27</f>
        <v>300000000</v>
      </c>
    </row>
    <row r="28" spans="1:6" x14ac:dyDescent="0.25">
      <c r="A28" s="8" t="s">
        <v>172</v>
      </c>
      <c r="C28" s="121">
        <v>668421095</v>
      </c>
      <c r="D28" s="121">
        <v>0</v>
      </c>
      <c r="E28" s="121">
        <f>+E27+E26+E25</f>
        <v>668421095</v>
      </c>
    </row>
    <row r="29" spans="1:6" ht="115.5" customHeight="1" x14ac:dyDescent="0.25">
      <c r="A29" s="8">
        <v>4</v>
      </c>
      <c r="B29" s="120" t="s">
        <v>90</v>
      </c>
      <c r="C29" s="121">
        <v>14365286</v>
      </c>
      <c r="D29" s="121">
        <v>0</v>
      </c>
      <c r="E29" s="121">
        <f>+C29+D29</f>
        <v>14365286</v>
      </c>
    </row>
    <row r="30" spans="1:6" ht="114.75" customHeight="1" x14ac:dyDescent="0.25">
      <c r="A30"/>
      <c r="B30" s="120" t="s">
        <v>92</v>
      </c>
      <c r="C30" s="121">
        <v>29155000</v>
      </c>
      <c r="D30" s="121">
        <v>5206980</v>
      </c>
      <c r="E30" s="121">
        <f>+C30+D30</f>
        <v>34361980</v>
      </c>
    </row>
    <row r="31" spans="1:6" ht="114.75" customHeight="1" x14ac:dyDescent="0.25">
      <c r="A31"/>
      <c r="B31" s="120" t="s">
        <v>98</v>
      </c>
      <c r="C31" s="121">
        <v>284987285</v>
      </c>
      <c r="D31" s="121">
        <v>214547380</v>
      </c>
      <c r="E31" s="121">
        <f>+C31+D31</f>
        <v>499534665</v>
      </c>
    </row>
    <row r="32" spans="1:6" x14ac:dyDescent="0.25">
      <c r="A32" s="8" t="s">
        <v>173</v>
      </c>
      <c r="C32" s="121">
        <v>328507571</v>
      </c>
      <c r="D32" s="121">
        <v>219754360</v>
      </c>
      <c r="E32" s="121">
        <f>+E31+E30+E29</f>
        <v>548261931</v>
      </c>
      <c r="F32" s="121">
        <f>+C32+D32</f>
        <v>548261931</v>
      </c>
    </row>
    <row r="33" spans="1:6" ht="105.75" customHeight="1" x14ac:dyDescent="0.25">
      <c r="A33" s="8">
        <v>5</v>
      </c>
      <c r="B33" s="120" t="s">
        <v>90</v>
      </c>
      <c r="C33" s="121">
        <v>0</v>
      </c>
      <c r="D33" s="121">
        <v>14949098</v>
      </c>
      <c r="E33" s="121">
        <f>+C33+D33</f>
        <v>14949098</v>
      </c>
    </row>
    <row r="34" spans="1:6" ht="105.75" customHeight="1" x14ac:dyDescent="0.25">
      <c r="A34"/>
      <c r="B34" s="120" t="s">
        <v>92</v>
      </c>
      <c r="C34" s="121">
        <v>0</v>
      </c>
      <c r="D34" s="121">
        <v>222853680</v>
      </c>
      <c r="E34" s="121">
        <f>+C34+D34</f>
        <v>222853680</v>
      </c>
    </row>
    <row r="35" spans="1:6" ht="92.25" customHeight="1" x14ac:dyDescent="0.25">
      <c r="A35"/>
      <c r="B35" s="120" t="s">
        <v>93</v>
      </c>
      <c r="C35" s="121">
        <v>0</v>
      </c>
      <c r="D35" s="121">
        <v>73211033</v>
      </c>
      <c r="E35" s="121">
        <f>+C35+D35</f>
        <v>73211033</v>
      </c>
    </row>
    <row r="36" spans="1:6" ht="91.9" customHeight="1" x14ac:dyDescent="0.25">
      <c r="A36"/>
      <c r="B36" s="120" t="s">
        <v>98</v>
      </c>
      <c r="C36" s="121">
        <v>228239620</v>
      </c>
      <c r="D36" s="121">
        <v>0</v>
      </c>
      <c r="E36" s="121">
        <f>+C36+D36</f>
        <v>228239620</v>
      </c>
    </row>
    <row r="37" spans="1:6" x14ac:dyDescent="0.25">
      <c r="A37" s="8" t="s">
        <v>174</v>
      </c>
      <c r="C37" s="121">
        <v>228239620</v>
      </c>
      <c r="D37" s="121">
        <v>311013811</v>
      </c>
      <c r="E37" s="121">
        <f>+E36+E35+E34+E33</f>
        <v>539253431</v>
      </c>
      <c r="F37" s="121">
        <f>+C37+D37</f>
        <v>539253431</v>
      </c>
    </row>
    <row r="38" spans="1:6" ht="93" customHeight="1" x14ac:dyDescent="0.25">
      <c r="A38" s="8">
        <v>6</v>
      </c>
      <c r="B38" s="120" t="s">
        <v>91</v>
      </c>
      <c r="C38" s="121">
        <v>34833145</v>
      </c>
      <c r="D38" s="121">
        <v>0</v>
      </c>
      <c r="E38" s="121">
        <f>+C38+D38</f>
        <v>34833145</v>
      </c>
    </row>
    <row r="39" spans="1:6" x14ac:dyDescent="0.25">
      <c r="A39" s="8" t="s">
        <v>175</v>
      </c>
      <c r="C39" s="121">
        <v>34833145</v>
      </c>
      <c r="D39" s="121">
        <v>0</v>
      </c>
      <c r="E39" s="121">
        <f>+E38</f>
        <v>34833145</v>
      </c>
    </row>
    <row r="40" spans="1:6" x14ac:dyDescent="0.25">
      <c r="A40" s="217" t="s">
        <v>95</v>
      </c>
      <c r="B40" s="120"/>
      <c r="C40" s="121">
        <v>1996668865</v>
      </c>
      <c r="D40" s="121">
        <v>631019456</v>
      </c>
    </row>
  </sheetData>
  <pageMargins left="0.7" right="0.7" top="0.75" bottom="0.75" header="0.3" footer="0.3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opLeftCell="A19" workbookViewId="0">
      <selection activeCell="C17" sqref="C17:D20"/>
    </sheetView>
  </sheetViews>
  <sheetFormatPr baseColWidth="10" defaultColWidth="8.7109375" defaultRowHeight="15" x14ac:dyDescent="0.25"/>
  <cols>
    <col min="1" max="1" width="58.28515625" style="120" customWidth="1"/>
    <col min="2" max="2" width="20.5703125" bestFit="1" customWidth="1"/>
    <col min="3" max="3" width="23.7109375" bestFit="1" customWidth="1"/>
    <col min="4" max="4" width="23.7109375" style="121" bestFit="1" customWidth="1"/>
    <col min="5" max="5" width="26" bestFit="1" customWidth="1"/>
    <col min="6" max="6" width="23.28515625" customWidth="1"/>
    <col min="7" max="8" width="9.7109375" bestFit="1" customWidth="1"/>
    <col min="9" max="10" width="10.7109375" bestFit="1" customWidth="1"/>
    <col min="11" max="11" width="12.7109375" bestFit="1" customWidth="1"/>
  </cols>
  <sheetData>
    <row r="1" spans="1:5" x14ac:dyDescent="0.25">
      <c r="A1"/>
    </row>
    <row r="2" spans="1:5" x14ac:dyDescent="0.25">
      <c r="A2"/>
    </row>
    <row r="3" spans="1:5" x14ac:dyDescent="0.25">
      <c r="A3"/>
      <c r="D3"/>
    </row>
    <row r="4" spans="1:5" x14ac:dyDescent="0.25">
      <c r="A4" s="215" t="s">
        <v>86</v>
      </c>
      <c r="B4" t="s">
        <v>87</v>
      </c>
      <c r="C4" t="s">
        <v>88</v>
      </c>
      <c r="D4" s="236" t="s">
        <v>189</v>
      </c>
    </row>
    <row r="5" spans="1:5" ht="120" x14ac:dyDescent="0.25">
      <c r="A5" s="120" t="s">
        <v>90</v>
      </c>
      <c r="B5" s="121">
        <v>91345950</v>
      </c>
      <c r="C5" s="121">
        <v>14949098</v>
      </c>
      <c r="D5" s="121">
        <f t="shared" ref="D5:D12" si="0">+B5+C5</f>
        <v>106295048</v>
      </c>
    </row>
    <row r="6" spans="1:5" ht="135" x14ac:dyDescent="0.25">
      <c r="A6" s="120" t="s">
        <v>91</v>
      </c>
      <c r="B6" s="121">
        <v>514868449</v>
      </c>
      <c r="C6" s="121">
        <v>0</v>
      </c>
      <c r="D6" s="121">
        <f t="shared" si="0"/>
        <v>514868449</v>
      </c>
    </row>
    <row r="7" spans="1:5" ht="120" x14ac:dyDescent="0.25">
      <c r="A7" s="120" t="s">
        <v>92</v>
      </c>
      <c r="B7" s="121">
        <v>29155000</v>
      </c>
      <c r="C7" s="121">
        <v>282009957</v>
      </c>
      <c r="D7" s="121">
        <f t="shared" si="0"/>
        <v>311164957</v>
      </c>
    </row>
    <row r="8" spans="1:5" ht="120" x14ac:dyDescent="0.25">
      <c r="A8" s="120" t="s">
        <v>93</v>
      </c>
      <c r="B8" s="121">
        <v>414685859</v>
      </c>
      <c r="C8" s="121">
        <v>73211033</v>
      </c>
      <c r="D8" s="121">
        <f t="shared" si="0"/>
        <v>487896892</v>
      </c>
    </row>
    <row r="9" spans="1:5" ht="135" x14ac:dyDescent="0.25">
      <c r="A9" s="120" t="s">
        <v>129</v>
      </c>
      <c r="B9" s="121">
        <v>133386702</v>
      </c>
      <c r="C9" s="121">
        <v>0</v>
      </c>
      <c r="D9" s="121">
        <f t="shared" si="0"/>
        <v>133386702</v>
      </c>
    </row>
    <row r="10" spans="1:5" ht="120" x14ac:dyDescent="0.25">
      <c r="A10" s="120" t="s">
        <v>98</v>
      </c>
      <c r="B10" s="121">
        <v>513226905</v>
      </c>
      <c r="C10" s="121">
        <v>260849368</v>
      </c>
      <c r="D10" s="121">
        <f t="shared" si="0"/>
        <v>774076273</v>
      </c>
    </row>
    <row r="11" spans="1:5" ht="135" x14ac:dyDescent="0.25">
      <c r="A11" s="120" t="s">
        <v>156</v>
      </c>
      <c r="B11" s="121">
        <v>300000000</v>
      </c>
      <c r="C11" s="121">
        <v>0</v>
      </c>
      <c r="D11" s="121">
        <f t="shared" si="0"/>
        <v>300000000</v>
      </c>
    </row>
    <row r="12" spans="1:5" x14ac:dyDescent="0.25">
      <c r="A12" s="120" t="s">
        <v>95</v>
      </c>
      <c r="B12" s="121">
        <v>1996668865</v>
      </c>
      <c r="C12" s="121">
        <v>631019456</v>
      </c>
      <c r="D12" s="237">
        <f t="shared" si="0"/>
        <v>2627688321</v>
      </c>
      <c r="E12" s="121">
        <f>+SUM(D5:D11)</f>
        <v>2627688321</v>
      </c>
    </row>
    <row r="13" spans="1:5" x14ac:dyDescent="0.25">
      <c r="A13"/>
      <c r="D13"/>
    </row>
    <row r="14" spans="1:5" x14ac:dyDescent="0.25">
      <c r="A14"/>
      <c r="D14"/>
    </row>
    <row r="15" spans="1:5" x14ac:dyDescent="0.25">
      <c r="A15"/>
      <c r="D15"/>
    </row>
    <row r="16" spans="1:5" x14ac:dyDescent="0.25">
      <c r="A16" s="210" t="s">
        <v>45</v>
      </c>
      <c r="B16" s="215" t="s">
        <v>86</v>
      </c>
      <c r="C16" t="s">
        <v>87</v>
      </c>
      <c r="D16" t="s">
        <v>88</v>
      </c>
      <c r="E16" s="236" t="s">
        <v>89</v>
      </c>
    </row>
    <row r="17" spans="1:6" ht="409.5" x14ac:dyDescent="0.25">
      <c r="A17" s="8">
        <v>1</v>
      </c>
      <c r="B17" s="120" t="s">
        <v>90</v>
      </c>
      <c r="C17" s="121">
        <v>76980664</v>
      </c>
      <c r="D17" s="121">
        <v>0</v>
      </c>
      <c r="E17" s="121">
        <f>+C17+D17</f>
        <v>76980664</v>
      </c>
    </row>
    <row r="18" spans="1:6" ht="240" x14ac:dyDescent="0.25">
      <c r="A18"/>
      <c r="B18" s="120" t="s">
        <v>165</v>
      </c>
      <c r="C18" s="121">
        <v>83085495</v>
      </c>
      <c r="D18" s="121">
        <v>0</v>
      </c>
      <c r="E18" s="121">
        <f>+C18+D18</f>
        <v>83085495</v>
      </c>
    </row>
    <row r="19" spans="1:6" ht="409.5" x14ac:dyDescent="0.25">
      <c r="A19"/>
      <c r="B19" s="120" t="s">
        <v>92</v>
      </c>
      <c r="C19" s="121">
        <v>0</v>
      </c>
      <c r="D19" s="121">
        <v>53949297</v>
      </c>
      <c r="E19" s="121">
        <f>+C19+D19</f>
        <v>53949297</v>
      </c>
    </row>
    <row r="20" spans="1:6" ht="360" x14ac:dyDescent="0.25">
      <c r="A20"/>
      <c r="B20" s="120" t="s">
        <v>93</v>
      </c>
      <c r="C20" s="121">
        <v>414685859</v>
      </c>
      <c r="D20" s="121">
        <v>0</v>
      </c>
      <c r="E20" s="121">
        <f>+C20+D20</f>
        <v>414685859</v>
      </c>
    </row>
    <row r="21" spans="1:6" x14ac:dyDescent="0.25">
      <c r="A21" s="8" t="s">
        <v>170</v>
      </c>
      <c r="C21" s="121">
        <v>574752018</v>
      </c>
      <c r="D21" s="121">
        <v>53949297</v>
      </c>
      <c r="E21" s="121">
        <f>+SUM(E17:E20)</f>
        <v>628701315</v>
      </c>
      <c r="F21" s="121">
        <f>+C21+D21</f>
        <v>628701315</v>
      </c>
    </row>
    <row r="22" spans="1:6" x14ac:dyDescent="0.25">
      <c r="A22" s="217" t="s">
        <v>95</v>
      </c>
      <c r="B22" s="120"/>
      <c r="C22" s="121">
        <v>574752018</v>
      </c>
      <c r="D22" s="121">
        <v>53949297</v>
      </c>
      <c r="E22" s="121">
        <f>+C22+D22</f>
        <v>628701315</v>
      </c>
    </row>
    <row r="23" spans="1:6" x14ac:dyDescent="0.25">
      <c r="A23"/>
      <c r="D23"/>
      <c r="E23" s="121">
        <f>+C23+D23</f>
        <v>0</v>
      </c>
    </row>
    <row r="24" spans="1:6" x14ac:dyDescent="0.25">
      <c r="A24"/>
      <c r="D24"/>
      <c r="E24" s="121">
        <f>+E23+E22</f>
        <v>628701315</v>
      </c>
    </row>
    <row r="25" spans="1:6" x14ac:dyDescent="0.25">
      <c r="A25"/>
      <c r="D25"/>
      <c r="E25" s="121">
        <f>+C25+D25</f>
        <v>0</v>
      </c>
    </row>
    <row r="26" spans="1:6" x14ac:dyDescent="0.25">
      <c r="A26"/>
      <c r="D26"/>
      <c r="E26" s="121">
        <f>+C26+D26</f>
        <v>0</v>
      </c>
    </row>
    <row r="27" spans="1:6" x14ac:dyDescent="0.25">
      <c r="A27"/>
      <c r="D27"/>
      <c r="E27" s="121">
        <f>+C27+D27</f>
        <v>0</v>
      </c>
    </row>
    <row r="28" spans="1:6" x14ac:dyDescent="0.25">
      <c r="A28"/>
      <c r="D28"/>
      <c r="E28" s="121">
        <f>+E27+E26+E25</f>
        <v>0</v>
      </c>
    </row>
    <row r="29" spans="1:6" x14ac:dyDescent="0.25">
      <c r="A29"/>
      <c r="D29"/>
      <c r="E29" s="121">
        <f>+C29+D29</f>
        <v>0</v>
      </c>
    </row>
    <row r="30" spans="1:6" x14ac:dyDescent="0.25">
      <c r="A30"/>
      <c r="D30"/>
      <c r="E30" s="121">
        <f>+C30+D30</f>
        <v>0</v>
      </c>
    </row>
    <row r="31" spans="1:6" x14ac:dyDescent="0.25">
      <c r="A31"/>
      <c r="D31"/>
      <c r="E31" s="121">
        <f>+C31+D31</f>
        <v>0</v>
      </c>
    </row>
    <row r="32" spans="1:6" x14ac:dyDescent="0.25">
      <c r="A32"/>
      <c r="D32"/>
      <c r="E32" s="121">
        <f>+E31+E30+E29</f>
        <v>0</v>
      </c>
      <c r="F32" s="121">
        <f>+C32+D32</f>
        <v>0</v>
      </c>
    </row>
    <row r="33" spans="1:6" x14ac:dyDescent="0.25">
      <c r="A33"/>
      <c r="D33"/>
      <c r="E33" s="121">
        <f>+C33+D33</f>
        <v>0</v>
      </c>
    </row>
    <row r="34" spans="1:6" x14ac:dyDescent="0.25">
      <c r="A34"/>
      <c r="D34"/>
      <c r="E34" s="121">
        <f>+C34+D34</f>
        <v>0</v>
      </c>
    </row>
    <row r="35" spans="1:6" x14ac:dyDescent="0.25">
      <c r="A35"/>
      <c r="D35"/>
      <c r="E35" s="121">
        <f>+C35+D35</f>
        <v>0</v>
      </c>
    </row>
    <row r="36" spans="1:6" x14ac:dyDescent="0.25">
      <c r="A36"/>
      <c r="D36"/>
      <c r="E36" s="121">
        <f>+C36+D36</f>
        <v>0</v>
      </c>
    </row>
    <row r="37" spans="1:6" x14ac:dyDescent="0.25">
      <c r="A37"/>
      <c r="D37"/>
      <c r="E37" s="121">
        <f>+E36+E35+E34+E33</f>
        <v>0</v>
      </c>
      <c r="F37" s="121">
        <f>+C37+D37</f>
        <v>0</v>
      </c>
    </row>
    <row r="38" spans="1:6" x14ac:dyDescent="0.25">
      <c r="A38"/>
      <c r="D38"/>
      <c r="E38" s="121">
        <f>+C38+D38</f>
        <v>0</v>
      </c>
    </row>
    <row r="39" spans="1:6" x14ac:dyDescent="0.25">
      <c r="A39"/>
      <c r="D39"/>
      <c r="E39" s="121">
        <f>+E38</f>
        <v>0</v>
      </c>
    </row>
    <row r="40" spans="1:6" x14ac:dyDescent="0.25">
      <c r="A40"/>
      <c r="D40"/>
    </row>
  </sheetData>
  <pageMargins left="0.7" right="0.7" top="0.75" bottom="0.75" header="0.3" footer="0.3"/>
  <headerFooter>
    <oddFooter>&amp;L_x000D_&amp;1#&amp;"Calibri"&amp;10&amp;K000000 Este mensaje y sus archivos adjuntos están dirigidos exclusivamente a su destinatario y pueden contener información confidencial. No se permite su reproducción o distribución sin autorización del INMLCF. Si usted no es el desti</oddFooter>
  </headerFooter>
</worksheet>
</file>

<file path=docMetadata/LabelInfo.xml><?xml version="1.0" encoding="utf-8"?>
<clbl:labelList xmlns:clbl="http://schemas.microsoft.com/office/2020/mipLabelMetadata">
  <clbl:label id="{f1db07be-e271-46b0-ae90-3ff6a20acf84}" enabled="1" method="Standard" siteId="{ce000cd5-0841-4431-a124-062ac493f284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10</vt:i4>
      </vt:variant>
    </vt:vector>
  </HeadingPairs>
  <TitlesOfParts>
    <vt:vector size="40" baseType="lpstr">
      <vt:lpstr>VERIFICACION </vt:lpstr>
      <vt:lpstr>CONSOLIDADO </vt:lpstr>
      <vt:lpstr>DATOS REGIONALIZADO LOTE 1</vt:lpstr>
      <vt:lpstr>DATOS REGIONALIZADO LOTE 2</vt:lpstr>
      <vt:lpstr>CONS ASIGNACION RUBROS (3)</vt:lpstr>
      <vt:lpstr>DATOS REGIONALIZADO LOTE 3</vt:lpstr>
      <vt:lpstr>DATOS REGIONALIZADO LOTE 4 tota</vt:lpstr>
      <vt:lpstr>DATOS REGIONALIZADO LOTE 4</vt:lpstr>
      <vt:lpstr>DATOS REGIONALIZADO LOTE 5</vt:lpstr>
      <vt:lpstr>DATOS REGIONALIZADO LOTE 6</vt:lpstr>
      <vt:lpstr>AJUSTADO</vt:lpstr>
      <vt:lpstr>Hoja2</vt:lpstr>
      <vt:lpstr>CONS ASIGNACION RUBROS</vt:lpstr>
      <vt:lpstr>Hoja3</vt:lpstr>
      <vt:lpstr>Hoja1</vt:lpstr>
      <vt:lpstr>DATOS REGIONALIZADO lote 7</vt:lpstr>
      <vt:lpstr>DATOS REGIONALIZADO LOTE 8 </vt:lpstr>
      <vt:lpstr>DATOS REGIONALIZADO LOTE 9</vt:lpstr>
      <vt:lpstr>DATOS REGIONALIZADO LOTE 10</vt:lpstr>
      <vt:lpstr>DATOS REGIONALIZADO LOTE 11</vt:lpstr>
      <vt:lpstr>DATOS REGIONALIZADO LOTE 12</vt:lpstr>
      <vt:lpstr>DATOS REGIONALIZADO LOTE 13</vt:lpstr>
      <vt:lpstr>Hoja15 (2)</vt:lpstr>
      <vt:lpstr>cdp</vt:lpstr>
      <vt:lpstr>Hoja15</vt:lpstr>
      <vt:lpstr>CONS ASIGNACION RUBROS (2)</vt:lpstr>
      <vt:lpstr>CONSOLIDADO TOTAL RUBROS</vt:lpstr>
      <vt:lpstr>valores presupuesto </vt:lpstr>
      <vt:lpstr>Hoja5 (2)</vt:lpstr>
      <vt:lpstr>Hoja5</vt:lpstr>
      <vt:lpstr>AJUSTADO!Área_de_impresión</vt:lpstr>
      <vt:lpstr>'CONS ASIGNACION RUBROS'!Área_de_impresión</vt:lpstr>
      <vt:lpstr>'CONS ASIGNACION RUBROS (3)'!Área_de_impresión</vt:lpstr>
      <vt:lpstr>'CONSOLIDADO '!Área_de_impresión</vt:lpstr>
      <vt:lpstr>Hoja3!Área_de_impresión</vt:lpstr>
      <vt:lpstr>'valores presupuesto '!Área_de_impresión</vt:lpstr>
      <vt:lpstr>'VERIFICACION '!Área_de_impresión</vt:lpstr>
      <vt:lpstr>'CONS ASIGNACION RUBROS'!Títulos_a_imprimir</vt:lpstr>
      <vt:lpstr>'CONS ASIGNACION RUBROS (3)'!Títulos_a_imprimir</vt:lpstr>
      <vt:lpstr>'CONSOLIDADO 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Camilo Enrique Gonzalez Forero</dc:creator>
  <cp:keywords/>
  <dc:description/>
  <cp:lastModifiedBy>Sandra Liliana Martinez Chaparro</cp:lastModifiedBy>
  <cp:revision/>
  <dcterms:created xsi:type="dcterms:W3CDTF">2024-02-07T16:47:34Z</dcterms:created>
  <dcterms:modified xsi:type="dcterms:W3CDTF">2025-09-15T13:50:15Z</dcterms:modified>
  <cp:category/>
  <cp:contentStatus/>
</cp:coreProperties>
</file>